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drawings/drawing2.xml" ContentType="application/vnd.openxmlformats-officedocument.drawing+xml"/>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3.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codeName="ThisWorkbook" defaultThemeVersion="124226"/>
  <mc:AlternateContent xmlns:mc="http://schemas.openxmlformats.org/markup-compatibility/2006">
    <mc:Choice Requires="x15">
      <x15ac:absPath xmlns:x15ac="http://schemas.microsoft.com/office/spreadsheetml/2010/11/ac" url="E:\PNET\bheri bridge\"/>
    </mc:Choice>
  </mc:AlternateContent>
  <xr:revisionPtr revIDLastSave="0" documentId="13_ncr:1_{11787AFD-C422-4AB6-8B5E-5C9B224FDFFE}" xr6:coauthVersionLast="47" xr6:coauthVersionMax="47" xr10:uidLastSave="{00000000-0000-0000-0000-000000000000}"/>
  <bookViews>
    <workbookView xWindow="5745" yWindow="-315" windowWidth="15060" windowHeight="8010" tabRatio="604" firstSheet="8" activeTab="13" xr2:uid="{EDCE56AE-B967-4314-BFAF-75B2B88FDC02}"/>
  </bookViews>
  <sheets>
    <sheet name="Input for Superstructure" sheetId="49" state="hidden" r:id="rId1"/>
    <sheet name="Input for Pier" sheetId="50" state="hidden" r:id="rId2"/>
    <sheet name="Input for abutment" sheetId="51" state="hidden" r:id="rId3"/>
    <sheet name="Cover" sheetId="21" r:id="rId4"/>
    <sheet name="Summary" sheetId="52" r:id="rId5"/>
    <sheet name="Bill of quantities" sheetId="53" r:id="rId6"/>
    <sheet name="Quantity_estimate" sheetId="54" r:id="rId7"/>
    <sheet name="road earthwork" sheetId="41" r:id="rId8"/>
    <sheet name="Summary of rates" sheetId="32" r:id="rId9"/>
    <sheet name="Rate Analysis" sheetId="33" r:id="rId10"/>
    <sheet name="Basic Rate" sheetId="34" r:id="rId11"/>
    <sheet name="Collection" sheetId="45" r:id="rId12"/>
    <sheet name="transportation" sheetId="44" r:id="rId13"/>
    <sheet name="District Rate" sheetId="37" r:id="rId14"/>
    <sheet name="DoR equipment rate" sheetId="39" r:id="rId15"/>
  </sheets>
  <externalReferences>
    <externalReference r:id="rId16"/>
  </externalReferences>
  <definedNames>
    <definedName name="__123Graph_A" localSheetId="5" hidden="1">'[1]Estimate Summary'!#REF!</definedName>
    <definedName name="__123Graph_A" localSheetId="11" hidden="1">'[1]Estimate Summary'!#REF!</definedName>
    <definedName name="__123Graph_A" localSheetId="2" hidden="1">'[1]Estimate Summary'!#REF!</definedName>
    <definedName name="__123Graph_A" localSheetId="1" hidden="1">'[1]Estimate Summary'!#REF!</definedName>
    <definedName name="__123Graph_A" localSheetId="0" hidden="1">'[1]Estimate Summary'!#REF!</definedName>
    <definedName name="__123Graph_A" localSheetId="6" hidden="1">'[1]Estimate Summary'!#REF!</definedName>
    <definedName name="__123Graph_A" localSheetId="4" hidden="1">'[1]Estimate Summary'!#REF!</definedName>
    <definedName name="__123Graph_A" hidden="1">'[1]Estimate Summary'!#REF!</definedName>
    <definedName name="__123Graph_B" localSheetId="11" hidden="1">'[1]Estimate Summary'!#REF!</definedName>
    <definedName name="__123Graph_B" hidden="1">'[1]Estimate Summary'!#REF!</definedName>
    <definedName name="__123Graph_C" localSheetId="11" hidden="1">'[1]Estimate Summary'!#REF!</definedName>
    <definedName name="__123Graph_C" hidden="1">'[1]Estimate Summary'!#REF!</definedName>
    <definedName name="__123Graph_D" localSheetId="11" hidden="1">'[1]Estimate Summary'!#REF!</definedName>
    <definedName name="__123Graph_D" hidden="1">'[1]Estimate Summary'!#REF!</definedName>
    <definedName name="__123Graph_E" localSheetId="11" hidden="1">'[1]Estimate Summary'!#REF!</definedName>
    <definedName name="__123Graph_E" hidden="1">'[1]Estimate Summary'!#REF!</definedName>
    <definedName name="__123Graph_X" localSheetId="11" hidden="1">'[1]Estimate Summary'!#REF!</definedName>
    <definedName name="__123Graph_X" hidden="1">'[1]Estimate Summary'!#REF!</definedName>
    <definedName name="_Fill" localSheetId="5" hidden="1">#REF!</definedName>
    <definedName name="_Fill" localSheetId="11" hidden="1">#REF!</definedName>
    <definedName name="_Fill" localSheetId="2" hidden="1">#REF!</definedName>
    <definedName name="_Fill" localSheetId="1" hidden="1">#REF!</definedName>
    <definedName name="_Fill" localSheetId="0" hidden="1">#REF!</definedName>
    <definedName name="_Fill" localSheetId="6" hidden="1">#REF!</definedName>
    <definedName name="_Fill" localSheetId="4" hidden="1">#REF!</definedName>
    <definedName name="_Fill" hidden="1">#REF!</definedName>
    <definedName name="abutment_breadth">'Input for abutment'!$D$15</definedName>
    <definedName name="abutment_footingheight_I">'Input for abutment'!$D$10</definedName>
    <definedName name="abutment_footingheight_II">'Input for abutment'!$F$10</definedName>
    <definedName name="abutment_heel_I">'Input for abutment'!$D$5</definedName>
    <definedName name="abutment_heel_II">'Input for abutment'!$F$5</definedName>
    <definedName name="abutment_neck_I">'Input for abutment'!$D$14</definedName>
    <definedName name="abutment_neck_II">'Input for abutment'!$F$14</definedName>
    <definedName name="abutment_stem_base">'Input for abutment'!$D$6</definedName>
    <definedName name="abutment_toe_I">'Input for abutment'!$D$7</definedName>
    <definedName name="abutment_toe_II">'Input for abutment'!$F$7</definedName>
    <definedName name="abutment_width_I">'Input for abutment'!$D$9</definedName>
    <definedName name="abutment_width_II" localSheetId="5">'Input for abutment'!$F$9</definedName>
    <definedName name="abutment_width_II" localSheetId="6">'Input for abutment'!$F$9</definedName>
    <definedName name="abutment_width_II" localSheetId="4">'Input for abutment'!$F$9</definedName>
    <definedName name="abutment_width_II">'Input for abutment'!$F$9</definedName>
    <definedName name="admixture">'Basic Rate'!$G$5</definedName>
    <definedName name="aggregate10mm">'Basic Rate'!$G$19</definedName>
    <definedName name="aggregate20mm">'Basic Rate'!$G$20</definedName>
    <definedName name="aggregate40mm">'Basic Rate'!$G$21</definedName>
    <definedName name="aircompressor">'DoR equipment rate'!$M$8</definedName>
    <definedName name="anchorageset">'Basic Rate'!$G$67</definedName>
    <definedName name="angle100mm">'Basic Rate'!$G$27</definedName>
    <definedName name="anscount" hidden="1">1</definedName>
    <definedName name="area_kerb" localSheetId="5">'Input for Superstructure'!$D$55</definedName>
    <definedName name="area_kerb" localSheetId="2">'Input for Superstructure'!$D$55</definedName>
    <definedName name="area_kerb" localSheetId="1">'Input for Superstructure'!$D$55</definedName>
    <definedName name="area_kerb" localSheetId="6">'Input for Superstructure'!$D$55</definedName>
    <definedName name="area_kerb" localSheetId="4">'Input for Superstructure'!$D$55</definedName>
    <definedName name="area_kerb">'Input for Superstructure'!$D$55</definedName>
    <definedName name="area_railingpostbase" localSheetId="5">'Input for Superstructure'!$D$56</definedName>
    <definedName name="area_railingpostbase" localSheetId="2">'Input for Superstructure'!$D$56</definedName>
    <definedName name="area_railingpostbase" localSheetId="1">'Input for Superstructure'!$D$56</definedName>
    <definedName name="area_railingpostbase" localSheetId="6">'Input for Superstructure'!$D$56</definedName>
    <definedName name="area_railingpostbase" localSheetId="4">'Input for Superstructure'!$D$56</definedName>
    <definedName name="area_railingpostbase">'Input for Superstructure'!$D$56</definedName>
    <definedName name="area_tendon" localSheetId="5">'Input for Superstructure'!$D$68</definedName>
    <definedName name="area_tendon" localSheetId="2">'Input for Superstructure'!$D$68</definedName>
    <definedName name="area_tendon" localSheetId="1">'Input for Superstructure'!$D$68</definedName>
    <definedName name="area_tendon" localSheetId="6">'Input for Superstructure'!$D$68</definedName>
    <definedName name="area_tendon" localSheetId="4">'Input for Superstructure'!$D$68</definedName>
    <definedName name="area_tendon">'Input for Superstructure'!$D$68</definedName>
    <definedName name="asphaltconcrete">'Rate Analysis'!$P$281</definedName>
    <definedName name="backfilling_filter">'Rate Analysis'!$P$217</definedName>
    <definedName name="backfilling_granular">'Rate Analysis'!$P$207</definedName>
    <definedName name="batchingplant">'DoR equipment rate'!$M$10</definedName>
    <definedName name="batchmixhmp">'DoR equipment rate'!$M$9</definedName>
    <definedName name="bearing_elastomeric">'Rate Analysis'!$P$382</definedName>
    <definedName name="bearing_pot_fixed">'Rate Analysis'!$P$392</definedName>
    <definedName name="bearing_pot_sliding">'Rate Analysis'!$P$402</definedName>
    <definedName name="bearing_ptfe">'Rate Analysis'!$P$372</definedName>
    <definedName name="bentonite">'Basic Rate'!$G$8</definedName>
    <definedName name="bentonitepump">'DoR equipment rate'!$M$11</definedName>
    <definedName name="bindingwireblack" localSheetId="5">'Basic Rate'!$G$9</definedName>
    <definedName name="bindingwireblack" localSheetId="2">'Basic Rate'!$G$9</definedName>
    <definedName name="bindingwireblack" localSheetId="1">'Basic Rate'!$G$9</definedName>
    <definedName name="bindingwireblack" localSheetId="0">'Basic Rate'!$G$9</definedName>
    <definedName name="bindingwireblack" localSheetId="6">'Basic Rate'!$G$9</definedName>
    <definedName name="bindingwireblack" localSheetId="4">'Basic Rate'!$G$9</definedName>
    <definedName name="bindingwireblack">'Basic Rate'!$G$9</definedName>
    <definedName name="bindingwirewhite">'Basic Rate'!$G$10</definedName>
    <definedName name="bitumen80_100">'Basic Rate'!$G$11</definedName>
    <definedName name="bitumenboiler">'DoR equipment rate'!$M$12</definedName>
    <definedName name="bitumensprayer">'DoR equipment rate'!$M$13</definedName>
    <definedName name="borrowpitmaterial" localSheetId="5">'Basic Rate'!$G$12</definedName>
    <definedName name="borrowpitmaterial" localSheetId="2">'Basic Rate'!$G$12</definedName>
    <definedName name="borrowpitmaterial" localSheetId="1">'Basic Rate'!$G$12</definedName>
    <definedName name="borrowpitmaterial" localSheetId="0">'Basic Rate'!$G$12</definedName>
    <definedName name="borrowpitmaterial" localSheetId="6">'Basic Rate'!$G$12</definedName>
    <definedName name="borrowpitmaterial" localSheetId="4">'Basic Rate'!$G$12</definedName>
    <definedName name="borrowpitmaterial">'Basic Rate'!$G$12</definedName>
    <definedName name="boulderapron_200kg">'Rate Analysis'!$P$894</definedName>
    <definedName name="boulderapron_40kg">'Rate Analysis'!$P$884</definedName>
    <definedName name="cantilever_thicknessvariation" localSheetId="5">'Input for Superstructure'!$K$2</definedName>
    <definedName name="cantilever_thicknessvariation" localSheetId="2">'Input for Superstructure'!$K$2</definedName>
    <definedName name="cantilever_thicknessvariation" localSheetId="1">'Input for Superstructure'!$K$2</definedName>
    <definedName name="cantilever_thicknessvariation" localSheetId="6">'Input for Superstructure'!$K$2</definedName>
    <definedName name="cantilever_thicknessvariation" localSheetId="4">'Input for Superstructure'!$K$2</definedName>
    <definedName name="cantilever_thicknessvariation">'Input for Superstructure'!$K$2</definedName>
    <definedName name="carriagewaywidth" localSheetId="5">'Input for Superstructure'!$D$5</definedName>
    <definedName name="carriagewaywidth" localSheetId="2">'Input for Superstructure'!$D$5</definedName>
    <definedName name="carriagewaywidth" localSheetId="1">'Input for Superstructure'!$D$5</definedName>
    <definedName name="carriagewaywidth" localSheetId="6">'Input for Superstructure'!$D$5</definedName>
    <definedName name="carriagewaywidth" localSheetId="4">'Input for Superstructure'!$D$5</definedName>
    <definedName name="carriagewaywidth">'Input for Superstructure'!$D$5</definedName>
    <definedName name="cement" localSheetId="5">'Basic Rate'!$G$14</definedName>
    <definedName name="cement" localSheetId="2">'Basic Rate'!$G$14</definedName>
    <definedName name="cement" localSheetId="1">'Basic Rate'!$G$14</definedName>
    <definedName name="cement" localSheetId="0">'Basic Rate'!$G$14</definedName>
    <definedName name="cement" localSheetId="6">'Basic Rate'!$G$14</definedName>
    <definedName name="cement" localSheetId="4">'Basic Rate'!$G$14</definedName>
    <definedName name="cement">'Basic Rate'!$G$14</definedName>
    <definedName name="centraldistance_IG" localSheetId="5">'Input for Superstructure'!$D$47</definedName>
    <definedName name="centraldistance_IG" localSheetId="2">'Input for Superstructure'!$D$47</definedName>
    <definedName name="centraldistance_IG" localSheetId="1">'Input for Superstructure'!$D$47</definedName>
    <definedName name="centraldistance_IG" localSheetId="6">'Input for Superstructure'!$D$47</definedName>
    <definedName name="centraldistance_IG" localSheetId="4">'Input for Superstructure'!$D$47</definedName>
    <definedName name="centraldistance_IG">'Input for Superstructure'!$D$47</definedName>
    <definedName name="centraldistance_MG" localSheetId="5">'Input for Superstructure'!$D$20</definedName>
    <definedName name="centraldistance_MG" localSheetId="2">'Input for Superstructure'!$D$20</definedName>
    <definedName name="centraldistance_MG" localSheetId="1">'Input for Superstructure'!$D$20</definedName>
    <definedName name="centraldistance_MG" localSheetId="6">'Input for Superstructure'!$D$20</definedName>
    <definedName name="centraldistance_MG" localSheetId="4">'Input for Superstructure'!$D$20</definedName>
    <definedName name="centraldistance_MG">'Input for Superstructure'!$D$20</definedName>
    <definedName name="chipspreader">'DoR equipment rate'!$M$14</definedName>
    <definedName name="clamps" localSheetId="5">'Basic Rate'!$G$15</definedName>
    <definedName name="clamps" localSheetId="2">'Basic Rate'!$G$15</definedName>
    <definedName name="clamps" localSheetId="1">'Basic Rate'!$G$15</definedName>
    <definedName name="clamps" localSheetId="0">'Basic Rate'!$G$15</definedName>
    <definedName name="clamps" localSheetId="6">'Basic Rate'!$G$15</definedName>
    <definedName name="clamps" localSheetId="4">'Basic Rate'!$G$15</definedName>
    <definedName name="clamps">'Basic Rate'!$G$15</definedName>
    <definedName name="clearinggrass">'Rate Analysis'!$P$38</definedName>
    <definedName name="coldmixplant">'DoR equipment rate'!$M$15</definedName>
    <definedName name="compressionsealjoint">'Rate Analysis'!$P$426</definedName>
    <definedName name="compressiveseal">'Basic Rate'!$G$16</definedName>
    <definedName name="concret_m35_superstructure">'Rate Analysis'!$P$671</definedName>
    <definedName name="concrete_m10">'Rate Analysis'!$P$452</definedName>
    <definedName name="concrete_m15_foundation">'Rate Analysis'!$P$466</definedName>
    <definedName name="concrete_M20_foundation">'Rate Analysis'!$P$479</definedName>
    <definedName name="concrete_M20_PCCgrade">'Rate Analysis'!$P$494</definedName>
    <definedName name="concrete_m20_substructure">'Rate Analysis'!$P$508</definedName>
    <definedName name="concrete_m20_superstructure">'Rate Analysis'!$P$626</definedName>
    <definedName name="concrete_m25_foundation">'Rate Analysis'!$P$522</definedName>
    <definedName name="concrete_m25_substructure">'Rate Analysis'!$P$537</definedName>
    <definedName name="concrete_m25_superstructure">'Rate Analysis'!$P$641</definedName>
    <definedName name="concrete_m30_foundation">'Rate Analysis'!$P$551</definedName>
    <definedName name="concrete_m30_superstructure">'Rate Analysis'!$P$656</definedName>
    <definedName name="concrete_m35_foundation">'Rate Analysis'!$P$565</definedName>
    <definedName name="concrete_m35_substructure">'Rate Analysis'!$P$580</definedName>
    <definedName name="concrete_m40_superstructure">'Rate Analysis'!$P$686</definedName>
    <definedName name="concrete_m45_superstructure">'Rate Analysis'!$P$701</definedName>
    <definedName name="concretepump">'DoR equipment rate'!$M$16</definedName>
    <definedName name="crane">'DoR equipment rate'!$M$17</definedName>
    <definedName name="crane15t">'DoR equipment rate'!$M$19</definedName>
    <definedName name="crane3t">'DoR equipment rate'!$M$18</definedName>
    <definedName name="crusher">'DoR equipment rate'!$M$56</definedName>
    <definedName name="cutter">'DoR equipment rate'!$M$55</definedName>
    <definedName name="detonator">'Basic Rate'!$G$22</definedName>
    <definedName name="diesel">'Basic Rate'!$G$23</definedName>
    <definedName name="dismantlingculvert">'Rate Analysis'!$P$52</definedName>
    <definedName name="dowelrod_20mm">'Rate Analysis'!$P$935</definedName>
    <definedName name="dowelrod_25mm">'Rate Analysis'!$P$936</definedName>
    <definedName name="dozer">'DoR equipment rate'!$M$21</definedName>
    <definedName name="drainagespout">'Rate Analysis'!$P$1156</definedName>
    <definedName name="dredgercrane">'DoR equipment rate'!$M$20</definedName>
    <definedName name="drillingmachine">'DoR equipment rate'!$M$22</definedName>
    <definedName name="elastomericbearing">'Basic Rate'!$G$24</definedName>
    <definedName name="elastomericslabsteelexpjoint">'Rate Analysis'!$P$413</definedName>
    <definedName name="electricgenerator">'DoR equipment rate'!$M$23</definedName>
    <definedName name="embankment_borrowpit">'Rate Analysis'!$P$185</definedName>
    <definedName name="embankment_rwcutting">'Rate Analysis'!$P$197</definedName>
    <definedName name="emulsionpressuredistributor">'DoR equipment rate'!$M$26</definedName>
    <definedName name="enamel">'Basic Rate'!$G$65</definedName>
    <definedName name="excavator">'DoR equipment rate'!$M$27</definedName>
    <definedName name="expansionjoint">'Basic Rate'!$G$25</definedName>
    <definedName name="filtermaterial">'Basic Rate'!$G$38</definedName>
    <definedName name="filtermaterial_laying">'Rate Analysis'!$P$914</definedName>
    <definedName name="flatclamp">'Basic Rate'!$G$28</definedName>
    <definedName name="footpathwidth" localSheetId="5">'Input for Superstructure'!$D$6</definedName>
    <definedName name="footpathwidth" localSheetId="2">'Input for Superstructure'!$D$6</definedName>
    <definedName name="footpathwidth" localSheetId="1">'Input for Superstructure'!$D$6</definedName>
    <definedName name="footpathwidth" localSheetId="6">'Input for Superstructure'!$D$6</definedName>
    <definedName name="footpathwidth" localSheetId="4">'Input for Superstructure'!$D$6</definedName>
    <definedName name="footpathwidth">'Input for Superstructure'!$D$6</definedName>
    <definedName name="formwork_foundation">'Rate Analysis'!$P$335</definedName>
    <definedName name="formwork_superstructure">'Rate Analysis'!$P$360</definedName>
    <definedName name="formwork_vertical">'Rate Analysis'!$P$345</definedName>
    <definedName name="foundationexc_hrock">'Rate Analysis'!$P$171</definedName>
    <definedName name="foundationexc_orock">'Rate Analysis'!$P$158</definedName>
    <definedName name="foundationexc_soil" localSheetId="5">'Summary of rates'!$E$20</definedName>
    <definedName name="foundationexc_soil" localSheetId="2">'Summary of rates'!$E$20</definedName>
    <definedName name="foundationexc_soil" localSheetId="1">'Summary of rates'!$E$20</definedName>
    <definedName name="foundationexc_soil" localSheetId="0">'Summary of rates'!$E$20</definedName>
    <definedName name="foundationexc_soil" localSheetId="6">'Summary of rates'!$E$20</definedName>
    <definedName name="foundationexc_soil" localSheetId="4">'Summary of rates'!$E$20</definedName>
    <definedName name="foundationexc_soil">'Rate Analysis'!$P$147</definedName>
    <definedName name="fusewire">'Basic Rate'!$G$26</definedName>
    <definedName name="gabionbox1.5">'Rate Analysis'!$P$814</definedName>
    <definedName name="gabionbox2">'Rate Analysis'!$P$802</definedName>
    <definedName name="gabionbox3">'Rate Analysis'!$P$790</definedName>
    <definedName name="gabionmattress_1">'Rate Analysis'!$P$850</definedName>
    <definedName name="gabionmattress_2">'Rate Analysis'!$P$838</definedName>
    <definedName name="gabionmattress_3">'Rate Analysis'!$P$826</definedName>
    <definedName name="gelatin">'Basic Rate'!$G$29</definedName>
    <definedName name="geotextile">'Basic Rate'!$G$30</definedName>
    <definedName name="geotextilelaying">'Rate Analysis'!$P$861</definedName>
    <definedName name="gi10gauge">'Basic Rate'!$G$36</definedName>
    <definedName name="gi12gauge">'Basic Rate'!$G$37</definedName>
    <definedName name="gi8gauge">'Basic Rate'!$G$35</definedName>
    <definedName name="GIbarbedfence1.2m">'Rate Analysis'!$P$71</definedName>
    <definedName name="gibarbedwire_12g">'Basic Rate'!$G$7</definedName>
    <definedName name="gibolt_10mm">'Basic Rate'!$G$31</definedName>
    <definedName name="GIpipe_100mm">'Basic Rate'!$G$33</definedName>
    <definedName name="gipipe50mm">'Basic Rate'!$G$32</definedName>
    <definedName name="gipipe80mm">'Basic Rate'!$G$32</definedName>
    <definedName name="gipiperailing">'Rate Analysis'!$P$1167</definedName>
    <definedName name="granularmaterial">'Basic Rate'!$G$39</definedName>
    <definedName name="groutingpump">'DoR equipment rate'!$M$29</definedName>
    <definedName name="groutinjection">'DoR equipment rate'!$M$28</definedName>
    <definedName name="hackingmachine">'DoR equipment rate'!$M$30</definedName>
    <definedName name="handdriller">'DoR equipment rate'!$M$24</definedName>
    <definedName name="hdpepipe_250mm">'Basic Rate'!$G$42</definedName>
    <definedName name="HDPEpipe100mm">'Basic Rate'!$G$41</definedName>
    <definedName name="heatingplate">'DoR equipment rate'!$M$25</definedName>
    <definedName name="height_abutment">'Input for abutment'!$D$16</definedName>
    <definedName name="height_abutment_sloping_I" localSheetId="5">'Input for abutment'!$D$17</definedName>
    <definedName name="height_abutment_sloping_I" localSheetId="6">'Input for abutment'!$D$17</definedName>
    <definedName name="height_abutment_sloping_I" localSheetId="4">'Input for abutment'!$D$17</definedName>
    <definedName name="height_abutment_slopingI">'Input for abutment'!$D$17</definedName>
    <definedName name="height_abutment_slopingII" localSheetId="5">'Input for abutment'!$F$17</definedName>
    <definedName name="height_abutment_slopingII" localSheetId="6">'Input for abutment'!$F$17</definedName>
    <definedName name="height_abutment_slopingII" localSheetId="4">'Input for abutment'!$F$17</definedName>
    <definedName name="height_abutment_slopingII">'Input for abutment'!$F$17</definedName>
    <definedName name="height_abutmentcap">'Input for abutment'!$D$22</definedName>
    <definedName name="height_backwall">'Input for abutment'!$D$26</definedName>
    <definedName name="height_EG" localSheetId="5">'Input for Superstructure'!$F$42</definedName>
    <definedName name="height_EG" localSheetId="2">'Input for Superstructure'!$F$42</definedName>
    <definedName name="height_EG" localSheetId="1">'Input for Superstructure'!$F$42</definedName>
    <definedName name="height_EG" localSheetId="6">'Input for Superstructure'!$F$42</definedName>
    <definedName name="height_EG" localSheetId="4">'Input for Superstructure'!$F$42</definedName>
    <definedName name="height_EG">'Input for Superstructure'!$F$42</definedName>
    <definedName name="height_IG" localSheetId="5">'Input for Superstructure'!$F$46</definedName>
    <definedName name="height_IG" localSheetId="2">'Input for Superstructure'!$F$46</definedName>
    <definedName name="height_IG" localSheetId="1">'Input for Superstructure'!$F$46</definedName>
    <definedName name="height_IG" localSheetId="6">'Input for Superstructure'!$F$46</definedName>
    <definedName name="height_IG" localSheetId="4">'Input for Superstructure'!$F$46</definedName>
    <definedName name="height_IG">'Input for Superstructure'!$F$46</definedName>
    <definedName name="height_MG_broadend" localSheetId="5">'Input for Superstructure'!$F$27</definedName>
    <definedName name="height_MG_broadend" localSheetId="2">'Input for Superstructure'!$F$27</definedName>
    <definedName name="height_MG_broadend" localSheetId="1">'Input for Superstructure'!$F$27</definedName>
    <definedName name="height_MG_broadend" localSheetId="6">'Input for Superstructure'!$F$27</definedName>
    <definedName name="height_MG_broadend" localSheetId="4">'Input for Superstructure'!$F$27</definedName>
    <definedName name="height_MG_broadend">'Input for Superstructure'!$F$27</definedName>
    <definedName name="height_MG_rectangle_II" localSheetId="5">'Input for Superstructure'!$F$35</definedName>
    <definedName name="height_MG_rectangle_II" localSheetId="2">'Input for Superstructure'!$F$35</definedName>
    <definedName name="height_MG_rectangle_II" localSheetId="1">'Input for Superstructure'!$F$35</definedName>
    <definedName name="height_MG_rectangle_II" localSheetId="6">'Input for Superstructure'!$F$35</definedName>
    <definedName name="height_MG_rectangle_II" localSheetId="4">'Input for Superstructure'!$F$35</definedName>
    <definedName name="height_MG_rectangle_II">'Input for Superstructure'!$F$35</definedName>
    <definedName name="height_MG_trapezoidal_II" localSheetId="5">'Input for Superstructure'!$F$36</definedName>
    <definedName name="height_MG_trapezoidal_II" localSheetId="2">'Input for Superstructure'!$F$36</definedName>
    <definedName name="height_MG_trapezoidal_II" localSheetId="1">'Input for Superstructure'!$F$36</definedName>
    <definedName name="height_MG_trapezoidal_II" localSheetId="6">'Input for Superstructure'!$F$36</definedName>
    <definedName name="height_MG_trapezoidal_II" localSheetId="4">'Input for Superstructure'!$F$36</definedName>
    <definedName name="height_MG_trapezoidal_II">'Input for Superstructure'!$F$36</definedName>
    <definedName name="height_railing" localSheetId="5">'Input for Superstructure'!$H$54</definedName>
    <definedName name="height_railing" localSheetId="2">'Input for Superstructure'!$H$54</definedName>
    <definedName name="height_railing" localSheetId="1">'Input for Superstructure'!$H$54</definedName>
    <definedName name="height_railing" localSheetId="6">'Input for Superstructure'!$H$54</definedName>
    <definedName name="height_railing" localSheetId="4">'Input for Superstructure'!$H$54</definedName>
    <definedName name="height_railing">'Input for Superstructure'!$H$54</definedName>
    <definedName name="height_seismicstopper_I">'Input for abutment'!$D$38</definedName>
    <definedName name="height_seismicstopper_II">'Input for abutment'!$F$38</definedName>
    <definedName name="height_slabseat_I">'Input for abutment'!$D$30</definedName>
    <definedName name="height_slabseat_II">'Input for abutment'!$F$30</definedName>
    <definedName name="height_wingwall_I" localSheetId="5">'Input for abutment'!$D$43</definedName>
    <definedName name="height_wingwall_I" localSheetId="6">'Input for abutment'!$D$43</definedName>
    <definedName name="height_wingwall_I" localSheetId="4">'Input for abutment'!$D$43</definedName>
    <definedName name="height_wingwall_I">'Input for abutment'!$D$43</definedName>
    <definedName name="height_wingwall_II" localSheetId="5">'Input for abutment'!$F$43</definedName>
    <definedName name="height_wingwall_II" localSheetId="6">'Input for abutment'!$F$43</definedName>
    <definedName name="height_wingwall_II" localSheetId="4">'Input for abutment'!$F$43</definedName>
    <definedName name="height_wingwall_II">'Input for abutment'!$F$43</definedName>
    <definedName name="hexanchorplate">'Basic Rate'!$G$6</definedName>
    <definedName name="hexcoupling">'Basic Rate'!$G$43</definedName>
    <definedName name="HTstrand">'Basic Rate'!$G$44</definedName>
    <definedName name="humepipe900mm">'Basic Rate'!$G$45</definedName>
    <definedName name="hunch_abutment_neckI">'Input for abutment'!$D$18</definedName>
    <definedName name="hunch_abutment_neckII">'Input for abutment'!$F$18</definedName>
    <definedName name="hunch_MG_broadend_I" localSheetId="5">'Input for Superstructure'!$D$28</definedName>
    <definedName name="hunch_MG_broadend_I" localSheetId="2">'Input for Superstructure'!$D$28</definedName>
    <definedName name="hunch_MG_broadend_I" localSheetId="1">'Input for Superstructure'!$D$28</definedName>
    <definedName name="hunch_MG_broadend_I" localSheetId="6">'Input for Superstructure'!$D$28</definedName>
    <definedName name="hunch_MG_broadend_I" localSheetId="4">'Input for Superstructure'!$D$28</definedName>
    <definedName name="hunch_MG_broadend_I">'Input for Superstructure'!$D$28</definedName>
    <definedName name="hunch_MG_broadend_II" localSheetId="5">'Input for Superstructure'!$F$28</definedName>
    <definedName name="hunch_MG_broadend_II" localSheetId="2">'Input for Superstructure'!$F$28</definedName>
    <definedName name="hunch_MG_broadend_II" localSheetId="1">'Input for Superstructure'!$F$28</definedName>
    <definedName name="hunch_MG_broadend_II" localSheetId="6">'Input for Superstructure'!$F$28</definedName>
    <definedName name="hunch_MG_broadend_II" localSheetId="4">'Input for Superstructure'!$F$28</definedName>
    <definedName name="hunch_MG_broadend_II">'Input for Superstructure'!$F$28</definedName>
    <definedName name="hunch_MG_narrowportion_I" localSheetId="5">'Input for Superstructure'!$D$38</definedName>
    <definedName name="hunch_MG_narrowportion_I" localSheetId="2">'Input for Superstructure'!$D$38</definedName>
    <definedName name="hunch_MG_narrowportion_I" localSheetId="1">'Input for Superstructure'!$D$38</definedName>
    <definedName name="hunch_MG_narrowportion_I" localSheetId="6">'Input for Superstructure'!$D$38</definedName>
    <definedName name="hunch_MG_narrowportion_I" localSheetId="4">'Input for Superstructure'!$D$38</definedName>
    <definedName name="hunch_MG_narrowportion_I">'Input for Superstructure'!$D$38</definedName>
    <definedName name="hunch_MG_narrowportion_II" localSheetId="5">'Input for Superstructure'!$F$38</definedName>
    <definedName name="hunch_MG_narrowportion_II" localSheetId="2">'Input for Superstructure'!$F$38</definedName>
    <definedName name="hunch_MG_narrowportion_II" localSheetId="1">'Input for Superstructure'!$F$38</definedName>
    <definedName name="hunch_MG_narrowportion_II" localSheetId="6">'Input for Superstructure'!$F$38</definedName>
    <definedName name="hunch_MG_narrowportion_II" localSheetId="4">'Input for Superstructure'!$F$38</definedName>
    <definedName name="hunch_MG_narrowportion_II">'Input for Superstructure'!$F$38</definedName>
    <definedName name="hunch_wingwall_I" localSheetId="5">'Input for abutment'!$D$44</definedName>
    <definedName name="hunch_wingwall_I" localSheetId="6">'Input for abutment'!$D$44</definedName>
    <definedName name="hunch_wingwall_I" localSheetId="4">'Input for abutment'!$D$44</definedName>
    <definedName name="hunch_wingwall_I">'Input for abutment'!$D$44</definedName>
    <definedName name="hunch_wingwall_II" localSheetId="5">'Input for abutment'!$F$44</definedName>
    <definedName name="hunch_wingwall_II" localSheetId="6">'Input for abutment'!$F$44</definedName>
    <definedName name="hunch_wingwall_II" localSheetId="4">'Input for abutment'!$F$44</definedName>
    <definedName name="hunch_wingwall_II">'Input for abutment'!$F$44</definedName>
    <definedName name="hydraulicjack200t">'DoR equipment rate'!$M$32</definedName>
    <definedName name="hydraulicjack40t">'DoR equipment rate'!$M$31</definedName>
    <definedName name="jackhammer">'DoR equipment rate'!$M$33</definedName>
    <definedName name="jute">'Basic Rate'!$G$46</definedName>
    <definedName name="klp" localSheetId="5" hidden="1">#REF!</definedName>
    <definedName name="klp" localSheetId="11" hidden="1">#REF!</definedName>
    <definedName name="klp" localSheetId="2" hidden="1">#REF!</definedName>
    <definedName name="klp" localSheetId="1" hidden="1">#REF!</definedName>
    <definedName name="klp" localSheetId="0" hidden="1">#REF!</definedName>
    <definedName name="klp" localSheetId="6" hidden="1">#REF!</definedName>
    <definedName name="klp" localSheetId="4" hidden="1">#REF!</definedName>
    <definedName name="klp" hidden="1">#REF!</definedName>
    <definedName name="layingHDPE100mm">'Rate Analysis'!$P$86</definedName>
    <definedName name="layinghumepipe900mm">'Rate Analysis'!$P$98</definedName>
    <definedName name="layinghumepipe900mm_collar">'Rate Analysis'!$P$111</definedName>
    <definedName name="length_abutment_footing_I">'Input for abutment'!$D$8</definedName>
    <definedName name="length_abutment_footing_II" localSheetId="5">'Input for abutment'!$F$8</definedName>
    <definedName name="length_abutment_footing_II" localSheetId="6">'Input for abutment'!$F$8</definedName>
    <definedName name="length_abutment_footing_II" localSheetId="4">'Input for abutment'!$F$8</definedName>
    <definedName name="length_abutment_footing_II">'Input for abutment'!$F$8</definedName>
    <definedName name="length_abutmentcap_I">'Input for abutment'!$D$20</definedName>
    <definedName name="length_abutmentcap_II" localSheetId="5">'Input for abutment'!$F$20</definedName>
    <definedName name="length_abutmentcap_II" localSheetId="6">'Input for abutment'!$F$20</definedName>
    <definedName name="length_abutmentcap_II" localSheetId="4">'Input for abutment'!$F$20</definedName>
    <definedName name="length_abutmentcap_II">'Input for abutment'!$F$20</definedName>
    <definedName name="length_approachslab" localSheetId="5">'Input for Superstructure'!$D$50</definedName>
    <definedName name="length_approachslab" localSheetId="2">'Input for Superstructure'!$D$50</definedName>
    <definedName name="length_approachslab" localSheetId="1">'Input for Superstructure'!$D$50</definedName>
    <definedName name="length_approachslab" localSheetId="6">'Input for Superstructure'!$D$50</definedName>
    <definedName name="length_approachslab" localSheetId="4">'Input for Superstructure'!$D$50</definedName>
    <definedName name="length_approachslab">'Input for Superstructure'!$D$50</definedName>
    <definedName name="length_EG_I" localSheetId="5">'Input for Superstructure'!$D$41</definedName>
    <definedName name="length_EG_I" localSheetId="2">'Input for Superstructure'!$D$41</definedName>
    <definedName name="length_EG_I" localSheetId="1">'Input for Superstructure'!$D$41</definedName>
    <definedName name="length_EG_I" localSheetId="6">'Input for Superstructure'!$D$41</definedName>
    <definedName name="length_EG_I" localSheetId="4">'Input for Superstructure'!$D$41</definedName>
    <definedName name="length_EG_I">'Input for Superstructure'!$D$41</definedName>
    <definedName name="length_EG_II" localSheetId="5">'Input for Superstructure'!$F$41</definedName>
    <definedName name="length_EG_II" localSheetId="2">'Input for Superstructure'!$F$41</definedName>
    <definedName name="length_EG_II" localSheetId="1">'Input for Superstructure'!$F$41</definedName>
    <definedName name="length_EG_II" localSheetId="6">'Input for Superstructure'!$F$41</definedName>
    <definedName name="length_EG_II" localSheetId="4">'Input for Superstructure'!$F$41</definedName>
    <definedName name="length_EG_II">'Input for Superstructure'!$F$41</definedName>
    <definedName name="length_footpathslab">'Input for Superstructure'!$D$52</definedName>
    <definedName name="length_IG_I" localSheetId="5">'Input for Superstructure'!$D$45</definedName>
    <definedName name="length_IG_I" localSheetId="2">'Input for Superstructure'!$D$45</definedName>
    <definedName name="length_IG_I" localSheetId="1">'Input for Superstructure'!$D$45</definedName>
    <definedName name="length_IG_I" localSheetId="6">'Input for Superstructure'!$D$45</definedName>
    <definedName name="length_IG_I" localSheetId="4">'Input for Superstructure'!$D$45</definedName>
    <definedName name="length_IG_I">'Input for Superstructure'!$D$45</definedName>
    <definedName name="length_IG_II" localSheetId="5">'Input for Superstructure'!$F$45</definedName>
    <definedName name="length_IG_II" localSheetId="2">'Input for Superstructure'!$F$45</definedName>
    <definedName name="length_IG_II" localSheetId="1">'Input for Superstructure'!$F$45</definedName>
    <definedName name="length_IG_II" localSheetId="6">'Input for Superstructure'!$F$45</definedName>
    <definedName name="length_IG_II" localSheetId="4">'Input for Superstructure'!$F$45</definedName>
    <definedName name="length_IG_II">'Input for Superstructure'!$F$45</definedName>
    <definedName name="length_intermediatedeck" localSheetId="5">'Input for Superstructure'!$D$16</definedName>
    <definedName name="length_intermediatedeck" localSheetId="2">'Input for Superstructure'!$D$16</definedName>
    <definedName name="length_intermediatedeck" localSheetId="1">'Input for Superstructure'!$D$16</definedName>
    <definedName name="length_intermediatedeck" localSheetId="6">'Input for Superstructure'!$D$16</definedName>
    <definedName name="length_intermediatedeck" localSheetId="4">'Input for Superstructure'!$D$16</definedName>
    <definedName name="length_intermediatedeck">'Input for Superstructure'!$D$16</definedName>
    <definedName name="length_MG" localSheetId="5">'Input for Superstructure'!$D$21</definedName>
    <definedName name="length_MG" localSheetId="2">'Input for Superstructure'!$D$21</definedName>
    <definedName name="length_MG" localSheetId="1">'Input for Superstructure'!$D$21</definedName>
    <definedName name="length_MG" localSheetId="6">'Input for Superstructure'!$D$21</definedName>
    <definedName name="length_MG" localSheetId="4">'Input for Superstructure'!$D$21</definedName>
    <definedName name="length_MG">'Input for Superstructure'!$D$21</definedName>
    <definedName name="length_MG_broadend" localSheetId="5">'Input for Superstructure'!$D$22</definedName>
    <definedName name="length_MG_broadend" localSheetId="2">'Input for Superstructure'!$D$22</definedName>
    <definedName name="length_MG_broadend" localSheetId="1">'Input for Superstructure'!$D$22</definedName>
    <definedName name="length_MG_broadend" localSheetId="6">'Input for Superstructure'!$D$22</definedName>
    <definedName name="length_MG_broadend" localSheetId="4">'Input for Superstructure'!$D$22</definedName>
    <definedName name="length_MG_broadend">'Input for Superstructure'!$D$22</definedName>
    <definedName name="length_MG_narrowportion" localSheetId="5">'Input for Superstructure'!$D$25</definedName>
    <definedName name="length_MG_narrowportion" localSheetId="2">'Input for Superstructure'!$D$25</definedName>
    <definedName name="length_MG_narrowportion" localSheetId="1">'Input for Superstructure'!$D$25</definedName>
    <definedName name="length_MG_narrowportion" localSheetId="6">'Input for Superstructure'!$D$25</definedName>
    <definedName name="length_MG_narrowportion" localSheetId="4">'Input for Superstructure'!$D$25</definedName>
    <definedName name="length_MG_narrowportion">'Input for Superstructure'!$D$25</definedName>
    <definedName name="length_MG_transition" localSheetId="5">'Input for Superstructure'!$D$23</definedName>
    <definedName name="length_MG_transition" localSheetId="2">'Input for Superstructure'!$D$23</definedName>
    <definedName name="length_MG_transition" localSheetId="1">'Input for Superstructure'!$D$23</definedName>
    <definedName name="length_MG_transition" localSheetId="6">'Input for Superstructure'!$D$23</definedName>
    <definedName name="length_MG_transition" localSheetId="4">'Input for Superstructure'!$D$23</definedName>
    <definedName name="length_MG_transition">'Input for Superstructure'!$D$23</definedName>
    <definedName name="length_seismicstopper_abutment" localSheetId="5">'Input for abutment'!$D$36</definedName>
    <definedName name="length_seismicstopper_abutment" localSheetId="6">'Input for abutment'!$D$36</definedName>
    <definedName name="length_seismicstopper_abutment" localSheetId="4">'Input for abutment'!$D$36</definedName>
    <definedName name="length_seismicstopper_abutment">'Input for abutment'!$D$36</definedName>
    <definedName name="length_seismicstopper_pier" localSheetId="5">'Input for Pier'!$D$17</definedName>
    <definedName name="length_seismicstopper_pier" localSheetId="2">'Input for Pier'!$D$17</definedName>
    <definedName name="length_seismicstopper_pier" localSheetId="6">'Input for Pier'!$D$17</definedName>
    <definedName name="length_seismicstopper_pier" localSheetId="4">'Input for Pier'!$D$17</definedName>
    <definedName name="length_seismicstopper_pier">'Input for Pier'!$D$17</definedName>
    <definedName name="length_slab_enddeck" localSheetId="5">'Input for Superstructure'!$D$15</definedName>
    <definedName name="length_slab_enddeck" localSheetId="2">'Input for Superstructure'!$D$15</definedName>
    <definedName name="length_slab_enddeck" localSheetId="1">'Input for Superstructure'!$D$15</definedName>
    <definedName name="length_slab_enddeck" localSheetId="6">'Input for Superstructure'!$D$15</definedName>
    <definedName name="length_slab_enddeck" localSheetId="4">'Input for Superstructure'!$D$15</definedName>
    <definedName name="length_slab_enddeck">'Input for Superstructure'!$D$15</definedName>
    <definedName name="length_wingwall">'Input for abutment'!$D$42</definedName>
    <definedName name="limcount" hidden="1">1</definedName>
    <definedName name="loader">'DoR equipment rate'!$M$34</definedName>
    <definedName name="masonry_drystone">'Rate Analysis'!$P$1056</definedName>
    <definedName name="masticcooker">'DoR equipment rate'!$M$35</definedName>
    <definedName name="mixermachine">'DoR equipment rate'!$M$36</definedName>
    <definedName name="mobileslurryseal">'DoR equipment rate'!$M$37</definedName>
    <definedName name="motorgrader">'DoR equipment rate'!$M$38</definedName>
    <definedName name="mspipe40mm">'Basic Rate'!$G$47</definedName>
    <definedName name="mssteel">'Basic Rate'!$G$48</definedName>
    <definedName name="nails">'Basic Rate'!$G$49</definedName>
    <definedName name="number_abutment" localSheetId="5">'Input for abutment'!$D$2</definedName>
    <definedName name="number_abutment" localSheetId="6">'Input for abutment'!$D$2</definedName>
    <definedName name="number_abutment" localSheetId="4">'Input for abutment'!$D$2</definedName>
    <definedName name="number_abutment">'Input for abutment'!$D$2</definedName>
    <definedName name="number_approachslab" localSheetId="5">'Input for Superstructure'!$D$49</definedName>
    <definedName name="number_approachslab" localSheetId="2">'Input for Superstructure'!$D$49</definedName>
    <definedName name="number_approachslab" localSheetId="1">'Input for Superstructure'!$D$49</definedName>
    <definedName name="number_approachslab" localSheetId="6">'Input for Superstructure'!$D$49</definedName>
    <definedName name="number_approachslab" localSheetId="4">'Input for Superstructure'!$D$49</definedName>
    <definedName name="number_approachslab">'Input for Superstructure'!$D$49</definedName>
    <definedName name="number_ducts" localSheetId="5">'Input for Superstructure'!$D$58</definedName>
    <definedName name="number_ducts" localSheetId="2">'Input for Superstructure'!$D$58</definedName>
    <definedName name="number_ducts" localSheetId="1">'Input for Superstructure'!$D$58</definedName>
    <definedName name="number_ducts" localSheetId="6">'Input for Superstructure'!$D$58</definedName>
    <definedName name="number_ducts" localSheetId="4">'Input for Superstructure'!$D$58</definedName>
    <definedName name="number_ducts">'Input for Superstructure'!$D$58</definedName>
    <definedName name="number_EG" localSheetId="5">'Input for Superstructure'!$D$40</definedName>
    <definedName name="number_EG" localSheetId="2">'Input for Superstructure'!$D$40</definedName>
    <definedName name="number_EG" localSheetId="1">'Input for Superstructure'!$D$40</definedName>
    <definedName name="number_EG" localSheetId="6">'Input for Superstructure'!$D$40</definedName>
    <definedName name="number_EG" localSheetId="4">'Input for Superstructure'!$D$40</definedName>
    <definedName name="number_EG">'Input for Superstructure'!$D$40</definedName>
    <definedName name="number_enddeck">'Input for Superstructure'!$D$3</definedName>
    <definedName name="number_IG" localSheetId="5">'Input for Superstructure'!$D$44</definedName>
    <definedName name="number_IG" localSheetId="2">'Input for Superstructure'!$D$44</definedName>
    <definedName name="number_IG" localSheetId="1">'Input for Superstructure'!$D$44</definedName>
    <definedName name="number_IG" localSheetId="6">'Input for Superstructure'!$D$44</definedName>
    <definedName name="number_IG" localSheetId="4">'Input for Superstructure'!$D$44</definedName>
    <definedName name="number_IG">'Input for Superstructure'!$D$44</definedName>
    <definedName name="number_intermediatedeck" localSheetId="5">'Input for Superstructure'!$F$3</definedName>
    <definedName name="number_intermediatedeck" localSheetId="2">'Input for Superstructure'!$F$3</definedName>
    <definedName name="number_intermediatedeck" localSheetId="1">'Input for Superstructure'!$F$3</definedName>
    <definedName name="number_intermediatedeck" localSheetId="6">'Input for Superstructure'!$F$3</definedName>
    <definedName name="number_intermediatedeck" localSheetId="4">'Input for Superstructure'!$F$3</definedName>
    <definedName name="number_intermediatedeck">'Input for Superstructure'!$F$3</definedName>
    <definedName name="number_MG" localSheetId="5">'Input for Superstructure'!$D$19</definedName>
    <definedName name="number_MG" localSheetId="2">'Input for Superstructure'!$D$19</definedName>
    <definedName name="number_MG" localSheetId="1">'Input for Superstructure'!$D$19</definedName>
    <definedName name="number_MG" localSheetId="6">'Input for Superstructure'!$D$19</definedName>
    <definedName name="number_MG" localSheetId="4">'Input for Superstructure'!$D$19</definedName>
    <definedName name="number_MG">'Input for Superstructure'!$D$19</definedName>
    <definedName name="number_pedestal" localSheetId="5">'Input for abutment'!$D$32</definedName>
    <definedName name="number_pedestal" localSheetId="6">'Input for abutment'!$D$32</definedName>
    <definedName name="number_pedestal" localSheetId="4">'Input for abutment'!$D$32</definedName>
    <definedName name="number_pedestal">'Input for abutment'!$D$32</definedName>
    <definedName name="number_pier" localSheetId="5">'Input for Pier'!$D$2</definedName>
    <definedName name="number_pier" localSheetId="2">'Input for Pier'!$D$2</definedName>
    <definedName name="number_pier" localSheetId="6">'Input for Pier'!$D$2</definedName>
    <definedName name="number_pier" localSheetId="4">'Input for Pier'!$D$2</definedName>
    <definedName name="number_pier">'Input for Pier'!$D$2</definedName>
    <definedName name="number_railing_approachslab" localSheetId="5">'Input for Superstructure'!$F$53</definedName>
    <definedName name="number_railing_approachslab" localSheetId="2">'Input for Superstructure'!$F$53</definedName>
    <definedName name="number_railing_approachslab" localSheetId="1">'Input for Superstructure'!$F$53</definedName>
    <definedName name="number_railing_approachslab" localSheetId="6">'Input for Superstructure'!$F$53</definedName>
    <definedName name="number_railing_approachslab" localSheetId="4">'Input for Superstructure'!$F$53</definedName>
    <definedName name="number_railing_approachslab">'Input for Superstructure'!$F$53</definedName>
    <definedName name="number_railing_deck" localSheetId="5">'Input for Superstructure'!$D$53</definedName>
    <definedName name="number_railing_deck" localSheetId="2">'Input for Superstructure'!$D$53</definedName>
    <definedName name="number_railing_deck" localSheetId="1">'Input for Superstructure'!$D$53</definedName>
    <definedName name="number_railing_deck" localSheetId="6">'Input for Superstructure'!$D$53</definedName>
    <definedName name="number_railing_deck" localSheetId="4">'Input for Superstructure'!$D$53</definedName>
    <definedName name="number_railing_deck">'Input for Superstructure'!$D$53</definedName>
    <definedName name="number_seismicstopper" localSheetId="5">'Input for abutment'!$D$35</definedName>
    <definedName name="number_seismicstopper" localSheetId="1">'Input for Pier'!$D$16</definedName>
    <definedName name="number_seismicstopper" localSheetId="6">'Input for abutment'!$D$35</definedName>
    <definedName name="number_seismicstopper" localSheetId="4">'Input for abutment'!$D$35</definedName>
    <definedName name="number_seismicstopper">'Input for abutment'!$D$35</definedName>
    <definedName name="number_wingwall" localSheetId="5">'Input for abutment'!$D$40</definedName>
    <definedName name="number_wingwall" localSheetId="6">'Input for abutment'!$D$40</definedName>
    <definedName name="number_wingwall" localSheetId="4">'Input for abutment'!$D$40</definedName>
    <definedName name="number_wingwall">'Input for abutment'!$D$40</definedName>
    <definedName name="nutbolt">'Basic Rate'!$G$50</definedName>
    <definedName name="nutbolt6mm">'Basic Rate'!$G$51</definedName>
    <definedName name="offset_abutment" localSheetId="5">'Input for Superstructure'!$D$10</definedName>
    <definedName name="offset_abutment" localSheetId="2">'Input for Superstructure'!$D$10</definedName>
    <definedName name="offset_abutment" localSheetId="1">'Input for Superstructure'!$D$10</definedName>
    <definedName name="offset_abutment" localSheetId="6">'Input for Superstructure'!$D$10</definedName>
    <definedName name="offset_abutment" localSheetId="4">'Input for Superstructure'!$D$10</definedName>
    <definedName name="offset_abutment">'Input for Superstructure'!$D$10</definedName>
    <definedName name="offset_pier" localSheetId="5">'Input for Superstructure'!$D$11</definedName>
    <definedName name="offset_pier" localSheetId="2">'Input for Superstructure'!$D$11</definedName>
    <definedName name="offset_pier" localSheetId="1">'Input for Superstructure'!$D$11</definedName>
    <definedName name="offset_pier" localSheetId="6">'Input for Superstructure'!$D$11</definedName>
    <definedName name="offset_pier" localSheetId="4">'Input for Superstructure'!$D$11</definedName>
    <definedName name="offset_pier">'Input for Superstructure'!$D$11</definedName>
    <definedName name="painting_concrete">'Rate Analysis'!$P$294</definedName>
    <definedName name="paverfinisher">'DoR equipment rate'!$M$39</definedName>
    <definedName name="pedestal_length" localSheetId="5">'Input for abutment'!$F$33</definedName>
    <definedName name="pedestal_length" localSheetId="2">'Input for abutment'!$F$33</definedName>
    <definedName name="pedestal_length" localSheetId="1">'Input for abutment'!$F$33</definedName>
    <definedName name="pedestal_length" localSheetId="0">'Input for abutment'!$F$33</definedName>
    <definedName name="pedestal_length" localSheetId="6">'Input for abutment'!$F$33</definedName>
    <definedName name="pedestal_length" localSheetId="4">'Input for abutment'!$F$33</definedName>
    <definedName name="pedestal_thickness" localSheetId="5">'Input for abutment'!$H$33</definedName>
    <definedName name="pedestal_thickness" localSheetId="6">'Input for abutment'!$H$33</definedName>
    <definedName name="pedestal_thickness" localSheetId="4">'Input for abutment'!$H$33</definedName>
    <definedName name="pedestal_thickness">'Input for abutment'!$H$33</definedName>
    <definedName name="pedestal_width" localSheetId="5">'Input for abutment'!$D$33</definedName>
    <definedName name="pedestal_width" localSheetId="2">'Input for abutment'!$D$33</definedName>
    <definedName name="pedestal_width" localSheetId="1">'Input for abutment'!$D$33</definedName>
    <definedName name="pedestal_width" localSheetId="0">'Input for abutment'!$D$33</definedName>
    <definedName name="pedestal_width" localSheetId="6">'Input for abutment'!$D$33</definedName>
    <definedName name="pedestal_width" localSheetId="4">'Input for abutment'!$D$33</definedName>
    <definedName name="perforatedhdpe_250mm">'Rate Analysis'!$P$963</definedName>
    <definedName name="petrol">'Basic Rate'!$G$52</definedName>
    <definedName name="piercap_height_rect">'Input for Pier'!$H$11</definedName>
    <definedName name="piercap_height_trapezoidal">'Input for Pier'!$H$10</definedName>
    <definedName name="piercap_length_rect">'Input for Pier'!$D$11</definedName>
    <definedName name="piercap_length_trapezoidal" localSheetId="5">'Input for Pier'!$D$10</definedName>
    <definedName name="piercap_length_trapezoidal" localSheetId="2">'Input for Pier'!$D$10</definedName>
    <definedName name="piercap_length_trapezoidal" localSheetId="6">'Input for Pier'!$D$10</definedName>
    <definedName name="piercap_length_trapezoidal" localSheetId="4">'Input for Pier'!$D$10</definedName>
    <definedName name="piercap_length_trapezoidal">'Input for Pier'!$D$10</definedName>
    <definedName name="piercap_width_rect">'Input for Pier'!$F$11</definedName>
    <definedName name="piercap_width_trapezoidal">'Input for Pier'!$F$10</definedName>
    <definedName name="pierfooting_height_rect">'Input for Pier'!$H$4</definedName>
    <definedName name="pierfooting_height_trapezoidal">'Input for Pier'!$H$5</definedName>
    <definedName name="pierfooting_length_rect">'Input for Pier'!$D$4</definedName>
    <definedName name="pierfooting_length_trapezoidal">'Input for Pier'!$D$5</definedName>
    <definedName name="pierfooting_width_rect">'Input for Pier'!$F$4</definedName>
    <definedName name="pierfooting_width_trapezoidal">'Input for Pier'!$F$5</definedName>
    <definedName name="pierstem_diameter">'Input for Pier'!$D$7</definedName>
    <definedName name="pierstem_height">'Input for Pier'!$D$8</definedName>
    <definedName name="piling_1200mm">'Rate Analysis'!$P$322</definedName>
    <definedName name="piling_600mm">'Rate Analysis'!$P$322</definedName>
    <definedName name="pilingrig">'DoR equipment rate'!$M$40</definedName>
    <definedName name="planks38mm">'Basic Rate'!$G$53</definedName>
    <definedName name="platecompactor">'DoR equipment rate'!$M$41</definedName>
    <definedName name="plategirder">'Rate Analysis'!$P$759</definedName>
    <definedName name="plumconcrete_m15_30">'Rate Analysis'!$P$991</definedName>
    <definedName name="plumconcrete_m15_40">'Rate Analysis'!$P$977</definedName>
    <definedName name="plumconcrete_m20_30">'Rate Analysis'!$P$1019</definedName>
    <definedName name="plumconcrete_m20_40">'Rate Analysis'!$P$1005</definedName>
    <definedName name="plywood12mm">'Basic Rate'!$G$69</definedName>
    <definedName name="pneumaticroller">'DoR equipment rate'!$M$42</definedName>
    <definedName name="potbearing_fixed">'Basic Rate'!$G$54</definedName>
    <definedName name="potbearing_sliding">'Basic Rate'!$G$55</definedName>
    <definedName name="premixmixer">'DoR equipment rate'!$M$43</definedName>
    <definedName name="prestressing">'Rate Analysis'!$P$741</definedName>
    <definedName name="prestressingspace" localSheetId="5">'Input for Superstructure'!$D$8</definedName>
    <definedName name="prestressingspace" localSheetId="2">'Input for Superstructure'!$D$8</definedName>
    <definedName name="prestressingspace" localSheetId="1">'Input for Superstructure'!$D$8</definedName>
    <definedName name="prestressingspace" localSheetId="6">'Input for Superstructure'!$D$8</definedName>
    <definedName name="prestressingspace" localSheetId="4">'Input for Superstructure'!$D$8</definedName>
    <definedName name="prestressingspace">'Input for Superstructure'!$D$8</definedName>
    <definedName name="_xlnm.Print_Area" localSheetId="10">'Basic Rate'!$A$1:$H$69</definedName>
    <definedName name="_xlnm.Print_Area" localSheetId="5">'Bill of quantities'!$A$1:$J$98</definedName>
    <definedName name="_xlnm.Print_Area" localSheetId="11">Collection!$A$1:$U$43</definedName>
    <definedName name="_xlnm.Print_Area" localSheetId="13">'District Rate'!$A$1:$D$79</definedName>
    <definedName name="_xlnm.Print_Area" localSheetId="14">'DoR equipment rate'!$A$1:$M$56</definedName>
    <definedName name="_xlnm.Print_Area" localSheetId="2">'Input for abutment'!$A$1:$I$46</definedName>
    <definedName name="_xlnm.Print_Area" localSheetId="1">'Input for Pier'!$A$1:$J$52</definedName>
    <definedName name="_xlnm.Print_Area" localSheetId="0">'Input for Superstructure'!$A$1:$J$73</definedName>
    <definedName name="_xlnm.Print_Area" localSheetId="6">Quantity_estimate!$A$1:$H$307</definedName>
    <definedName name="_xlnm.Print_Area" localSheetId="9">'Rate Analysis'!$A$1:$P$1168</definedName>
    <definedName name="_xlnm.Print_Area" localSheetId="7">'road earthwork'!$A$1:$F$24</definedName>
    <definedName name="_xlnm.Print_Area" localSheetId="4">Summary!$A$1:$C$32</definedName>
    <definedName name="_xlnm.Print_Area" localSheetId="12">transportation!$A$1:$S$43</definedName>
    <definedName name="_xlnm.Print_Titles" localSheetId="5">'Bill of quantities'!$9:$9</definedName>
    <definedName name="_xlnm.Print_Titles" localSheetId="11">Collection!$2:$5</definedName>
    <definedName name="_xlnm.Print_Titles" localSheetId="6">Quantity_estimate!$4:$5</definedName>
    <definedName name="_xlnm.Print_Titles" localSheetId="8">'Summary of rates'!$5:$5</definedName>
    <definedName name="ptfeslidingplatebearing">'Basic Rate'!$G$56</definedName>
    <definedName name="rcccollar_900mm">'Basic Rate'!$G$57</definedName>
    <definedName name="rebar_foundation">'Rate Analysis'!$P$591</definedName>
    <definedName name="rebar_substructure">'Rate Analysis'!$P$601</definedName>
    <definedName name="rebar_superstructure">'Rate Analysis'!$P$711</definedName>
    <definedName name="reinforcement">'Basic Rate'!$G$58</definedName>
    <definedName name="roaddelineator">'Rate Analysis'!$P$307</definedName>
    <definedName name="roadmarking">'DoR equipment rate'!$M$44</definedName>
    <definedName name="roadsweeper">'DoR equipment rate'!$M$45</definedName>
    <definedName name="roadwayexc_orock">'Rate Analysis'!$P$135</definedName>
    <definedName name="roadwayexc_soil" localSheetId="5">'Rate Analysis'!$P$124</definedName>
    <definedName name="roadwayexc_soil" localSheetId="2">'Rate Analysis'!$P$124</definedName>
    <definedName name="roadwayexc_soil" localSheetId="1">'Rate Analysis'!$P$124</definedName>
    <definedName name="roadwayexc_soil" localSheetId="0">'Rate Analysis'!$P$124</definedName>
    <definedName name="roadwayexc_soil" localSheetId="6">'Rate Analysis'!$P$124</definedName>
    <definedName name="roadwayexc_soil" localSheetId="4">'Rate Analysis'!$P$124</definedName>
    <definedName name="roadwayexc_soil">'Rate Analysis'!$P$124</definedName>
    <definedName name="rockbolts_25mm">'Rate Analysis'!$P$951</definedName>
    <definedName name="sand">'Basic Rate'!$G$59</definedName>
    <definedName name="screwjack">'DoR equipment rate'!$M$46</definedName>
    <definedName name="semiskilled">'District Rate'!$C$8</definedName>
    <definedName name="sencount" hidden="1">1</definedName>
    <definedName name="sheathingpipe">'Basic Rate'!$G$17</definedName>
    <definedName name="signboard_1.8x1.2">'Rate Analysis'!$P$14</definedName>
    <definedName name="siteclearance_mechanical">'Rate Analysis'!$P$28</definedName>
    <definedName name="size_railing_I" localSheetId="5">'Input for Superstructure'!$D$54</definedName>
    <definedName name="size_railing_I" localSheetId="2">'Input for Superstructure'!$D$54</definedName>
    <definedName name="size_railing_I" localSheetId="1">'Input for Superstructure'!$D$54</definedName>
    <definedName name="size_railing_I" localSheetId="6">'Input for Superstructure'!$D$54</definedName>
    <definedName name="size_railing_I" localSheetId="4">'Input for Superstructure'!$D$54</definedName>
    <definedName name="size_railing_I">'Input for Superstructure'!$D$54</definedName>
    <definedName name="size_railing_II" localSheetId="5">'Input for Superstructure'!$F$54</definedName>
    <definedName name="size_railing_II" localSheetId="2">'Input for Superstructure'!$F$54</definedName>
    <definedName name="size_railing_II" localSheetId="1">'Input for Superstructure'!$F$54</definedName>
    <definedName name="size_railing_II" localSheetId="6">'Input for Superstructure'!$F$54</definedName>
    <definedName name="size_railing_II" localSheetId="4">'Input for Superstructure'!$F$54</definedName>
    <definedName name="size_railing_II">'Input for Superstructure'!$F$54</definedName>
    <definedName name="skilled">'District Rate'!$C$7</definedName>
    <definedName name="slabcantilever" localSheetId="5">'Input for Superstructure'!$D$7</definedName>
    <definedName name="slabcantilever" localSheetId="2">'Input for Superstructure'!$D$7</definedName>
    <definedName name="slabcantilever" localSheetId="1">'Input for Superstructure'!$D$7</definedName>
    <definedName name="slabcantilever" localSheetId="0">'Input for Superstructure'!$D$7</definedName>
    <definedName name="slabcantilever" localSheetId="6">'Input for Superstructure'!$D$7</definedName>
    <definedName name="slabcantilever" localSheetId="4">'Input for Superstructure'!$D$7</definedName>
    <definedName name="slabsealexpansionjoint">'Basic Rate'!$G$60</definedName>
    <definedName name="smoothwheeledroller">'DoR equipment rate'!$M$47</definedName>
    <definedName name="spanlength" localSheetId="5">'Input for Superstructure'!$D$4</definedName>
    <definedName name="spanlength" localSheetId="2">'Input for Superstructure'!$D$4</definedName>
    <definedName name="spanlength" localSheetId="1">'Input for Superstructure'!$D$4</definedName>
    <definedName name="spanlength" localSheetId="0">'Input for Superstructure'!$D$4</definedName>
    <definedName name="spanlength" localSheetId="6">'Input for Superstructure'!$D$4</definedName>
    <definedName name="spanlength" localSheetId="4">'Input for Superstructure'!$D$4</definedName>
    <definedName name="stem_height_MG" localSheetId="5">'Input for Superstructure'!$F$37</definedName>
    <definedName name="stem_height_MG" localSheetId="2">'Input for Superstructure'!$F$37</definedName>
    <definedName name="stem_height_MG" localSheetId="1">'Input for Superstructure'!$F$37</definedName>
    <definedName name="stem_height_MG" localSheetId="6">'Input for Superstructure'!$F$37</definedName>
    <definedName name="stem_height_MG" localSheetId="4">'Input for Superstructure'!$F$37</definedName>
    <definedName name="stem_height_MG">'Input for Superstructure'!$F$37</definedName>
    <definedName name="stem_thickness_MG" localSheetId="5">'Input for Superstructure'!$D$37</definedName>
    <definedName name="stem_thickness_MG" localSheetId="2">'Input for Superstructure'!$D$37</definedName>
    <definedName name="stem_thickness_MG" localSheetId="1">'Input for Superstructure'!$D$37</definedName>
    <definedName name="stem_thickness_MG" localSheetId="6">'Input for Superstructure'!$D$37</definedName>
    <definedName name="stem_thickness_MG" localSheetId="4">'Input for Superstructure'!$D$37</definedName>
    <definedName name="stem_thickness_MG">'Input for Superstructure'!$D$37</definedName>
    <definedName name="stone">'Basic Rate'!$G$61</definedName>
    <definedName name="stonemasonry13_foundation">'Rate Analysis'!$P$1069</definedName>
    <definedName name="stonemasonry13_structure">'Rate Analysis'!$P$1106</definedName>
    <definedName name="stonemasonry14_foundation">'Rate Analysis'!$P$1081</definedName>
    <definedName name="stonemasonry14_structure">'Rate Analysis'!$P$1118</definedName>
    <definedName name="stonemasonry16_foundation">'Rate Analysis'!$P$1093</definedName>
    <definedName name="stonemasonry16_structure">'Rate Analysis'!$P$1130</definedName>
    <definedName name="stonepitching">'Rate Analysis'!$P$904</definedName>
    <definedName name="stonepitching_grouted">'Rate Analysis'!$P$925</definedName>
    <definedName name="stonesoling">'Rate Analysis'!$P$240</definedName>
    <definedName name="stressingjack">'DoR equipment rate'!$M$48</definedName>
    <definedName name="stripsealexpansionjoint">'Basic Rate'!$G$62</definedName>
    <definedName name="stripsealexpjoint_laying">'Rate Analysis'!$P$437</definedName>
    <definedName name="struts">'Basic Rate'!$G$63</definedName>
    <definedName name="subbase">'Basic Rate'!$G$64</definedName>
    <definedName name="subbaselaying">'Rate Analysis'!$P$254</definedName>
    <definedName name="subgradelaying">'Rate Analysis'!$P$230</definedName>
    <definedName name="subsurfacedrain_HDPE100">'Rate Analysis'!$P$1032</definedName>
    <definedName name="technician">'District Rate'!$C$10</definedName>
    <definedName name="thickness_approachslab" localSheetId="5">'Input for Superstructure'!$H$50</definedName>
    <definedName name="thickness_approachslab" localSheetId="2">'Input for Superstructure'!$H$50</definedName>
    <definedName name="thickness_approachslab" localSheetId="1">'Input for Superstructure'!$H$50</definedName>
    <definedName name="thickness_approachslab" localSheetId="6">'Input for Superstructure'!$H$50</definedName>
    <definedName name="thickness_approachslab" localSheetId="4">'Input for Superstructure'!$H$50</definedName>
    <definedName name="thickness_approachslab">'Input for Superstructure'!$H$50</definedName>
    <definedName name="thickness_backwall">'Input for abutment'!$D$24</definedName>
    <definedName name="thickness_cantilever_I" localSheetId="5">'Input for Superstructure'!$D$9</definedName>
    <definedName name="thickness_cantilever_I" localSheetId="2">'Input for Superstructure'!$D$9</definedName>
    <definedName name="thickness_cantilever_I" localSheetId="1">'Input for Superstructure'!$D$9</definedName>
    <definedName name="thickness_cantilever_I" localSheetId="6">'Input for Superstructure'!$D$9</definedName>
    <definedName name="thickness_cantilever_I" localSheetId="4">'Input for Superstructure'!$D$9</definedName>
    <definedName name="thickness_cantilever_I">'Input for Superstructure'!$D$9</definedName>
    <definedName name="thickness_cantilever_II" localSheetId="5">'Input for Superstructure'!$F$9</definedName>
    <definedName name="thickness_cantilever_II" localSheetId="2">'Input for Superstructure'!$F$9</definedName>
    <definedName name="thickness_cantilever_II" localSheetId="1">'Input for Superstructure'!$F$9</definedName>
    <definedName name="thickness_cantilever_II" localSheetId="6">'Input for Superstructure'!$F$9</definedName>
    <definedName name="thickness_cantilever_II" localSheetId="4">'Input for Superstructure'!$F$9</definedName>
    <definedName name="thickness_cantilever_II">'Input for Superstructure'!$F$9</definedName>
    <definedName name="thickness_deck" localSheetId="5">'Input for Superstructure'!$D$12</definedName>
    <definedName name="thickness_deck" localSheetId="2">'Input for Superstructure'!$D$12</definedName>
    <definedName name="thickness_deck" localSheetId="1">'Input for Superstructure'!$D$12</definedName>
    <definedName name="thickness_deck" localSheetId="6">'Input for Superstructure'!$D$12</definedName>
    <definedName name="thickness_deck" localSheetId="4">'Input for Superstructure'!$D$12</definedName>
    <definedName name="thickness_deck">'Input for Superstructure'!$D$12</definedName>
    <definedName name="thickness_footpathslab" localSheetId="5">'Input for Superstructure'!$H$52</definedName>
    <definedName name="thickness_footpathslab" localSheetId="2">'Input for Superstructure'!$H$52</definedName>
    <definedName name="thickness_footpathslab" localSheetId="1">'Input for Superstructure'!$H$52</definedName>
    <definedName name="thickness_footpathslab" localSheetId="6">'Input for Superstructure'!$H$52</definedName>
    <definedName name="thickness_footpathslab" localSheetId="4">'Input for Superstructure'!$H$52</definedName>
    <definedName name="thickness_footpathslab">'Input for Superstructure'!$H$52</definedName>
    <definedName name="thickness_slabseat" localSheetId="5">'Input for abutment'!$D$28</definedName>
    <definedName name="thickness_slabseat" localSheetId="6">'Input for abutment'!$D$28</definedName>
    <definedName name="thickness_slabseat" localSheetId="4">'Input for abutment'!$D$28</definedName>
    <definedName name="thickness_slabseat">'Input for abutment'!$D$28</definedName>
    <definedName name="thickness_wingwall" localSheetId="5">'Input for abutment'!$D$41</definedName>
    <definedName name="thickness_wingwall" localSheetId="6">'Input for abutment'!$D$41</definedName>
    <definedName name="thickness_wingwall" localSheetId="4">'Input for abutment'!$D$41</definedName>
    <definedName name="thickness_wingwall">'Input for abutment'!$D$41</definedName>
    <definedName name="timber">'Basic Rate'!$G$66</definedName>
    <definedName name="tipper">'DoR equipment rate'!$M$49</definedName>
    <definedName name="tractortrolley">'DoR equipment rate'!$M$50</definedName>
    <definedName name="trailer">'DoR equipment rate'!$M$51</definedName>
    <definedName name="truss">'Rate Analysis'!$P$775</definedName>
    <definedName name="unskilled">'District Rate'!$C$9</definedName>
    <definedName name="vibratoryroller">'DoR equipment rate'!$M$52</definedName>
    <definedName name="water">'Basic Rate'!$G$68</definedName>
    <definedName name="watertanker">'DoR equipment rate'!$M$53</definedName>
    <definedName name="wearingcoat_concrete">'Rate Analysis'!$P$722</definedName>
    <definedName name="weephole_HDPE100">'Rate Analysis'!$P$1044</definedName>
    <definedName name="weephole_hdpe110">'Rate Analysis'!$P$611</definedName>
    <definedName name="wetmixplant">'DoR equipment rate'!$M$54</definedName>
    <definedName name="width_abutment">'Input for abutment'!$D$15</definedName>
    <definedName name="width_abutmentcap" localSheetId="5">'Input for abutment'!$D$21</definedName>
    <definedName name="width_abutmentcap" localSheetId="6">'Input for abutment'!$D$21</definedName>
    <definedName name="width_abutmentcap" localSheetId="4">'Input for abutment'!$D$21</definedName>
    <definedName name="width_abutmentcap">'Input for abutment'!$D$21</definedName>
    <definedName name="width_approachslab" localSheetId="5">'Input for Superstructure'!$F$50</definedName>
    <definedName name="width_approachslab" localSheetId="2">'Input for Superstructure'!$F$50</definedName>
    <definedName name="width_approachslab" localSheetId="1">'Input for Superstructure'!$F$50</definedName>
    <definedName name="width_approachslab" localSheetId="6">'Input for Superstructure'!$F$50</definedName>
    <definedName name="width_approachslab" localSheetId="4">'Input for Superstructure'!$F$50</definedName>
    <definedName name="width_approachslab">'Input for Superstructure'!$F$50</definedName>
    <definedName name="width_backwall" localSheetId="5">'Input for abutment'!$D$25</definedName>
    <definedName name="width_backwall" localSheetId="6">'Input for abutment'!$D$25</definedName>
    <definedName name="width_backwall" localSheetId="4">'Input for abutment'!$D$25</definedName>
    <definedName name="width_backwall">'Input for abutment'!$D$25</definedName>
    <definedName name="width_EG" localSheetId="5">'Input for Superstructure'!$D$42</definedName>
    <definedName name="width_EG" localSheetId="2">'Input for Superstructure'!$D$42</definedName>
    <definedName name="width_EG" localSheetId="1">'Input for Superstructure'!$D$42</definedName>
    <definedName name="width_EG" localSheetId="6">'Input for Superstructure'!$D$42</definedName>
    <definedName name="width_EG" localSheetId="4">'Input for Superstructure'!$D$42</definedName>
    <definedName name="width_EG">'Input for Superstructure'!$D$42</definedName>
    <definedName name="width_foothpathslab" localSheetId="5">'Input for Superstructure'!$F$52</definedName>
    <definedName name="width_foothpathslab" localSheetId="2">'Input for Superstructure'!$F$52</definedName>
    <definedName name="width_foothpathslab" localSheetId="1">'Input for Superstructure'!$F$52</definedName>
    <definedName name="width_foothpathslab" localSheetId="6">'Input for Superstructure'!$F$52</definedName>
    <definedName name="width_foothpathslab" localSheetId="4">'Input for Superstructure'!$F$52</definedName>
    <definedName name="width_foothpathslab">'Input for Superstructure'!$F$52</definedName>
    <definedName name="width_IG" localSheetId="5">'Input for Superstructure'!$D$46</definedName>
    <definedName name="width_IG" localSheetId="2">'Input for Superstructure'!$D$46</definedName>
    <definedName name="width_IG" localSheetId="1">'Input for Superstructure'!$D$46</definedName>
    <definedName name="width_IG" localSheetId="6">'Input for Superstructure'!$D$46</definedName>
    <definedName name="width_IG" localSheetId="4">'Input for Superstructure'!$D$46</definedName>
    <definedName name="width_IG">'Input for Superstructure'!$D$46</definedName>
    <definedName name="width_MG_broadend" localSheetId="5">'Input for Superstructure'!$D$27</definedName>
    <definedName name="width_MG_broadend" localSheetId="2">'Input for Superstructure'!$D$27</definedName>
    <definedName name="width_MG_broadend" localSheetId="1">'Input for Superstructure'!$D$27</definedName>
    <definedName name="width_MG_broadend" localSheetId="6">'Input for Superstructure'!$D$27</definedName>
    <definedName name="width_MG_broadend" localSheetId="4">'Input for Superstructure'!$D$27</definedName>
    <definedName name="width_MG_broadend">'Input for Superstructure'!$D$27</definedName>
    <definedName name="width_MG_rectangle_I" localSheetId="5">'Input for Superstructure'!$D$35</definedName>
    <definedName name="width_MG_rectangle_I" localSheetId="2">'Input for Superstructure'!$D$35</definedName>
    <definedName name="width_MG_rectangle_I" localSheetId="1">'Input for Superstructure'!$D$35</definedName>
    <definedName name="width_MG_rectangle_I" localSheetId="6">'Input for Superstructure'!$D$35</definedName>
    <definedName name="width_MG_rectangle_I" localSheetId="4">'Input for Superstructure'!$D$35</definedName>
    <definedName name="width_MG_rectangle_I">'Input for Superstructure'!$D$35</definedName>
    <definedName name="width_MG_trapezoidal_I" localSheetId="5">'Input for Superstructure'!$D$36</definedName>
    <definedName name="width_MG_trapezoidal_I" localSheetId="2">'Input for Superstructure'!$D$36</definedName>
    <definedName name="width_MG_trapezoidal_I" localSheetId="1">'Input for Superstructure'!$D$36</definedName>
    <definedName name="width_MG_trapezoidal_I" localSheetId="6">'Input for Superstructure'!$D$36</definedName>
    <definedName name="width_MG_trapezoidal_I" localSheetId="4">'Input for Superstructure'!$D$36</definedName>
    <definedName name="width_MG_trapezoidal_I">'Input for Superstructure'!$D$36</definedName>
    <definedName name="width_seismicstopper_I" localSheetId="5">'Input for abutment'!$D$37</definedName>
    <definedName name="width_seismicstopper_I" localSheetId="6">'Input for abutment'!$D$37</definedName>
    <definedName name="width_seismicstopper_I" localSheetId="4">'Input for abutment'!$D$37</definedName>
    <definedName name="width_seismicstopper_I">'Input for abutment'!$D$37</definedName>
    <definedName name="width_seismicstopper_II">'Input for abutment'!$F$37</definedName>
    <definedName name="width_slab" localSheetId="5">'Input for Superstructure'!$D$17</definedName>
    <definedName name="width_slab" localSheetId="2">'Input for Superstructure'!$D$17</definedName>
    <definedName name="width_slab" localSheetId="1">'Input for Superstructure'!$D$17</definedName>
    <definedName name="width_slab" localSheetId="6">'Input for Superstructure'!$D$17</definedName>
    <definedName name="width_slab" localSheetId="4">'Input for Superstructure'!$D$17</definedName>
    <definedName name="width_slab">'Input for Superstructure'!$D$17</definedName>
    <definedName name="width_slabseat" localSheetId="5">'Input for abutment'!$D$29</definedName>
    <definedName name="width_slabseat" localSheetId="6">'Input for abutment'!$D$29</definedName>
    <definedName name="width_slabseat" localSheetId="4">'Input for abutment'!$D$29</definedName>
    <definedName name="width_slabseat">'Input for abutment'!$D$29</definedName>
  </definedNames>
  <calcPr calcId="19102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86" i="54" l="1"/>
  <c r="D182" i="54"/>
  <c r="F167" i="54"/>
  <c r="E158" i="54"/>
  <c r="D155" i="54"/>
  <c r="D141" i="54"/>
  <c r="F140" i="54"/>
  <c r="E140" i="54"/>
  <c r="D95" i="54"/>
  <c r="D92" i="54"/>
  <c r="D97" i="54"/>
  <c r="F125" i="54"/>
  <c r="D93" i="54"/>
  <c r="F117" i="54"/>
  <c r="F134" i="54" s="1"/>
  <c r="F114" i="54"/>
  <c r="F113" i="54"/>
  <c r="F112" i="54"/>
  <c r="F104" i="54"/>
  <c r="F106" i="54" s="1"/>
  <c r="D106" i="54"/>
  <c r="D82" i="54"/>
  <c r="F86" i="54"/>
  <c r="E85" i="54"/>
  <c r="F72" i="54"/>
  <c r="F69" i="54"/>
  <c r="F73" i="54" s="1"/>
  <c r="E69" i="54"/>
  <c r="D66" i="54"/>
  <c r="G15" i="54"/>
  <c r="G16" i="54"/>
  <c r="F28" i="54"/>
  <c r="G28" i="54" s="1"/>
  <c r="F27" i="54"/>
  <c r="G27" i="54" s="1"/>
  <c r="G17" i="54" l="1"/>
  <c r="F27" i="53" s="1"/>
  <c r="E23" i="54" l="1"/>
  <c r="D23" i="54"/>
  <c r="E22" i="54"/>
  <c r="D22" i="54"/>
  <c r="D31" i="54" s="1"/>
  <c r="D46" i="54" s="1"/>
  <c r="E21" i="54"/>
  <c r="D21" i="54"/>
  <c r="D30" i="54" s="1"/>
  <c r="D45" i="54" s="1"/>
  <c r="D11" i="54"/>
  <c r="D8" i="54"/>
  <c r="D51" i="54" s="1"/>
  <c r="D9" i="54"/>
  <c r="N177" i="54"/>
  <c r="G289" i="54"/>
  <c r="G290" i="54"/>
  <c r="G291" i="54"/>
  <c r="G286" i="54"/>
  <c r="G287" i="54"/>
  <c r="D278" i="54"/>
  <c r="D296" i="54" s="1"/>
  <c r="G296" i="54" s="1"/>
  <c r="D271" i="54"/>
  <c r="D266" i="54"/>
  <c r="D261" i="54"/>
  <c r="D268" i="54" s="1"/>
  <c r="D260" i="54"/>
  <c r="D272" i="54" s="1"/>
  <c r="G251" i="54"/>
  <c r="G252" i="54"/>
  <c r="G253" i="54"/>
  <c r="G176" i="54"/>
  <c r="D113" i="54"/>
  <c r="D129" i="54" s="1"/>
  <c r="E66" i="54"/>
  <c r="D280" i="54" l="1"/>
  <c r="D298" i="54" s="1"/>
  <c r="G298" i="54" s="1"/>
  <c r="D279" i="54"/>
  <c r="D297" i="54" s="1"/>
  <c r="G297" i="54" s="1"/>
  <c r="D267" i="54"/>
  <c r="D273" i="54"/>
  <c r="A2" i="52"/>
  <c r="G95" i="54"/>
  <c r="D215" i="54" l="1"/>
  <c r="G179" i="54" l="1"/>
  <c r="G173" i="54"/>
  <c r="G174" i="54" s="1"/>
  <c r="C57" i="54"/>
  <c r="C167" i="54" l="1"/>
  <c r="C168" i="54"/>
  <c r="C169" i="54"/>
  <c r="F300" i="54"/>
  <c r="F299" i="54"/>
  <c r="D300" i="54"/>
  <c r="D299" i="54"/>
  <c r="G285" i="54"/>
  <c r="D249" i="54"/>
  <c r="G249" i="54" s="1"/>
  <c r="D250" i="54"/>
  <c r="G250" i="54" s="1"/>
  <c r="D248" i="54"/>
  <c r="G248" i="54" s="1"/>
  <c r="G254" i="54" l="1"/>
  <c r="G292" i="54"/>
  <c r="F85" i="53"/>
  <c r="F84" i="53"/>
  <c r="F83" i="53"/>
  <c r="F72" i="53" l="1"/>
  <c r="E262" i="33"/>
  <c r="F262" i="33" s="1"/>
  <c r="E261" i="33"/>
  <c r="F261" i="33" s="1"/>
  <c r="D68" i="53"/>
  <c r="D67" i="53"/>
  <c r="E240" i="54"/>
  <c r="E239" i="54"/>
  <c r="E244" i="54" s="1"/>
  <c r="E245" i="54" s="1"/>
  <c r="D239" i="54"/>
  <c r="B40" i="34"/>
  <c r="B41" i="34"/>
  <c r="A40" i="34"/>
  <c r="C40" i="34"/>
  <c r="F70" i="53" l="1"/>
  <c r="F71" i="53"/>
  <c r="F264" i="33"/>
  <c r="G239" i="54"/>
  <c r="D244" i="54"/>
  <c r="G244" i="54" s="1"/>
  <c r="P870" i="33" l="1"/>
  <c r="E869" i="33"/>
  <c r="F869" i="33" s="1"/>
  <c r="E868" i="33"/>
  <c r="F868" i="33" s="1"/>
  <c r="F870" i="33" l="1"/>
  <c r="D151" i="54"/>
  <c r="G125" i="54"/>
  <c r="E75" i="54"/>
  <c r="G75" i="54" s="1"/>
  <c r="E76" i="54" l="1"/>
  <c r="D152" i="54"/>
  <c r="G152" i="54" s="1"/>
  <c r="D124" i="54"/>
  <c r="E134" i="54"/>
  <c r="E132" i="54"/>
  <c r="C132" i="54"/>
  <c r="F132" i="54"/>
  <c r="C134" i="54"/>
  <c r="C131" i="54"/>
  <c r="D131" i="54"/>
  <c r="D130" i="54"/>
  <c r="C130" i="54"/>
  <c r="E138" i="54"/>
  <c r="F142" i="54"/>
  <c r="D142" i="54"/>
  <c r="C146" i="54"/>
  <c r="G146" i="54" s="1"/>
  <c r="C145" i="54"/>
  <c r="G145" i="54" s="1"/>
  <c r="C144" i="54"/>
  <c r="G141" i="54"/>
  <c r="C122" i="54"/>
  <c r="C138" i="54" s="1"/>
  <c r="C121" i="54"/>
  <c r="C137" i="54" s="1"/>
  <c r="C120" i="54"/>
  <c r="C136" i="54" s="1"/>
  <c r="G142" i="54" l="1"/>
  <c r="G124" i="54"/>
  <c r="E77" i="54"/>
  <c r="G77" i="54" s="1"/>
  <c r="G76" i="54"/>
  <c r="G134" i="54"/>
  <c r="G144" i="54"/>
  <c r="G132" i="54"/>
  <c r="F129" i="54" l="1"/>
  <c r="F111" i="54"/>
  <c r="F128" i="54" s="1"/>
  <c r="E110" i="54"/>
  <c r="E127" i="54" s="1"/>
  <c r="F109" i="54"/>
  <c r="F108" i="54"/>
  <c r="D104" i="54"/>
  <c r="D105" i="54" s="1"/>
  <c r="G155" i="54" l="1"/>
  <c r="G156" i="54" s="1"/>
  <c r="G129" i="54"/>
  <c r="F118" i="54"/>
  <c r="F126" i="54"/>
  <c r="F115" i="54"/>
  <c r="F131" i="54" s="1"/>
  <c r="G131" i="54" s="1"/>
  <c r="F130" i="54"/>
  <c r="G130" i="54" s="1"/>
  <c r="F110" i="54"/>
  <c r="F127" i="54" s="1"/>
  <c r="G127" i="54" s="1"/>
  <c r="D111" i="54"/>
  <c r="D112" i="54"/>
  <c r="F43" i="53" l="1"/>
  <c r="G111" i="54"/>
  <c r="D128" i="54"/>
  <c r="G128" i="54" s="1"/>
  <c r="E89" i="54" l="1"/>
  <c r="F89" i="54"/>
  <c r="F147" i="54" s="1"/>
  <c r="D89" i="54"/>
  <c r="D83" i="54"/>
  <c r="E83" i="54"/>
  <c r="F83" i="54"/>
  <c r="E81" i="54"/>
  <c r="E88" i="54" s="1"/>
  <c r="F81" i="54"/>
  <c r="F88" i="54" s="1"/>
  <c r="D81" i="54"/>
  <c r="F82" i="54"/>
  <c r="G71" i="54"/>
  <c r="F121" i="54" l="1"/>
  <c r="F122" i="54" s="1"/>
  <c r="F120" i="54"/>
  <c r="F136" i="54" s="1"/>
  <c r="E121" i="54"/>
  <c r="E137" i="54" s="1"/>
  <c r="D147" i="54"/>
  <c r="G147" i="54" s="1"/>
  <c r="F137" i="54"/>
  <c r="D88" i="54"/>
  <c r="E120" i="54" s="1"/>
  <c r="G81" i="54"/>
  <c r="G121" i="54" l="1"/>
  <c r="G137" i="54"/>
  <c r="G122" i="54"/>
  <c r="F138" i="54"/>
  <c r="G138" i="54" s="1"/>
  <c r="G88" i="54"/>
  <c r="E70" i="54"/>
  <c r="G69" i="54"/>
  <c r="G120" i="54" l="1"/>
  <c r="E136" i="54"/>
  <c r="G136" i="54" s="1"/>
  <c r="F46" i="54"/>
  <c r="F48" i="54"/>
  <c r="D48" i="54"/>
  <c r="D52" i="54" l="1"/>
  <c r="D53" i="54" l="1"/>
  <c r="C63" i="37"/>
  <c r="C58" i="37" l="1"/>
  <c r="G52" i="54" l="1"/>
  <c r="A4" i="53" l="1"/>
  <c r="N43" i="44" l="1"/>
  <c r="B19" i="53" l="1"/>
  <c r="G258" i="54" l="1"/>
  <c r="D107" i="54"/>
  <c r="G107" i="54" s="1"/>
  <c r="G112" i="54"/>
  <c r="E80" i="54"/>
  <c r="D79" i="54"/>
  <c r="E79" i="54"/>
  <c r="D109" i="54" s="1"/>
  <c r="F78" i="54"/>
  <c r="E78" i="54"/>
  <c r="D78" i="54"/>
  <c r="E82" i="54"/>
  <c r="F70" i="54"/>
  <c r="F80" i="54" s="1"/>
  <c r="G45" i="54"/>
  <c r="G109" i="54" l="1"/>
  <c r="C74" i="37"/>
  <c r="D126" i="54" l="1"/>
  <c r="G126" i="54" s="1"/>
  <c r="G158" i="54"/>
  <c r="G159" i="54" s="1"/>
  <c r="F46" i="53" s="1"/>
  <c r="B47" i="53"/>
  <c r="B50" i="53" s="1"/>
  <c r="B51" i="53" s="1"/>
  <c r="B52" i="53" s="1"/>
  <c r="B53" i="53" s="1"/>
  <c r="B56" i="53" s="1"/>
  <c r="B57" i="53" s="1"/>
  <c r="B58" i="53" s="1"/>
  <c r="B59" i="53" s="1"/>
  <c r="B65" i="53"/>
  <c r="B66" i="53" s="1"/>
  <c r="B67" i="53" s="1"/>
  <c r="B68" i="53" s="1"/>
  <c r="A11" i="21" l="1"/>
  <c r="A1" i="53"/>
  <c r="A2" i="53"/>
  <c r="A3" i="53"/>
  <c r="M47" i="53" l="1"/>
  <c r="A5" i="53" l="1"/>
  <c r="B56" i="54"/>
  <c r="E216" i="54"/>
  <c r="C216" i="54"/>
  <c r="C215" i="54"/>
  <c r="B214" i="54"/>
  <c r="D59" i="53" s="1"/>
  <c r="A8" i="53"/>
  <c r="A7" i="53"/>
  <c r="G216" i="54" l="1"/>
  <c r="G38" i="54" l="1"/>
  <c r="G39" i="54"/>
  <c r="G93" i="54"/>
  <c r="O36" i="54"/>
  <c r="E305" i="54"/>
  <c r="E486" i="33"/>
  <c r="F486" i="33" s="1"/>
  <c r="E485" i="33"/>
  <c r="F485" i="33" s="1"/>
  <c r="B276" i="54"/>
  <c r="G273" i="54"/>
  <c r="G272" i="54"/>
  <c r="G271" i="54"/>
  <c r="G266" i="54"/>
  <c r="G261" i="54"/>
  <c r="D305" i="54"/>
  <c r="G257" i="54"/>
  <c r="D236" i="54"/>
  <c r="D240" i="54" s="1"/>
  <c r="F20" i="41"/>
  <c r="F21" i="41"/>
  <c r="D19" i="41"/>
  <c r="D20" i="41"/>
  <c r="D21" i="41"/>
  <c r="A3" i="41"/>
  <c r="A2" i="41"/>
  <c r="G51" i="54"/>
  <c r="G53" i="54"/>
  <c r="G11" i="54"/>
  <c r="G12" i="54" s="1"/>
  <c r="F26" i="53" s="1"/>
  <c r="D57" i="54"/>
  <c r="D34" i="53"/>
  <c r="D118" i="54"/>
  <c r="G117" i="54"/>
  <c r="G116" i="54"/>
  <c r="G115" i="54"/>
  <c r="G114" i="54"/>
  <c r="G113" i="54"/>
  <c r="G110" i="54"/>
  <c r="G105" i="54"/>
  <c r="G104" i="54"/>
  <c r="G82" i="54"/>
  <c r="G78" i="54"/>
  <c r="G72" i="54"/>
  <c r="G70" i="54"/>
  <c r="G68" i="54"/>
  <c r="D108" i="54"/>
  <c r="G108" i="54" s="1"/>
  <c r="G65" i="54"/>
  <c r="G46" i="54"/>
  <c r="G31" i="54"/>
  <c r="G30" i="54"/>
  <c r="D245" i="54" l="1"/>
  <c r="G245" i="54" s="1"/>
  <c r="F68" i="53" s="1"/>
  <c r="G240" i="54"/>
  <c r="F67" i="53" s="1"/>
  <c r="G66" i="54"/>
  <c r="E67" i="54"/>
  <c r="G67" i="54" s="1"/>
  <c r="G274" i="54"/>
  <c r="F80" i="53" s="1"/>
  <c r="G54" i="54"/>
  <c r="G40" i="54"/>
  <c r="G79" i="54"/>
  <c r="G305" i="54"/>
  <c r="F491" i="33"/>
  <c r="G57" i="54"/>
  <c r="G58" i="54" s="1"/>
  <c r="F34" i="53" s="1"/>
  <c r="G118" i="54"/>
  <c r="G106" i="54"/>
  <c r="G73" i="54"/>
  <c r="G22" i="54"/>
  <c r="G83" i="54"/>
  <c r="G21" i="54"/>
  <c r="G80" i="54"/>
  <c r="D203" i="54" l="1"/>
  <c r="D202" i="54"/>
  <c r="C203" i="54"/>
  <c r="C202" i="54"/>
  <c r="F170" i="54"/>
  <c r="E170" i="54"/>
  <c r="D170" i="54"/>
  <c r="C211" i="54"/>
  <c r="G203" i="54" l="1"/>
  <c r="G202" i="54"/>
  <c r="I1014" i="33"/>
  <c r="I1013" i="33"/>
  <c r="I1012" i="33"/>
  <c r="I1011" i="33"/>
  <c r="I1000" i="33"/>
  <c r="I999" i="33"/>
  <c r="I998" i="33"/>
  <c r="I997" i="33"/>
  <c r="T987" i="33"/>
  <c r="T986" i="33"/>
  <c r="O1012" i="33"/>
  <c r="P1012" i="33" s="1"/>
  <c r="E1012" i="33"/>
  <c r="F1012" i="33" s="1"/>
  <c r="E1011" i="33"/>
  <c r="F1011" i="33" s="1"/>
  <c r="P998" i="33"/>
  <c r="E998" i="33"/>
  <c r="F998" i="33" s="1"/>
  <c r="E997" i="33"/>
  <c r="F997" i="33" s="1"/>
  <c r="C55" i="34"/>
  <c r="G55" i="34" s="1"/>
  <c r="J398" i="33" s="1"/>
  <c r="B55" i="34"/>
  <c r="A55" i="34"/>
  <c r="F1003" i="33" l="1"/>
  <c r="F1017" i="33"/>
  <c r="P400" i="33"/>
  <c r="E399" i="33"/>
  <c r="F399" i="33" s="1"/>
  <c r="E398" i="33"/>
  <c r="F398" i="33" s="1"/>
  <c r="K26" i="33"/>
  <c r="E25" i="33"/>
  <c r="F25" i="33" s="1"/>
  <c r="F26" i="33" s="1"/>
  <c r="F400" i="33" l="1"/>
  <c r="A3" i="37"/>
  <c r="A2" i="37"/>
  <c r="A2" i="34"/>
  <c r="A1" i="34"/>
  <c r="A3" i="33"/>
  <c r="A2" i="33"/>
  <c r="A4" i="32"/>
  <c r="A3" i="32"/>
  <c r="D81" i="53"/>
  <c r="A3" i="54"/>
  <c r="A2" i="54"/>
  <c r="G306" i="54"/>
  <c r="G304" i="54"/>
  <c r="G300" i="54"/>
  <c r="G299" i="54"/>
  <c r="G280" i="54"/>
  <c r="G279" i="54"/>
  <c r="G278" i="54"/>
  <c r="G268" i="54"/>
  <c r="G267" i="54"/>
  <c r="G260" i="54"/>
  <c r="G259" i="54"/>
  <c r="G236" i="54"/>
  <c r="G235" i="54"/>
  <c r="G211" i="54"/>
  <c r="G210" i="54"/>
  <c r="E206" i="54"/>
  <c r="D206" i="54"/>
  <c r="F205" i="54"/>
  <c r="D205" i="54"/>
  <c r="C201" i="54"/>
  <c r="C200" i="54"/>
  <c r="C199" i="54"/>
  <c r="C198" i="54"/>
  <c r="C193" i="54"/>
  <c r="C192" i="54"/>
  <c r="C186" i="54"/>
  <c r="G182" i="54"/>
  <c r="G181" i="54"/>
  <c r="F169" i="54"/>
  <c r="D169" i="54"/>
  <c r="F168" i="54"/>
  <c r="D166" i="54"/>
  <c r="C166" i="54"/>
  <c r="G97" i="54"/>
  <c r="G96" i="54"/>
  <c r="G94" i="54"/>
  <c r="G92" i="54"/>
  <c r="F33" i="53"/>
  <c r="O39" i="54"/>
  <c r="G9" i="54"/>
  <c r="G8" i="54"/>
  <c r="I15" i="53"/>
  <c r="I14" i="53"/>
  <c r="C30" i="52"/>
  <c r="C29" i="52"/>
  <c r="C28" i="52"/>
  <c r="C27" i="52"/>
  <c r="C31" i="52" s="1"/>
  <c r="Z73" i="51"/>
  <c r="X70" i="51"/>
  <c r="Y68" i="51"/>
  <c r="AB67" i="51"/>
  <c r="X66" i="51"/>
  <c r="AA64" i="51"/>
  <c r="Z63" i="51"/>
  <c r="X59" i="51"/>
  <c r="F43" i="51"/>
  <c r="D36" i="51"/>
  <c r="AG32" i="51"/>
  <c r="U32" i="51"/>
  <c r="T32" i="51"/>
  <c r="S32" i="51"/>
  <c r="R29" i="51"/>
  <c r="R28" i="51"/>
  <c r="AD27" i="51"/>
  <c r="AI27" i="51" s="1"/>
  <c r="T27" i="51"/>
  <c r="S27" i="51"/>
  <c r="R22" i="51"/>
  <c r="F20" i="51"/>
  <c r="AH16" i="51"/>
  <c r="U16" i="51"/>
  <c r="S15" i="51"/>
  <c r="R16" i="51"/>
  <c r="D15" i="51"/>
  <c r="AG27" i="51" s="1"/>
  <c r="AI14" i="51"/>
  <c r="AH14" i="51"/>
  <c r="T15" i="51"/>
  <c r="AD15" i="51" s="1"/>
  <c r="D13" i="51"/>
  <c r="J13" i="51" s="1"/>
  <c r="F17" i="51" s="1"/>
  <c r="T12" i="51"/>
  <c r="U11" i="51"/>
  <c r="E10" i="51"/>
  <c r="R10" i="51"/>
  <c r="E9" i="51"/>
  <c r="AD8" i="51"/>
  <c r="R9" i="51"/>
  <c r="F8" i="51"/>
  <c r="E8" i="51"/>
  <c r="D8" i="51"/>
  <c r="W65" i="51" s="1"/>
  <c r="R8" i="51"/>
  <c r="E7" i="51"/>
  <c r="S7" i="51"/>
  <c r="R7" i="51"/>
  <c r="E5" i="51"/>
  <c r="V42" i="50"/>
  <c r="S42" i="50"/>
  <c r="V31" i="50"/>
  <c r="U32" i="50" s="1"/>
  <c r="W32" i="50" s="1"/>
  <c r="AB24" i="50"/>
  <c r="Y24" i="50"/>
  <c r="P24" i="50"/>
  <c r="N23" i="50"/>
  <c r="AA22" i="50"/>
  <c r="N21" i="50"/>
  <c r="AA20" i="50"/>
  <c r="P19" i="50"/>
  <c r="D17" i="50"/>
  <c r="AA14" i="50"/>
  <c r="F14" i="50"/>
  <c r="D14" i="50"/>
  <c r="AA10" i="50"/>
  <c r="Q9" i="50"/>
  <c r="AA8" i="50"/>
  <c r="P6" i="50"/>
  <c r="V34" i="50" s="1"/>
  <c r="P5" i="50"/>
  <c r="V35" i="50" s="1"/>
  <c r="Y4" i="50"/>
  <c r="U42" i="50" s="1"/>
  <c r="D2" i="50"/>
  <c r="Q102" i="49"/>
  <c r="W102" i="49" s="1"/>
  <c r="W96" i="49"/>
  <c r="W113" i="49" s="1"/>
  <c r="V96" i="49"/>
  <c r="V113" i="49" s="1"/>
  <c r="R96" i="49"/>
  <c r="R113" i="49" s="1"/>
  <c r="Y94" i="49"/>
  <c r="G93" i="49"/>
  <c r="Y87" i="49"/>
  <c r="T76" i="49"/>
  <c r="O75" i="49"/>
  <c r="O71" i="49"/>
  <c r="Q68" i="49"/>
  <c r="P68" i="49"/>
  <c r="O68" i="49"/>
  <c r="D61" i="49"/>
  <c r="D63" i="49" s="1"/>
  <c r="D65" i="49" s="1"/>
  <c r="D67" i="49" s="1"/>
  <c r="D68" i="49" s="1"/>
  <c r="S57" i="49"/>
  <c r="M55" i="49"/>
  <c r="AI54" i="49"/>
  <c r="AE54" i="49"/>
  <c r="Q54" i="49"/>
  <c r="N54" i="49"/>
  <c r="M54" i="49"/>
  <c r="N53" i="49"/>
  <c r="AI52" i="49"/>
  <c r="N52" i="49"/>
  <c r="M51" i="49"/>
  <c r="AH50" i="49"/>
  <c r="AG48" i="49"/>
  <c r="N48" i="49"/>
  <c r="Z47" i="49"/>
  <c r="D47" i="49"/>
  <c r="R54" i="49" s="1"/>
  <c r="AI46" i="49"/>
  <c r="AI48" i="49" s="1"/>
  <c r="N43" i="49"/>
  <c r="M43" i="49"/>
  <c r="AG41" i="49"/>
  <c r="F37" i="49"/>
  <c r="F32" i="49"/>
  <c r="D21" i="49"/>
  <c r="AG20" i="49"/>
  <c r="AC20" i="49"/>
  <c r="AD19" i="49"/>
  <c r="AF19" i="49" s="1"/>
  <c r="AC19" i="49"/>
  <c r="AG19" i="49" s="1"/>
  <c r="D19" i="49"/>
  <c r="D32" i="51" s="1"/>
  <c r="AD17" i="49"/>
  <c r="D16" i="49"/>
  <c r="D15" i="49"/>
  <c r="AH14" i="49"/>
  <c r="AD14" i="49"/>
  <c r="AF13" i="49"/>
  <c r="AD13" i="49"/>
  <c r="AH12" i="49"/>
  <c r="AF12" i="49"/>
  <c r="R11" i="49"/>
  <c r="N11" i="49"/>
  <c r="D11" i="49"/>
  <c r="V55" i="49" s="1"/>
  <c r="K9" i="49"/>
  <c r="AE8" i="49"/>
  <c r="D6" i="49"/>
  <c r="D17" i="49" s="1"/>
  <c r="K2" i="49"/>
  <c r="G10" i="54" l="1"/>
  <c r="F25" i="53" s="1"/>
  <c r="G301" i="54"/>
  <c r="F86" i="53" s="1"/>
  <c r="G183" i="54"/>
  <c r="G184" i="54" s="1"/>
  <c r="F51" i="53" s="1"/>
  <c r="C140" i="54"/>
  <c r="G140" i="54" s="1"/>
  <c r="G148" i="54" s="1"/>
  <c r="C86" i="54"/>
  <c r="G86" i="54" s="1"/>
  <c r="C87" i="54"/>
  <c r="G87" i="54" s="1"/>
  <c r="G269" i="54"/>
  <c r="F79" i="53" s="1"/>
  <c r="T33" i="51"/>
  <c r="F53" i="49"/>
  <c r="G215" i="54"/>
  <c r="G217" i="54" s="1"/>
  <c r="F59" i="53" s="1"/>
  <c r="Z52" i="49"/>
  <c r="G188" i="54"/>
  <c r="F55" i="53" s="1"/>
  <c r="D17" i="51"/>
  <c r="Z43" i="49"/>
  <c r="G262" i="54"/>
  <c r="F77" i="53" s="1"/>
  <c r="F50" i="53"/>
  <c r="D20" i="49"/>
  <c r="T97" i="49" s="1"/>
  <c r="G307" i="54"/>
  <c r="F90" i="53" s="1"/>
  <c r="D25" i="51"/>
  <c r="G151" i="54"/>
  <c r="Z61" i="51"/>
  <c r="G281" i="54"/>
  <c r="F81" i="53" s="1"/>
  <c r="D13" i="50"/>
  <c r="G98" i="54"/>
  <c r="G99" i="54" s="1"/>
  <c r="F40" i="53" s="1"/>
  <c r="G237" i="54"/>
  <c r="F66" i="53" s="1"/>
  <c r="G41" i="54"/>
  <c r="F31" i="53" s="1"/>
  <c r="D200" i="54"/>
  <c r="G200" i="54" s="1"/>
  <c r="G164" i="54"/>
  <c r="AG11" i="51"/>
  <c r="Y5" i="50"/>
  <c r="T42" i="50" s="1"/>
  <c r="R55" i="49"/>
  <c r="D201" i="54"/>
  <c r="G201" i="54" s="1"/>
  <c r="D198" i="54"/>
  <c r="G198" i="54" s="1"/>
  <c r="D192" i="54"/>
  <c r="G192" i="54" s="1"/>
  <c r="Q14" i="49"/>
  <c r="D199" i="54"/>
  <c r="G199" i="54" s="1"/>
  <c r="G191" i="54"/>
  <c r="G168" i="54"/>
  <c r="G48" i="54"/>
  <c r="G49" i="54" s="1"/>
  <c r="C23" i="54"/>
  <c r="G23" i="54" s="1"/>
  <c r="G24" i="54" s="1"/>
  <c r="F29" i="53" s="1"/>
  <c r="C85" i="54"/>
  <c r="G85" i="54" s="1"/>
  <c r="C33" i="54"/>
  <c r="G33" i="54" s="1"/>
  <c r="G34" i="54" s="1"/>
  <c r="G167" i="54"/>
  <c r="AD30" i="51"/>
  <c r="G169" i="54"/>
  <c r="G186" i="54"/>
  <c r="F52" i="53" s="1"/>
  <c r="G193" i="54"/>
  <c r="G212" i="54"/>
  <c r="F58" i="53" s="1"/>
  <c r="D21" i="51"/>
  <c r="O19" i="50"/>
  <c r="Q19" i="50" s="1"/>
  <c r="S49" i="50" s="1"/>
  <c r="AD22" i="51"/>
  <c r="R12" i="51"/>
  <c r="Q19" i="51" s="1"/>
  <c r="AD12" i="51"/>
  <c r="Q75" i="49"/>
  <c r="AC76" i="49" s="1"/>
  <c r="D29" i="51"/>
  <c r="AG14" i="49"/>
  <c r="Y90" i="49"/>
  <c r="R10" i="49"/>
  <c r="W11" i="49"/>
  <c r="Y54" i="49"/>
  <c r="F45" i="49"/>
  <c r="AG40" i="49"/>
  <c r="G92" i="49"/>
  <c r="F50" i="49"/>
  <c r="G166" i="54" s="1"/>
  <c r="L47" i="49"/>
  <c r="F41" i="49"/>
  <c r="T84" i="49"/>
  <c r="T102" i="49"/>
  <c r="AE6" i="49"/>
  <c r="M46" i="49"/>
  <c r="AE41" i="49"/>
  <c r="AF77" i="49"/>
  <c r="AI41" i="49"/>
  <c r="AG53" i="49"/>
  <c r="K93" i="49"/>
  <c r="AC8" i="49"/>
  <c r="AE14" i="49"/>
  <c r="P53" i="49"/>
  <c r="AG54" i="49"/>
  <c r="AG8" i="49"/>
  <c r="B93" i="49"/>
  <c r="Q96" i="49"/>
  <c r="Q113" i="49" s="1"/>
  <c r="O55" i="49"/>
  <c r="O14" i="49"/>
  <c r="G153" i="54" l="1"/>
  <c r="F42" i="53" s="1"/>
  <c r="AE20" i="49"/>
  <c r="M49" i="49"/>
  <c r="T96" i="49"/>
  <c r="T113" i="49" s="1"/>
  <c r="N47" i="49"/>
  <c r="C170" i="54"/>
  <c r="C205" i="54" s="1"/>
  <c r="C206" i="54" s="1"/>
  <c r="G206" i="54" s="1"/>
  <c r="F54" i="53"/>
  <c r="F30" i="53"/>
  <c r="G194" i="54"/>
  <c r="F56" i="53" s="1"/>
  <c r="G89" i="54"/>
  <c r="U75" i="49"/>
  <c r="AG76" i="49" s="1"/>
  <c r="D25" i="49"/>
  <c r="F32" i="53"/>
  <c r="S35" i="50"/>
  <c r="G90" i="54" l="1"/>
  <c r="F39" i="53" s="1"/>
  <c r="G170" i="54"/>
  <c r="G171" i="54" s="1"/>
  <c r="F48" i="53" s="1"/>
  <c r="G205" i="54"/>
  <c r="G207" i="54" s="1"/>
  <c r="F57" i="53" s="1"/>
  <c r="F41" i="53"/>
  <c r="L32" i="53" s="1"/>
  <c r="U68" i="49"/>
  <c r="O71" i="37"/>
  <c r="F49" i="53" l="1"/>
  <c r="F14" i="41" l="1"/>
  <c r="D15" i="41"/>
  <c r="D14" i="41"/>
  <c r="B25" i="41" l="1"/>
  <c r="F19" i="41"/>
  <c r="F15" i="41"/>
  <c r="D7" i="41"/>
  <c r="D8" i="41"/>
  <c r="D9" i="41"/>
  <c r="D10" i="41"/>
  <c r="D16" i="41"/>
  <c r="D17" i="41"/>
  <c r="D18" i="41"/>
  <c r="D11" i="41" l="1"/>
  <c r="G230" i="54" s="1"/>
  <c r="D22" i="41"/>
  <c r="G231" i="54" s="1"/>
  <c r="F18" i="41"/>
  <c r="F17" i="41"/>
  <c r="F16" i="41"/>
  <c r="F10" i="41"/>
  <c r="F9" i="41"/>
  <c r="F8" i="41"/>
  <c r="F7" i="41"/>
  <c r="G232" i="54" l="1"/>
  <c r="F65" i="53" s="1"/>
  <c r="F22" i="41"/>
  <c r="G222" i="54" s="1"/>
  <c r="G223" i="54" s="1"/>
  <c r="F63" i="53" s="1"/>
  <c r="F11" i="41"/>
  <c r="G225" i="54" s="1"/>
  <c r="G226" i="54" s="1"/>
  <c r="F64" i="53" s="1"/>
  <c r="C13" i="34"/>
  <c r="B13" i="34"/>
  <c r="C76" i="37" l="1"/>
  <c r="A69" i="32" l="1"/>
  <c r="I667" i="33"/>
  <c r="E663" i="33"/>
  <c r="F663" i="33" s="1"/>
  <c r="E662" i="33"/>
  <c r="F662" i="33" s="1"/>
  <c r="F668" i="33" l="1"/>
  <c r="K5" i="39" l="1"/>
  <c r="K4" i="39"/>
  <c r="C61" i="34" l="1"/>
  <c r="N42" i="44"/>
  <c r="N41" i="44"/>
  <c r="N40" i="44"/>
  <c r="N39" i="44"/>
  <c r="N38" i="44"/>
  <c r="N37" i="44"/>
  <c r="N36" i="44"/>
  <c r="N34" i="44"/>
  <c r="N33" i="44"/>
  <c r="N32" i="44"/>
  <c r="N31" i="44"/>
  <c r="N30" i="44"/>
  <c r="N29" i="44"/>
  <c r="N28" i="44"/>
  <c r="N27" i="44"/>
  <c r="J26" i="44"/>
  <c r="N26" i="44" s="1"/>
  <c r="J25" i="44"/>
  <c r="N24" i="44"/>
  <c r="H24" i="44"/>
  <c r="N23" i="44"/>
  <c r="N22" i="44"/>
  <c r="N21" i="44"/>
  <c r="N20" i="44"/>
  <c r="N19" i="44"/>
  <c r="N17" i="44"/>
  <c r="N16" i="44"/>
  <c r="N15" i="44"/>
  <c r="F10" i="44"/>
  <c r="O10" i="44" s="1"/>
  <c r="E8" i="44" s="1"/>
  <c r="E10" i="44"/>
  <c r="D7" i="44" s="1"/>
  <c r="D10" i="44"/>
  <c r="M10" i="44" s="1"/>
  <c r="C8" i="44" s="1"/>
  <c r="E7" i="44" l="1"/>
  <c r="N10" i="44"/>
  <c r="D8" i="44" s="1"/>
  <c r="N25" i="44"/>
  <c r="C7" i="44"/>
  <c r="I26" i="44" l="1"/>
  <c r="I43" i="44"/>
  <c r="P43" i="44" s="1"/>
  <c r="I35" i="44"/>
  <c r="I31" i="44"/>
  <c r="I27" i="44"/>
  <c r="I17" i="44"/>
  <c r="I39" i="44"/>
  <c r="I20" i="44"/>
  <c r="I36" i="44"/>
  <c r="I41" i="44"/>
  <c r="I37" i="44"/>
  <c r="I22" i="44"/>
  <c r="I25" i="44"/>
  <c r="I32" i="44"/>
  <c r="I28" i="44"/>
  <c r="I34" i="44"/>
  <c r="I21" i="44"/>
  <c r="I16" i="44"/>
  <c r="I42" i="44"/>
  <c r="P42" i="44" s="1"/>
  <c r="I38" i="44"/>
  <c r="I23" i="44"/>
  <c r="I19" i="44"/>
  <c r="I15" i="44"/>
  <c r="I30" i="44"/>
  <c r="I40" i="44"/>
  <c r="I33" i="44"/>
  <c r="I29" i="44"/>
  <c r="I24" i="44"/>
  <c r="P21" i="44" l="1"/>
  <c r="P15" i="44"/>
  <c r="P34" i="44"/>
  <c r="P20" i="44"/>
  <c r="P40" i="44"/>
  <c r="P19" i="44"/>
  <c r="P28" i="44"/>
  <c r="P39" i="44"/>
  <c r="P41" i="44"/>
  <c r="P23" i="44"/>
  <c r="P32" i="44"/>
  <c r="P17" i="44"/>
  <c r="P30" i="44"/>
  <c r="P24" i="44"/>
  <c r="P38" i="44"/>
  <c r="P25" i="44"/>
  <c r="P27" i="44"/>
  <c r="P26" i="44"/>
  <c r="P22" i="44"/>
  <c r="P31" i="44"/>
  <c r="P36" i="44"/>
  <c r="P29" i="44"/>
  <c r="P33" i="44"/>
  <c r="P16" i="44"/>
  <c r="P37" i="44"/>
  <c r="O984" i="33" l="1"/>
  <c r="B67" i="34"/>
  <c r="A67" i="34"/>
  <c r="C67" i="34"/>
  <c r="B60" i="34"/>
  <c r="B62" i="34"/>
  <c r="B42" i="34"/>
  <c r="B33" i="34"/>
  <c r="B31" i="34"/>
  <c r="B28" i="34"/>
  <c r="B43" i="34"/>
  <c r="B6" i="34"/>
  <c r="A60" i="34"/>
  <c r="A62" i="34"/>
  <c r="A42" i="34"/>
  <c r="A33" i="34"/>
  <c r="A31" i="34"/>
  <c r="A28" i="34"/>
  <c r="A43" i="34"/>
  <c r="A6" i="34"/>
  <c r="A59" i="34"/>
  <c r="A61" i="34"/>
  <c r="A14" i="34"/>
  <c r="A68" i="34"/>
  <c r="A18" i="34"/>
  <c r="A19" i="34"/>
  <c r="A20" i="34"/>
  <c r="A21" i="34"/>
  <c r="A45" i="34"/>
  <c r="A58" i="34"/>
  <c r="A9" i="34"/>
  <c r="A10" i="34"/>
  <c r="A34" i="34"/>
  <c r="A35" i="34"/>
  <c r="A36" i="34"/>
  <c r="A37" i="34"/>
  <c r="A30" i="34"/>
  <c r="A32" i="34"/>
  <c r="A48" i="34"/>
  <c r="A65" i="34"/>
  <c r="A46" i="34"/>
  <c r="A69" i="34"/>
  <c r="A50" i="34"/>
  <c r="A53" i="34"/>
  <c r="A63" i="34"/>
  <c r="A49" i="34"/>
  <c r="A38" i="34"/>
  <c r="A66" i="34"/>
  <c r="A24" i="34"/>
  <c r="A11" i="34"/>
  <c r="A25" i="34"/>
  <c r="A12" i="34"/>
  <c r="A64" i="34"/>
  <c r="A5" i="34"/>
  <c r="A47" i="34"/>
  <c r="A51" i="34"/>
  <c r="A15" i="34"/>
  <c r="A27" i="34"/>
  <c r="A16" i="34"/>
  <c r="A39" i="34"/>
  <c r="A41" i="34"/>
  <c r="A7" i="34"/>
  <c r="A57" i="34"/>
  <c r="A29" i="34"/>
  <c r="A22" i="34"/>
  <c r="A26" i="34"/>
  <c r="A8" i="34"/>
  <c r="A44" i="34"/>
  <c r="A17" i="34"/>
  <c r="A56" i="34"/>
  <c r="B59" i="34"/>
  <c r="B61" i="34"/>
  <c r="B14" i="34"/>
  <c r="B68" i="34"/>
  <c r="B19" i="34"/>
  <c r="B20" i="34"/>
  <c r="B21" i="34"/>
  <c r="B45" i="34"/>
  <c r="B58" i="34"/>
  <c r="B9" i="34"/>
  <c r="B10" i="34"/>
  <c r="B35" i="34"/>
  <c r="B36" i="34"/>
  <c r="B37" i="34"/>
  <c r="B30" i="34"/>
  <c r="B32" i="34"/>
  <c r="B48" i="34"/>
  <c r="B65" i="34"/>
  <c r="B46" i="34"/>
  <c r="B69" i="34"/>
  <c r="B50" i="34"/>
  <c r="B53" i="34"/>
  <c r="B63" i="34"/>
  <c r="B49" i="34"/>
  <c r="B38" i="34"/>
  <c r="B66" i="34"/>
  <c r="B24" i="34"/>
  <c r="B11" i="34"/>
  <c r="B25" i="34"/>
  <c r="B12" i="34"/>
  <c r="B64" i="34"/>
  <c r="B5" i="34"/>
  <c r="B47" i="34"/>
  <c r="B51" i="34"/>
  <c r="B15" i="34"/>
  <c r="B27" i="34"/>
  <c r="B16" i="34"/>
  <c r="B39" i="34"/>
  <c r="B7" i="34"/>
  <c r="B57" i="34"/>
  <c r="B29" i="34"/>
  <c r="B22" i="34"/>
  <c r="B26" i="34"/>
  <c r="B8" i="34"/>
  <c r="B44" i="34"/>
  <c r="B17" i="34"/>
  <c r="B56" i="34"/>
  <c r="B54" i="34"/>
  <c r="A54" i="34"/>
  <c r="G67" i="34" l="1"/>
  <c r="J732" i="33" s="1"/>
  <c r="C8" i="34"/>
  <c r="C44" i="34"/>
  <c r="C17" i="34"/>
  <c r="C56" i="34"/>
  <c r="C54" i="34"/>
  <c r="C60" i="34"/>
  <c r="C62" i="34"/>
  <c r="C42" i="34"/>
  <c r="C33" i="34"/>
  <c r="C31" i="34"/>
  <c r="C28" i="34"/>
  <c r="C43" i="34"/>
  <c r="C6" i="34"/>
  <c r="C67" i="37"/>
  <c r="C57" i="34" s="1"/>
  <c r="C7" i="34"/>
  <c r="C29" i="34"/>
  <c r="C22" i="34"/>
  <c r="C26" i="34"/>
  <c r="G56" i="34" l="1"/>
  <c r="J368" i="33" s="1"/>
  <c r="G6" i="34"/>
  <c r="J946" i="33" s="1"/>
  <c r="G43" i="34"/>
  <c r="J945" i="33" s="1"/>
  <c r="G28" i="34"/>
  <c r="J1153" i="33" s="1"/>
  <c r="G17" i="34"/>
  <c r="J731" i="33" s="1"/>
  <c r="G60" i="34"/>
  <c r="J409" i="33" s="1"/>
  <c r="G31" i="34"/>
  <c r="J1152" i="33" s="1"/>
  <c r="G22" i="34"/>
  <c r="J165" i="33" s="1"/>
  <c r="G8" i="34"/>
  <c r="J316" i="33" s="1"/>
  <c r="G26" i="34"/>
  <c r="J166" i="33" s="1"/>
  <c r="G29" i="34"/>
  <c r="J164" i="33" s="1"/>
  <c r="G62" i="34"/>
  <c r="J433" i="33" s="1"/>
  <c r="K398" i="33" l="1"/>
  <c r="K399" i="33" l="1"/>
  <c r="K400" i="33" s="1"/>
  <c r="F401" i="33" s="1"/>
  <c r="F402" i="33" s="1"/>
  <c r="P402" i="33" s="1"/>
  <c r="E48" i="32" s="1"/>
  <c r="G55" i="53" s="1"/>
  <c r="I55" i="53" s="1"/>
  <c r="K1152" i="33"/>
  <c r="K1153" i="33"/>
  <c r="D1164" i="33"/>
  <c r="D1163" i="33"/>
  <c r="P1054" i="33"/>
  <c r="P984" i="33"/>
  <c r="P970" i="33"/>
  <c r="I948" i="33"/>
  <c r="K943" i="33"/>
  <c r="K945" i="33"/>
  <c r="K946" i="33"/>
  <c r="P923" i="33"/>
  <c r="P912" i="33"/>
  <c r="P902" i="33"/>
  <c r="P824" i="33"/>
  <c r="P836" i="33"/>
  <c r="P1042" i="33" l="1"/>
  <c r="I548" i="33" l="1"/>
  <c r="I652" i="33" l="1"/>
  <c r="P720" i="33"/>
  <c r="I697" i="33"/>
  <c r="I682" i="33"/>
  <c r="I576" i="33"/>
  <c r="I562" i="33"/>
  <c r="I533" i="33"/>
  <c r="I519" i="33"/>
  <c r="P599" i="33" l="1"/>
  <c r="P435" i="33"/>
  <c r="K433" i="33"/>
  <c r="P424" i="33"/>
  <c r="P411" i="33"/>
  <c r="K409" i="33"/>
  <c r="K410" i="33" s="1"/>
  <c r="P390" i="33"/>
  <c r="P380" i="33"/>
  <c r="K434" i="33" l="1"/>
  <c r="K435" i="33" s="1"/>
  <c r="K411" i="33"/>
  <c r="P370" i="33" l="1"/>
  <c r="K368" i="33"/>
  <c r="K369" i="33" s="1"/>
  <c r="P358" i="33"/>
  <c r="K370" i="33" l="1"/>
  <c r="P343" i="33"/>
  <c r="P215" i="33" l="1"/>
  <c r="K165" i="33" l="1"/>
  <c r="K166" i="33"/>
  <c r="K164" i="33"/>
  <c r="K155" i="33"/>
  <c r="K168" i="33" l="1"/>
  <c r="P105" i="33"/>
  <c r="P64" i="33" l="1"/>
  <c r="P69" i="33" s="1"/>
  <c r="K50" i="33"/>
  <c r="C41" i="34" l="1"/>
  <c r="C68" i="34" l="1"/>
  <c r="C19" i="34"/>
  <c r="C20" i="34"/>
  <c r="C21" i="34"/>
  <c r="C45" i="34"/>
  <c r="C9" i="34"/>
  <c r="C10" i="34"/>
  <c r="C35" i="34"/>
  <c r="C36" i="34"/>
  <c r="C37" i="34"/>
  <c r="C30" i="34"/>
  <c r="C32" i="34"/>
  <c r="C65" i="34"/>
  <c r="C46" i="34"/>
  <c r="G46" i="34" s="1"/>
  <c r="C69" i="34"/>
  <c r="C50" i="34"/>
  <c r="C53" i="34"/>
  <c r="C49" i="34"/>
  <c r="C38" i="34"/>
  <c r="C24" i="34"/>
  <c r="C11" i="34"/>
  <c r="C25" i="34"/>
  <c r="G25" i="34" s="1"/>
  <c r="C12" i="34"/>
  <c r="C64" i="34"/>
  <c r="C5" i="34"/>
  <c r="C51" i="34"/>
  <c r="C15" i="34"/>
  <c r="C27" i="34"/>
  <c r="C16" i="34"/>
  <c r="C39" i="34"/>
  <c r="C59" i="34"/>
  <c r="G16" i="34" l="1"/>
  <c r="J422" i="33" s="1"/>
  <c r="K422" i="33" s="1"/>
  <c r="K423" i="33" s="1"/>
  <c r="G24" i="34"/>
  <c r="J378" i="33" s="1"/>
  <c r="K378" i="33" s="1"/>
  <c r="K379" i="33" s="1"/>
  <c r="K380" i="33" s="1"/>
  <c r="C47" i="34" l="1"/>
  <c r="C14" i="34"/>
  <c r="C58" i="34"/>
  <c r="K2" i="39" l="1"/>
  <c r="C23" i="34"/>
  <c r="K1" i="39"/>
  <c r="C52" i="34"/>
  <c r="C48" i="34"/>
  <c r="H40" i="45" l="1"/>
  <c r="H32" i="45"/>
  <c r="I32" i="45" s="1"/>
  <c r="H36" i="45"/>
  <c r="I36" i="45" s="1"/>
  <c r="H28" i="45"/>
  <c r="I28" i="45" s="1"/>
  <c r="H41" i="45"/>
  <c r="I41" i="45" s="1"/>
  <c r="H24" i="45"/>
  <c r="I24" i="45" s="1"/>
  <c r="S24" i="45" s="1"/>
  <c r="T24" i="45" s="1"/>
  <c r="D21" i="34" s="1"/>
  <c r="H15" i="45"/>
  <c r="I15" i="45" s="1"/>
  <c r="S15" i="45" s="1"/>
  <c r="T15" i="45" s="1"/>
  <c r="H12" i="45"/>
  <c r="I12" i="45" s="1"/>
  <c r="S12" i="45" s="1"/>
  <c r="T12" i="45" s="1"/>
  <c r="H23" i="45"/>
  <c r="I23" i="45" s="1"/>
  <c r="H13" i="45"/>
  <c r="I13" i="45" s="1"/>
  <c r="S13" i="45" s="1"/>
  <c r="T13" i="45" s="1"/>
  <c r="D61" i="34" s="1"/>
  <c r="H16" i="45"/>
  <c r="I16" i="45" s="1"/>
  <c r="S16" i="45" s="1"/>
  <c r="T16" i="45" s="1"/>
  <c r="H37" i="45"/>
  <c r="I37" i="45" s="1"/>
  <c r="H29" i="45"/>
  <c r="I29" i="45" s="1"/>
  <c r="H22" i="45"/>
  <c r="I22" i="45" s="1"/>
  <c r="S22" i="45" s="1"/>
  <c r="T22" i="45" s="1"/>
  <c r="H25" i="45"/>
  <c r="I25" i="45" s="1"/>
  <c r="H20" i="45"/>
  <c r="I20" i="45" s="1"/>
  <c r="S20" i="45" s="1"/>
  <c r="T20" i="45" s="1"/>
  <c r="H11" i="45"/>
  <c r="I11" i="45" s="1"/>
  <c r="S11" i="45" s="1"/>
  <c r="T11" i="45" s="1"/>
  <c r="H19" i="45"/>
  <c r="I19" i="45" s="1"/>
  <c r="S19" i="45" s="1"/>
  <c r="T19" i="45" s="1"/>
  <c r="H10" i="45"/>
  <c r="I10" i="45" s="1"/>
  <c r="S10" i="45" s="1"/>
  <c r="T10" i="45" s="1"/>
  <c r="H9" i="45"/>
  <c r="I9" i="45" s="1"/>
  <c r="H18" i="45"/>
  <c r="I18" i="45" s="1"/>
  <c r="H33" i="45"/>
  <c r="I33" i="45" s="1"/>
  <c r="H26" i="45"/>
  <c r="I26" i="45" s="1"/>
  <c r="S26" i="45" s="1"/>
  <c r="T26" i="45" s="1"/>
  <c r="D19" i="34" s="1"/>
  <c r="H17" i="45"/>
  <c r="I17" i="45" s="1"/>
  <c r="S17" i="45" s="1"/>
  <c r="T17" i="45" s="1"/>
  <c r="H8" i="45"/>
  <c r="I8" i="45" s="1"/>
  <c r="H7" i="45"/>
  <c r="I7" i="45" s="1"/>
  <c r="S7" i="45" s="1"/>
  <c r="T7" i="45" s="1"/>
  <c r="D39" i="34" s="1"/>
  <c r="E1040" i="33"/>
  <c r="F1040" i="33" s="1"/>
  <c r="E820" i="33"/>
  <c r="F820" i="33" s="1"/>
  <c r="E1112" i="33"/>
  <c r="F1112" i="33" s="1"/>
  <c r="E1063" i="33"/>
  <c r="F1063" i="33" s="1"/>
  <c r="E1075" i="33"/>
  <c r="F1075" i="33" s="1"/>
  <c r="E1026" i="33"/>
  <c r="F1026" i="33" s="1"/>
  <c r="E983" i="33"/>
  <c r="F983" i="33" s="1"/>
  <c r="E920" i="33"/>
  <c r="F920" i="33" s="1"/>
  <c r="E832" i="33"/>
  <c r="F832" i="33" s="1"/>
  <c r="E1124" i="33"/>
  <c r="F1124" i="33" s="1"/>
  <c r="E900" i="33"/>
  <c r="F900" i="33" s="1"/>
  <c r="E910" i="33"/>
  <c r="F910" i="33" s="1"/>
  <c r="E969" i="33"/>
  <c r="F969" i="33" s="1"/>
  <c r="E957" i="33"/>
  <c r="F957" i="33" s="1"/>
  <c r="E931" i="33"/>
  <c r="F931" i="33" s="1"/>
  <c r="E1087" i="33"/>
  <c r="F1087" i="33" s="1"/>
  <c r="E1052" i="33"/>
  <c r="F1052" i="33" s="1"/>
  <c r="E1100" i="33"/>
  <c r="F1100" i="33" s="1"/>
  <c r="E942" i="33"/>
  <c r="F942" i="33" s="1"/>
  <c r="E10" i="33"/>
  <c r="F10" i="33" s="1"/>
  <c r="E1152" i="33"/>
  <c r="F1152" i="33" s="1"/>
  <c r="E1150" i="33"/>
  <c r="F1150" i="33" s="1"/>
  <c r="E880" i="33"/>
  <c r="F880" i="33" s="1"/>
  <c r="E890" i="33"/>
  <c r="F890" i="33" s="1"/>
  <c r="E796" i="33"/>
  <c r="F796" i="33" s="1"/>
  <c r="E754" i="33"/>
  <c r="F754" i="33" s="1"/>
  <c r="E857" i="33"/>
  <c r="F857" i="33" s="1"/>
  <c r="E770" i="33"/>
  <c r="F770" i="33" s="1"/>
  <c r="E750" i="33"/>
  <c r="F750" i="33" s="1"/>
  <c r="E543" i="33"/>
  <c r="F543" i="33" s="1"/>
  <c r="E844" i="33"/>
  <c r="F844" i="33" s="1"/>
  <c r="E784" i="33"/>
  <c r="F784" i="33" s="1"/>
  <c r="E808" i="33"/>
  <c r="F808" i="33" s="1"/>
  <c r="E766" i="33"/>
  <c r="F766" i="33" s="1"/>
  <c r="E718" i="33"/>
  <c r="F718" i="33" s="1"/>
  <c r="E618" i="33"/>
  <c r="F618" i="33" s="1"/>
  <c r="E632" i="33"/>
  <c r="F632" i="33" s="1"/>
  <c r="E677" i="33"/>
  <c r="F677" i="33" s="1"/>
  <c r="E707" i="33"/>
  <c r="F707" i="33" s="1"/>
  <c r="E692" i="33"/>
  <c r="F692" i="33" s="1"/>
  <c r="E647" i="33"/>
  <c r="F647" i="33" s="1"/>
  <c r="E571" i="33"/>
  <c r="F571" i="33" s="1"/>
  <c r="E597" i="33"/>
  <c r="F597" i="33" s="1"/>
  <c r="E557" i="33"/>
  <c r="E528" i="33"/>
  <c r="F528" i="33" s="1"/>
  <c r="E446" i="33"/>
  <c r="F446" i="33" s="1"/>
  <c r="E420" i="33"/>
  <c r="F420" i="33" s="1"/>
  <c r="E388" i="33"/>
  <c r="F388" i="33" s="1"/>
  <c r="E458" i="33"/>
  <c r="F458" i="33" s="1"/>
  <c r="E607" i="33"/>
  <c r="F607" i="33" s="1"/>
  <c r="E587" i="33"/>
  <c r="F587" i="33" s="1"/>
  <c r="E514" i="33"/>
  <c r="F514" i="33" s="1"/>
  <c r="E500" i="33"/>
  <c r="F500" i="33" s="1"/>
  <c r="E472" i="33"/>
  <c r="F472" i="33" s="1"/>
  <c r="E433" i="33"/>
  <c r="F433" i="33" s="1"/>
  <c r="E409" i="33"/>
  <c r="F409" i="33" s="1"/>
  <c r="E378" i="33"/>
  <c r="F378" i="33" s="1"/>
  <c r="E368" i="33"/>
  <c r="F368" i="33" s="1"/>
  <c r="E352" i="33"/>
  <c r="F352" i="33" s="1"/>
  <c r="E355" i="33"/>
  <c r="F355" i="33" s="1"/>
  <c r="E340" i="33"/>
  <c r="F340" i="33" s="1"/>
  <c r="E213" i="33"/>
  <c r="F213" i="33" s="1"/>
  <c r="E153" i="33"/>
  <c r="F153" i="33" s="1"/>
  <c r="E178" i="33"/>
  <c r="E192" i="33"/>
  <c r="F192" i="33" s="1"/>
  <c r="E142" i="33"/>
  <c r="E203" i="33"/>
  <c r="F203" i="33" s="1"/>
  <c r="E164" i="33"/>
  <c r="F164" i="33" s="1"/>
  <c r="E105" i="33"/>
  <c r="F105" i="33" s="1"/>
  <c r="E120" i="33"/>
  <c r="F120" i="33" s="1"/>
  <c r="E80" i="33"/>
  <c r="F80" i="33" s="1"/>
  <c r="E47" i="33"/>
  <c r="F47" i="33" s="1"/>
  <c r="E93" i="33"/>
  <c r="F93" i="33" s="1"/>
  <c r="E64" i="33"/>
  <c r="F64" i="33" s="1"/>
  <c r="E131" i="33"/>
  <c r="E984" i="33"/>
  <c r="F984" i="33" s="1"/>
  <c r="E901" i="33"/>
  <c r="F901" i="33" s="1"/>
  <c r="E833" i="33"/>
  <c r="F833" i="33" s="1"/>
  <c r="E1088" i="33"/>
  <c r="F1088" i="33" s="1"/>
  <c r="E1041" i="33"/>
  <c r="F1041" i="33" s="1"/>
  <c r="E1064" i="33"/>
  <c r="F1064" i="33" s="1"/>
  <c r="E1125" i="33"/>
  <c r="F1125" i="33" s="1"/>
  <c r="E1076" i="33"/>
  <c r="F1076" i="33" s="1"/>
  <c r="E1027" i="33"/>
  <c r="F1027" i="33" s="1"/>
  <c r="E921" i="33"/>
  <c r="F921" i="33" s="1"/>
  <c r="E821" i="33"/>
  <c r="F821" i="33" s="1"/>
  <c r="E1113" i="33"/>
  <c r="F1113" i="33" s="1"/>
  <c r="E970" i="33"/>
  <c r="F970" i="33" s="1"/>
  <c r="E959" i="33"/>
  <c r="F959" i="33" s="1"/>
  <c r="E932" i="33"/>
  <c r="F932" i="33" s="1"/>
  <c r="E943" i="33"/>
  <c r="F943" i="33" s="1"/>
  <c r="E911" i="33"/>
  <c r="F911" i="33" s="1"/>
  <c r="E1053" i="33"/>
  <c r="F1053" i="33" s="1"/>
  <c r="E1101" i="33"/>
  <c r="F1101" i="33" s="1"/>
  <c r="E11" i="33"/>
  <c r="F11" i="33" s="1"/>
  <c r="E1151" i="33"/>
  <c r="F1151" i="33" s="1"/>
  <c r="E1153" i="33"/>
  <c r="F1153" i="33" s="1"/>
  <c r="E881" i="33"/>
  <c r="F881" i="33" s="1"/>
  <c r="E891" i="33"/>
  <c r="F891" i="33" s="1"/>
  <c r="E809" i="33"/>
  <c r="F809" i="33" s="1"/>
  <c r="E858" i="33"/>
  <c r="F858" i="33" s="1"/>
  <c r="E797" i="33"/>
  <c r="F797" i="33" s="1"/>
  <c r="E768" i="33"/>
  <c r="F768" i="33" s="1"/>
  <c r="E785" i="33"/>
  <c r="F785" i="33" s="1"/>
  <c r="E756" i="33"/>
  <c r="F756" i="33" s="1"/>
  <c r="E544" i="33"/>
  <c r="F544" i="33" s="1"/>
  <c r="E772" i="33"/>
  <c r="F772" i="33" s="1"/>
  <c r="E752" i="33"/>
  <c r="F752" i="33" s="1"/>
  <c r="E845" i="33"/>
  <c r="F845" i="33" s="1"/>
  <c r="E693" i="33"/>
  <c r="F693" i="33" s="1"/>
  <c r="E633" i="33"/>
  <c r="F633" i="33" s="1"/>
  <c r="E719" i="33"/>
  <c r="F719" i="33" s="1"/>
  <c r="E648" i="33"/>
  <c r="F648" i="33" s="1"/>
  <c r="E708" i="33"/>
  <c r="F708" i="33" s="1"/>
  <c r="E678" i="33"/>
  <c r="F678" i="33" s="1"/>
  <c r="E619" i="33"/>
  <c r="F619" i="33" s="1"/>
  <c r="E389" i="33"/>
  <c r="F389" i="33" s="1"/>
  <c r="E447" i="33"/>
  <c r="F447" i="33" s="1"/>
  <c r="E421" i="33"/>
  <c r="F421" i="33" s="1"/>
  <c r="E608" i="33"/>
  <c r="F608" i="33" s="1"/>
  <c r="E515" i="33"/>
  <c r="F515" i="33" s="1"/>
  <c r="E434" i="33"/>
  <c r="F434" i="33" s="1"/>
  <c r="E410" i="33"/>
  <c r="F410" i="33" s="1"/>
  <c r="E529" i="33"/>
  <c r="F529" i="33" s="1"/>
  <c r="E501" i="33"/>
  <c r="F501" i="33" s="1"/>
  <c r="E459" i="33"/>
  <c r="F459" i="33" s="1"/>
  <c r="E588" i="33"/>
  <c r="F588" i="33" s="1"/>
  <c r="E572" i="33"/>
  <c r="F572" i="33" s="1"/>
  <c r="E473" i="33"/>
  <c r="F473" i="33" s="1"/>
  <c r="E379" i="33"/>
  <c r="F379" i="33" s="1"/>
  <c r="E598" i="33"/>
  <c r="F598" i="33" s="1"/>
  <c r="E369" i="33"/>
  <c r="F369" i="33" s="1"/>
  <c r="E356" i="33"/>
  <c r="F356" i="33" s="1"/>
  <c r="E353" i="33"/>
  <c r="F353" i="33" s="1"/>
  <c r="E341" i="33"/>
  <c r="F341" i="33" s="1"/>
  <c r="E331" i="33"/>
  <c r="F331" i="33" s="1"/>
  <c r="E302" i="33"/>
  <c r="F302" i="33" s="1"/>
  <c r="E291" i="33"/>
  <c r="F291" i="33" s="1"/>
  <c r="E317" i="33"/>
  <c r="F317" i="33" s="1"/>
  <c r="E250" i="33"/>
  <c r="F250" i="33" s="1"/>
  <c r="E237" i="33"/>
  <c r="F237" i="33" s="1"/>
  <c r="E275" i="33"/>
  <c r="F275" i="33" s="1"/>
  <c r="E227" i="33"/>
  <c r="F227" i="33" s="1"/>
  <c r="E214" i="33"/>
  <c r="F214" i="33" s="1"/>
  <c r="E204" i="33"/>
  <c r="E165" i="33"/>
  <c r="F165" i="33" s="1"/>
  <c r="E193" i="33"/>
  <c r="F193" i="33" s="1"/>
  <c r="E143" i="33"/>
  <c r="E179" i="33"/>
  <c r="E154" i="33"/>
  <c r="F154" i="33" s="1"/>
  <c r="E121" i="33"/>
  <c r="F121" i="33" s="1"/>
  <c r="E81" i="33"/>
  <c r="F81" i="33" s="1"/>
  <c r="E48" i="33"/>
  <c r="F48" i="33" s="1"/>
  <c r="E132" i="33"/>
  <c r="E65" i="33"/>
  <c r="F65" i="33" s="1"/>
  <c r="E94" i="33"/>
  <c r="F94" i="33" s="1"/>
  <c r="E35" i="33"/>
  <c r="F35" i="33" s="1"/>
  <c r="F36" i="33" s="1"/>
  <c r="E106" i="33"/>
  <c r="F106" i="33" s="1"/>
  <c r="E167" i="33"/>
  <c r="F167" i="33" s="1"/>
  <c r="E166" i="33"/>
  <c r="F166" i="33" s="1"/>
  <c r="E958" i="33"/>
  <c r="F958" i="33" s="1"/>
  <c r="E771" i="33"/>
  <c r="F771" i="33" s="1"/>
  <c r="E751" i="33"/>
  <c r="F751" i="33" s="1"/>
  <c r="E755" i="33"/>
  <c r="F755" i="33" s="1"/>
  <c r="E767" i="33"/>
  <c r="F767" i="33" s="1"/>
  <c r="M56" i="39"/>
  <c r="E558" i="33"/>
  <c r="F558" i="33" s="1"/>
  <c r="E1163" i="33"/>
  <c r="E1164" i="33"/>
  <c r="P12" i="33"/>
  <c r="K10" i="33"/>
  <c r="K12" i="33" s="1"/>
  <c r="E738" i="33"/>
  <c r="F738" i="33" s="1"/>
  <c r="E737" i="33"/>
  <c r="F737" i="33" s="1"/>
  <c r="E735" i="33"/>
  <c r="F735" i="33" s="1"/>
  <c r="E734" i="33"/>
  <c r="F734" i="33" s="1"/>
  <c r="K732" i="33"/>
  <c r="E732" i="33"/>
  <c r="F732" i="33" s="1"/>
  <c r="K731" i="33"/>
  <c r="E731" i="33"/>
  <c r="F731" i="33" s="1"/>
  <c r="P36" i="33"/>
  <c r="K36" i="33"/>
  <c r="P848" i="33"/>
  <c r="P812" i="33"/>
  <c r="P800" i="33"/>
  <c r="P788" i="33"/>
  <c r="P709" i="33"/>
  <c r="I637" i="33"/>
  <c r="P859" i="33"/>
  <c r="P589" i="33"/>
  <c r="P333" i="33"/>
  <c r="E330" i="33"/>
  <c r="F330" i="33" s="1"/>
  <c r="E316" i="33"/>
  <c r="F316" i="33" s="1"/>
  <c r="E301" i="33"/>
  <c r="F301" i="33" s="1"/>
  <c r="E290" i="33"/>
  <c r="F290" i="33" s="1"/>
  <c r="E274" i="33"/>
  <c r="F274" i="33" s="1"/>
  <c r="E249" i="33"/>
  <c r="F249" i="33" s="1"/>
  <c r="P238" i="33"/>
  <c r="E236" i="33"/>
  <c r="F236" i="33" s="1"/>
  <c r="E226" i="33"/>
  <c r="F226" i="33" s="1"/>
  <c r="K144" i="33"/>
  <c r="K133" i="33"/>
  <c r="K122" i="33"/>
  <c r="F333" i="33" l="1"/>
  <c r="R32" i="45"/>
  <c r="S32" i="45" s="1"/>
  <c r="R28" i="45"/>
  <c r="S28" i="45" s="1"/>
  <c r="R36" i="45"/>
  <c r="S36" i="45" s="1"/>
  <c r="I39" i="45"/>
  <c r="S25" i="45"/>
  <c r="T25" i="45" s="1"/>
  <c r="D20" i="34" s="1"/>
  <c r="S18" i="45"/>
  <c r="T18" i="45" s="1"/>
  <c r="D59" i="34" s="1"/>
  <c r="S9" i="45"/>
  <c r="T9" i="45" s="1"/>
  <c r="I31" i="45"/>
  <c r="I35" i="45"/>
  <c r="S8" i="45"/>
  <c r="T8" i="45" s="1"/>
  <c r="S23" i="45"/>
  <c r="T23" i="45" s="1"/>
  <c r="T40" i="45"/>
  <c r="I40" i="45"/>
  <c r="I42" i="45" s="1"/>
  <c r="S42" i="45" s="1"/>
  <c r="T42" i="45" s="1"/>
  <c r="F215" i="33"/>
  <c r="F882" i="33"/>
  <c r="F933" i="33"/>
  <c r="F989" i="33"/>
  <c r="F343" i="33"/>
  <c r="F549" i="33"/>
  <c r="F1154" i="33"/>
  <c r="F961" i="33"/>
  <c r="F1030" i="33"/>
  <c r="F155" i="33"/>
  <c r="F435" i="33"/>
  <c r="F436" i="33" s="1"/>
  <c r="F437" i="33" s="1"/>
  <c r="P437" i="33" s="1"/>
  <c r="E51" i="32" s="1"/>
  <c r="G52" i="53" s="1"/>
  <c r="I52" i="53" s="1"/>
  <c r="F424" i="33"/>
  <c r="F698" i="33"/>
  <c r="F892" i="33"/>
  <c r="F1091" i="33"/>
  <c r="F923" i="33"/>
  <c r="F168" i="33"/>
  <c r="F975" i="33"/>
  <c r="F1079" i="33"/>
  <c r="F358" i="33"/>
  <c r="F599" i="33"/>
  <c r="F912" i="33"/>
  <c r="F1067" i="33"/>
  <c r="E736" i="33"/>
  <c r="F736" i="33" s="1"/>
  <c r="E765" i="33"/>
  <c r="F765" i="33" s="1"/>
  <c r="E769" i="33"/>
  <c r="F769" i="33" s="1"/>
  <c r="E749" i="33"/>
  <c r="F749" i="33" s="1"/>
  <c r="E753" i="33"/>
  <c r="F753" i="33" s="1"/>
  <c r="F370" i="33"/>
  <c r="F371" i="33" s="1"/>
  <c r="F372" i="33" s="1"/>
  <c r="P372" i="33" s="1"/>
  <c r="E45" i="32" s="1"/>
  <c r="F577" i="33"/>
  <c r="F720" i="33"/>
  <c r="F949" i="33"/>
  <c r="F902" i="33"/>
  <c r="F1116" i="33"/>
  <c r="F505" i="33"/>
  <c r="F534" i="33"/>
  <c r="F195" i="33"/>
  <c r="F380" i="33"/>
  <c r="F381" i="33" s="1"/>
  <c r="F382" i="33" s="1"/>
  <c r="P382" i="33" s="1"/>
  <c r="F1104" i="33"/>
  <c r="F1128" i="33"/>
  <c r="P1124" i="33" s="1"/>
  <c r="P1128" i="33" s="1"/>
  <c r="F824" i="33"/>
  <c r="F411" i="33"/>
  <c r="F412" i="33" s="1"/>
  <c r="F413" i="33" s="1"/>
  <c r="P413" i="33" s="1"/>
  <c r="E49" i="32" s="1"/>
  <c r="F390" i="33"/>
  <c r="F653" i="33"/>
  <c r="F1054" i="33"/>
  <c r="F836" i="33"/>
  <c r="F1042" i="33"/>
  <c r="F859" i="33"/>
  <c r="F477" i="33"/>
  <c r="F464" i="33"/>
  <c r="F450" i="33"/>
  <c r="F319" i="33"/>
  <c r="F305" i="33"/>
  <c r="F292" i="33"/>
  <c r="F279" i="33"/>
  <c r="F252" i="33"/>
  <c r="F50" i="33"/>
  <c r="F69" i="33"/>
  <c r="E730" i="33"/>
  <c r="F730" i="33" s="1"/>
  <c r="E733" i="33"/>
  <c r="F733" i="33" s="1"/>
  <c r="M48" i="39"/>
  <c r="O730" i="33" s="1"/>
  <c r="P730" i="33" s="1"/>
  <c r="M51" i="39"/>
  <c r="M53" i="39"/>
  <c r="M54" i="39"/>
  <c r="M55" i="39"/>
  <c r="M40" i="39"/>
  <c r="O316" i="33" s="1"/>
  <c r="M44" i="39"/>
  <c r="M46" i="39"/>
  <c r="M45" i="39"/>
  <c r="M43" i="39"/>
  <c r="M35" i="39"/>
  <c r="M37" i="39"/>
  <c r="M28" i="39"/>
  <c r="O944" i="33" s="1"/>
  <c r="P944" i="33" s="1"/>
  <c r="M29" i="39"/>
  <c r="M30" i="39"/>
  <c r="M31" i="39"/>
  <c r="M32" i="39"/>
  <c r="M24" i="39"/>
  <c r="M25" i="39"/>
  <c r="M26" i="39"/>
  <c r="M20" i="39"/>
  <c r="M19" i="39"/>
  <c r="O890" i="33" s="1"/>
  <c r="P890" i="33" s="1"/>
  <c r="P892" i="33" s="1"/>
  <c r="M21" i="39"/>
  <c r="M18" i="39"/>
  <c r="M22" i="39"/>
  <c r="O48" i="33" s="1"/>
  <c r="P48" i="33" s="1"/>
  <c r="M11" i="39"/>
  <c r="O318" i="33" s="1"/>
  <c r="P318" i="33" s="1"/>
  <c r="M14" i="39"/>
  <c r="M12" i="39"/>
  <c r="M16" i="39"/>
  <c r="M10" i="39"/>
  <c r="M13" i="39"/>
  <c r="M15" i="39"/>
  <c r="M49" i="39"/>
  <c r="M39" i="39"/>
  <c r="O275" i="33" s="1"/>
  <c r="P275" i="33" s="1"/>
  <c r="M50" i="39"/>
  <c r="M42" i="39"/>
  <c r="O278" i="33" s="1"/>
  <c r="P278" i="33" s="1"/>
  <c r="M47" i="39"/>
  <c r="O277" i="33" s="1"/>
  <c r="P277" i="33" s="1"/>
  <c r="M33" i="39"/>
  <c r="M36" i="39"/>
  <c r="O485" i="33" s="1"/>
  <c r="P485" i="33" s="1"/>
  <c r="M34" i="39"/>
  <c r="M8" i="39"/>
  <c r="M41" i="39"/>
  <c r="O203" i="33" s="1"/>
  <c r="P203" i="33" s="1"/>
  <c r="P205" i="33" s="1"/>
  <c r="M9" i="39"/>
  <c r="O274" i="33" s="1"/>
  <c r="P274" i="33" s="1"/>
  <c r="F683" i="33"/>
  <c r="M38" i="39"/>
  <c r="O261" i="33" s="1"/>
  <c r="P261" i="33" s="1"/>
  <c r="M52" i="39"/>
  <c r="O262" i="33" s="1"/>
  <c r="P262" i="33" s="1"/>
  <c r="M27" i="39"/>
  <c r="O25" i="33" s="1"/>
  <c r="P25" i="33" s="1"/>
  <c r="P26" i="33" s="1"/>
  <c r="F27" i="33" s="1"/>
  <c r="F28" i="33" s="1"/>
  <c r="P28" i="33" s="1"/>
  <c r="E9" i="32" s="1"/>
  <c r="G90" i="53" s="1"/>
  <c r="M17" i="39"/>
  <c r="M23" i="39"/>
  <c r="F609" i="33"/>
  <c r="F1164" i="33"/>
  <c r="C73" i="37"/>
  <c r="F1163" i="33"/>
  <c r="F557" i="33"/>
  <c r="F563" i="33" s="1"/>
  <c r="F204" i="33"/>
  <c r="F142" i="33"/>
  <c r="F178" i="33"/>
  <c r="F131" i="33"/>
  <c r="F132" i="33"/>
  <c r="F143" i="33"/>
  <c r="F238" i="33"/>
  <c r="F179" i="33"/>
  <c r="F37" i="33"/>
  <c r="F38" i="33" s="1"/>
  <c r="F122" i="33"/>
  <c r="F228" i="33"/>
  <c r="F589" i="33"/>
  <c r="F800" i="33"/>
  <c r="F84" i="33"/>
  <c r="P83" i="33" s="1"/>
  <c r="F623" i="33"/>
  <c r="F520" i="33"/>
  <c r="F12" i="33"/>
  <c r="F13" i="33" s="1"/>
  <c r="F14" i="33" s="1"/>
  <c r="P14" i="33" s="1"/>
  <c r="F848" i="33"/>
  <c r="F812" i="33"/>
  <c r="F788" i="33"/>
  <c r="F709" i="33"/>
  <c r="F638" i="33"/>
  <c r="F109" i="33"/>
  <c r="F96" i="33"/>
  <c r="O26" i="44" l="1"/>
  <c r="P264" i="33"/>
  <c r="O43" i="44"/>
  <c r="Q43" i="44"/>
  <c r="O663" i="33"/>
  <c r="P663" i="33" s="1"/>
  <c r="O486" i="33"/>
  <c r="P486" i="33" s="1"/>
  <c r="P491" i="33" s="1"/>
  <c r="O662" i="33"/>
  <c r="P662" i="33" s="1"/>
  <c r="O1011" i="33"/>
  <c r="P1011" i="33" s="1"/>
  <c r="P1017" i="33" s="1"/>
  <c r="O997" i="33"/>
  <c r="P997" i="33" s="1"/>
  <c r="P1003" i="33" s="1"/>
  <c r="R34" i="45"/>
  <c r="S34" i="45" s="1"/>
  <c r="R38" i="45"/>
  <c r="S38" i="45" s="1"/>
  <c r="R30" i="45"/>
  <c r="S30" i="45" s="1"/>
  <c r="O42" i="44"/>
  <c r="O38" i="44"/>
  <c r="O41" i="44"/>
  <c r="O37" i="44"/>
  <c r="O40" i="44"/>
  <c r="O36" i="44"/>
  <c r="O39" i="44"/>
  <c r="Q42" i="44"/>
  <c r="Q29" i="44"/>
  <c r="Q40" i="44"/>
  <c r="Q26" i="44"/>
  <c r="R26" i="44" s="1"/>
  <c r="Q39" i="44"/>
  <c r="Q17" i="44"/>
  <c r="Q24" i="44"/>
  <c r="Q25" i="44"/>
  <c r="Q23" i="44"/>
  <c r="Q20" i="44"/>
  <c r="Q16" i="44"/>
  <c r="Q19" i="44"/>
  <c r="Q31" i="44"/>
  <c r="Q15" i="44"/>
  <c r="Q38" i="44"/>
  <c r="Q33" i="44"/>
  <c r="Q22" i="44"/>
  <c r="Q37" i="44"/>
  <c r="Q27" i="44"/>
  <c r="Q36" i="44"/>
  <c r="Q34" i="44"/>
  <c r="Q21" i="44"/>
  <c r="Q28" i="44"/>
  <c r="Q32" i="44"/>
  <c r="Q41" i="44"/>
  <c r="Q30" i="44"/>
  <c r="F757" i="33"/>
  <c r="O1163" i="33"/>
  <c r="P1163" i="33" s="1"/>
  <c r="P1165" i="33" s="1"/>
  <c r="O301" i="33"/>
  <c r="O251" i="33"/>
  <c r="P251" i="33" s="1"/>
  <c r="O179" i="33"/>
  <c r="P179" i="33" s="1"/>
  <c r="O49" i="33"/>
  <c r="P49" i="33" s="1"/>
  <c r="O1028" i="33"/>
  <c r="P1028" i="33" s="1"/>
  <c r="O959" i="33"/>
  <c r="P959" i="33" s="1"/>
  <c r="O82" i="33"/>
  <c r="P82" i="33" s="1"/>
  <c r="F773" i="33"/>
  <c r="E7" i="32"/>
  <c r="O957" i="33"/>
  <c r="P957" i="33" s="1"/>
  <c r="O1026" i="33"/>
  <c r="P1026" i="33" s="1"/>
  <c r="O732" i="33"/>
  <c r="P732" i="33" s="1"/>
  <c r="O544" i="33"/>
  <c r="P544" i="33" s="1"/>
  <c r="O648" i="33"/>
  <c r="P648" i="33" s="1"/>
  <c r="O619" i="33"/>
  <c r="O693" i="33"/>
  <c r="P693" i="33" s="1"/>
  <c r="O633" i="33"/>
  <c r="P633" i="33" s="1"/>
  <c r="O678" i="33"/>
  <c r="P678" i="33" s="1"/>
  <c r="O558" i="33"/>
  <c r="O501" i="33"/>
  <c r="P501" i="33" s="1"/>
  <c r="O459" i="33"/>
  <c r="O572" i="33"/>
  <c r="P572" i="33" s="1"/>
  <c r="O529" i="33"/>
  <c r="P529" i="33" s="1"/>
  <c r="O447" i="33"/>
  <c r="O515" i="33"/>
  <c r="O473" i="33"/>
  <c r="O276" i="33"/>
  <c r="P276" i="33" s="1"/>
  <c r="P279" i="33" s="1"/>
  <c r="O80" i="33"/>
  <c r="P80" i="33" s="1"/>
  <c r="O931" i="33"/>
  <c r="P931" i="33" s="1"/>
  <c r="O942" i="33"/>
  <c r="P942" i="33" s="1"/>
  <c r="O164" i="33"/>
  <c r="P164" i="33" s="1"/>
  <c r="O47" i="33"/>
  <c r="P47" i="33" s="1"/>
  <c r="O1029" i="33"/>
  <c r="P1029" i="33" s="1"/>
  <c r="O960" i="33"/>
  <c r="P960" i="33" s="1"/>
  <c r="K942" i="33"/>
  <c r="P945" i="33"/>
  <c r="P1112" i="33"/>
  <c r="P1116" i="33" s="1"/>
  <c r="P1063" i="33"/>
  <c r="P1067" i="33" s="1"/>
  <c r="O880" i="33"/>
  <c r="P880" i="33" s="1"/>
  <c r="P882" i="33" s="1"/>
  <c r="O178" i="33"/>
  <c r="P178" i="33" s="1"/>
  <c r="O153" i="33"/>
  <c r="P153" i="33" s="1"/>
  <c r="P155" i="33" s="1"/>
  <c r="F156" i="33" s="1"/>
  <c r="F157" i="33" s="1"/>
  <c r="F158" i="33" s="1"/>
  <c r="P158" i="33" s="1"/>
  <c r="E22" i="32" s="1"/>
  <c r="G26" i="53" s="1"/>
  <c r="I26" i="53" s="1"/>
  <c r="O142" i="33"/>
  <c r="P142" i="33" s="1"/>
  <c r="P144" i="33" s="1"/>
  <c r="O120" i="33"/>
  <c r="P120" i="33" s="1"/>
  <c r="O131" i="33"/>
  <c r="P131" i="33" s="1"/>
  <c r="P133" i="33" s="1"/>
  <c r="O969" i="33"/>
  <c r="P969" i="33" s="1"/>
  <c r="P975" i="33" s="1"/>
  <c r="O983" i="33"/>
  <c r="P983" i="33" s="1"/>
  <c r="P989" i="33" s="1"/>
  <c r="O543" i="33"/>
  <c r="P543" i="33" s="1"/>
  <c r="O677" i="33"/>
  <c r="P677" i="33" s="1"/>
  <c r="O618" i="33"/>
  <c r="O632" i="33"/>
  <c r="P632" i="33" s="1"/>
  <c r="O647" i="33"/>
  <c r="P647" i="33" s="1"/>
  <c r="O692" i="33"/>
  <c r="P692" i="33" s="1"/>
  <c r="O472" i="33"/>
  <c r="O557" i="33"/>
  <c r="O500" i="33"/>
  <c r="P500" i="33" s="1"/>
  <c r="O528" i="33"/>
  <c r="P528" i="33" s="1"/>
  <c r="O458" i="33"/>
  <c r="O446" i="33"/>
  <c r="O571" i="33"/>
  <c r="P571" i="33" s="1"/>
  <c r="O514" i="33"/>
  <c r="O1027" i="33"/>
  <c r="P1027" i="33" s="1"/>
  <c r="O958" i="33"/>
  <c r="P958" i="33" s="1"/>
  <c r="O81" i="33"/>
  <c r="P81" i="33" s="1"/>
  <c r="O932" i="33"/>
  <c r="P932" i="33" s="1"/>
  <c r="O943" i="33"/>
  <c r="P943" i="33" s="1"/>
  <c r="O165" i="33"/>
  <c r="P165" i="33" s="1"/>
  <c r="O192" i="33"/>
  <c r="P192" i="33" s="1"/>
  <c r="O180" i="33"/>
  <c r="P180" i="33" s="1"/>
  <c r="P1101" i="33"/>
  <c r="P1100" i="33"/>
  <c r="O731" i="33"/>
  <c r="P731" i="33" s="1"/>
  <c r="E46" i="32"/>
  <c r="P1075" i="33"/>
  <c r="P1079" i="33" s="1"/>
  <c r="P1087" i="33"/>
  <c r="P1091" i="33" s="1"/>
  <c r="F183" i="33"/>
  <c r="F739" i="33"/>
  <c r="P93" i="33"/>
  <c r="P96" i="33" s="1"/>
  <c r="F133" i="33"/>
  <c r="P38" i="33"/>
  <c r="P609" i="33"/>
  <c r="C66" i="34"/>
  <c r="C63" i="34"/>
  <c r="F1165" i="33"/>
  <c r="F205" i="33"/>
  <c r="F144" i="33"/>
  <c r="P292" i="33"/>
  <c r="G18" i="53" l="1"/>
  <c r="I18" i="53" s="1"/>
  <c r="G19" i="53"/>
  <c r="I19" i="53" s="1"/>
  <c r="R43" i="44"/>
  <c r="F54" i="34" s="1"/>
  <c r="G54" i="34" s="1"/>
  <c r="J388" i="33" s="1"/>
  <c r="K388" i="33" s="1"/>
  <c r="K389" i="33" s="1"/>
  <c r="K390" i="33" s="1"/>
  <c r="F391" i="33" s="1"/>
  <c r="F392" i="33" s="1"/>
  <c r="P392" i="33" s="1"/>
  <c r="E47" i="32" s="1"/>
  <c r="G54" i="53" s="1"/>
  <c r="I54" i="53" s="1"/>
  <c r="P668" i="33"/>
  <c r="O25" i="44"/>
  <c r="R25" i="44" s="1"/>
  <c r="R33" i="45"/>
  <c r="S33" i="45" s="1"/>
  <c r="S35" i="45" s="1"/>
  <c r="R37" i="45"/>
  <c r="S37" i="45" s="1"/>
  <c r="S39" i="45" s="1"/>
  <c r="R29" i="45"/>
  <c r="S29" i="45" s="1"/>
  <c r="S31" i="45" s="1"/>
  <c r="R39" i="44"/>
  <c r="P653" i="33"/>
  <c r="R40" i="44"/>
  <c r="O30" i="44"/>
  <c r="R30" i="44" s="1"/>
  <c r="O15" i="44"/>
  <c r="R15" i="44" s="1"/>
  <c r="F12" i="34" s="1"/>
  <c r="G12" i="34" s="1"/>
  <c r="O20" i="44"/>
  <c r="R20" i="44" s="1"/>
  <c r="O27" i="44"/>
  <c r="R27" i="44" s="1"/>
  <c r="R38" i="44"/>
  <c r="O31" i="44"/>
  <c r="R31" i="44" s="1"/>
  <c r="R36" i="44"/>
  <c r="O17" i="44"/>
  <c r="R17" i="44" s="1"/>
  <c r="F59" i="34" s="1"/>
  <c r="G59" i="34" s="1"/>
  <c r="J489" i="33" s="1"/>
  <c r="K489" i="33" s="1"/>
  <c r="O21" i="44"/>
  <c r="R21" i="44" s="1"/>
  <c r="F64" i="34" s="1"/>
  <c r="G64" i="34" s="1"/>
  <c r="O19" i="44"/>
  <c r="R19" i="44" s="1"/>
  <c r="O22" i="44"/>
  <c r="R22" i="44" s="1"/>
  <c r="O23" i="44"/>
  <c r="R23" i="44" s="1"/>
  <c r="O24" i="44"/>
  <c r="R24" i="44" s="1"/>
  <c r="R37" i="44"/>
  <c r="O16" i="44"/>
  <c r="R16" i="44" s="1"/>
  <c r="O28" i="44"/>
  <c r="R28" i="44" s="1"/>
  <c r="F11" i="34" s="1"/>
  <c r="G11" i="34" s="1"/>
  <c r="J274" i="33" s="1"/>
  <c r="K274" i="33" s="1"/>
  <c r="O29" i="44"/>
  <c r="R29" i="44" s="1"/>
  <c r="F40" i="34" s="1"/>
  <c r="G40" i="34" s="1"/>
  <c r="J871" i="33" s="1"/>
  <c r="K871" i="33" s="1"/>
  <c r="P873" i="33" s="1"/>
  <c r="E89" i="32" s="1"/>
  <c r="G43" i="53" s="1"/>
  <c r="I43" i="53" s="1"/>
  <c r="R41" i="44"/>
  <c r="F68" i="34" s="1"/>
  <c r="G68" i="34" s="1"/>
  <c r="J263" i="33" s="1"/>
  <c r="K263" i="33" s="1"/>
  <c r="R42" i="44"/>
  <c r="O34" i="44"/>
  <c r="R34" i="44" s="1"/>
  <c r="O32" i="44"/>
  <c r="R32" i="44" s="1"/>
  <c r="O33" i="44"/>
  <c r="R33" i="44" s="1"/>
  <c r="P505" i="33"/>
  <c r="P549" i="33"/>
  <c r="P577" i="33"/>
  <c r="P534" i="33"/>
  <c r="O250" i="33"/>
  <c r="P250" i="33" s="1"/>
  <c r="O227" i="33"/>
  <c r="P227" i="33" s="1"/>
  <c r="O182" i="33"/>
  <c r="P182" i="33" s="1"/>
  <c r="O194" i="33"/>
  <c r="P194" i="33" s="1"/>
  <c r="P1030" i="33"/>
  <c r="P961" i="33"/>
  <c r="O249" i="33"/>
  <c r="P249" i="33" s="1"/>
  <c r="O226" i="33"/>
  <c r="P226" i="33" s="1"/>
  <c r="O181" i="33"/>
  <c r="P181" i="33" s="1"/>
  <c r="O193" i="33"/>
  <c r="P193" i="33" s="1"/>
  <c r="P168" i="33"/>
  <c r="F170" i="33" s="1"/>
  <c r="P949" i="33"/>
  <c r="P933" i="33"/>
  <c r="O765" i="33"/>
  <c r="P765" i="33" s="1"/>
  <c r="O749" i="33"/>
  <c r="P749" i="33" s="1"/>
  <c r="O317" i="33"/>
  <c r="P317" i="33" s="1"/>
  <c r="P698" i="33"/>
  <c r="P739" i="33"/>
  <c r="E10" i="32"/>
  <c r="I90" i="53" s="1"/>
  <c r="I91" i="53" s="1"/>
  <c r="F145" i="33"/>
  <c r="F146" i="33" s="1"/>
  <c r="F147" i="33" s="1"/>
  <c r="P147" i="33" s="1"/>
  <c r="P84" i="33"/>
  <c r="F134" i="33"/>
  <c r="F135" i="33" s="1"/>
  <c r="P135" i="33" s="1"/>
  <c r="E20" i="32" s="1"/>
  <c r="G64" i="53" s="1"/>
  <c r="I64" i="53" s="1"/>
  <c r="P50" i="33"/>
  <c r="F51" i="33" s="1"/>
  <c r="F52" i="33" s="1"/>
  <c r="P52" i="33" s="1"/>
  <c r="E11" i="32" s="1"/>
  <c r="P446" i="33"/>
  <c r="P472" i="33"/>
  <c r="P458" i="33"/>
  <c r="P514" i="33"/>
  <c r="P557" i="33"/>
  <c r="P558" i="33"/>
  <c r="P473" i="33"/>
  <c r="P515" i="33"/>
  <c r="P447" i="33"/>
  <c r="P459" i="33"/>
  <c r="P122" i="33"/>
  <c r="F123" i="33" s="1"/>
  <c r="P109" i="33"/>
  <c r="P618" i="33"/>
  <c r="P619" i="33"/>
  <c r="P301" i="33"/>
  <c r="P305" i="33" s="1"/>
  <c r="P316" i="33"/>
  <c r="K316" i="33"/>
  <c r="K319" i="33" s="1"/>
  <c r="C16" i="52" l="1"/>
  <c r="J666" i="33"/>
  <c r="K666" i="33" s="1"/>
  <c r="J490" i="33"/>
  <c r="K490" i="33" s="1"/>
  <c r="J1015" i="33"/>
  <c r="K1015" i="33" s="1"/>
  <c r="J1001" i="33"/>
  <c r="K1001" i="33" s="1"/>
  <c r="F13" i="34"/>
  <c r="G13" i="34" s="1"/>
  <c r="F61" i="34"/>
  <c r="G61" i="34" s="1"/>
  <c r="J665" i="33"/>
  <c r="K665" i="33" s="1"/>
  <c r="F52" i="34"/>
  <c r="G52" i="34" s="1"/>
  <c r="F23" i="34"/>
  <c r="G23" i="34" s="1"/>
  <c r="F39" i="34"/>
  <c r="F38" i="34"/>
  <c r="G38" i="34" s="1"/>
  <c r="F45" i="34"/>
  <c r="G45" i="34" s="1"/>
  <c r="F57" i="34"/>
  <c r="G57" i="34" s="1"/>
  <c r="J108" i="33" s="1"/>
  <c r="K108" i="33" s="1"/>
  <c r="F48" i="34"/>
  <c r="G48" i="34" s="1"/>
  <c r="F44" i="34"/>
  <c r="G44" i="34" s="1"/>
  <c r="J730" i="33" s="1"/>
  <c r="K730" i="33" s="1"/>
  <c r="F27" i="34"/>
  <c r="G27" i="34" s="1"/>
  <c r="F15" i="34"/>
  <c r="G15" i="34" s="1"/>
  <c r="J356" i="33" s="1"/>
  <c r="K356" i="33" s="1"/>
  <c r="F63" i="34"/>
  <c r="G63" i="34" s="1"/>
  <c r="F53" i="34"/>
  <c r="G53" i="34" s="1"/>
  <c r="J330" i="33" s="1"/>
  <c r="K330" i="33" s="1"/>
  <c r="F66" i="34"/>
  <c r="G66" i="34" s="1"/>
  <c r="F69" i="34"/>
  <c r="G69" i="34" s="1"/>
  <c r="J340" i="33" s="1"/>
  <c r="F32" i="34"/>
  <c r="G32" i="34" s="1"/>
  <c r="J1163" i="33" s="1"/>
  <c r="K1163" i="33" s="1"/>
  <c r="K1165" i="33" s="1"/>
  <c r="F1166" i="33" s="1"/>
  <c r="F1167" i="33" s="1"/>
  <c r="P1167" i="33" s="1"/>
  <c r="E116" i="32" s="1"/>
  <c r="G56" i="53" s="1"/>
  <c r="I56" i="53" s="1"/>
  <c r="F33" i="34"/>
  <c r="G33" i="34" s="1"/>
  <c r="J1151" i="33" s="1"/>
  <c r="K1151" i="33" s="1"/>
  <c r="F47" i="34"/>
  <c r="G47" i="34" s="1"/>
  <c r="F42" i="34"/>
  <c r="G42" i="34" s="1"/>
  <c r="J957" i="33" s="1"/>
  <c r="K957" i="33" s="1"/>
  <c r="K961" i="33" s="1"/>
  <c r="F962" i="33" s="1"/>
  <c r="F963" i="33" s="1"/>
  <c r="P963" i="33" s="1"/>
  <c r="E98" i="32" s="1"/>
  <c r="F41" i="34"/>
  <c r="G41" i="34" s="1"/>
  <c r="J868" i="33" s="1"/>
  <c r="K868" i="33" s="1"/>
  <c r="K870" i="33" s="1"/>
  <c r="F871" i="33" s="1"/>
  <c r="F872" i="33" s="1"/>
  <c r="P872" i="33" s="1"/>
  <c r="E88" i="32" s="1"/>
  <c r="F50" i="34"/>
  <c r="G50" i="34" s="1"/>
  <c r="F51" i="34"/>
  <c r="G51" i="34" s="1"/>
  <c r="J357" i="33" s="1"/>
  <c r="K357" i="33" s="1"/>
  <c r="F7" i="34"/>
  <c r="G7" i="34" s="1"/>
  <c r="J67" i="33" s="1"/>
  <c r="K67" i="33" s="1"/>
  <c r="K68" i="33" s="1"/>
  <c r="F49" i="34"/>
  <c r="G49" i="34" s="1"/>
  <c r="F5" i="34"/>
  <c r="G5" i="34" s="1"/>
  <c r="J667" i="33" s="1"/>
  <c r="K667" i="33" s="1"/>
  <c r="F30" i="34"/>
  <c r="G30" i="34" s="1"/>
  <c r="J857" i="33" s="1"/>
  <c r="K857" i="33" s="1"/>
  <c r="K859" i="33" s="1"/>
  <c r="F860" i="33" s="1"/>
  <c r="F861" i="33" s="1"/>
  <c r="P861" i="33" s="1"/>
  <c r="E87" i="32" s="1"/>
  <c r="F65" i="34"/>
  <c r="G65" i="34" s="1"/>
  <c r="J290" i="33" s="1"/>
  <c r="K290" i="33" s="1"/>
  <c r="K292" i="33" s="1"/>
  <c r="F293" i="33" s="1"/>
  <c r="F294" i="33" s="1"/>
  <c r="P294" i="33" s="1"/>
  <c r="J304" i="33" s="1"/>
  <c r="K304" i="33" s="1"/>
  <c r="F20" i="34"/>
  <c r="G20" i="34" s="1"/>
  <c r="J487" i="33" s="1"/>
  <c r="K487" i="33" s="1"/>
  <c r="F21" i="34"/>
  <c r="G21" i="34" s="1"/>
  <c r="J486" i="33" s="1"/>
  <c r="K486" i="33" s="1"/>
  <c r="F19" i="34"/>
  <c r="G19" i="34" s="1"/>
  <c r="F58" i="34"/>
  <c r="G58" i="34" s="1"/>
  <c r="J931" i="33" s="1"/>
  <c r="F10" i="34"/>
  <c r="G10" i="34" s="1"/>
  <c r="F36" i="34"/>
  <c r="G36" i="34" s="1"/>
  <c r="F9" i="34"/>
  <c r="G9" i="34" s="1"/>
  <c r="J696" i="33"/>
  <c r="K696" i="33" s="1"/>
  <c r="J532" i="33"/>
  <c r="K532" i="33" s="1"/>
  <c r="J214" i="33"/>
  <c r="J1090" i="33"/>
  <c r="K1090" i="33" s="1"/>
  <c r="J681" i="33"/>
  <c r="K681" i="33" s="1"/>
  <c r="J504" i="33"/>
  <c r="K504" i="33" s="1"/>
  <c r="J204" i="33"/>
  <c r="K204" i="33" s="1"/>
  <c r="J1078" i="33"/>
  <c r="K1078" i="33" s="1"/>
  <c r="J622" i="33"/>
  <c r="K622" i="33" s="1"/>
  <c r="J463" i="33"/>
  <c r="K463" i="33" s="1"/>
  <c r="J192" i="33"/>
  <c r="K192" i="33" s="1"/>
  <c r="K195" i="33" s="1"/>
  <c r="J1103" i="33"/>
  <c r="K1103" i="33" s="1"/>
  <c r="J636" i="33"/>
  <c r="K636" i="33" s="1"/>
  <c r="J449" i="33"/>
  <c r="K449" i="33" s="1"/>
  <c r="J178" i="33"/>
  <c r="K178" i="33" s="1"/>
  <c r="J1127" i="33"/>
  <c r="K1127" i="33" s="1"/>
  <c r="J651" i="33"/>
  <c r="K651" i="33" s="1"/>
  <c r="J518" i="33"/>
  <c r="K518" i="33" s="1"/>
  <c r="J1115" i="33"/>
  <c r="K1115" i="33" s="1"/>
  <c r="J476" i="33"/>
  <c r="K476" i="33" s="1"/>
  <c r="J1066" i="33"/>
  <c r="K1066" i="33" s="1"/>
  <c r="J575" i="33"/>
  <c r="K575" i="33" s="1"/>
  <c r="J250" i="33"/>
  <c r="K250" i="33" s="1"/>
  <c r="J547" i="33"/>
  <c r="K547" i="33" s="1"/>
  <c r="J561" i="33"/>
  <c r="K561" i="33" s="1"/>
  <c r="J226" i="33"/>
  <c r="K226" i="33" s="1"/>
  <c r="F37" i="34"/>
  <c r="G37" i="34" s="1"/>
  <c r="F35" i="34"/>
  <c r="G35" i="34" s="1"/>
  <c r="F14" i="34"/>
  <c r="G14" i="34" s="1"/>
  <c r="J485" i="33" s="1"/>
  <c r="K485" i="33" s="1"/>
  <c r="J179" i="33"/>
  <c r="K179" i="33" s="1"/>
  <c r="P228" i="33"/>
  <c r="P183" i="33"/>
  <c r="P195" i="33"/>
  <c r="P252" i="33"/>
  <c r="P319" i="33"/>
  <c r="P320" i="33" s="1"/>
  <c r="F321" i="33" s="1"/>
  <c r="F322" i="33" s="1"/>
  <c r="P322" i="33" s="1"/>
  <c r="E40" i="32" s="1"/>
  <c r="G27" i="53" s="1"/>
  <c r="I27" i="53" s="1"/>
  <c r="J303" i="33"/>
  <c r="K303" i="33" s="1"/>
  <c r="E21" i="32"/>
  <c r="J1089" i="33"/>
  <c r="K1089" i="33" s="1"/>
  <c r="J1102" i="33"/>
  <c r="K1102" i="33" s="1"/>
  <c r="J922" i="33"/>
  <c r="K922" i="33" s="1"/>
  <c r="J1126" i="33"/>
  <c r="K1126" i="33" s="1"/>
  <c r="J987" i="33"/>
  <c r="K987" i="33" s="1"/>
  <c r="J1114" i="33"/>
  <c r="K1114" i="33" s="1"/>
  <c r="J1065" i="33"/>
  <c r="K1065" i="33" s="1"/>
  <c r="J973" i="33"/>
  <c r="K973" i="33" s="1"/>
  <c r="J1077" i="33"/>
  <c r="K1077" i="33" s="1"/>
  <c r="J546" i="33"/>
  <c r="K546" i="33" s="1"/>
  <c r="J695" i="33"/>
  <c r="K695" i="33" s="1"/>
  <c r="J635" i="33"/>
  <c r="K635" i="33" s="1"/>
  <c r="J650" i="33"/>
  <c r="K650" i="33" s="1"/>
  <c r="J680" i="33"/>
  <c r="K680" i="33" s="1"/>
  <c r="J621" i="33"/>
  <c r="K621" i="33" s="1"/>
  <c r="J517" i="33"/>
  <c r="K517" i="33" s="1"/>
  <c r="J475" i="33"/>
  <c r="K475" i="33" s="1"/>
  <c r="J447" i="33"/>
  <c r="K447" i="33" s="1"/>
  <c r="J574" i="33"/>
  <c r="K574" i="33" s="1"/>
  <c r="J560" i="33"/>
  <c r="K560" i="33" s="1"/>
  <c r="J531" i="33"/>
  <c r="K531" i="33" s="1"/>
  <c r="J503" i="33"/>
  <c r="K503" i="33" s="1"/>
  <c r="J462" i="33"/>
  <c r="K462" i="33" s="1"/>
  <c r="J277" i="33"/>
  <c r="K277" i="33" s="1"/>
  <c r="J105" i="33"/>
  <c r="K105" i="33" s="1"/>
  <c r="J93" i="33"/>
  <c r="K93" i="33" s="1"/>
  <c r="P450" i="33"/>
  <c r="F124" i="33"/>
  <c r="P124" i="33" s="1"/>
  <c r="P464" i="33"/>
  <c r="P683" i="33"/>
  <c r="P477" i="33"/>
  <c r="P563" i="33"/>
  <c r="P623" i="33"/>
  <c r="P520" i="33"/>
  <c r="P638" i="33"/>
  <c r="J488" i="33" l="1"/>
  <c r="K488" i="33" s="1"/>
  <c r="K491" i="33" s="1"/>
  <c r="F492" i="33" s="1"/>
  <c r="F493" i="33" s="1"/>
  <c r="F494" i="33" s="1"/>
  <c r="P494" i="33" s="1"/>
  <c r="E56" i="32" s="1"/>
  <c r="G80" i="53" s="1"/>
  <c r="J261" i="33"/>
  <c r="K261" i="33" s="1"/>
  <c r="J262" i="33"/>
  <c r="K262" i="33" s="1"/>
  <c r="G42" i="53"/>
  <c r="G86" i="53"/>
  <c r="G39" i="34"/>
  <c r="J203" i="33" s="1"/>
  <c r="K203" i="33" s="1"/>
  <c r="J663" i="33"/>
  <c r="K663" i="33" s="1"/>
  <c r="J1013" i="33"/>
  <c r="K1013" i="33" s="1"/>
  <c r="J999" i="33"/>
  <c r="K999" i="33" s="1"/>
  <c r="J1016" i="33"/>
  <c r="K1016" i="33" s="1"/>
  <c r="J1002" i="33"/>
  <c r="K1002" i="33" s="1"/>
  <c r="J1011" i="33"/>
  <c r="K1011" i="33" s="1"/>
  <c r="J997" i="33"/>
  <c r="K997" i="33" s="1"/>
  <c r="J664" i="33"/>
  <c r="K664" i="33" s="1"/>
  <c r="J1014" i="33"/>
  <c r="K1014" i="33" s="1"/>
  <c r="J1000" i="33"/>
  <c r="K1000" i="33" s="1"/>
  <c r="J998" i="33"/>
  <c r="K998" i="33" s="1"/>
  <c r="J1012" i="33"/>
  <c r="K1012" i="33" s="1"/>
  <c r="K183" i="33"/>
  <c r="F184" i="33" s="1"/>
  <c r="F185" i="33" s="1"/>
  <c r="P185" i="33" s="1"/>
  <c r="E24" i="32" s="1"/>
  <c r="G65" i="53" s="1"/>
  <c r="I65" i="53" s="1"/>
  <c r="G25" i="53"/>
  <c r="I25" i="53" s="1"/>
  <c r="G77" i="53"/>
  <c r="I77" i="53" s="1"/>
  <c r="J1100" i="33"/>
  <c r="K1100" i="33" s="1"/>
  <c r="J1052" i="33"/>
  <c r="K1052" i="33" s="1"/>
  <c r="K1054" i="33" s="1"/>
  <c r="F1055" i="33" s="1"/>
  <c r="F1056" i="33" s="1"/>
  <c r="P1056" i="33" s="1"/>
  <c r="E107" i="32" s="1"/>
  <c r="J890" i="33"/>
  <c r="K890" i="33" s="1"/>
  <c r="J988" i="33"/>
  <c r="K988" i="33" s="1"/>
  <c r="J900" i="33"/>
  <c r="K900" i="33" s="1"/>
  <c r="J799" i="33"/>
  <c r="K799" i="33" s="1"/>
  <c r="J1112" i="33"/>
  <c r="K1112" i="33" s="1"/>
  <c r="J920" i="33"/>
  <c r="K920" i="33" s="1"/>
  <c r="J823" i="33"/>
  <c r="K823" i="33" s="1"/>
  <c r="J1087" i="33"/>
  <c r="K1087" i="33" s="1"/>
  <c r="J811" i="33"/>
  <c r="K811" i="33" s="1"/>
  <c r="J901" i="33"/>
  <c r="K901" i="33" s="1"/>
  <c r="J881" i="33"/>
  <c r="K881" i="33" s="1"/>
  <c r="J236" i="33"/>
  <c r="J249" i="33" s="1"/>
  <c r="K249" i="33" s="1"/>
  <c r="K252" i="33" s="1"/>
  <c r="M32" i="45"/>
  <c r="N32" i="45" s="1"/>
  <c r="N35" i="45" s="1"/>
  <c r="T35" i="45" s="1"/>
  <c r="J1027" i="33"/>
  <c r="K1027" i="33" s="1"/>
  <c r="J974" i="33"/>
  <c r="K974" i="33" s="1"/>
  <c r="J847" i="33"/>
  <c r="K847" i="33" s="1"/>
  <c r="M36" i="45"/>
  <c r="N36" i="45" s="1"/>
  <c r="N39" i="45" s="1"/>
  <c r="T39" i="45" s="1"/>
  <c r="J880" i="33"/>
  <c r="K880" i="33" s="1"/>
  <c r="M28" i="45"/>
  <c r="N28" i="45" s="1"/>
  <c r="N31" i="45" s="1"/>
  <c r="T31" i="45" s="1"/>
  <c r="J1063" i="33"/>
  <c r="K1063" i="33" s="1"/>
  <c r="J1075" i="33"/>
  <c r="K1075" i="33" s="1"/>
  <c r="J891" i="33"/>
  <c r="K891" i="33" s="1"/>
  <c r="J835" i="33"/>
  <c r="K835" i="33" s="1"/>
  <c r="J787" i="33"/>
  <c r="K787" i="33" s="1"/>
  <c r="J1124" i="33"/>
  <c r="K1124" i="33" s="1"/>
  <c r="J662" i="33"/>
  <c r="K662" i="33" s="1"/>
  <c r="J910" i="33"/>
  <c r="K910" i="33" s="1"/>
  <c r="K912" i="33" s="1"/>
  <c r="F913" i="33" s="1"/>
  <c r="F914" i="33" s="1"/>
  <c r="P914" i="33" s="1"/>
  <c r="E93" i="32" s="1"/>
  <c r="J213" i="33"/>
  <c r="K213" i="33" s="1"/>
  <c r="K215" i="33" s="1"/>
  <c r="F216" i="33" s="1"/>
  <c r="F217" i="33" s="1"/>
  <c r="P217" i="33" s="1"/>
  <c r="E27" i="32" s="1"/>
  <c r="F196" i="33"/>
  <c r="F197" i="33" s="1"/>
  <c r="P197" i="33" s="1"/>
  <c r="E25" i="32" s="1"/>
  <c r="J352" i="33"/>
  <c r="K352" i="33" s="1"/>
  <c r="K340" i="33"/>
  <c r="J331" i="33"/>
  <c r="K331" i="33" s="1"/>
  <c r="J341" i="33"/>
  <c r="K341" i="33" s="1"/>
  <c r="J353" i="33"/>
  <c r="K353" i="33" s="1"/>
  <c r="J1026" i="33"/>
  <c r="K1026" i="33" s="1"/>
  <c r="J1040" i="33"/>
  <c r="K1040" i="33" s="1"/>
  <c r="K1042" i="33" s="1"/>
  <c r="F1043" i="33" s="1"/>
  <c r="F1044" i="33" s="1"/>
  <c r="P1044" i="33" s="1"/>
  <c r="J80" i="33"/>
  <c r="K80" i="33" s="1"/>
  <c r="K84" i="33" s="1"/>
  <c r="F85" i="33" s="1"/>
  <c r="F86" i="33" s="1"/>
  <c r="P86" i="33" s="1"/>
  <c r="E15" i="32" s="1"/>
  <c r="J607" i="33"/>
  <c r="K607" i="33" s="1"/>
  <c r="K609" i="33" s="1"/>
  <c r="F610" i="33" s="1"/>
  <c r="F611" i="33" s="1"/>
  <c r="P611" i="33" s="1"/>
  <c r="E65" i="32" s="1"/>
  <c r="J354" i="33"/>
  <c r="K354" i="33" s="1"/>
  <c r="J332" i="33"/>
  <c r="K332" i="33" s="1"/>
  <c r="J342" i="33"/>
  <c r="K342" i="33" s="1"/>
  <c r="J66" i="33"/>
  <c r="K66" i="33" s="1"/>
  <c r="E37" i="32"/>
  <c r="G57" i="53" s="1"/>
  <c r="I57" i="53" s="1"/>
  <c r="J533" i="33"/>
  <c r="K533" i="33" s="1"/>
  <c r="J652" i="33"/>
  <c r="K652" i="33" s="1"/>
  <c r="J948" i="33"/>
  <c r="K948" i="33" s="1"/>
  <c r="J562" i="33"/>
  <c r="K562" i="33" s="1"/>
  <c r="J637" i="33"/>
  <c r="K637" i="33" s="1"/>
  <c r="J548" i="33"/>
  <c r="K548" i="33" s="1"/>
  <c r="J519" i="33"/>
  <c r="K519" i="33" s="1"/>
  <c r="J697" i="33"/>
  <c r="K697" i="33" s="1"/>
  <c r="J682" i="33"/>
  <c r="K682" i="33" s="1"/>
  <c r="J576" i="33"/>
  <c r="K576" i="33" s="1"/>
  <c r="K228" i="33"/>
  <c r="F229" i="33" s="1"/>
  <c r="F230" i="33" s="1"/>
  <c r="J972" i="33"/>
  <c r="K972" i="33" s="1"/>
  <c r="J986" i="33"/>
  <c r="K986" i="33" s="1"/>
  <c r="J545" i="33"/>
  <c r="K545" i="33" s="1"/>
  <c r="J694" i="33"/>
  <c r="K694" i="33" s="1"/>
  <c r="J634" i="33"/>
  <c r="K634" i="33" s="1"/>
  <c r="J620" i="33"/>
  <c r="K620" i="33" s="1"/>
  <c r="J679" i="33"/>
  <c r="K679" i="33" s="1"/>
  <c r="J649" i="33"/>
  <c r="K649" i="33" s="1"/>
  <c r="J530" i="33"/>
  <c r="K530" i="33" s="1"/>
  <c r="J502" i="33"/>
  <c r="K502" i="33" s="1"/>
  <c r="J461" i="33"/>
  <c r="K461" i="33" s="1"/>
  <c r="J516" i="33"/>
  <c r="K516" i="33" s="1"/>
  <c r="J474" i="33"/>
  <c r="K474" i="33" s="1"/>
  <c r="J573" i="33"/>
  <c r="K573" i="33" s="1"/>
  <c r="J559" i="33"/>
  <c r="K559" i="33" s="1"/>
  <c r="J276" i="33"/>
  <c r="K276" i="33" s="1"/>
  <c r="J1125" i="33"/>
  <c r="K1125" i="33" s="1"/>
  <c r="J1076" i="33"/>
  <c r="K1076" i="33" s="1"/>
  <c r="J947" i="33"/>
  <c r="K947" i="33" s="1"/>
  <c r="J983" i="33"/>
  <c r="K983" i="33" s="1"/>
  <c r="J969" i="33"/>
  <c r="K969" i="33" s="1"/>
  <c r="J1064" i="33"/>
  <c r="K1064" i="33" s="1"/>
  <c r="J921" i="33"/>
  <c r="K921" i="33" s="1"/>
  <c r="J1088" i="33"/>
  <c r="K1088" i="33" s="1"/>
  <c r="J1101" i="33"/>
  <c r="K1101" i="33" s="1"/>
  <c r="J1113" i="33"/>
  <c r="K1113" i="33" s="1"/>
  <c r="J543" i="33"/>
  <c r="K543" i="33" s="1"/>
  <c r="J733" i="33"/>
  <c r="K733" i="33" s="1"/>
  <c r="J647" i="33"/>
  <c r="K647" i="33" s="1"/>
  <c r="J632" i="33"/>
  <c r="K632" i="33" s="1"/>
  <c r="J677" i="33"/>
  <c r="K677" i="33" s="1"/>
  <c r="J692" i="33"/>
  <c r="K692" i="33" s="1"/>
  <c r="J618" i="33"/>
  <c r="K618" i="33" s="1"/>
  <c r="J557" i="33"/>
  <c r="K557" i="33" s="1"/>
  <c r="J528" i="33"/>
  <c r="K528" i="33" s="1"/>
  <c r="J514" i="33"/>
  <c r="K514" i="33" s="1"/>
  <c r="J472" i="33"/>
  <c r="K472" i="33" s="1"/>
  <c r="J458" i="33"/>
  <c r="K458" i="33" s="1"/>
  <c r="J500" i="33"/>
  <c r="K500" i="33" s="1"/>
  <c r="J571" i="33"/>
  <c r="K571" i="33" s="1"/>
  <c r="J448" i="33"/>
  <c r="K448" i="33" s="1"/>
  <c r="J278" i="33"/>
  <c r="K278" i="33" s="1"/>
  <c r="J94" i="33"/>
  <c r="K94" i="33" s="1"/>
  <c r="J106" i="33"/>
  <c r="K106" i="33" s="1"/>
  <c r="J971" i="33"/>
  <c r="K971" i="33" s="1"/>
  <c r="J985" i="33"/>
  <c r="K985" i="33" s="1"/>
  <c r="J544" i="33"/>
  <c r="K544" i="33" s="1"/>
  <c r="J648" i="33"/>
  <c r="K648" i="33" s="1"/>
  <c r="J693" i="33"/>
  <c r="K693" i="33" s="1"/>
  <c r="J633" i="33"/>
  <c r="K633" i="33" s="1"/>
  <c r="J678" i="33"/>
  <c r="K678" i="33" s="1"/>
  <c r="J619" i="33"/>
  <c r="K619" i="33" s="1"/>
  <c r="J529" i="33"/>
  <c r="K529" i="33" s="1"/>
  <c r="J460" i="33"/>
  <c r="K460" i="33" s="1"/>
  <c r="J572" i="33"/>
  <c r="K572" i="33" s="1"/>
  <c r="J515" i="33"/>
  <c r="K515" i="33" s="1"/>
  <c r="J501" i="33"/>
  <c r="K501" i="33" s="1"/>
  <c r="J473" i="33"/>
  <c r="K473" i="33" s="1"/>
  <c r="J558" i="33"/>
  <c r="K558" i="33" s="1"/>
  <c r="J275" i="33"/>
  <c r="K275" i="33" s="1"/>
  <c r="J970" i="33"/>
  <c r="K970" i="33" s="1"/>
  <c r="J984" i="33"/>
  <c r="K984" i="33" s="1"/>
  <c r="J446" i="33"/>
  <c r="K446" i="33" s="1"/>
  <c r="J459" i="33"/>
  <c r="K459" i="33" s="1"/>
  <c r="E19" i="32"/>
  <c r="G63" i="53" s="1"/>
  <c r="I63" i="53" s="1"/>
  <c r="K264" i="33" l="1"/>
  <c r="F265" i="33" s="1"/>
  <c r="F266" i="33" s="1"/>
  <c r="P266" i="33" s="1"/>
  <c r="E33" i="32" s="1"/>
  <c r="G67" i="53" s="1"/>
  <c r="I67" i="53" s="1"/>
  <c r="K236" i="33"/>
  <c r="K238" i="33" s="1"/>
  <c r="F239" i="33" s="1"/>
  <c r="F240" i="33" s="1"/>
  <c r="P240" i="33" s="1"/>
  <c r="E30" i="32" s="1"/>
  <c r="K205" i="33"/>
  <c r="F206" i="33" s="1"/>
  <c r="F207" i="33" s="1"/>
  <c r="P207" i="33" s="1"/>
  <c r="E26" i="32" s="1"/>
  <c r="G33" i="53" s="1"/>
  <c r="K1104" i="33"/>
  <c r="P230" i="33"/>
  <c r="E29" i="32" s="1"/>
  <c r="K668" i="33"/>
  <c r="F669" i="33" s="1"/>
  <c r="K1003" i="33"/>
  <c r="F1004" i="33" s="1"/>
  <c r="F1005" i="33" s="1"/>
  <c r="P1005" i="33" s="1"/>
  <c r="E101" i="32" s="1"/>
  <c r="K1017" i="33"/>
  <c r="F1018" i="33" s="1"/>
  <c r="F1019" i="33" s="1"/>
  <c r="P1019" i="33" s="1"/>
  <c r="E102" i="32" s="1"/>
  <c r="K882" i="33"/>
  <c r="F883" i="33" s="1"/>
  <c r="F884" i="33" s="1"/>
  <c r="P884" i="33" s="1"/>
  <c r="E90" i="32" s="1"/>
  <c r="K892" i="33"/>
  <c r="F893" i="33" s="1"/>
  <c r="F894" i="33" s="1"/>
  <c r="P894" i="33" s="1"/>
  <c r="E91" i="32" s="1"/>
  <c r="K1128" i="33"/>
  <c r="F1129" i="33" s="1"/>
  <c r="F1130" i="33" s="1"/>
  <c r="P1130" i="33" s="1"/>
  <c r="E113" i="32" s="1"/>
  <c r="K1091" i="33"/>
  <c r="F1092" i="33" s="1"/>
  <c r="F1093" i="33" s="1"/>
  <c r="P1093" i="33" s="1"/>
  <c r="E110" i="32" s="1"/>
  <c r="K902" i="33"/>
  <c r="F903" i="33" s="1"/>
  <c r="F904" i="33" s="1"/>
  <c r="P904" i="33" s="1"/>
  <c r="E92" i="32" s="1"/>
  <c r="K1030" i="33"/>
  <c r="F1031" i="33" s="1"/>
  <c r="F1032" i="33" s="1"/>
  <c r="P1032" i="33" s="1"/>
  <c r="E103" i="32" s="1"/>
  <c r="K923" i="33"/>
  <c r="F924" i="33" s="1"/>
  <c r="F925" i="33" s="1"/>
  <c r="P925" i="33" s="1"/>
  <c r="E94" i="32" s="1"/>
  <c r="K1067" i="33"/>
  <c r="F1068" i="33" s="1"/>
  <c r="F1069" i="33" s="1"/>
  <c r="P1069" i="33" s="1"/>
  <c r="E108" i="32" s="1"/>
  <c r="K1116" i="33"/>
  <c r="F1117" i="33" s="1"/>
  <c r="F1118" i="33" s="1"/>
  <c r="P1118" i="33" s="1"/>
  <c r="K1079" i="33"/>
  <c r="F1080" i="33" s="1"/>
  <c r="F1081" i="33" s="1"/>
  <c r="P1081" i="33" s="1"/>
  <c r="E109" i="32" s="1"/>
  <c r="K343" i="33"/>
  <c r="F344" i="33" s="1"/>
  <c r="F345" i="33" s="1"/>
  <c r="P345" i="33" s="1"/>
  <c r="E43" i="32" s="1"/>
  <c r="G41" i="53" s="1"/>
  <c r="K333" i="33"/>
  <c r="F334" i="33" s="1"/>
  <c r="F335" i="33" s="1"/>
  <c r="P335" i="33" s="1"/>
  <c r="E42" i="32" s="1"/>
  <c r="G32" i="53" s="1"/>
  <c r="E105" i="32"/>
  <c r="K734" i="33"/>
  <c r="K739" i="33" s="1"/>
  <c r="F740" i="33" s="1"/>
  <c r="F741" i="33" s="1"/>
  <c r="P741" i="33" s="1"/>
  <c r="E76" i="32" s="1"/>
  <c r="G50" i="53" s="1"/>
  <c r="I50" i="53" s="1"/>
  <c r="K683" i="33"/>
  <c r="F684" i="33" s="1"/>
  <c r="F685" i="33" s="1"/>
  <c r="F686" i="33" s="1"/>
  <c r="K534" i="33"/>
  <c r="F535" i="33" s="1"/>
  <c r="F536" i="33" s="1"/>
  <c r="F537" i="33" s="1"/>
  <c r="P537" i="33" s="1"/>
  <c r="E59" i="32" s="1"/>
  <c r="K549" i="33"/>
  <c r="F550" i="33" s="1"/>
  <c r="F551" i="33" s="1"/>
  <c r="P551" i="33" s="1"/>
  <c r="J718" i="33" s="1"/>
  <c r="K718" i="33" s="1"/>
  <c r="K931" i="33"/>
  <c r="J707" i="33"/>
  <c r="K707" i="33" s="1"/>
  <c r="J597" i="33"/>
  <c r="K597" i="33" s="1"/>
  <c r="J587" i="33"/>
  <c r="K587" i="33" s="1"/>
  <c r="J302" i="33"/>
  <c r="K302" i="33" s="1"/>
  <c r="J65" i="33"/>
  <c r="K65" i="33" s="1"/>
  <c r="K989" i="33"/>
  <c r="F990" i="33" s="1"/>
  <c r="F991" i="33" s="1"/>
  <c r="P991" i="33" s="1"/>
  <c r="E100" i="32" s="1"/>
  <c r="K653" i="33"/>
  <c r="F654" i="33" s="1"/>
  <c r="K975" i="33"/>
  <c r="F976" i="33" s="1"/>
  <c r="F977" i="33" s="1"/>
  <c r="P977" i="33" s="1"/>
  <c r="E99" i="32" s="1"/>
  <c r="K577" i="33"/>
  <c r="F578" i="33" s="1"/>
  <c r="F579" i="33" s="1"/>
  <c r="F580" i="33" s="1"/>
  <c r="P580" i="33" s="1"/>
  <c r="K698" i="33"/>
  <c r="F699" i="33" s="1"/>
  <c r="K505" i="33"/>
  <c r="F506" i="33" s="1"/>
  <c r="F507" i="33" s="1"/>
  <c r="F508" i="33" s="1"/>
  <c r="P508" i="33" s="1"/>
  <c r="K279" i="33"/>
  <c r="F280" i="33" s="1"/>
  <c r="F281" i="33" s="1"/>
  <c r="P281" i="33" s="1"/>
  <c r="K520" i="33"/>
  <c r="F521" i="33" s="1"/>
  <c r="F522" i="33" s="1"/>
  <c r="P522" i="33" s="1"/>
  <c r="E58" i="32" s="1"/>
  <c r="K450" i="33"/>
  <c r="F451" i="33" s="1"/>
  <c r="F452" i="33" s="1"/>
  <c r="K638" i="33"/>
  <c r="F639" i="33" s="1"/>
  <c r="K623" i="33"/>
  <c r="F624" i="33" s="1"/>
  <c r="K477" i="33"/>
  <c r="F478" i="33" s="1"/>
  <c r="K464" i="33"/>
  <c r="F465" i="33" s="1"/>
  <c r="K563" i="33"/>
  <c r="F564" i="33" s="1"/>
  <c r="F565" i="33" s="1"/>
  <c r="P565" i="33" s="1"/>
  <c r="J355" i="33"/>
  <c r="K355" i="33" s="1"/>
  <c r="K358" i="33" s="1"/>
  <c r="F359" i="33" s="1"/>
  <c r="F360" i="33" s="1"/>
  <c r="P360" i="33" s="1"/>
  <c r="J420" i="33"/>
  <c r="K420" i="33" s="1"/>
  <c r="I33" i="53" l="1"/>
  <c r="H33" i="53"/>
  <c r="F670" i="33"/>
  <c r="F671" i="33" s="1"/>
  <c r="F700" i="33"/>
  <c r="F701" i="33" s="1"/>
  <c r="P686" i="33"/>
  <c r="E70" i="32" s="1"/>
  <c r="F640" i="33"/>
  <c r="F641" i="33" s="1"/>
  <c r="P641" i="33" s="1"/>
  <c r="F655" i="33"/>
  <c r="F656" i="33" s="1"/>
  <c r="P656" i="33" s="1"/>
  <c r="E68" i="32" s="1"/>
  <c r="F625" i="33"/>
  <c r="F626" i="33" s="1"/>
  <c r="P626" i="33" s="1"/>
  <c r="E66" i="32" s="1"/>
  <c r="E74" i="32" s="1"/>
  <c r="H41" i="53"/>
  <c r="I41" i="53"/>
  <c r="I42" i="53"/>
  <c r="H42" i="53"/>
  <c r="I86" i="53"/>
  <c r="H86" i="53"/>
  <c r="I32" i="53"/>
  <c r="H32" i="53"/>
  <c r="E112" i="32"/>
  <c r="G81" i="53" s="1"/>
  <c r="I81" i="53" s="1"/>
  <c r="E60" i="32"/>
  <c r="J1150" i="33"/>
  <c r="K1150" i="33" s="1"/>
  <c r="K1154" i="33" s="1"/>
  <c r="P1150" i="33" s="1"/>
  <c r="P1154" i="33" s="1"/>
  <c r="F1155" i="33" s="1"/>
  <c r="F1156" i="33" s="1"/>
  <c r="P1156" i="33" s="1"/>
  <c r="J749" i="33"/>
  <c r="K749" i="33" s="1"/>
  <c r="J765" i="33"/>
  <c r="K765" i="33" s="1"/>
  <c r="J821" i="33"/>
  <c r="K821" i="33" s="1"/>
  <c r="J833" i="33"/>
  <c r="K833" i="33" s="1"/>
  <c r="J845" i="33"/>
  <c r="K845" i="33" s="1"/>
  <c r="J809" i="33"/>
  <c r="K809" i="33" s="1"/>
  <c r="J785" i="33"/>
  <c r="K785" i="33" s="1"/>
  <c r="J797" i="33"/>
  <c r="K797" i="33" s="1"/>
  <c r="K421" i="33"/>
  <c r="K424" i="33" s="1"/>
  <c r="F425" i="33" s="1"/>
  <c r="F426" i="33" s="1"/>
  <c r="P426" i="33" s="1"/>
  <c r="E62" i="32"/>
  <c r="G39" i="53" s="1"/>
  <c r="J834" i="33"/>
  <c r="K834" i="33" s="1"/>
  <c r="J822" i="33"/>
  <c r="K822" i="33" s="1"/>
  <c r="J846" i="33"/>
  <c r="K846" i="33" s="1"/>
  <c r="J798" i="33"/>
  <c r="K798" i="33" s="1"/>
  <c r="J810" i="33"/>
  <c r="K810" i="33" s="1"/>
  <c r="J786" i="33"/>
  <c r="K786" i="33" s="1"/>
  <c r="J832" i="33"/>
  <c r="K832" i="33" s="1"/>
  <c r="J820" i="33"/>
  <c r="K820" i="33" s="1"/>
  <c r="J808" i="33"/>
  <c r="K808" i="33" s="1"/>
  <c r="J844" i="33"/>
  <c r="K844" i="33" s="1"/>
  <c r="J784" i="33"/>
  <c r="K784" i="33" s="1"/>
  <c r="J796" i="33"/>
  <c r="K796" i="33" s="1"/>
  <c r="E35" i="32"/>
  <c r="K932" i="33"/>
  <c r="K933" i="33" s="1"/>
  <c r="F934" i="33" s="1"/>
  <c r="F935" i="33" s="1"/>
  <c r="P935" i="33" s="1"/>
  <c r="P936" i="33" s="1"/>
  <c r="E96" i="32" s="1"/>
  <c r="G34" i="53" s="1"/>
  <c r="J708" i="33"/>
  <c r="K708" i="33" s="1"/>
  <c r="K709" i="33" s="1"/>
  <c r="J588" i="33"/>
  <c r="K588" i="33" s="1"/>
  <c r="K589" i="33" s="1"/>
  <c r="F590" i="33" s="1"/>
  <c r="F591" i="33" s="1"/>
  <c r="P591" i="33" s="1"/>
  <c r="J598" i="33"/>
  <c r="K598" i="33" s="1"/>
  <c r="K599" i="33" s="1"/>
  <c r="F600" i="33" s="1"/>
  <c r="F601" i="33" s="1"/>
  <c r="P601" i="33" s="1"/>
  <c r="E61" i="32"/>
  <c r="G30" i="53" s="1"/>
  <c r="E57" i="32"/>
  <c r="F479" i="33"/>
  <c r="P479" i="33" s="1"/>
  <c r="E55" i="32" s="1"/>
  <c r="P452" i="33"/>
  <c r="F466" i="33"/>
  <c r="P466" i="33" s="1"/>
  <c r="G59" i="53" l="1"/>
  <c r="I59" i="53" s="1"/>
  <c r="G68" i="53"/>
  <c r="I68" i="53" s="1"/>
  <c r="P671" i="33"/>
  <c r="E69" i="32" s="1"/>
  <c r="G48" i="53" s="1"/>
  <c r="I48" i="53" s="1"/>
  <c r="P701" i="33"/>
  <c r="E71" i="32" s="1"/>
  <c r="G49" i="53" s="1"/>
  <c r="I49" i="53" s="1"/>
  <c r="I34" i="53"/>
  <c r="H34" i="53"/>
  <c r="I39" i="53"/>
  <c r="H39" i="53"/>
  <c r="I30" i="53"/>
  <c r="H30" i="53"/>
  <c r="K824" i="33"/>
  <c r="F825" i="33" s="1"/>
  <c r="F826" i="33" s="1"/>
  <c r="P826" i="33" s="1"/>
  <c r="E84" i="32" s="1"/>
  <c r="K848" i="33"/>
  <c r="F849" i="33" s="1"/>
  <c r="F850" i="33" s="1"/>
  <c r="P850" i="33" s="1"/>
  <c r="E86" i="32" s="1"/>
  <c r="G72" i="53" s="1"/>
  <c r="E64" i="32"/>
  <c r="G40" i="53" s="1"/>
  <c r="E95" i="32"/>
  <c r="J944" i="33"/>
  <c r="K944" i="33" s="1"/>
  <c r="K949" i="33" s="1"/>
  <c r="F950" i="33" s="1"/>
  <c r="F951" i="33" s="1"/>
  <c r="P951" i="33" s="1"/>
  <c r="E97" i="32" s="1"/>
  <c r="E53" i="32"/>
  <c r="G79" i="53" s="1"/>
  <c r="J301" i="33"/>
  <c r="K301" i="33" s="1"/>
  <c r="K305" i="33" s="1"/>
  <c r="F306" i="33" s="1"/>
  <c r="F307" i="33" s="1"/>
  <c r="P307" i="33" s="1"/>
  <c r="E38" i="32" s="1"/>
  <c r="J64" i="33"/>
  <c r="K64" i="33" s="1"/>
  <c r="K69" i="33" s="1"/>
  <c r="F70" i="33" s="1"/>
  <c r="F71" i="33" s="1"/>
  <c r="P71" i="33" s="1"/>
  <c r="E13" i="32" s="1"/>
  <c r="E54" i="32"/>
  <c r="K836" i="33"/>
  <c r="F837" i="33" s="1"/>
  <c r="F838" i="33" s="1"/>
  <c r="P838" i="33" s="1"/>
  <c r="E85" i="32" s="1"/>
  <c r="E63" i="32"/>
  <c r="G31" i="53" s="1"/>
  <c r="E67" i="32"/>
  <c r="E50" i="32"/>
  <c r="K768" i="33"/>
  <c r="P766" i="33"/>
  <c r="P773" i="33" s="1"/>
  <c r="K767" i="33"/>
  <c r="K766" i="33"/>
  <c r="J95" i="33"/>
  <c r="K95" i="33" s="1"/>
  <c r="K96" i="33" s="1"/>
  <c r="F97" i="33" s="1"/>
  <c r="F98" i="33" s="1"/>
  <c r="P98" i="33" s="1"/>
  <c r="E16" i="32" s="1"/>
  <c r="J107" i="33"/>
  <c r="K107" i="33" s="1"/>
  <c r="K109" i="33" s="1"/>
  <c r="F110" i="33" s="1"/>
  <c r="F111" i="33" s="1"/>
  <c r="P111" i="33" s="1"/>
  <c r="E17" i="32" s="1"/>
  <c r="K751" i="33"/>
  <c r="K752" i="33"/>
  <c r="K750" i="33"/>
  <c r="P750" i="33"/>
  <c r="P757" i="33" s="1"/>
  <c r="E115" i="32"/>
  <c r="G58" i="53" s="1"/>
  <c r="I58" i="53" s="1"/>
  <c r="F710" i="33"/>
  <c r="F711" i="33" s="1"/>
  <c r="P711" i="33" s="1"/>
  <c r="K812" i="33"/>
  <c r="F813" i="33" s="1"/>
  <c r="K800" i="33"/>
  <c r="F801" i="33" s="1"/>
  <c r="K788" i="33"/>
  <c r="F789" i="33" s="1"/>
  <c r="G85" i="53" l="1"/>
  <c r="I85" i="53" s="1"/>
  <c r="I72" i="53"/>
  <c r="I80" i="53"/>
  <c r="G46" i="53"/>
  <c r="I46" i="53" s="1"/>
  <c r="H31" i="53"/>
  <c r="I31" i="53"/>
  <c r="I40" i="53"/>
  <c r="I44" i="53" s="1"/>
  <c r="H40" i="53"/>
  <c r="I79" i="53"/>
  <c r="G29" i="53"/>
  <c r="I29" i="53" s="1"/>
  <c r="K773" i="33"/>
  <c r="F774" i="33" s="1"/>
  <c r="F775" i="33" s="1"/>
  <c r="P775" i="33" s="1"/>
  <c r="E79" i="32" s="1"/>
  <c r="K757" i="33"/>
  <c r="F758" i="33" s="1"/>
  <c r="F759" i="33" s="1"/>
  <c r="P759" i="33" s="1"/>
  <c r="E72" i="32"/>
  <c r="G51" i="53" s="1"/>
  <c r="I51" i="53" s="1"/>
  <c r="J719" i="33"/>
  <c r="K719" i="33" s="1"/>
  <c r="K720" i="33" s="1"/>
  <c r="F721" i="33" s="1"/>
  <c r="F722" i="33" s="1"/>
  <c r="P722" i="33" s="1"/>
  <c r="E73" i="32" s="1"/>
  <c r="F802" i="33"/>
  <c r="P802" i="33" s="1"/>
  <c r="E82" i="32" s="1"/>
  <c r="G70" i="53" s="1"/>
  <c r="F814" i="33"/>
  <c r="P814" i="33" s="1"/>
  <c r="E83" i="32" s="1"/>
  <c r="G71" i="53" s="1"/>
  <c r="F790" i="33"/>
  <c r="P790" i="33" s="1"/>
  <c r="E81" i="32" s="1"/>
  <c r="G84" i="53" l="1"/>
  <c r="I84" i="53" s="1"/>
  <c r="I71" i="53"/>
  <c r="G83" i="53"/>
  <c r="I83" i="53" s="1"/>
  <c r="I70" i="53"/>
  <c r="I35" i="53"/>
  <c r="C11" i="52" s="1"/>
  <c r="C12" i="52"/>
  <c r="I60" i="53"/>
  <c r="E78" i="32"/>
  <c r="I87" i="53" l="1"/>
  <c r="C15" i="52" s="1"/>
  <c r="C13" i="52"/>
  <c r="C17" i="52" s="1"/>
  <c r="I92" i="53"/>
  <c r="F169" i="33"/>
  <c r="F171" i="33" s="1"/>
  <c r="P171" i="33" s="1"/>
  <c r="E23" i="32" s="1"/>
  <c r="F253" i="33" l="1"/>
  <c r="F254" i="33" s="1"/>
  <c r="P254" i="33" s="1"/>
  <c r="E32" i="32" l="1"/>
  <c r="G66" i="53" s="1"/>
  <c r="I66" i="53" s="1"/>
  <c r="I73" i="53" s="1"/>
  <c r="I11" i="53" s="1"/>
  <c r="P1104" i="33"/>
  <c r="F1105" i="33" s="1"/>
  <c r="F1106" i="33" s="1"/>
  <c r="P1106" i="33" s="1"/>
  <c r="E111" i="32" s="1"/>
  <c r="C14" i="52" l="1"/>
  <c r="I20" i="53" l="1"/>
  <c r="I93" i="53" s="1"/>
  <c r="I94" i="53" l="1"/>
  <c r="C19" i="52" s="1"/>
  <c r="I95" i="53"/>
  <c r="C20" i="52" s="1"/>
  <c r="I96" i="53"/>
  <c r="C21" i="52" s="1"/>
  <c r="C10" i="52"/>
  <c r="C18" i="52" s="1"/>
  <c r="I97" i="53" l="1"/>
  <c r="C22" i="52" s="1"/>
  <c r="I98" i="53" l="1"/>
  <c r="C23" i="52" s="1"/>
  <c r="C32" i="52" s="1"/>
  <c r="D32" i="52" s="1"/>
  <c r="E32" i="5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krishna pandit</author>
  </authors>
  <commentList>
    <comment ref="H24" authorId="0" shapeId="0" xr:uid="{00000000-0006-0000-0C00-000001000000}">
      <text>
        <r>
          <rPr>
            <b/>
            <sz val="9"/>
            <color indexed="81"/>
            <rFont val="Tahoma"/>
            <family val="2"/>
          </rPr>
          <t>krishna pandit:</t>
        </r>
        <r>
          <rPr>
            <sz val="9"/>
            <color indexed="81"/>
            <rFont val="Tahoma"/>
            <family val="2"/>
          </rPr>
          <t xml:space="preserve">
Size of Brick (.24x.115x.057)
Density=1900kg/m3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Gadtola</author>
  </authors>
  <commentList>
    <comment ref="C53" authorId="0" shapeId="0" xr:uid="{00000000-0006-0000-0D00-000001000000}">
      <text>
        <r>
          <rPr>
            <b/>
            <sz val="9"/>
            <color indexed="81"/>
            <rFont val="Tahoma"/>
            <family val="2"/>
          </rPr>
          <t>NRs. 250/kg
8.834kg/m for 4kgf/cm²</t>
        </r>
      </text>
    </comment>
    <comment ref="C58" authorId="0" shapeId="0" xr:uid="{00000000-0006-0000-0D00-000002000000}">
      <text>
        <r>
          <rPr>
            <b/>
            <sz val="9"/>
            <color indexed="81"/>
            <rFont val="Tahoma"/>
            <family val="2"/>
          </rPr>
          <t>Nrs 135 per kg
unit weight = 9.86kg per meter</t>
        </r>
      </text>
    </comment>
  </commentList>
</comments>
</file>

<file path=xl/sharedStrings.xml><?xml version="1.0" encoding="utf-8"?>
<sst xmlns="http://schemas.openxmlformats.org/spreadsheetml/2006/main" count="5868" uniqueCount="1261">
  <si>
    <t>MS steel</t>
  </si>
  <si>
    <t>nos</t>
  </si>
  <si>
    <t>Spec. cl. No: 2000</t>
  </si>
  <si>
    <t>Generator</t>
  </si>
  <si>
    <t>Tractor</t>
  </si>
  <si>
    <t>Description of works</t>
  </si>
  <si>
    <t>Remarks</t>
  </si>
  <si>
    <t>Unit</t>
  </si>
  <si>
    <t>Type</t>
  </si>
  <si>
    <t>Qty.</t>
  </si>
  <si>
    <t xml:space="preserve">Unskilled </t>
  </si>
  <si>
    <t>md</t>
  </si>
  <si>
    <t>lit</t>
  </si>
  <si>
    <t>hr</t>
  </si>
  <si>
    <t>t</t>
  </si>
  <si>
    <t>1000 lit</t>
  </si>
  <si>
    <t>Skilled</t>
  </si>
  <si>
    <t>m</t>
  </si>
  <si>
    <t xml:space="preserve">Skilled </t>
  </si>
  <si>
    <t>Rate</t>
  </si>
  <si>
    <t>Amount</t>
  </si>
  <si>
    <t>=</t>
  </si>
  <si>
    <t>Sand</t>
  </si>
  <si>
    <t>Boulder, Cobbles, quarry stone</t>
  </si>
  <si>
    <t>Cement</t>
  </si>
  <si>
    <t>Reinforcement Steel and gabion wire</t>
  </si>
  <si>
    <t>Water</t>
  </si>
  <si>
    <t>Description</t>
  </si>
  <si>
    <t>Unskilled</t>
  </si>
  <si>
    <t xml:space="preserve">Description of works: </t>
  </si>
  <si>
    <t>Norms No.</t>
  </si>
  <si>
    <t>Labour (A)</t>
  </si>
  <si>
    <t>Material (B)</t>
  </si>
  <si>
    <t>Equipment (C)</t>
  </si>
  <si>
    <t>Sub total of A =</t>
  </si>
  <si>
    <t>Sub total of B =</t>
  </si>
  <si>
    <t>Sub total of C =</t>
  </si>
  <si>
    <t>Diesel</t>
  </si>
  <si>
    <t>Collection of rubble of required size, hauling distance10m. and stacking.</t>
  </si>
  <si>
    <t>Loader</t>
  </si>
  <si>
    <t>Crushed Aggregate</t>
  </si>
  <si>
    <t>40 mm (Large)</t>
  </si>
  <si>
    <t>Unskilled (Labour)</t>
  </si>
  <si>
    <t>lit.</t>
  </si>
  <si>
    <t>S.N.</t>
  </si>
  <si>
    <t>Royalty ( R )</t>
  </si>
  <si>
    <t>Collection Rate (C)</t>
  </si>
  <si>
    <t>District Rate (D)</t>
  </si>
  <si>
    <t>Transportation Rate ( Tp )</t>
  </si>
  <si>
    <t>1) Labour</t>
  </si>
  <si>
    <t>kg</t>
  </si>
  <si>
    <t>Petrol</t>
  </si>
  <si>
    <t>Jute</t>
  </si>
  <si>
    <t>Unit Rate =</t>
  </si>
  <si>
    <t>Gravel</t>
  </si>
  <si>
    <t>ABSTRACT OF COST</t>
  </si>
  <si>
    <t>Reinforcement</t>
  </si>
  <si>
    <t>Mesh wire 10 swg</t>
  </si>
  <si>
    <t>Kg</t>
  </si>
  <si>
    <t>Binding wire 12 swg</t>
  </si>
  <si>
    <t>Stone</t>
  </si>
  <si>
    <t>Norms No</t>
  </si>
  <si>
    <t>Specification Clause No.</t>
  </si>
  <si>
    <t>rm</t>
  </si>
  <si>
    <t>Binding Wire</t>
  </si>
  <si>
    <t>Binding wire Black</t>
  </si>
  <si>
    <t>Binding wire White</t>
  </si>
  <si>
    <t>G.I Wire heavy coated</t>
  </si>
  <si>
    <t xml:space="preserve">10 gauge </t>
  </si>
  <si>
    <t>12 gauge</t>
  </si>
  <si>
    <t>Semiskilled</t>
  </si>
  <si>
    <t>no</t>
  </si>
  <si>
    <t>ltr</t>
  </si>
  <si>
    <t>Remark</t>
  </si>
  <si>
    <t>Spec. cl. No: 3105</t>
  </si>
  <si>
    <t>Quantity</t>
  </si>
  <si>
    <t>DETAILED MEASUREMENT SHEET</t>
  </si>
  <si>
    <t>S.No</t>
  </si>
  <si>
    <t>Nos</t>
  </si>
  <si>
    <t>Measurement</t>
  </si>
  <si>
    <t>L(m)</t>
  </si>
  <si>
    <t>B(m)</t>
  </si>
  <si>
    <t>H(m)</t>
  </si>
  <si>
    <t>Total</t>
  </si>
  <si>
    <t>unskilled</t>
  </si>
  <si>
    <t>A.</t>
  </si>
  <si>
    <t>A.1</t>
  </si>
  <si>
    <t>Superstructure</t>
  </si>
  <si>
    <t>C</t>
  </si>
  <si>
    <t>Sqm</t>
  </si>
  <si>
    <t>Spec. cl. No:  2000</t>
  </si>
  <si>
    <t>Planks 38mm thick.</t>
  </si>
  <si>
    <t>GEO-TEXTILE</t>
  </si>
  <si>
    <t>Spec. cl. No: 2404</t>
  </si>
  <si>
    <t>Geotextile</t>
  </si>
  <si>
    <t xml:space="preserve">Sub total of A  = </t>
  </si>
  <si>
    <t>Graded filter material</t>
  </si>
  <si>
    <t>CONCRETE FOR SUPERSTRUCTURE</t>
  </si>
  <si>
    <t>CONCRETE FOR SUBSTRUCTURES</t>
  </si>
  <si>
    <t>Sub total of B=</t>
  </si>
  <si>
    <t>sand</t>
  </si>
  <si>
    <t xml:space="preserve">unskilled </t>
  </si>
  <si>
    <t>GI PIPE</t>
  </si>
  <si>
    <t>APPROACH ROAD</t>
  </si>
  <si>
    <t>Spec. cl. No: 905</t>
  </si>
  <si>
    <t>Spec. cl. 2401</t>
  </si>
  <si>
    <t>Spec. cl. No: 907</t>
  </si>
  <si>
    <t>Spec. cl. No: 201</t>
  </si>
  <si>
    <t>Paint</t>
  </si>
  <si>
    <t>Rate Analysis</t>
  </si>
  <si>
    <t>Contractors overhead 15%</t>
  </si>
  <si>
    <t>Contractors overhead 15%=</t>
  </si>
  <si>
    <t>S.N</t>
  </si>
  <si>
    <t>Cost(NRs.)</t>
  </si>
  <si>
    <t>General</t>
  </si>
  <si>
    <t>Foundation and Substructure</t>
  </si>
  <si>
    <t>Approach Road and Protection works</t>
  </si>
  <si>
    <t>Others</t>
  </si>
  <si>
    <t>TOTAL</t>
  </si>
  <si>
    <t>VAT 13%</t>
  </si>
  <si>
    <t>GRAND TOTAL</t>
  </si>
  <si>
    <t>Description of Works</t>
  </si>
  <si>
    <t>Rate in Figure (NRs.)</t>
  </si>
  <si>
    <t>Rate in Words (NRs)</t>
  </si>
  <si>
    <t>Amount (NRs.)</t>
  </si>
  <si>
    <t>GENERAL ITEMS</t>
  </si>
  <si>
    <t>Insurance all complete as per Contract</t>
  </si>
  <si>
    <t>a)</t>
  </si>
  <si>
    <t>Sub-Total (1)</t>
  </si>
  <si>
    <t xml:space="preserve">a) </t>
  </si>
  <si>
    <t>CM</t>
  </si>
  <si>
    <t>RM</t>
  </si>
  <si>
    <t>MT</t>
  </si>
  <si>
    <t>SM</t>
  </si>
  <si>
    <t>Sub-Total (2) :</t>
  </si>
  <si>
    <t>SUPERSTRUCTURE</t>
  </si>
  <si>
    <t xml:space="preserve">MT </t>
  </si>
  <si>
    <t>Sub-Total (3) :</t>
  </si>
  <si>
    <t>Sub-Total (4) :</t>
  </si>
  <si>
    <t>OTHERS</t>
  </si>
  <si>
    <t>Sub-Total (5) :</t>
  </si>
  <si>
    <t>13% VAT</t>
  </si>
  <si>
    <t>no.</t>
  </si>
  <si>
    <t>ton</t>
  </si>
  <si>
    <t xml:space="preserve">Summary of Rates </t>
  </si>
  <si>
    <t>A.2</t>
  </si>
  <si>
    <t>A.3</t>
  </si>
  <si>
    <t>sqm</t>
  </si>
  <si>
    <t>Technician</t>
  </si>
  <si>
    <t>Clamps</t>
  </si>
  <si>
    <t>8 gauge</t>
  </si>
  <si>
    <t>Plywood 12mm thick</t>
  </si>
  <si>
    <t>b)</t>
  </si>
  <si>
    <t>Admixture</t>
  </si>
  <si>
    <t>Providing and laying , fitting and placing HYSD bar reinforcement in sub structure complete as per drawing and technical specification.</t>
  </si>
  <si>
    <t>Providing and laying , fitting and placing HYSD bar reinforcement in super structure complete as per drawing and technical specification.</t>
  </si>
  <si>
    <t>Aggregate 20mm</t>
  </si>
  <si>
    <t>Crane</t>
  </si>
  <si>
    <t>Spec. cl. No: 908</t>
  </si>
  <si>
    <t>Spec. cl. No: 909, 910</t>
  </si>
  <si>
    <t>Selvedge wire 8 swg</t>
  </si>
  <si>
    <t>Painting Two Coats on Concrete Surfaces
Providing and Painting two coats after filling the surface with synthetic enamel paint in all shades on concrete/plaster surfaces as per Drawing and Technical Specifications.</t>
  </si>
  <si>
    <t>Earth work in excavation of foundation of structures, including  construction of shoring and bracing, removal of stumps and other deleterious matter and backfilling with approved Material as per Drawing and Technical Specifications.</t>
  </si>
  <si>
    <t>Concrete mixer</t>
  </si>
  <si>
    <t>Aggregate 20-40mm</t>
  </si>
  <si>
    <r>
      <t>m</t>
    </r>
    <r>
      <rPr>
        <vertAlign val="superscript"/>
        <sz val="12"/>
        <rFont val="Times New Roman"/>
        <family val="1"/>
      </rPr>
      <t>3</t>
    </r>
  </si>
  <si>
    <t>Aggregate 10-20mm</t>
  </si>
  <si>
    <t>REINFORCEMENT</t>
  </si>
  <si>
    <r>
      <t>m</t>
    </r>
    <r>
      <rPr>
        <vertAlign val="superscript"/>
        <sz val="12"/>
        <rFont val="Times New Roman"/>
        <family val="1"/>
      </rPr>
      <t>2</t>
    </r>
  </si>
  <si>
    <t xml:space="preserve">Providing and laying of reinforced/prestressed cement concrete in superstructure complete as per drawing and technical specification. </t>
  </si>
  <si>
    <t>Spec. cl. No: 2100</t>
  </si>
  <si>
    <t>Grouting pump with agitator</t>
  </si>
  <si>
    <t>Providing and laying of stripe seal expansion joint catering to maximum horizontal movement upto 70mm  complete as per approved drawing and technical specifications.</t>
  </si>
  <si>
    <t>Cost of water</t>
  </si>
  <si>
    <t>Abutment</t>
  </si>
  <si>
    <t>Back walls</t>
  </si>
  <si>
    <t>Abutment cap</t>
  </si>
  <si>
    <t xml:space="preserve"> </t>
  </si>
  <si>
    <t xml:space="preserve">Excavation for Foundation </t>
  </si>
  <si>
    <t>User's Committee Work</t>
  </si>
  <si>
    <t>GRAND TOTAL Contractor &amp; UC's</t>
  </si>
  <si>
    <t>Providing and laying granular sub-base on prepared surface, mixing at OMC and compacting to achieve the desired density, complete as per Drawing and Technical Spec.</t>
  </si>
  <si>
    <t>Abutment foundation</t>
  </si>
  <si>
    <t>Footing</t>
  </si>
  <si>
    <t>Abutment stem</t>
  </si>
  <si>
    <t>Back Wall</t>
  </si>
  <si>
    <t>Railing Post</t>
  </si>
  <si>
    <t>Approach Slab</t>
  </si>
  <si>
    <t>Kerb</t>
  </si>
  <si>
    <t xml:space="preserve">Approach slab </t>
  </si>
  <si>
    <t xml:space="preserve">Total </t>
  </si>
  <si>
    <t>Providing and fixing Drainage Spouts as per Drawing and Technical Specifications.</t>
  </si>
  <si>
    <t>Nos.</t>
  </si>
  <si>
    <t>M35/20</t>
  </si>
  <si>
    <t>Sides</t>
  </si>
  <si>
    <t>Top</t>
  </si>
  <si>
    <t>Approach slab Seat</t>
  </si>
  <si>
    <t>Hydraulic excavator</t>
  </si>
  <si>
    <t>40 mm Aggregate</t>
  </si>
  <si>
    <t xml:space="preserve">Aggregate 10mm </t>
  </si>
  <si>
    <t>2% of A+B+C for extra lift</t>
  </si>
  <si>
    <t>Spec. cl. No:  2014</t>
  </si>
  <si>
    <t>Providing, Laying and fixing of Geo-Textile all complete as per specification.</t>
  </si>
  <si>
    <t>Filter media</t>
  </si>
  <si>
    <t>Granular material</t>
  </si>
  <si>
    <t>MS pipe 40mm</t>
  </si>
  <si>
    <t>Spec. cl. No: 1004</t>
  </si>
  <si>
    <t>M15 grade of concrete</t>
  </si>
  <si>
    <t>Clearing grass/ top soil and removal up to a distance of 50 meters outside the periphery of the area , including cutting and filling of small undulation.</t>
  </si>
  <si>
    <t>Spec. cl. No: 2200</t>
  </si>
  <si>
    <t>H.T strand</t>
  </si>
  <si>
    <t>sheathing duct</t>
  </si>
  <si>
    <t>Tube anchorage set complete with bearing plate, permanent wedges etc.</t>
  </si>
  <si>
    <t>cement for grouting</t>
  </si>
  <si>
    <t>Providing and installation of project signboards with size of 1.8 x 1.2 m as per specification and instruction of engineer.</t>
  </si>
  <si>
    <t>Spec. cl. No: 110</t>
  </si>
  <si>
    <t>Total Rate(D+C + R + Tp)</t>
  </si>
  <si>
    <t>2) Fuel and Lubricant excluding VAT</t>
  </si>
  <si>
    <t>Collection  and seiving gravel including stacking within 10m. Hauling distance.</t>
  </si>
  <si>
    <t xml:space="preserve">  ( 5 - 70 mm size)</t>
  </si>
  <si>
    <t>Collection  and seiving sand within 10m. hauling distance.</t>
  </si>
  <si>
    <t xml:space="preserve">    ( Quarry output less than 33%)</t>
  </si>
  <si>
    <t xml:space="preserve">    ( Quarry output 33 - 66 %)</t>
  </si>
  <si>
    <t xml:space="preserve">    ( Quarry output more than 66%)</t>
  </si>
  <si>
    <t>Washing broken stone, gravel and sand.</t>
  </si>
  <si>
    <t>Washing rubble</t>
  </si>
  <si>
    <t xml:space="preserve">  ( 70 - 100 mm size)</t>
  </si>
  <si>
    <t xml:space="preserve">  ( 40 - 70 mm size)</t>
  </si>
  <si>
    <t xml:space="preserve">  ( 20 - 40 mm size)</t>
  </si>
  <si>
    <t xml:space="preserve">  ( 10 - 20 mm size)</t>
  </si>
  <si>
    <t>District rate</t>
  </si>
  <si>
    <t>Elastomeric  bearing</t>
  </si>
  <si>
    <t>Rate                 ( NRs.)</t>
  </si>
  <si>
    <t xml:space="preserve">Earth work in excavation of river training structures, including construction of shoring and bracing, removal of stumps and other deleterious matter and backfilling with approved Material as per Drawing and Technical Specifications.  </t>
  </si>
  <si>
    <t>M10/40</t>
  </si>
  <si>
    <t>A.4</t>
  </si>
  <si>
    <t>Wing wall sides</t>
  </si>
  <si>
    <t>Right Bank</t>
  </si>
  <si>
    <t>Left Bank</t>
  </si>
  <si>
    <t xml:space="preserve">Right Bank </t>
  </si>
  <si>
    <t>PS</t>
  </si>
  <si>
    <t>Hunch at wing wall</t>
  </si>
  <si>
    <t>Wing wall Hunch</t>
  </si>
  <si>
    <t>D</t>
  </si>
  <si>
    <t>Left bank</t>
  </si>
  <si>
    <t>Right bank</t>
  </si>
  <si>
    <t xml:space="preserve"> M35/20</t>
  </si>
  <si>
    <t>Seismic Stopper</t>
  </si>
  <si>
    <t>Pre-cast slab for footpath</t>
  </si>
  <si>
    <t>m²</t>
  </si>
  <si>
    <t>m³</t>
  </si>
  <si>
    <t>Wing Wall at Approach slab</t>
  </si>
  <si>
    <t>Laying and fixing of Geo-Textile all complete as per specification. Providing and laying of a geo-textile filter between pitching and embankment slope as per drawing and technical specifications.</t>
  </si>
  <si>
    <t>Ordinary Soil</t>
  </si>
  <si>
    <t>Waterproof Plywood 12mm thick</t>
  </si>
  <si>
    <t>Project signboards with size of 1.8 x 1.2 m having details of contract in the format and wording as directed by the Engineer</t>
  </si>
  <si>
    <t>Borrow pit material</t>
  </si>
  <si>
    <t>Chainage</t>
  </si>
  <si>
    <t>Clearing and grubbing road land including uprooting rank vegetation, grass, bushes, shrubs, sapling and trees girth upto 300mm, removal of stumps of trees cut earlier and disposal of unserviceable materials and stacking of serviceable material to be used or auctioned, upto a lead 30m including removal and disposal of top organic soil not exceeding 150mm in thickness.</t>
  </si>
  <si>
    <t>S. No.</t>
  </si>
  <si>
    <t>Providing and laying Gabion structure for retaining earth with diaphragm including rolling, cutting weaving , placing, laying sides and diaphragms with binding wire and filling boulders all complete as per Drawing and Technical Specification. Mesh wire- 10 Swg(0.0615 kg/m), Selvedge Wire 8 Swg ( 0.1057 kg/m), binding wire 12 Swg (0.0409 kg/m) Hexagonal mesh Type 100 mm X 120 mm. [3x1x1]</t>
  </si>
  <si>
    <t>Providing and laying Gabion structure for retaining earth with diaphragm including rolling, cutting weaving , placing, laying sides and diaphragms with binding wire and filling boulders all complete as per Drawing and Technical Specification. Mesh wire- 10 Swg(0.0615 kg/m), Selvedge Wire 8 Swg ( 0.1057 kg/m), binding wire 12 Swg (0.0409 kg/m) Hexagonal mesh Type 100 mm X 120 mm. [2x1x1]</t>
  </si>
  <si>
    <t>Sub-base material</t>
  </si>
  <si>
    <t>3% of labour cost</t>
  </si>
  <si>
    <t xml:space="preserve">Nails, spikes etc.. </t>
  </si>
  <si>
    <t>Providing,preparing and installing formwork including necessary supports and removing after completion for substructure class F2 finishing</t>
  </si>
  <si>
    <t>B. 2</t>
  </si>
  <si>
    <t>Hunch</t>
  </si>
  <si>
    <t>Bitumen</t>
  </si>
  <si>
    <t>Batch Mix HMP</t>
  </si>
  <si>
    <t>Paver finisher</t>
  </si>
  <si>
    <t>Smooth wheeled roller</t>
  </si>
  <si>
    <t>Pneumatic roller</t>
  </si>
  <si>
    <t>Without VAT</t>
  </si>
  <si>
    <t>Electricity</t>
  </si>
  <si>
    <t>S.N. (DoR)</t>
  </si>
  <si>
    <t>Description of Machine</t>
  </si>
  <si>
    <t>Activity/ Usages</t>
  </si>
  <si>
    <t>Ownership 
charge (Rs./Hr.)</t>
  </si>
  <si>
    <t>Servicing 
(NRs./hr)</t>
  </si>
  <si>
    <t>Maintenance (NRs./hr)</t>
  </si>
  <si>
    <t>Fuel/electricity demand</t>
  </si>
  <si>
    <t>Basic 
Rate (NRs./hr)</t>
  </si>
  <si>
    <t>Fuel (l/hr)</t>
  </si>
  <si>
    <t>Electricity (units/hr)</t>
  </si>
  <si>
    <t>Fuel Oil (heating) (l/hr)</t>
  </si>
  <si>
    <t>Air Compressor</t>
  </si>
  <si>
    <t>Hour</t>
  </si>
  <si>
    <t>Concrete production</t>
  </si>
  <si>
    <t>Electric Generator</t>
  </si>
  <si>
    <t>Excavator</t>
  </si>
  <si>
    <t>Excavation/ Earthwork</t>
  </si>
  <si>
    <t>Jack hammer/ rock drill/ portable rock driller</t>
  </si>
  <si>
    <t>Earthwork</t>
  </si>
  <si>
    <t>Material loading</t>
  </si>
  <si>
    <t>Mixture machine/ Concrete mixture machine</t>
  </si>
  <si>
    <t>Motor Grader</t>
  </si>
  <si>
    <t>Laying</t>
  </si>
  <si>
    <t>Plate compactor/ power rammer</t>
  </si>
  <si>
    <t>Light compaction</t>
  </si>
  <si>
    <t>Pneumatic roller/ Pneumatic tired roller</t>
  </si>
  <si>
    <t>Compaction</t>
  </si>
  <si>
    <t>Smooth wheeled roller/ Smooth 3 wheeled steel roller</t>
  </si>
  <si>
    <t>Tipper</t>
  </si>
  <si>
    <t>Transportation/ Carry</t>
  </si>
  <si>
    <t>Tractor with ripper attachment/ Tractor trolley</t>
  </si>
  <si>
    <t>Ripping/ Carry</t>
  </si>
  <si>
    <t>Crew</t>
  </si>
  <si>
    <t>Helper</t>
  </si>
  <si>
    <t>Asphalt DBM production</t>
  </si>
  <si>
    <t>Paver Finisher</t>
  </si>
  <si>
    <t>Asphalt</t>
  </si>
  <si>
    <t>Lifting</t>
  </si>
  <si>
    <t>Vibratory roller</t>
  </si>
  <si>
    <t>Aggregate 5-10 mm</t>
  </si>
  <si>
    <t>FOUNDATION</t>
  </si>
  <si>
    <t>SUBSTRUCTURE</t>
  </si>
  <si>
    <t>RIVER TRAINING AND PROTECTION WORKS</t>
  </si>
  <si>
    <t>Sub-Total (6) :</t>
  </si>
  <si>
    <t>Sub-Total (7) :</t>
  </si>
  <si>
    <t>Foundation</t>
  </si>
  <si>
    <t>B.</t>
  </si>
  <si>
    <t>Substructure</t>
  </si>
  <si>
    <t>B. 1</t>
  </si>
  <si>
    <t>B. 3</t>
  </si>
  <si>
    <t>B. 4</t>
  </si>
  <si>
    <t>Approach Road</t>
  </si>
  <si>
    <t>E</t>
  </si>
  <si>
    <t>River Training &amp; Protection work</t>
  </si>
  <si>
    <t>E. 1</t>
  </si>
  <si>
    <t>F. 1</t>
  </si>
  <si>
    <t>E. 2</t>
  </si>
  <si>
    <t>E. 3</t>
  </si>
  <si>
    <t>F</t>
  </si>
  <si>
    <t>Distance</t>
  </si>
  <si>
    <t>Fill area</t>
  </si>
  <si>
    <t>0+000</t>
  </si>
  <si>
    <t>0+020</t>
  </si>
  <si>
    <t>0+040</t>
  </si>
  <si>
    <t>0+060</t>
  </si>
  <si>
    <t>Providing and laying of plain/reinforced cement concrete in foundation complete as per drawing and technical specification. [2000]</t>
  </si>
  <si>
    <t>Providing and laying , fitting and placing HYSD bar reinforcement in sub structure complete as per drawing and technical specification. [2014]</t>
  </si>
  <si>
    <t>Providing and laying granular sub-base on prepared surface, mixing at OMC and compacting to achieve the desired density, complete as per Drawing and Technical Specifications [1200]</t>
  </si>
  <si>
    <t>Earth work in excavation of river training structures, including construction of shoring and bracing, removal of stumps and other deleterious matter and backfilling with approved Material as per Drawing and Technical Specifications. [907]</t>
  </si>
  <si>
    <t>Department of Roads</t>
  </si>
  <si>
    <t>ESTIMATE OF EARTHWORK IN ACCESS ROAD</t>
  </si>
  <si>
    <t>Batching Plant</t>
  </si>
  <si>
    <t>Bentonite Pump</t>
  </si>
  <si>
    <t>Drilled hole stabilization</t>
  </si>
  <si>
    <t>Bitumen Boiler</t>
  </si>
  <si>
    <t>Bitumen heating</t>
  </si>
  <si>
    <t>Bitumen Pressure Distributor/ Bitumen Distributor/ Bitumen Sprayer</t>
  </si>
  <si>
    <t>Bitumen spray</t>
  </si>
  <si>
    <t>Chip Spreader</t>
  </si>
  <si>
    <t>Surface dressing/ Chips seal/ Otta Seal</t>
  </si>
  <si>
    <t>Cold Mix Plant</t>
  </si>
  <si>
    <t>Cold mix Asphalt/ Premix</t>
  </si>
  <si>
    <t>Concrete Pump</t>
  </si>
  <si>
    <t>Concreting</t>
  </si>
  <si>
    <t>Crane (3T)</t>
  </si>
  <si>
    <t>Crane (15T)</t>
  </si>
  <si>
    <t>Crane with Grab Bucket/ Dredger Crane</t>
  </si>
  <si>
    <t>Dredging</t>
  </si>
  <si>
    <t>Dozer</t>
  </si>
  <si>
    <t>Drilling Machine with Bits and Accessories</t>
  </si>
  <si>
    <t>Earth hole drilling</t>
  </si>
  <si>
    <t>Electric Hand Driller (HDPE work)</t>
  </si>
  <si>
    <t>Hole drilling</t>
  </si>
  <si>
    <t>Electric Heating Plate</t>
  </si>
  <si>
    <t>Connection work</t>
  </si>
  <si>
    <t>Emulsion Pressure Distributor</t>
  </si>
  <si>
    <t>Emulsion distribution</t>
  </si>
  <si>
    <t>Grout Injection Equipment</t>
  </si>
  <si>
    <t>Crack repair</t>
  </si>
  <si>
    <t>Grouting Pump with Agitator</t>
  </si>
  <si>
    <t>PSC bridge construction related</t>
  </si>
  <si>
    <t>Hacking Machine</t>
  </si>
  <si>
    <t>Jacketing purpose</t>
  </si>
  <si>
    <t>Hydraulic Jack (40 ton capacity)</t>
  </si>
  <si>
    <t>Bearing installation/ repair</t>
  </si>
  <si>
    <t>Hydraulic Jack (required capacity nearly 200 ton)</t>
  </si>
  <si>
    <t>Mastic Cooker</t>
  </si>
  <si>
    <t>Mastic Asphalt production</t>
  </si>
  <si>
    <t>Mobile Slurry Seal Equipment</t>
  </si>
  <si>
    <t>Maintenance</t>
  </si>
  <si>
    <t>Piling rig (with all accessories)</t>
  </si>
  <si>
    <t>Pile construction upto 1.2m</t>
  </si>
  <si>
    <t>Premix Mixer</t>
  </si>
  <si>
    <t>Premix production</t>
  </si>
  <si>
    <t>Road Marking Machine</t>
  </si>
  <si>
    <t>Thermoplastic painting</t>
  </si>
  <si>
    <t>Road Sweeper/ Mechanical Broom</t>
  </si>
  <si>
    <t>Sweeping</t>
  </si>
  <si>
    <t>Screw Jack</t>
  </si>
  <si>
    <t>Pipe connection</t>
  </si>
  <si>
    <t>Stressing Jack with Pump</t>
  </si>
  <si>
    <t>Prestressing</t>
  </si>
  <si>
    <t>Truck Flat Body/ Trailer</t>
  </si>
  <si>
    <t>Carrying</t>
  </si>
  <si>
    <t>Water Tanker</t>
  </si>
  <si>
    <t>Watering</t>
  </si>
  <si>
    <t>Wet Mix Plant</t>
  </si>
  <si>
    <t>Base production</t>
  </si>
  <si>
    <t>Cutter (Bitumen Pavement/ RCC)</t>
  </si>
  <si>
    <t>Cutting</t>
  </si>
  <si>
    <t>Synthetic enamel</t>
  </si>
  <si>
    <t>SECTION 200</t>
  </si>
  <si>
    <t>SITE CLEARANCE</t>
  </si>
  <si>
    <t>Clearing Grass and Removal of Rubbish and Dressing and levelling the construction surface</t>
  </si>
  <si>
    <t>Dismantling of Structures</t>
  </si>
  <si>
    <t>Dismantling of existing structures like culverts, bridges, retaining walls and other structure comprising of masonry, cement concrete, wood work, steel work, including scaffolding wherever necessary, sorting the dismantled Material, disposal of unserviceable Material and stacking the serviceable Material with all lifts and lead of 1000 meters</t>
  </si>
  <si>
    <t>2.4.(i).II.A</t>
  </si>
  <si>
    <t>II</t>
  </si>
  <si>
    <t>By Mechanical Means</t>
  </si>
  <si>
    <t>A</t>
  </si>
  <si>
    <t>Cement Concrete Grade M15 and M20</t>
  </si>
  <si>
    <t>hour</t>
  </si>
  <si>
    <t>Drilling machine with bit and accessories</t>
  </si>
  <si>
    <t>Tractor-trolley</t>
  </si>
  <si>
    <t>SECTION 300</t>
  </si>
  <si>
    <t>SOIL IMPROVEMENT</t>
  </si>
  <si>
    <t>SECTION 400</t>
  </si>
  <si>
    <t>FENCING</t>
  </si>
  <si>
    <t>GI Barbed Wire Fencing 1.2 Meter High with RCC post</t>
  </si>
  <si>
    <t>Spec. cl. No: 404</t>
  </si>
  <si>
    <t>Providing and fixing 1.2m high GI barbed wire fencing with 1.8m RCC posts 150mmx150mm placed every 3m center-to-center founded in M15 grade cement concrete, 0.6m below ground level, every 15th post, last but one end post and corner post shall be strutted on both sides and end post on one side only and provided with 9 horizontal lines and 2 diagonals interwoven with horizontal wires, fixed with GI staples, turnbuckles etc., complete as per Drawing and Technical Specifications</t>
  </si>
  <si>
    <t>4.2 A</t>
  </si>
  <si>
    <t>Steel reinforcement</t>
  </si>
  <si>
    <t>Painting</t>
  </si>
  <si>
    <t>Barbed wire</t>
  </si>
  <si>
    <t>GI staples, binding wires etc.</t>
  </si>
  <si>
    <t>5% cost of barbed wire</t>
  </si>
  <si>
    <t>Unit : m²</t>
  </si>
  <si>
    <t>Unit : m³</t>
  </si>
  <si>
    <t>Unit : m</t>
  </si>
  <si>
    <t>Unit : rm</t>
  </si>
  <si>
    <t>SECTION 700</t>
  </si>
  <si>
    <t>Providing, jointing and laying HDPE pipes with or without collar etc. complete in place as per Drawing and Technical Specifications (110mm/ 125mm outer dia)</t>
  </si>
  <si>
    <t>Spec. cl. No: 701</t>
  </si>
  <si>
    <t>7.1 A</t>
  </si>
  <si>
    <t>HDPE pipe</t>
  </si>
  <si>
    <t>Other T and P</t>
  </si>
  <si>
    <t>HDPE PIPES</t>
  </si>
  <si>
    <t>PROVIDING AND LAYING RCC FLUSH JOINTED PIPES FOR CULVERTS</t>
  </si>
  <si>
    <t>Providing and laying RCC NP3 flush jointed pipe for culverts including fixing with cement mortar 1:2 as per Drawing and Technical Specifications ( 900 mm internal diameter)</t>
  </si>
  <si>
    <t>7.2 D</t>
  </si>
  <si>
    <t>RCC pipe</t>
  </si>
  <si>
    <t>Bellies, crowbars, chain pulleys etc.</t>
  </si>
  <si>
    <t>PROVIDING AND LAYING RCC FLUSH JOINTED PIPES FOR CULVERTS INCLUDING FIXING COLLAR</t>
  </si>
  <si>
    <t>Providing and laying RCC NP3 flush jointed pipe for culverts including fixing collar with cement mortar 1:2 as per Drawing and Technical Specifications ( 900 mm internal diameter)</t>
  </si>
  <si>
    <t>7.3 D</t>
  </si>
  <si>
    <t>nos.</t>
  </si>
  <si>
    <t>RCC collar</t>
  </si>
  <si>
    <t>SECTION 900</t>
  </si>
  <si>
    <t>EARTHWORKS</t>
  </si>
  <si>
    <t>ROADWAY EXCAVATION IN ALL TYPES OF SOIL</t>
  </si>
  <si>
    <t>9.1. I. B</t>
  </si>
  <si>
    <t>ROADWAY EXCAVATION IN ORDINARY ROCK</t>
  </si>
  <si>
    <t>9.1 II. B</t>
  </si>
  <si>
    <t>EXCAVATION FOR STRUCTURE FOUNDATION</t>
  </si>
  <si>
    <t>9.4 I B ii</t>
  </si>
  <si>
    <t>Dewatering cost (7.5% )</t>
  </si>
  <si>
    <t>9.4 II B</t>
  </si>
  <si>
    <t>Dewatering cost (10% )</t>
  </si>
  <si>
    <t>9.4 III A</t>
  </si>
  <si>
    <t>Driller</t>
  </si>
  <si>
    <t>Blaster</t>
  </si>
  <si>
    <t>Gelatin</t>
  </si>
  <si>
    <t>Detonator</t>
  </si>
  <si>
    <t>Fuse wire</t>
  </si>
  <si>
    <t>Air compressor</t>
  </si>
  <si>
    <t>Jack hammer/ Rock Drill</t>
  </si>
  <si>
    <t>CONSTRUCTION OF EMBANKMENT WITH MATERIAL OBTAINED FROM BORROW PITS</t>
  </si>
  <si>
    <t>Providing, laying, spreading and compacting embankment with borrow material as per Drawing and Technical Specifications</t>
  </si>
  <si>
    <t>kl</t>
  </si>
  <si>
    <t>Tractor with rotavator</t>
  </si>
  <si>
    <t>Motor grader</t>
  </si>
  <si>
    <t>CONSTRUCTION OF EMBANKMENT WITH MATERIAL DEPOSITED FROM ROADWAY CUTTING</t>
  </si>
  <si>
    <t>9.9 B</t>
  </si>
  <si>
    <t>Providing, laying, spreading and compacting embankment with roadway cutting and compact to required density material as per Drawing and Technical Specifications (with machine)</t>
  </si>
  <si>
    <t>9.11 A</t>
  </si>
  <si>
    <t>Providing suitable material and backfilling behind abutment, wing wall and return wall complete as per Drawing and Technical Specifications (Granular material)</t>
  </si>
  <si>
    <t>Plate compactor/ Power rammer</t>
  </si>
  <si>
    <t>SECTION 1000</t>
  </si>
  <si>
    <t>SUBGRADE</t>
  </si>
  <si>
    <t>CONSTRUCTION OF SUBGRADE AND EARTHERN SHOULDERS WITH APPROVED MATERIAL</t>
  </si>
  <si>
    <t>Providing and laying sub-grade and earthern shoulders with approved material obtained from borrow pits with all lift and lead as per Drawing and Technical Specifications</t>
  </si>
  <si>
    <t xml:space="preserve">Sub-total of A+B+C = </t>
  </si>
  <si>
    <r>
      <t xml:space="preserve">Spec. cl. No:  </t>
    </r>
    <r>
      <rPr>
        <sz val="12"/>
        <color rgb="FFFF0000"/>
        <rFont val="Times New Roman"/>
        <family val="1"/>
      </rPr>
      <t>1006</t>
    </r>
  </si>
  <si>
    <t>Providing and laying of hand pack stone soling with 150 to 200mm thick stones and packing with smaller stone on prepared surface as per Drawing and Technical Specifications</t>
  </si>
  <si>
    <t>SECTION 1200</t>
  </si>
  <si>
    <t>SUB BASE, BASE, HARD SHOULDER &amp; GRAVEL WEARING COURSE</t>
  </si>
  <si>
    <t>PROVIDING AND LAYING GRANULAR SUB BASE MATERIAL</t>
  </si>
  <si>
    <t>Spec. cl. No:  1201</t>
  </si>
  <si>
    <t>12.1 A</t>
  </si>
  <si>
    <t>Providing and laying granular sub-base on prepared surface, mixing at OMC, and compacting to achieve the desired density, complete as per Drawing and Technical Specifications</t>
  </si>
  <si>
    <t>SECTION 1300</t>
  </si>
  <si>
    <t>BITUMINOUS SURFACE AND BASE COURSE</t>
  </si>
  <si>
    <t>BITUMINOUS CONCRETE/ ASPHALT CONCRETE</t>
  </si>
  <si>
    <t>Spec. cl. No:  1309</t>
  </si>
  <si>
    <t>Providing and laying bituminous concrete/ Asphalt concrete using crushed aggregates of specified grading, premixed with bituminous binder and filler as per Drawing and Technical Specifications</t>
  </si>
  <si>
    <t>Aggregate 5-10mm</t>
  </si>
  <si>
    <t>Aggregate 0-5mm</t>
  </si>
  <si>
    <t>Batch mix HMP</t>
  </si>
  <si>
    <t>Cement filler</t>
  </si>
  <si>
    <t>SECTION 1500</t>
  </si>
  <si>
    <t>TRAFFIC SIGN, ROAD MARKING &amp; OTHER ROAD APPURTENANCES</t>
  </si>
  <si>
    <t>PAINTING TWO COATS ON CONCRETE SURFACES</t>
  </si>
  <si>
    <t>Spec. cl. No:  1501</t>
  </si>
  <si>
    <t>ROAD DELINEATORS POST</t>
  </si>
  <si>
    <t>Unit : no.</t>
  </si>
  <si>
    <t>Spec. cl. No:  1507</t>
  </si>
  <si>
    <t>M15 grade concrete</t>
  </si>
  <si>
    <t>Excavation in soil for foundation</t>
  </si>
  <si>
    <t>Painting two coats on concrete surface</t>
  </si>
  <si>
    <t>Providing and installation of 150mm*150mm 1.5m long delineators (road way indicators, hazard markers, object markers), 80-100cm high above ground level, painted black and white in 20cm wide strips, buried or pressed into the ground and conforming to the Drawings and Technical Specifications</t>
  </si>
  <si>
    <t>SECTION 1600</t>
  </si>
  <si>
    <t>PILING FOR STRUCTURES</t>
  </si>
  <si>
    <t>PILE FOUNDATION</t>
  </si>
  <si>
    <t>Bentonite</t>
  </si>
  <si>
    <t>Piling rig</t>
  </si>
  <si>
    <t>Bentonite pump</t>
  </si>
  <si>
    <t>Spec. cl. No:  1612</t>
  </si>
  <si>
    <t>SECTION 1800</t>
  </si>
  <si>
    <t>FALSEWORK, FORMWORK AND SURFACE FINISH FOR CONCRETE STRUCTURES</t>
  </si>
  <si>
    <t>Spec. cl. No:  1804, 1805</t>
  </si>
  <si>
    <t>18.1 a</t>
  </si>
  <si>
    <t>Providing, preparing and installing formwork including necessary supports and removing after completion for foundations and footings (Class F1 finishing)</t>
  </si>
  <si>
    <t>Planks 38mm thick</t>
  </si>
  <si>
    <t>Struts, ballies etc.</t>
  </si>
  <si>
    <t>Nails, spikes etc.</t>
  </si>
  <si>
    <t>Providing, preparing and installing formwork including necessary supports and removing after completion for walls (Class F2 finishing), vertical plain finish</t>
  </si>
  <si>
    <t>18.2 a ii</t>
  </si>
  <si>
    <t>18.7 c</t>
  </si>
  <si>
    <t>Spec. cl. No: 1803,  1804, 1805</t>
  </si>
  <si>
    <t>Providing, preparing and installing formwork including necessary supports and removing after completion for slab and beam structure (Class F2 finishing) including falsework (for RCC beam bridge) (height 3 to 6m)</t>
  </si>
  <si>
    <t>18.11 b ii)</t>
  </si>
  <si>
    <t>MS pipes 40mm dia</t>
  </si>
  <si>
    <t>Nuts and bolts 6mm dia</t>
  </si>
  <si>
    <t>SECTION 1900</t>
  </si>
  <si>
    <t>BEARING AND EXPANSION JOINTS</t>
  </si>
  <si>
    <t>Spec. cl. No:  1902</t>
  </si>
  <si>
    <t>Supplying, fitting and fixing in position true to line and level sliding plate bearing with PTFE surface sliding on stainless steel including all accessories as per Drawing and Technical Specifications (BS: 5400, section 9.1 &amp; 9.2 for PTFE) (for up to 80 tonnes)</t>
  </si>
  <si>
    <t>Supplying, fitting and fixing in position true to line and level elastomeric bearing including all accessories as per Drawing and Technical Specifications (considering an elastomeric bearing of size 500x400x96mm)</t>
  </si>
  <si>
    <t>Elastomeric bearing assembly consisting of 7 layers of elastomer bonded to 6 nos. internal reinforcing steel laminates by the process of vulcanization, complete with all components</t>
  </si>
  <si>
    <t>Pot type bearing assembly consisting of a metal piston supported by a disc, PTFE pads providing sliding surfaces against stainless steel mating together with cast steel assemblies/ fabricated structural steel assemblies duly painted with all components as per clause 2006 and complete as per drawings and technical specifications</t>
  </si>
  <si>
    <t>ELASTOMERIC SLAB STEEL EXPANSION JOINT</t>
  </si>
  <si>
    <t>Spec. cl. No:  1901</t>
  </si>
  <si>
    <t>Providing and laying of an elastomeric slab steel expansion joint, catering to right or skew (less than 20 degree) moderately curved with maximum horizontal movement up to 50 mm complete as per Drawings and Technical Specifications</t>
  </si>
  <si>
    <t>Elastomeric slab seal expansion joint assembly manufactured by using chloroprene, elastomer for elastomeric slab unit conforming to approved drawings and technical specifications</t>
  </si>
  <si>
    <t>COMPRESSION SEAL JOINT</t>
  </si>
  <si>
    <t>Providing and laying of a compression seal joint consisting of steel armored nosing at two edges of the joint gap suitably anchored to the deck concrete and a preformed chloroprene elastomer or closed cell foam joint sealer compressed and fixed into the gap with special adhesive binder to cater for a horizontal movement and vertical movement all complete as per Drawings and Technical Specifications</t>
  </si>
  <si>
    <t>Preformed continuous chloroprene elastomer or closed cell foam sealing element with high tear strength, vulcanized in single operation for the full length of the joint to ensure water tightness</t>
  </si>
  <si>
    <t>1% for lubricant-cum-adhesive and other consumables</t>
  </si>
  <si>
    <t>STRIP SEAL EXPANSION JOINT</t>
  </si>
  <si>
    <t>Providing and laying of strip seal expansion joint catering to maximum horizontal movement of up to 70mm, all complete as per Drawings and Technical Specifications</t>
  </si>
  <si>
    <t>SECTION 2000</t>
  </si>
  <si>
    <t>CONCRETE FOR STRUCTURES</t>
  </si>
  <si>
    <t>Roadway excavation in all types of soil as per Drawing and Technical Specifications including removal of stumps and other deleterious matter, all lifts and lead as per Drawing and instruction of the Engineer</t>
  </si>
  <si>
    <t>Roadway excavation in ordinary rock as per Drawing and Technical Specifications including all lift and lead as per Drawing and instruction of the Engineer</t>
  </si>
  <si>
    <t>Earthwork in excavation of foundation of structures, including construction of shoring and bracing, removal of stumps and other deleterious matter and backfilling with approved material as per Drawing and Technical Specifications (Ordinary Soil)</t>
  </si>
  <si>
    <t>Earthwork in excavation of foundation of structures, including construction of shoring and bracing, removal of stumps and other deleterious matter and backfilling with approved material as per Drawing and Technical Specifications (Ordinary Rock)</t>
  </si>
  <si>
    <t>Earthwork in excavation of foundation of structures, including construction of shoring and bracing, removal of stumps and other deleterious matter and backfilling with approved material as per Drawing and Technical Specifications (Hard Rock)</t>
  </si>
  <si>
    <t>Providing and laying of filter media with granular material/ stone crushed aggregates to a thickness of not less than 600mm with smaller size towards the soil and bigger size towards the wall and provided over the entire surface behind abutment, wing wall and return wall to the full height compacted to a firm condition complete as per Drawing and Technical Specifications</t>
  </si>
  <si>
    <t>Providing and Painting two coats after filling the surface with synthetic enamel paint in all shades on concrete/ plaster surfaces as per Drawing and Technical Specifications</t>
  </si>
  <si>
    <t>2.5% of equipment cost for erection, shifting and dismantling of piling rig and depreciation cost for tracks, wooden sleepers etc.</t>
  </si>
  <si>
    <t>PTFE sliding plate bearing assembly 80 tonnes design load capacity duly painted complete with all its components as per Drawing and Technical Specifications</t>
  </si>
  <si>
    <t>1% for foundation anchor bolts and consumables</t>
  </si>
  <si>
    <t>Supplying, fitting and fixing in position true to line and level POT-PTFE bearing consisting of a metal piston supported by a disc or unreinforced elastomer confined within a metal cylinder, sealing rings, dust seals, PTFE surface sliding against stainless steel mating surface, complete assembly to be of cast steel/ fabricated structural steel, metal and elastomer elements as per Drawing and Technical Specifications (considering a 250 tonne capacity bearing)</t>
  </si>
  <si>
    <t>5% for anchorage and other incidentals</t>
  </si>
  <si>
    <t>5% for anchorage, welding and other incidentals</t>
  </si>
  <si>
    <t>Strip seal expansion joint assembly comprising of edge beams, anchorage, strip seal element and complete accessories</t>
  </si>
  <si>
    <t>Coarse sand</t>
  </si>
  <si>
    <t>20.2 A</t>
  </si>
  <si>
    <t>20.2 C</t>
  </si>
  <si>
    <t>20.4 E (q)</t>
  </si>
  <si>
    <t>20.2 E</t>
  </si>
  <si>
    <t>Providing and laying of Reinforced Cement Concrete M35/20 in Foundation all complete as per Drawing and Technical Specifications (up to 5m)</t>
  </si>
  <si>
    <t>Unit : MT</t>
  </si>
  <si>
    <t>Spec. cl. No: 3109</t>
  </si>
  <si>
    <t>HDPE pipe (110mm dia)</t>
  </si>
  <si>
    <t>20.8 A</t>
  </si>
  <si>
    <t xml:space="preserve">Cement </t>
  </si>
  <si>
    <t>Aggregate 10mm</t>
  </si>
  <si>
    <t>Providing and laying, fitting and placing  HYSD reinforcement complete in Foundation as per Drawing and Technical Specifications</t>
  </si>
  <si>
    <t>Providing and laying, fitting and placing  HYSD reinforcement complete in Substructure as per Drawing and Technical Specifications</t>
  </si>
  <si>
    <t>Providing and laying of Reinforced Cement Concrete M20/20 in Superstructure as per Drawing and Technical Specifications</t>
  </si>
  <si>
    <t>Providing and laying weep holes in Brick dry/ Plain/ Reinforced Concrete abutment, wing wall/ return wall with 100 mm dia HDPE pipe, extending through full width of the structure with slope of 1V:20H towards drawing face complete as per Drawing and Technical Specifications</t>
  </si>
  <si>
    <t>20.8 B</t>
  </si>
  <si>
    <t>Providing and laying of Reinforced cement concrete M25/20 in Superstructure as per Drawing and Technical Specifications</t>
  </si>
  <si>
    <t>20.8 D</t>
  </si>
  <si>
    <t>Providing and laying of Reinforced/ Prestressed concrete M35/20 in Superstructure as per Drawing and Technical Specifications</t>
  </si>
  <si>
    <t>Providing and laying of Prestressed concrete M40/20 in Superstructure as per Drawing and Technical Specifications</t>
  </si>
  <si>
    <t>20.8 E</t>
  </si>
  <si>
    <t>20.8 F</t>
  </si>
  <si>
    <t>Providing and laying of Prestressed concrete M45/20 in Superstructure as per Drawing and Technical Specifications</t>
  </si>
  <si>
    <t>Providing and laying , fitting and placing HYSD bar reinforcement in Superstructure complete as per Drawing and Technical Specifications</t>
  </si>
  <si>
    <t>FORMWORK FOR SUPERSTRUCTURE</t>
  </si>
  <si>
    <t>WEARING COAT</t>
  </si>
  <si>
    <t>Providing and laying of Reinforced/ Prestressed concrete M30/20 in Superstructure as per Drawing and Technical Specifications</t>
  </si>
  <si>
    <t>20.8 C</t>
  </si>
  <si>
    <t>Providing and laying of Plain Cement Concrete M10 (or 1:3:6 for nominal mix) in Foundation complete as per Drawing and Technical Specifications.</t>
  </si>
  <si>
    <t>Providing and laying of Plain Cement Concrete M15/40  in Foundation complete as per Drawing and Technical Specifications</t>
  </si>
  <si>
    <t>Providing and laying of Reinforced Cement Concrete M20/20 in Foundation all complete as per Drawing and Technical Specifications (up to 5m height)</t>
  </si>
  <si>
    <t>Providing and laying of Reinforced Cement Concrete M20/20 in Substructure all complete as per Drawing and Technical Specifications (up to 10m height)</t>
  </si>
  <si>
    <t>Providing and laying of Reinforced Cement Concrete M25/20 in Foundation all complete as per Drawing and Technical Specifications (up to 5m height)</t>
  </si>
  <si>
    <t>Providing and laying of Reinforced Cement Concrete M25/20 in Substructure all complete as per Drawing and Technical Specifications (up to 10m height)</t>
  </si>
  <si>
    <t>Providing and laying of Reinforced Cement Concrete M35/20 in Substructure all complete as per Drawing and Technical Specifications (up to 10m)</t>
  </si>
  <si>
    <t>Providing and laying cement concrete wearing coat M30 grade including reinforcement complete as per Drawing and Technical Specifications</t>
  </si>
  <si>
    <t>20.2 G</t>
  </si>
  <si>
    <t>Providing and laying of Reinforced/ Prestressed concrete M30/20 in Foundation as per Drawing and Technical Specifications</t>
  </si>
  <si>
    <t>M30 concrete</t>
  </si>
  <si>
    <t>SECTION 2100</t>
  </si>
  <si>
    <t>PRESTRESSING</t>
  </si>
  <si>
    <t>0.50% cost for Spacers, Insulation tape and miscellaneous items</t>
  </si>
  <si>
    <t>Stressing Jack with pump</t>
  </si>
  <si>
    <t>SECTION 2200</t>
  </si>
  <si>
    <t>STRUCTURAL STEEL WORK</t>
  </si>
  <si>
    <t>Providing, fabricating, assembling and erecting structural steel componenets/ elements including nut, bolt, gusset plate, including shop drawings, facilities for inspection and testing and trial assembling all complete as per Specification</t>
  </si>
  <si>
    <t>22.1 B</t>
  </si>
  <si>
    <t>Providing, fitting and fixing high tensile steel wires/strands (Tendons) including all accessories for stressing, stressing operations and grouting complete as per Drawing and Technical Specifications [including duct and anchorage set]</t>
  </si>
  <si>
    <t>Built up beams, plate girders etc.</t>
  </si>
  <si>
    <t>Structural steel</t>
  </si>
  <si>
    <t>3% cost for nuts, bolts etc.</t>
  </si>
  <si>
    <t>12% cost for heavy zinc coating</t>
  </si>
  <si>
    <t>5% cost for consumables</t>
  </si>
  <si>
    <t>5% cost for cutting, drilling, grinding etc.</t>
  </si>
  <si>
    <t>22.1 C</t>
  </si>
  <si>
    <t>Truss</t>
  </si>
  <si>
    <t>SECTION 2400</t>
  </si>
  <si>
    <t>GABION STRUCTURE FOR RETAINING EARTH</t>
  </si>
  <si>
    <t>24.1.A.i</t>
  </si>
  <si>
    <t>Providing and laying Gabion structure for retaining earth with diaphragm including rolling, cutting weaving , placing, laying sides and diaphragms with binding wire and filling boulders all complete as per Drawing and Technical Specification. Mesh wire- 10 Swg(0.0615 kg/m), Selvedge Wire 8 Swg ( 0.1057 kg/m), binding wire 12 Swg (0.0409 kg/m) Hexagonal mesh Type 100 mm X 120 mm. [1.5x1x1]</t>
  </si>
  <si>
    <t>24.1.A.ii</t>
  </si>
  <si>
    <t>24.1.A.iii</t>
  </si>
  <si>
    <t>24.1.A.x</t>
  </si>
  <si>
    <t>Spec. cl. No: 2416</t>
  </si>
  <si>
    <t>Providing and laying boulders apron on river bed for protection against scour with Boulder/ Stones weighing not less than 40 kg each complete as per Drawings and Technical Specifications</t>
  </si>
  <si>
    <t>Stone spalls</t>
  </si>
  <si>
    <t>24.13 B</t>
  </si>
  <si>
    <t>BOULDER APRON</t>
  </si>
  <si>
    <t>Spec. cl. No: 3107</t>
  </si>
  <si>
    <t>GI pipe 100 mm dia</t>
  </si>
  <si>
    <t>GI bolt 10 mm dia</t>
  </si>
  <si>
    <t>5% for electrodes, cutting gas, sealant etc.</t>
  </si>
  <si>
    <t>SECTION 100</t>
  </si>
  <si>
    <t>GENERAL</t>
  </si>
  <si>
    <t>Providing and laying Gabion structure for retaining earth with diaphragm including rolling, cutting weaving , placing, laying sides and diaphragms with binding wire and filling boulders all complete as per Drawing and Technical Specification. Mesh wire- 10 Swg(0.0615 kg/m), Selvedge Wire 8 Swg ( 0.1057 kg/m), binding wire 12 Swg (0.0409 kg/m) Hexagonal mesh Type 100 mm X 120 mm. [2x1x0.5]</t>
  </si>
  <si>
    <t>24.1.A.ix</t>
  </si>
  <si>
    <t>Providing and laying Gabion structure for retaining earth with diaphragm including rolling, cutting weaving , placing, laying sides and diaphragms with binding wire and filling boulders all complete as per Drawing and Technical Specification. Mesh wire- 10 Swg(0.0615 kg/m), Selvedge Wire 8 Swg ( 0.1057 kg/m), binding wire 12 Swg (0.0409 kg/m) Hexagonal mesh Type 100 mm X 120 mm. [3x1x0.5]</t>
  </si>
  <si>
    <t>24.1.A.viii</t>
  </si>
  <si>
    <t>Stone ( &gt; 40kg)</t>
  </si>
  <si>
    <t>Stone ( &gt; 200kg)</t>
  </si>
  <si>
    <t>24.13 C</t>
  </si>
  <si>
    <t>Crane 15T capacity</t>
  </si>
  <si>
    <t>Providing and laying pitching on slopes laid over prepared filter media including boulder apron laid dry in front of toe of embankment complete as per Drawings and Technical Specifications</t>
  </si>
  <si>
    <t>Spec. cl. No: 2414</t>
  </si>
  <si>
    <t>Providing and laying filter material underneath pitching in slopes complete as per Drawings and Technical Specifications</t>
  </si>
  <si>
    <t>Graded stone aggregate of required size</t>
  </si>
  <si>
    <t>Providing and laying grouted stone pitching in protection works, with stone size not less than 0.01m³ and cement:sand mortar (1:3) all complete as per Drawings and Technical Specifications</t>
  </si>
  <si>
    <t>Spec. cl. No: 2413</t>
  </si>
  <si>
    <t>Providing and laying 20mm dia tor steel dowel bar including drilling 35mm dia bore hole in rock necessary bending, hooking, tying reinforcement in position and grouting etc. complete as per Drawings and Technical Specifications</t>
  </si>
  <si>
    <t>24.18 B</t>
  </si>
  <si>
    <t>Grouting material</t>
  </si>
  <si>
    <t>10% of dowel bar</t>
  </si>
  <si>
    <t>Jackhammer</t>
  </si>
  <si>
    <t>Providing and fixing of 25mm dia steel rock bolts with mechanical/ wedge type anchorage including drilling 35mm dia hole providing 150mm long 20mm thick steel tapered wedge 10mm thick 200mmx200mm plate, washer and nuts, tighten bolts by torque wrench all complete</t>
  </si>
  <si>
    <t>Drilling platform</t>
  </si>
  <si>
    <t>10% of labour</t>
  </si>
  <si>
    <t>Drill bits</t>
  </si>
  <si>
    <t>Rock dowel rod (25mm)</t>
  </si>
  <si>
    <t>Hexagonal anchor coupling</t>
  </si>
  <si>
    <t>Anchor plate with hexagonal nut</t>
  </si>
  <si>
    <t>Grout injection equipment</t>
  </si>
  <si>
    <t>Pull out test of anchor</t>
  </si>
  <si>
    <t>5% of labour cost</t>
  </si>
  <si>
    <t>Providing and laying HDPE pipes with perforations including joining (series II, HDPE pipe 250mm dia)</t>
  </si>
  <si>
    <t>24.20 A</t>
  </si>
  <si>
    <t>HDPE pipes</t>
  </si>
  <si>
    <t>Screw jack</t>
  </si>
  <si>
    <t>Electric heating plate</t>
  </si>
  <si>
    <t>Electric hand driller</t>
  </si>
  <si>
    <t>Spec. cl. No: 2421</t>
  </si>
  <si>
    <t>24.21 A I</t>
  </si>
  <si>
    <t>Providing and laying plum concrete (boulder mixed concrete) as per Drawing and Technical Specifications (60% M15 concrete and 40% boulders)</t>
  </si>
  <si>
    <t>Aggregates 20-40mm</t>
  </si>
  <si>
    <t>Aggregates 10-20mm</t>
  </si>
  <si>
    <t>Aggregates 5-10mm</t>
  </si>
  <si>
    <t>Boulder stones</t>
  </si>
  <si>
    <t>Concrete vibrator</t>
  </si>
  <si>
    <t>24.21 B I</t>
  </si>
  <si>
    <t>Providing and laying plum concrete (boulder mixed concrete) as per Drawing and Technical Specifications (70% M15 concrete and 30% boulders)</t>
  </si>
  <si>
    <t>SUB-SURFACE DRAINS WITH PERFORATED PIPE</t>
  </si>
  <si>
    <t>Providing and laying subsurface drain with perforated pipe of 100mm internal dia of metal/asbestos cement/cement concrete/PVC, closely jointed , perforations ranging from 3mm to 6mm depending upon size of material surrounding the pipe, with 150mm bedding below the pipe and 300mm cushion above the pipe as per Drawing and Technical Specifications</t>
  </si>
  <si>
    <t>Crushed stone</t>
  </si>
  <si>
    <t>Pipe HDPE (internal dia 100mm)</t>
  </si>
  <si>
    <t>SECTION 2500</t>
  </si>
  <si>
    <t>BRICKWORKS FOR STRUCTURES</t>
  </si>
  <si>
    <t>Spec. cl. No: 2500</t>
  </si>
  <si>
    <t>Providing and laying weep holes in brickworks/masonry/plain/reinforced concrete abutment, wing wall/return wall with 100mm dia HDPE pipe as per Drawing and Technical Specifications</t>
  </si>
  <si>
    <t>SECTION 2600</t>
  </si>
  <si>
    <t>MASONRY FOR STRUCTURES</t>
  </si>
  <si>
    <t>Spec. cl. No: 2602, 2603, 2608</t>
  </si>
  <si>
    <t>Providing and laying of dry stone masonry work as per Drawing and Technical Specifications</t>
  </si>
  <si>
    <t>Spec. cl. No: 2602, 2603, 2607</t>
  </si>
  <si>
    <t>26.3 A</t>
  </si>
  <si>
    <t>Providing and laying of stone masonry work in cement mortar 1:3 in foundation complete as per Drawing and Technical Specifications</t>
  </si>
  <si>
    <t>Concrete mixer and other tools</t>
  </si>
  <si>
    <t>5% of labour</t>
  </si>
  <si>
    <t>RANDOM RUBBLE MASONRY IN FOUNDATION</t>
  </si>
  <si>
    <t>Providing and laying of stone masonry work in cement mortar 1:4 in foundation complete as per Drawing and Technical Specifications</t>
  </si>
  <si>
    <t>26.3 B</t>
  </si>
  <si>
    <t>26.3 C</t>
  </si>
  <si>
    <t>Providing and laying of stone masonry work in cement mortar 1:6 in foundation complete as per Drawing and Technical Specifications</t>
  </si>
  <si>
    <t>RANDOM RUBBLE MASONRY IN STRUCTURE</t>
  </si>
  <si>
    <t>Spec. cl. No: 2600, 2607</t>
  </si>
  <si>
    <t>26.4 A</t>
  </si>
  <si>
    <t>Providing and laying of stone masonry work in cement mortar 1:3 in structure complete as per Drawing and Technical Specifications</t>
  </si>
  <si>
    <t>Scaffolding</t>
  </si>
  <si>
    <t>26.5 A</t>
  </si>
  <si>
    <t>Providing and laying of stone masonry work in cement mortar 1:4 in structure complete as per Drawing and Technical Specifications</t>
  </si>
  <si>
    <t>Providing and laying of stone masonry work in cement mortar 1:6 in structure complete as per Drawing and Technical Specifications</t>
  </si>
  <si>
    <t>SECTION 2700</t>
  </si>
  <si>
    <t>REPAIR OF STRUCTURES</t>
  </si>
  <si>
    <t>SECTION 2800</t>
  </si>
  <si>
    <t>BIO-ENGINEERING WORKS</t>
  </si>
  <si>
    <t>SECTION 2900</t>
  </si>
  <si>
    <t>MAINTENANCE OF ROAD</t>
  </si>
  <si>
    <t>SECTION 3000</t>
  </si>
  <si>
    <t>SUBSURFACE GEOTECHNICAL INVESTIGATION</t>
  </si>
  <si>
    <t>SECTION 3100</t>
  </si>
  <si>
    <t>MISCELLANEOUS WORKS</t>
  </si>
  <si>
    <t>Galvanised MS flat clamp</t>
  </si>
  <si>
    <t>Clearing grass/ top soil and removal up to a distance of 50 meters outside the periphery of the area , including cutting and filling of small undulation</t>
  </si>
  <si>
    <t>2.4 (i) II A</t>
  </si>
  <si>
    <t>PIPE DRAINS, CULVERTS AND CONCRETE CHANNELS</t>
  </si>
  <si>
    <t>9.1 I B</t>
  </si>
  <si>
    <t>9.1 II B</t>
  </si>
  <si>
    <t>909, 910</t>
  </si>
  <si>
    <t>SUBBASE, BASE, HARD SHOULDER AND GRAVEL WEARING COURSE</t>
  </si>
  <si>
    <t>FALSEWORK, FORMWORK &amp; SURFACE FINISH FOR CONCRETE STRUCTURE</t>
  </si>
  <si>
    <t>1804, 1805</t>
  </si>
  <si>
    <t>20.2 H</t>
  </si>
  <si>
    <t>20.4 H (q)</t>
  </si>
  <si>
    <t>20.4 F (q)</t>
  </si>
  <si>
    <t>24.1 A i</t>
  </si>
  <si>
    <t>24.1 A ii</t>
  </si>
  <si>
    <t>24.1 A iii</t>
  </si>
  <si>
    <t>24.1 A viii</t>
  </si>
  <si>
    <t>24.1 A ix</t>
  </si>
  <si>
    <t>24.1 A x</t>
  </si>
  <si>
    <t>Providing and laying boulders apron on river bed for protection against scour with Boulder/ Stones weighing not less than 200 kg each complete as per Drawings and Technical Specifications</t>
  </si>
  <si>
    <t>2602, 2603, 2608</t>
  </si>
  <si>
    <t>2602, 2603, 2607</t>
  </si>
  <si>
    <t>2600, 2607</t>
  </si>
  <si>
    <t>26.6 A</t>
  </si>
  <si>
    <t>Providing and fixing Drainage Spouts as per Drawing and Technical Specifications</t>
  </si>
  <si>
    <t>from Kaski</t>
  </si>
  <si>
    <t>High Tension strand</t>
  </si>
  <si>
    <t>Corrugated HDPE sheathing pipe</t>
  </si>
  <si>
    <t>PTFE sliding plate bearing assembly</t>
  </si>
  <si>
    <t>Slab seal expansion joint</t>
  </si>
  <si>
    <t>Strip seal expansion joint</t>
  </si>
  <si>
    <t>10 mm (Small)</t>
  </si>
  <si>
    <t>20 mm (Intermediate)</t>
  </si>
  <si>
    <t>Trasportation Plus Loading and Unloading of Materials</t>
  </si>
  <si>
    <t>Standard Tipper Time Taken, hr</t>
  </si>
  <si>
    <t>Truck capactiy</t>
  </si>
  <si>
    <t>Ton</t>
  </si>
  <si>
    <t>Terrain:</t>
  </si>
  <si>
    <t>ER</t>
  </si>
  <si>
    <t>GR</t>
  </si>
  <si>
    <t>BT</t>
  </si>
  <si>
    <t>For onward haulage with load</t>
  </si>
  <si>
    <t>For Empty Return trip</t>
  </si>
  <si>
    <t>Speed with Load</t>
  </si>
  <si>
    <t>Speed when Empty</t>
  </si>
  <si>
    <t>km/hr</t>
  </si>
  <si>
    <t>SN</t>
  </si>
  <si>
    <t>Material Type</t>
  </si>
  <si>
    <t xml:space="preserve">Earthen Km
</t>
  </si>
  <si>
    <t xml:space="preserve">Gravel    Km 
</t>
  </si>
  <si>
    <t xml:space="preserve">Blacktop Km
</t>
  </si>
  <si>
    <t>Load Capacity (Ton)</t>
  </si>
  <si>
    <t>Unit Weight</t>
  </si>
  <si>
    <t>Total Travel Time (T)</t>
  </si>
  <si>
    <t>Loading Unloading</t>
  </si>
  <si>
    <t>Load / Unload Time</t>
  </si>
  <si>
    <t>Load / Unload Cost</t>
  </si>
  <si>
    <t>Truck, Hr.</t>
  </si>
  <si>
    <t xml:space="preserve">Total Transportation Cost per unit </t>
  </si>
  <si>
    <t>Total Trasportation + Loading and Unloading</t>
  </si>
  <si>
    <t>Total Time (Tipper)</t>
  </si>
  <si>
    <t>Labour (Skilled)</t>
  </si>
  <si>
    <t>Labour (Unskilled)</t>
  </si>
  <si>
    <t>Excavated earth work</t>
  </si>
  <si>
    <t>a</t>
  </si>
  <si>
    <t>Soil Material</t>
  </si>
  <si>
    <t>b</t>
  </si>
  <si>
    <t>Rock  Material</t>
  </si>
  <si>
    <t xml:space="preserve">Sand </t>
  </si>
  <si>
    <t>Gravel, river shingle, broken stone aggregates, and bats.</t>
  </si>
  <si>
    <t>River shingle</t>
  </si>
  <si>
    <t>c</t>
  </si>
  <si>
    <t>Broken stone aggregates</t>
  </si>
  <si>
    <t>Dressed Stone</t>
  </si>
  <si>
    <t>Bricks</t>
  </si>
  <si>
    <t>1000 Nos</t>
  </si>
  <si>
    <t>Cement Concrete Blocks, Kerb etc</t>
  </si>
  <si>
    <t>Cement and Steel, Gabion Wires etc</t>
  </si>
  <si>
    <t>10 t</t>
  </si>
  <si>
    <t>40 t</t>
  </si>
  <si>
    <t xml:space="preserve">GI, CI, Pipe and fittings </t>
  </si>
  <si>
    <t>Timber for temporary works</t>
  </si>
  <si>
    <t>30 t</t>
  </si>
  <si>
    <t>Fabricated Structural Timber</t>
  </si>
  <si>
    <t>Fabricated Structural Steel</t>
  </si>
  <si>
    <t>RCC Precast Element</t>
  </si>
  <si>
    <t xml:space="preserve"> RCC hume pipe</t>
  </si>
  <si>
    <t>900mm dia</t>
  </si>
  <si>
    <t>15 m at one time</t>
  </si>
  <si>
    <t>750 mm dia</t>
  </si>
  <si>
    <t>25 m at one time</t>
  </si>
  <si>
    <t>600mm dia</t>
  </si>
  <si>
    <t>d</t>
  </si>
  <si>
    <t>450 mm</t>
  </si>
  <si>
    <t>37.5 m at one time</t>
  </si>
  <si>
    <t>e</t>
  </si>
  <si>
    <t>300 mm dia</t>
  </si>
  <si>
    <t xml:space="preserve">Water </t>
  </si>
  <si>
    <t>1000 ltr</t>
  </si>
  <si>
    <t>Petrol / Diesel / Kerosene</t>
  </si>
  <si>
    <t>`</t>
  </si>
  <si>
    <t>``</t>
  </si>
  <si>
    <t>Hilly</t>
  </si>
  <si>
    <t>Total Time(Loader)/ crane 3t</t>
  </si>
  <si>
    <t>Equipment &amp; accessories etc. requiring careful handling</t>
  </si>
  <si>
    <t>Chart for collection of materials</t>
  </si>
  <si>
    <t>Activity no</t>
  </si>
  <si>
    <t>Labour</t>
  </si>
  <si>
    <t>Material</t>
  </si>
  <si>
    <t>Equipment</t>
  </si>
  <si>
    <t>Total Amount</t>
  </si>
  <si>
    <t>Qty</t>
  </si>
  <si>
    <t>8.1 A</t>
  </si>
  <si>
    <t>3% of Labour</t>
  </si>
  <si>
    <t xml:space="preserve">   40 mm size)</t>
  </si>
  <si>
    <t>8.1 B</t>
  </si>
  <si>
    <t xml:space="preserve">  20 mm size)</t>
  </si>
  <si>
    <t>8.1 C</t>
  </si>
  <si>
    <t xml:space="preserve"> 8 mm size)</t>
  </si>
  <si>
    <t>8.1 D</t>
  </si>
  <si>
    <t>8.1 E</t>
  </si>
  <si>
    <t>f</t>
  </si>
  <si>
    <t>8.1 F</t>
  </si>
  <si>
    <t>8.3 A</t>
  </si>
  <si>
    <t>8.3B</t>
  </si>
  <si>
    <t>8.3C</t>
  </si>
  <si>
    <t>In local River</t>
  </si>
  <si>
    <t>8.3D</t>
  </si>
  <si>
    <t>8.4 A</t>
  </si>
  <si>
    <t>8.4 B</t>
  </si>
  <si>
    <t>Breaking stones including Collection, seiving and stacking within 10m. Manual</t>
  </si>
  <si>
    <t>8.5 A</t>
  </si>
  <si>
    <t>8.5 B</t>
  </si>
  <si>
    <t>8.5 C</t>
  </si>
  <si>
    <t>8.5 D</t>
  </si>
  <si>
    <t xml:space="preserve">  10 mm size)</t>
  </si>
  <si>
    <t>Mechanically Crushing of Stone Aggregates</t>
  </si>
  <si>
    <t>13.2 mm Nominal Size</t>
  </si>
  <si>
    <t>8.6 A</t>
  </si>
  <si>
    <t>Stone Boulder of Size 150 mm and below</t>
  </si>
  <si>
    <t>Cum</t>
  </si>
  <si>
    <t>Stone Crusher with screen</t>
  </si>
  <si>
    <t>Tripper</t>
  </si>
  <si>
    <t>Total Material B</t>
  </si>
  <si>
    <t>Total Equipment C</t>
  </si>
  <si>
    <t>20 mm Nominal Size</t>
  </si>
  <si>
    <t>8.6 B</t>
  </si>
  <si>
    <t>Total Labour A</t>
  </si>
  <si>
    <t>40 mm Nominal Size</t>
  </si>
  <si>
    <t>8.6 C</t>
  </si>
  <si>
    <t>Making rubbles of required size including breaking with distance 10m. and   stacking. (Without Blasting )</t>
  </si>
  <si>
    <t>8.7 B</t>
  </si>
  <si>
    <t>3) Material</t>
  </si>
  <si>
    <t>Stone crusher with screen</t>
  </si>
  <si>
    <t>stone crushing</t>
  </si>
  <si>
    <t>Rate of Boulder Vary  upon Site</t>
  </si>
  <si>
    <t>Material rates including collection and transportation</t>
  </si>
  <si>
    <t>approximated value</t>
  </si>
  <si>
    <t xml:space="preserve">Providing and laying of 50mm thick M20 concrete flooring above concrete precast slab in superstructure complete as per drawing and technical specification. </t>
  </si>
  <si>
    <t>Value</t>
  </si>
  <si>
    <t>x</t>
  </si>
  <si>
    <r>
      <t>m</t>
    </r>
    <r>
      <rPr>
        <sz val="10"/>
        <rFont val="Times New Roman"/>
        <family val="1"/>
      </rPr>
      <t>²</t>
    </r>
  </si>
  <si>
    <t>Slab</t>
  </si>
  <si>
    <t>Size</t>
  </si>
  <si>
    <t>C.</t>
  </si>
  <si>
    <t>Length</t>
  </si>
  <si>
    <t>Neck</t>
  </si>
  <si>
    <t>Width</t>
  </si>
  <si>
    <t>Vertical height</t>
  </si>
  <si>
    <t>Sloping height</t>
  </si>
  <si>
    <t>+</t>
  </si>
  <si>
    <t>Height</t>
  </si>
  <si>
    <t>D.</t>
  </si>
  <si>
    <t>Back wall</t>
  </si>
  <si>
    <t>Thickness</t>
  </si>
  <si>
    <t>E.</t>
  </si>
  <si>
    <t>F.</t>
  </si>
  <si>
    <t>Number</t>
  </si>
  <si>
    <t>rectangular portion</t>
  </si>
  <si>
    <t>G.</t>
  </si>
  <si>
    <t>Wing wall</t>
  </si>
  <si>
    <t>hunch</t>
  </si>
  <si>
    <t>to</t>
  </si>
  <si>
    <t>carriageway</t>
  </si>
  <si>
    <t>trapezoidal portion</t>
  </si>
  <si>
    <t>Heel</t>
  </si>
  <si>
    <t>Toe</t>
  </si>
  <si>
    <t>for 5.5 Cum</t>
  </si>
  <si>
    <t>for 16000 Nos</t>
  </si>
  <si>
    <t>for 20 Cum</t>
  </si>
  <si>
    <t>Hume pipe - 900 mm diameter (NP3)</t>
  </si>
  <si>
    <t>HDPE pipe 250mm dia, series II</t>
  </si>
  <si>
    <t>GI pipe 100 mm medium class</t>
  </si>
  <si>
    <t>Barbed wire (12 gauge)</t>
  </si>
  <si>
    <t>Compressive seal</t>
  </si>
  <si>
    <t>Nut and bolts 6mm dia</t>
  </si>
  <si>
    <t xml:space="preserve">Struts, ballies, etc. </t>
  </si>
  <si>
    <t>Sub-base aggregate</t>
  </si>
  <si>
    <t>Timber</t>
  </si>
  <si>
    <t>Formworks and Staging 33%=</t>
  </si>
  <si>
    <t>Providing and laying of Reinforced/ Prestressed concrete M35/20 in Superstructure (including required formworks and staging) as per Drawing and Technical Specifications</t>
  </si>
  <si>
    <t>Boulder</t>
  </si>
  <si>
    <t>market rate</t>
  </si>
  <si>
    <t>Slab sill expansion joint</t>
  </si>
  <si>
    <t>0+080</t>
  </si>
  <si>
    <t>0+180</t>
  </si>
  <si>
    <t>0+200</t>
  </si>
  <si>
    <t>From Kaski</t>
  </si>
  <si>
    <t>Bitumen VG 10</t>
  </si>
  <si>
    <t>From Tanahu</t>
  </si>
  <si>
    <t>108 km from prithvichok</t>
  </si>
  <si>
    <t>60 km from damauli</t>
  </si>
  <si>
    <t>Random backfill</t>
  </si>
  <si>
    <t>MS angle sections (100x100x12mm)</t>
  </si>
  <si>
    <t>MS angle section (100x100x12)</t>
  </si>
  <si>
    <t>Geo - Textile (150 gsm)</t>
  </si>
  <si>
    <t>4 kgf/cm²</t>
  </si>
  <si>
    <t>Nuts &amp; bolts (4")</t>
  </si>
  <si>
    <t>Parameters</t>
  </si>
  <si>
    <t>Deck parameter</t>
  </si>
  <si>
    <t>thickness variation in cantilever slab</t>
  </si>
  <si>
    <t>Span length</t>
  </si>
  <si>
    <t>Carriageway</t>
  </si>
  <si>
    <t>Footpath and railing</t>
  </si>
  <si>
    <t>Slab cantilever</t>
  </si>
  <si>
    <t>(from center of bearing)</t>
  </si>
  <si>
    <t>Clear space for prestressing</t>
  </si>
  <si>
    <t>(from girder end, between decks)</t>
  </si>
  <si>
    <t>slope (nH : 1V)</t>
  </si>
  <si>
    <t>Cantilever thickness</t>
  </si>
  <si>
    <t>(at center of bearing)</t>
  </si>
  <si>
    <t>Offset at abutment end</t>
  </si>
  <si>
    <t>Offset at pier end</t>
  </si>
  <si>
    <t>Deck thickness</t>
  </si>
  <si>
    <t>Thickness for overhang</t>
  </si>
  <si>
    <t>Expansion joint</t>
  </si>
  <si>
    <t>Slab length</t>
  </si>
  <si>
    <t>(at end decks)</t>
  </si>
  <si>
    <t>(intermediate decks)</t>
  </si>
  <si>
    <t>Slab width</t>
  </si>
  <si>
    <t>Main Girder</t>
  </si>
  <si>
    <t>c/c distance</t>
  </si>
  <si>
    <t>Length of broad end</t>
  </si>
  <si>
    <t>(each side)</t>
  </si>
  <si>
    <t>Transition length</t>
  </si>
  <si>
    <t>Length of narrow portion (sec-1 to sec-2)</t>
  </si>
  <si>
    <t>Length of narrow portion (sec-2 to sec-3)</t>
  </si>
  <si>
    <t>size at end panels (sec-1)</t>
  </si>
  <si>
    <t>size at broad end</t>
  </si>
  <si>
    <t>size at end panels (sec-2)</t>
  </si>
  <si>
    <t>rectangular base</t>
  </si>
  <si>
    <t>stem</t>
  </si>
  <si>
    <t>size at intermediate panels (sec-3)</t>
  </si>
  <si>
    <t>End Cross Girder</t>
  </si>
  <si>
    <t>(trapezoidal)</t>
  </si>
  <si>
    <t>length</t>
  </si>
  <si>
    <t>size</t>
  </si>
  <si>
    <t>Intermediate Cross Girder</t>
  </si>
  <si>
    <t>Footpath slab size</t>
  </si>
  <si>
    <t>Railing number (per side)</t>
  </si>
  <si>
    <t>railing size</t>
  </si>
  <si>
    <t>kerb area</t>
  </si>
  <si>
    <t>railing post base</t>
  </si>
  <si>
    <t>Number of ducts</t>
  </si>
  <si>
    <t>(including dummy)</t>
  </si>
  <si>
    <t>Area of Tendon Calculation</t>
  </si>
  <si>
    <t>Dia Tendon</t>
  </si>
  <si>
    <t>Area</t>
  </si>
  <si>
    <t>Factor</t>
  </si>
  <si>
    <t>FactoredArea</t>
  </si>
  <si>
    <t>No of Strands</t>
  </si>
  <si>
    <t>Total Tendon Area</t>
  </si>
  <si>
    <t>No. of Tendon</t>
  </si>
  <si>
    <t>Total Area</t>
  </si>
  <si>
    <r>
      <t>mm</t>
    </r>
    <r>
      <rPr>
        <vertAlign val="superscript"/>
        <sz val="11"/>
        <rFont val="Arial"/>
        <family val="2"/>
      </rPr>
      <t>2</t>
    </r>
  </si>
  <si>
    <r>
      <t>m</t>
    </r>
    <r>
      <rPr>
        <vertAlign val="superscript"/>
        <sz val="11"/>
        <rFont val="Arial"/>
        <family val="2"/>
      </rPr>
      <t>2</t>
    </r>
  </si>
  <si>
    <t>H.</t>
  </si>
  <si>
    <t>Drain Spout</t>
  </si>
  <si>
    <t>(per deck per side)</t>
  </si>
  <si>
    <t>Stem</t>
  </si>
  <si>
    <t>circular</t>
  </si>
  <si>
    <t>Diameter</t>
  </si>
  <si>
    <t>Cap</t>
  </si>
  <si>
    <t>Bearing pedestal</t>
  </si>
  <si>
    <t>Number of abutments</t>
  </si>
  <si>
    <t>Shape</t>
  </si>
  <si>
    <t>Stem base</t>
  </si>
  <si>
    <t>Offset from footing</t>
  </si>
  <si>
    <t>Slope (1H : nV)</t>
  </si>
  <si>
    <t>Base</t>
  </si>
  <si>
    <t>and</t>
  </si>
  <si>
    <t>Hunch at neck</t>
  </si>
  <si>
    <t>triangular</t>
  </si>
  <si>
    <t>Abutment Cap</t>
  </si>
  <si>
    <t>Approach Slab seat</t>
  </si>
  <si>
    <t>Bearing Pedestal</t>
  </si>
  <si>
    <t>H</t>
  </si>
  <si>
    <t>Number (per side)</t>
  </si>
  <si>
    <t>River Training and Protection Works</t>
  </si>
  <si>
    <t>LS</t>
  </si>
  <si>
    <t>Engineer's Facilities Type B: Supply and Provide and maintain the facilities as stated in Specification / Special Provisions of the Contract</t>
  </si>
  <si>
    <t>Site Office</t>
  </si>
  <si>
    <t>Months</t>
  </si>
  <si>
    <t>Vehicle</t>
  </si>
  <si>
    <t>Provisional sum for the investigations/ laboratory tests as directed by the Employer/ Project Manager as stated in Specification  / Special Provisions</t>
  </si>
  <si>
    <t>Temporary Structures/ Diversions all complete, design, construction and maintenance as specified in Specifications and Special Provisions</t>
  </si>
  <si>
    <t xml:space="preserve">b) </t>
  </si>
  <si>
    <t>Laying and fixing of Geo-Textile all complete as per specification. Providing and laying of a geo-textile filter between pitching and embankment slope as per drawing and technical specifications. [2404]</t>
  </si>
  <si>
    <t>M45/20</t>
  </si>
  <si>
    <t>Providing and laying of stripe seal expansion joint catering to maximum horizontal movement up to 70mm  complete as per approved drawing and technical specifications.</t>
  </si>
  <si>
    <t>Clearing and grubbing road land including uprooting rank vegetation, grass, bushes, shrubs, sapling and trees girth up to 300mm, removal of stumps of trees cut earlier and disposal of unserviceable materials and stacking of serviceable material to be used or auctioned, up to a lead 30m including removal and disposal of top organic soil not exceeding 150mm in thickness.</t>
  </si>
  <si>
    <t>Area=</t>
  </si>
  <si>
    <t>Pier</t>
  </si>
  <si>
    <t>Pier Footing</t>
  </si>
  <si>
    <t>Providing suitable material and Back filling behind abutment, wing wall and return wall complete as per drawing and Technical Specifications. (Granular Materaial)</t>
  </si>
  <si>
    <t xml:space="preserve">Stem </t>
  </si>
  <si>
    <t>Circum.=</t>
  </si>
  <si>
    <t>Pedestal</t>
  </si>
  <si>
    <t>C.1</t>
  </si>
  <si>
    <t>Area =</t>
  </si>
  <si>
    <t>Railing post base</t>
  </si>
  <si>
    <t>Post</t>
  </si>
  <si>
    <t>C.2</t>
  </si>
  <si>
    <t>C.3</t>
  </si>
  <si>
    <t>C.4</t>
  </si>
  <si>
    <t>C.5</t>
  </si>
  <si>
    <t>Supplying, fitting and fixing in position true to line and level sliding plate bearing with PTFE surface sliding on stainless steel including all accessories as per Drawing and Technical Specifications</t>
  </si>
  <si>
    <t>C.6</t>
  </si>
  <si>
    <t>at deck slab (end)</t>
  </si>
  <si>
    <t>C.7</t>
  </si>
  <si>
    <t>Deck slab (at end)</t>
  </si>
  <si>
    <t>Deck Slab (intermediate)</t>
  </si>
  <si>
    <t>C.8</t>
  </si>
  <si>
    <t>Providing and laying plum concrete (boulder mixed concrete) as per Drawing and Technical Specifications (60% M20 concrete and 40% boulders)</t>
  </si>
  <si>
    <t xml:space="preserve">Clearing and Grubbing Road Land </t>
  </si>
  <si>
    <t>Clearing and grubbing road land including uprooting rank vegetation, grass, bushes, shrubs, saplings and trees girth up to 300 mm, removal of stumps of trees cut earlier and disposal of unserviceable materials and stacking of serviceable Material to be used or auctioned, up to a lead of 30 meters including removal and disposal of top organic soil not exceeding 150 mm in thickness</t>
  </si>
  <si>
    <t>Dozer/ Excavator</t>
  </si>
  <si>
    <t>2.1 I (ii) A</t>
  </si>
  <si>
    <t>18.2 a iii</t>
  </si>
  <si>
    <t>Providing, preparing and installing formwork including necessary supports and removing after completion for substructure class F2 finishing [1804, 1805]</t>
  </si>
  <si>
    <t>Formwork and Staging 35% =</t>
  </si>
  <si>
    <t>Formworks and Staging 35%=</t>
  </si>
  <si>
    <t>Supplying, fitting and fixing in position true to line and level POT fixed bearing consisting of a metal piston supported by a disc or unreinforced elastomer confined within a metal cylinder, sealing rings, dust seals, complete assembly to be of cast steel/ fabricated structural steel, metal and elastomer elements as per Drawing and Technical Specifications (considering a 250 tonne capacity bearing)</t>
  </si>
  <si>
    <t>Pot bearing (fixed)</t>
  </si>
  <si>
    <t>(a)</t>
  </si>
  <si>
    <t>(b)</t>
  </si>
  <si>
    <t>POT fixed bearing</t>
  </si>
  <si>
    <t>POT-PTFE free bearing</t>
  </si>
  <si>
    <t>Bearings (1902)</t>
  </si>
  <si>
    <t>(ii)</t>
  </si>
  <si>
    <t>In area of light jungle (less than 15 number 100 sqm)</t>
  </si>
  <si>
    <t>Providing and laying plum concrete (boulder mixed concrete) as per Drawing and Technical Specifications (70% M20 concrete and 30% boulders)</t>
  </si>
  <si>
    <t>trapezoidal</t>
  </si>
  <si>
    <t>Approach slab</t>
  </si>
  <si>
    <t>at approach slab</t>
  </si>
  <si>
    <t>Left Abutment</t>
  </si>
  <si>
    <t xml:space="preserve">Right abutment  </t>
  </si>
  <si>
    <t>Left abutment</t>
  </si>
  <si>
    <t>Right abutment</t>
  </si>
  <si>
    <t>Seismic stopper</t>
  </si>
  <si>
    <t>at deck slab (intermediate)</t>
  </si>
  <si>
    <t>Providing and laying 25mm dia tor steel dowel bar including drilling 35mm dia bore hole in rock necessary bending, hooking, tying reinforcement in position and grouting etc. complete as per Drawings and Technical Specifications</t>
  </si>
  <si>
    <t>For 25mm dia bar, unit rate =</t>
  </si>
  <si>
    <t xml:space="preserve">Area = </t>
  </si>
  <si>
    <t>Ordinary Rock</t>
  </si>
  <si>
    <t>Right Abutment</t>
  </si>
  <si>
    <t>0+220</t>
  </si>
  <si>
    <t>0+240</t>
  </si>
  <si>
    <t>0+260</t>
  </si>
  <si>
    <t>0+280</t>
  </si>
  <si>
    <t>0+300</t>
  </si>
  <si>
    <t>0+320</t>
  </si>
  <si>
    <t>0+337.16</t>
  </si>
  <si>
    <t>Road way Excavation as per Drawing and technical specifications including removal of stumps and other deleterious matter, all lifts and lead as per Drawing</t>
  </si>
  <si>
    <t>Ordinary soil</t>
  </si>
  <si>
    <t>Ordinary rock</t>
  </si>
  <si>
    <t>Leftt bank</t>
  </si>
  <si>
    <t>Road way Excavation as per Drawing and technical specifications including removal of stumps and other deleterious matter, all lifts and lead as per Drawing [905]</t>
  </si>
  <si>
    <t>Gabion foundation</t>
  </si>
  <si>
    <t>M20/40</t>
  </si>
  <si>
    <t>Stone masonry base</t>
  </si>
  <si>
    <t>Stone masonry capping</t>
  </si>
  <si>
    <t>20.4 B</t>
  </si>
  <si>
    <t>Providing and laying of PCC grade M20 in Substructure all complete as per Drawing and Technical Specifications (up to 10m height)</t>
  </si>
  <si>
    <t>10% of (A+B+C) for formwork =</t>
  </si>
  <si>
    <t>Aggregate 40mm</t>
  </si>
  <si>
    <t>Providing and laying of PCC grade M20 in Substructure all complete as per Drawing and Technical Specifications (up to 5m height)</t>
  </si>
  <si>
    <t>Providing and laying of Reinforced Cement Concrete M20/20 in Substructure all complete as per Drawing and Technical Specifications (up to 5m height)</t>
  </si>
  <si>
    <t xml:space="preserve">Clearing and grubbing road land including uprooting rank vegetation, grass, bushes, shrubs, saplings and trees girth up to 300 mm, removal of stumps of trees cut earlier and disposal of unserviceable materials and stacking of serviceable material to be used or auctioned, up to a lead of 30 meters including removal and disposal of top organic soil not exceeding 150 mm in thickness
</t>
  </si>
  <si>
    <t>Abutment (Left Bank)</t>
  </si>
  <si>
    <t>Abutment (Right Bank)</t>
  </si>
  <si>
    <t>For Approach Slab</t>
  </si>
  <si>
    <t>Parapet posts, Kerbs and Footpath slab</t>
  </si>
  <si>
    <t>at deck slab</t>
  </si>
  <si>
    <t>C.9</t>
  </si>
  <si>
    <t>Providing, preparing and installing formwork including necessary supports and removing after completion for substructure class F2 finishing up to 5m.[1804, 1805]</t>
  </si>
  <si>
    <t>Earth work in excavation of foundation of structures, including  construction of shoring and bracing, removal of stumps and other deleterious matter and backfilling with approved Material as per Drawing and Technical Specifications. [907]</t>
  </si>
  <si>
    <t>Providing suitable material and Back filling behind abutment, wing wall and return wall complete as per drawing and Technical Specifications. ( Granular Material) [908]</t>
  </si>
  <si>
    <t>TOTAL NET COST OF BRIDGE (A)</t>
  </si>
  <si>
    <t>TOTAL GROSS COST OF BRIDGE (B)</t>
  </si>
  <si>
    <t>PHYSICAL CONTINGENCY @5% OF (B)</t>
  </si>
  <si>
    <t>PRICE ADJUSTMENT CONTINGENCY @10% OF (B)</t>
  </si>
  <si>
    <t xml:space="preserve"> GENERAL CONTINGENCY @ 4% OF (B)</t>
  </si>
  <si>
    <t>Providing, laying, spreading and compacting embankment with borrow material as per Drawing and Technical Specifications. [909,910]</t>
  </si>
  <si>
    <t>D.1</t>
  </si>
  <si>
    <t>D.2</t>
  </si>
  <si>
    <t>Providing, laying, spreading and compacting embankment with borrow material as per Drawing and Technical Specifications.</t>
  </si>
  <si>
    <t>Providing and laying of PCC M 15 Grade leveling course below approach slab complete as per drawing and Technical specification</t>
  </si>
  <si>
    <t>C.10</t>
  </si>
  <si>
    <t>D.3</t>
  </si>
  <si>
    <t>D.4</t>
  </si>
  <si>
    <t>GI Pipe 50 mm heavy duty</t>
  </si>
  <si>
    <t>Providing and laying of plain/reinforced cement concrete in foundation complete as per drawing and technical specification.</t>
  </si>
  <si>
    <t>Abutment stem (hunch)</t>
  </si>
  <si>
    <t>Abutment stem (Cantilever)</t>
  </si>
  <si>
    <t>Abutment stem (Faces)</t>
  </si>
  <si>
    <t>Wing wall lateral side</t>
  </si>
  <si>
    <t>Wing wall inclined side</t>
  </si>
  <si>
    <t>Providing and installation of project information boards with size of 1.8 x 1.2 m as per specification and instruction of engineer.</t>
  </si>
  <si>
    <t>Traffic Management &amp; diversion , provide maintain and remove on completion all signs, barrier staff and equipment for temporary control of traffic to the engineer's requirements.</t>
  </si>
  <si>
    <t xml:space="preserve">From Kaski </t>
  </si>
  <si>
    <t>Government of Nepal</t>
  </si>
  <si>
    <t>Bridge Branch</t>
  </si>
  <si>
    <t>FEASIBILITY STUDY, DETAILED ENGINEERING SURVEY, SOIL INVESTIGATION, HYDROLOGICAL STUDY AND DETAILED DESIGN OF THE BRIDGES</t>
  </si>
  <si>
    <t>Contract No: BB-1123-DSD-076/77-08</t>
  </si>
  <si>
    <t>of</t>
  </si>
  <si>
    <t>VOLUME IV: COST ESTIMATE</t>
  </si>
  <si>
    <t>Submitted By</t>
  </si>
  <si>
    <t>Professional Network for Engineering Services Pvt. Ltd. (PNet) and J&amp;R Consult Pvt. Ltd.</t>
  </si>
  <si>
    <t>Kupandole, Lalitpur, Nepal</t>
  </si>
  <si>
    <t xml:space="preserve">FINAL DESIGN REPORT </t>
  </si>
  <si>
    <t>5-40mm material from river</t>
  </si>
  <si>
    <t>5-40 mm aggregate (avg sand stone and 20mm agg)</t>
  </si>
  <si>
    <t>Pot bearing (LG bearing)</t>
  </si>
  <si>
    <t>Abutment hunch</t>
  </si>
  <si>
    <t>Volume of frustum=</t>
  </si>
  <si>
    <t>End faces</t>
  </si>
  <si>
    <t>Deduction for approach slab seat</t>
  </si>
  <si>
    <t>Seismic stopper sides</t>
  </si>
  <si>
    <t>Side face 1</t>
  </si>
  <si>
    <t>Side face 2</t>
  </si>
  <si>
    <t>Cap sides (Inclined)</t>
  </si>
  <si>
    <t>Cap (Upper part)</t>
  </si>
  <si>
    <t>Providing and laying of plain/reinforced cement concrete in foundation complete as per drawing and technical specification. M35/20</t>
  </si>
  <si>
    <t>Horizontal</t>
  </si>
  <si>
    <t>Pipe HDPE (internal dia 75mm)</t>
  </si>
  <si>
    <t>FOR 75MM PIPE</t>
  </si>
  <si>
    <t>HDPE pipe 75mm dia</t>
  </si>
  <si>
    <t>HDPE pipe 110mm dia</t>
  </si>
  <si>
    <t>Providing and laying weep holes in brickworks/masonry/plain/reinforced concrete abutment, wing wall/return wall with 75mm dia HDPE pipe as per Drawing and Technical Specifications</t>
  </si>
  <si>
    <t>Providing and laying weep holes in Brick dry/Plain/Reinforcedconcrete abutment, wing wall/ return wall with 75 mm dia HDPE pipe, extending through the full width of the structure with slope of 1V :20H towards drawing face Complete as per Drawing and Technical Specifications.[2500]</t>
  </si>
  <si>
    <t>Providing and laying weep holes in Brick dry/Plain/Reinforcedconcrete abutment, wing wall/ return wall with 75 mm dia HDPE pipe, extending through the full width of the structure with slope of 1V :20H towards drawing face Complete as per Drawing and Technical Specifications.</t>
  </si>
  <si>
    <t>Providing, laying, spreading and compacting Water bound macadam  including  brooming requisite type of screening/ binding Materials to fill up the interstices of coarse aggregate, watering and compacting to the required density as per Drawing and Technical Specifications.</t>
  </si>
  <si>
    <t>D.5</t>
  </si>
  <si>
    <t>Providing and laying Asphalt/ Premix wearing course using crushed aggregates of specified grading, premixed with bituminous binder and filler as per Drawing and Technical Specifications</t>
  </si>
  <si>
    <t>12.6 B</t>
  </si>
  <si>
    <t>WATER BOUND MACADAM BY MECHANICAL MEANS</t>
  </si>
  <si>
    <t>Spec. cl. No:  1203</t>
  </si>
  <si>
    <t>Aggregates</t>
  </si>
  <si>
    <t>Stone screening 13.2mm</t>
  </si>
  <si>
    <t>D.6</t>
  </si>
  <si>
    <t>Providing and laying Gabion structure (boxes) for retaining earth with diaphragm including rolling, cutting weaving , placing, laying sides and diaphragms with binding wire and filling boulders all complete as per Drawing and Technical Specification. Mesh wire- 10 Swg(0.0615 kg/m), Selvedge Wire 8 Swg ( 0.1057 kg/m), binding wire 12 Swg (0.0409 kg/m) Hexagonal mesh Type 100 mm X 120 mm</t>
  </si>
  <si>
    <t>Providing and laying Gabion structure (boxes) for retaining earth with diaphragm including rolling, cutting weaving , placing, laying sides and diaphragms with binding wire and filling boulders all complete as per Drawing and Technical Specification. Mesh wire- 10 Swg(0.0615 kg/m), Selvedge Wire 8 Swg ( 0.1057 kg/m), binding wire 12 Swg (0.0409 kg/m) Hexagonal mesh Type 100 mm X 120 mm[2401]</t>
  </si>
  <si>
    <t>2X1X1</t>
  </si>
  <si>
    <t>1.5X1X1</t>
  </si>
  <si>
    <t>1X1X1</t>
  </si>
  <si>
    <t>Providing and laying Gabion structure for retaining earth with diaphragm including rolling, cutting weaving , placing, laying sides and diaphragms with binding wire and filling boulders all complete as per Drawing and Technical Specification. Mesh wire- 10 Swg(0.0615 kg/m), Selvedge Wire 8 Swg ( 0.1057 kg/m), binding wire 12 Swg (0.0409 kg/m) Hexagonal mesh Type 100 mm X 120 mm. [1x1x1]</t>
  </si>
  <si>
    <t>Ch 0+50 to 0+70 (1.5X1X1)</t>
  </si>
  <si>
    <t>Ch 0+50 to 0+70 (2X1X1)</t>
  </si>
  <si>
    <t>Ch 0+50 to 0+70 (1X1X1)</t>
  </si>
  <si>
    <t>Upstream</t>
  </si>
  <si>
    <t>Downstream</t>
  </si>
  <si>
    <t>D/S Gabion</t>
  </si>
  <si>
    <t>U/S Gabion</t>
  </si>
  <si>
    <t>Babarmahal, Kathmandu</t>
  </si>
  <si>
    <t>Dowel bar 25mm dia</t>
  </si>
  <si>
    <t>Kaski, for 40m span 2 girder</t>
  </si>
  <si>
    <t>Wing Wall (Left and Right)</t>
  </si>
  <si>
    <t xml:space="preserve">Deck Slab </t>
  </si>
  <si>
    <t>Precast RC Footpath slabs, parapet posts and their bases and road kerbs</t>
  </si>
  <si>
    <t>Providing, fitting and fixing high tensile steel wires/strans(Tendons) including sheathing (ducting for housing 19-multistrandded cables) corrugated "HDPE" type, 90mm internal dia (wall thickness 2.3mm as manufactured and 1.5mm after loss of compression) and anchorages for 19- stranded multistranded cables for stressing, stressing operations and grouting complete as per Drawing and Technical Specifications.</t>
  </si>
  <si>
    <t>Supply and fixing in position 75mm dia GI pipe (Medium class) railings as per drawings. (3100)</t>
  </si>
  <si>
    <t>Supply and fixing in position 75mm dia GI pipe (heavy duty) railings as per drawings. (3100)</t>
  </si>
  <si>
    <t>Providing, fitting and fixing 75 mm dia heavy duty GI pipe railing complete as per drawing and Technical Specification</t>
  </si>
  <si>
    <t>75 mm GI pipe</t>
  </si>
  <si>
    <t>B.5</t>
  </si>
  <si>
    <t>Lamjung District rate 2080/81</t>
  </si>
  <si>
    <t>SUMMARY OF COSTS</t>
  </si>
  <si>
    <r>
      <t>Fill volume(m</t>
    </r>
    <r>
      <rPr>
        <b/>
        <vertAlign val="superscript"/>
        <sz val="10"/>
        <rFont val="Times New Roman"/>
        <family val="1"/>
      </rPr>
      <t>3</t>
    </r>
    <r>
      <rPr>
        <b/>
        <sz val="10"/>
        <rFont val="Times New Roman"/>
        <family val="1"/>
      </rPr>
      <t>)</t>
    </r>
  </si>
  <si>
    <r>
      <t>Cut area(m</t>
    </r>
    <r>
      <rPr>
        <b/>
        <vertAlign val="superscript"/>
        <sz val="10"/>
        <rFont val="Times New Roman"/>
        <family val="1"/>
      </rPr>
      <t>3</t>
    </r>
    <r>
      <rPr>
        <b/>
        <sz val="10"/>
        <rFont val="Times New Roman"/>
        <family val="1"/>
      </rPr>
      <t>)</t>
    </r>
  </si>
  <si>
    <r>
      <t>Cut volume(m</t>
    </r>
    <r>
      <rPr>
        <b/>
        <vertAlign val="superscript"/>
        <sz val="10"/>
        <rFont val="Times New Roman"/>
        <family val="1"/>
      </rPr>
      <t>3</t>
    </r>
    <r>
      <rPr>
        <b/>
        <sz val="10"/>
        <rFont val="Times New Roman"/>
        <family val="1"/>
      </rPr>
      <t>)</t>
    </r>
  </si>
  <si>
    <t>Ministry of Physical Infrastructure and Transport</t>
  </si>
  <si>
    <t>Rectangular base</t>
  </si>
  <si>
    <t>Cap (Tapered)</t>
  </si>
  <si>
    <t>Cap (Rectangular)</t>
  </si>
  <si>
    <t>Ch 0+330 to 0+338 (2X1X1)</t>
  </si>
  <si>
    <t>Ch 0+330 to 0+338 (1.5X1X1)</t>
  </si>
  <si>
    <t>Ch 0+330 to 0+338 (1X1X1)</t>
  </si>
  <si>
    <t>E.4</t>
  </si>
  <si>
    <t>E. 5</t>
  </si>
  <si>
    <t>Stone masonry foundation (Sec 1-1)</t>
  </si>
  <si>
    <t>(Sec 2-2)</t>
  </si>
  <si>
    <t>(Sec 3-3)</t>
  </si>
  <si>
    <t xml:space="preserve"> (Sec 1-1)</t>
  </si>
  <si>
    <t>area=</t>
  </si>
  <si>
    <t>Stone masonry</t>
  </si>
  <si>
    <t>Stone Masonry Wall</t>
  </si>
  <si>
    <r>
      <rPr>
        <b/>
        <sz val="16"/>
        <rFont val="Times New Roman"/>
        <family val="1"/>
      </rPr>
      <t xml:space="preserve">                       </t>
    </r>
    <r>
      <rPr>
        <b/>
        <u val="double"/>
        <sz val="16"/>
        <rFont val="Times New Roman"/>
        <family val="1"/>
      </rPr>
      <t xml:space="preserve"> Rates of Plant and Machinery</t>
    </r>
  </si>
  <si>
    <t>Salyan and Surkhet</t>
  </si>
  <si>
    <t>Bheri River Motorable Bridge</t>
  </si>
  <si>
    <t>Project: Bheri Khola Bridge</t>
  </si>
  <si>
    <t xml:space="preserve">Location: Salyan and Surkhet
</t>
  </si>
  <si>
    <t>Pile</t>
  </si>
  <si>
    <t>rock anchor?</t>
  </si>
  <si>
    <t>16.1 E</t>
  </si>
  <si>
    <t>Providing, boring and installing bored cast-in-situ RCC pile excluding reinforcement and concrete in all types of soil including bentonite and other consumable and removal of excavated earth with necessary lift and lead all complete as per Drawing and Technical Specifications (1200mm diameter)</t>
  </si>
  <si>
    <t>Abutment Footing and  piles(Left bank)</t>
  </si>
  <si>
    <t>Abutment Footing and piles(Right bank)</t>
  </si>
  <si>
    <t>A.5</t>
  </si>
  <si>
    <t>A.6</t>
  </si>
  <si>
    <t>A.7</t>
  </si>
  <si>
    <t>16.1 e</t>
  </si>
  <si>
    <t>Abutment (bearing) Pedestal</t>
  </si>
  <si>
    <t>Abutment cap (front)</t>
  </si>
  <si>
    <t>Abutment cap (Faces)</t>
  </si>
  <si>
    <t>Siesmic Stopper (Left and Right)</t>
  </si>
  <si>
    <t>Box Girder</t>
  </si>
  <si>
    <t>For Box Girder</t>
  </si>
  <si>
    <r>
      <t>2.5 kgf/cm</t>
    </r>
    <r>
      <rPr>
        <vertAlign val="superscript"/>
        <sz val="10"/>
        <color rgb="FFFF0000"/>
        <rFont val="Times New Roman"/>
        <family val="1"/>
      </rPr>
      <t>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</si>
</sst>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0.000"/>
    <numFmt numFmtId="166" formatCode="0.0"/>
    <numFmt numFmtId="167" formatCode="&quot;4-&quot;0"/>
    <numFmt numFmtId="168" formatCode="_(* #,##0.00000_);_(* \(#,##0.00000\);_(* &quot;-&quot;??_);_(@_)"/>
    <numFmt numFmtId="169" formatCode="_(* #,##0_);_(* \(#,##0\);_(* &quot;-&quot;??_);_(@_)"/>
  </numFmts>
  <fonts count="56" x14ac:knownFonts="1">
    <font>
      <sz val="10"/>
      <name val="Arial"/>
    </font>
    <font>
      <sz val="10"/>
      <name val="Arial"/>
      <family val="2"/>
    </font>
    <font>
      <sz val="10"/>
      <name val="Times New Roman"/>
      <family val="1"/>
    </font>
    <font>
      <sz val="11"/>
      <name val="Times New Roman"/>
      <family val="1"/>
    </font>
    <font>
      <b/>
      <sz val="10"/>
      <name val="Times New Roman"/>
      <family val="1"/>
    </font>
    <font>
      <b/>
      <sz val="14"/>
      <name val="Times New Roman"/>
      <family val="1"/>
    </font>
    <font>
      <sz val="9"/>
      <name val="Times New Roman"/>
      <family val="1"/>
    </font>
    <font>
      <b/>
      <sz val="12"/>
      <name val="Times New Roman"/>
      <family val="1"/>
    </font>
    <font>
      <b/>
      <sz val="10"/>
      <name val="Arial"/>
      <family val="2"/>
    </font>
    <font>
      <sz val="10"/>
      <name val="MS Sans Serif"/>
      <family val="2"/>
    </font>
    <font>
      <sz val="12"/>
      <name val="Times New Roman"/>
      <family val="1"/>
    </font>
    <font>
      <sz val="9"/>
      <name val="Arial"/>
      <family val="2"/>
    </font>
    <font>
      <b/>
      <sz val="16"/>
      <name val="Times New Roman"/>
      <family val="1"/>
    </font>
    <font>
      <sz val="16"/>
      <name val="Times New Roman"/>
      <family val="1"/>
    </font>
    <font>
      <b/>
      <u/>
      <sz val="10"/>
      <name val="Times New Roman"/>
      <family val="1"/>
    </font>
    <font>
      <sz val="10"/>
      <color theme="1"/>
      <name val="Times New Roman"/>
      <family val="1"/>
    </font>
    <font>
      <i/>
      <u/>
      <sz val="10"/>
      <name val="Times New Roman"/>
      <family val="1"/>
    </font>
    <font>
      <b/>
      <sz val="9"/>
      <name val="Times New Roman"/>
      <family val="1"/>
    </font>
    <font>
      <sz val="12"/>
      <name val="Arial"/>
      <family val="2"/>
    </font>
    <font>
      <sz val="12"/>
      <color theme="1"/>
      <name val="Calibri"/>
      <family val="2"/>
      <scheme val="minor"/>
    </font>
    <font>
      <sz val="12"/>
      <color rgb="FFFF0000"/>
      <name val="Times New Roman"/>
      <family val="1"/>
    </font>
    <font>
      <vertAlign val="superscript"/>
      <sz val="12"/>
      <name val="Times New Roman"/>
      <family val="1"/>
    </font>
    <font>
      <b/>
      <sz val="12"/>
      <color rgb="FFFF0000"/>
      <name val="Times New Roman"/>
      <family val="1"/>
    </font>
    <font>
      <b/>
      <sz val="14"/>
      <color rgb="FF002060"/>
      <name val="Calibri"/>
      <family val="2"/>
    </font>
    <font>
      <b/>
      <sz val="16"/>
      <color rgb="FF002060"/>
      <name val="Calibri"/>
      <family val="2"/>
    </font>
    <font>
      <sz val="11"/>
      <name val="Arial"/>
      <family val="2"/>
    </font>
    <font>
      <b/>
      <sz val="9"/>
      <color indexed="81"/>
      <name val="Tahoma"/>
      <family val="2"/>
    </font>
    <font>
      <b/>
      <sz val="16"/>
      <color rgb="FF002060"/>
      <name val="Times New Roman"/>
      <family val="1"/>
    </font>
    <font>
      <sz val="9"/>
      <color indexed="81"/>
      <name val="Tahoma"/>
      <family val="2"/>
    </font>
    <font>
      <sz val="10"/>
      <color indexed="9"/>
      <name val="Times New Roman"/>
      <family val="1"/>
    </font>
    <font>
      <b/>
      <sz val="11"/>
      <name val="Times New Roman"/>
      <family val="1"/>
    </font>
    <font>
      <sz val="11"/>
      <color indexed="9"/>
      <name val="Times New Roman"/>
      <family val="1"/>
    </font>
    <font>
      <b/>
      <sz val="11"/>
      <color theme="1"/>
      <name val="Times New Roman"/>
      <family val="1"/>
    </font>
    <font>
      <sz val="11"/>
      <color theme="1"/>
      <name val="Times New Roman"/>
      <family val="1"/>
    </font>
    <font>
      <sz val="8"/>
      <name val="Times New Roman"/>
      <family val="1"/>
    </font>
    <font>
      <sz val="11"/>
      <color rgb="FF000000"/>
      <name val="Calibri"/>
      <family val="2"/>
      <charset val="204"/>
    </font>
    <font>
      <sz val="10"/>
      <color rgb="FFFF0000"/>
      <name val="Arial"/>
      <family val="2"/>
    </font>
    <font>
      <i/>
      <sz val="10"/>
      <name val="Arial"/>
      <family val="2"/>
    </font>
    <font>
      <vertAlign val="superscript"/>
      <sz val="11"/>
      <name val="Arial"/>
      <family val="2"/>
    </font>
    <font>
      <sz val="10"/>
      <color rgb="FF000000"/>
      <name val="Times New Roman"/>
      <family val="1"/>
    </font>
    <font>
      <b/>
      <sz val="18"/>
      <name val="Times New Roman"/>
      <family val="1"/>
    </font>
    <font>
      <sz val="14"/>
      <color rgb="FFFF0000"/>
      <name val="Times New Roman"/>
      <family val="1"/>
    </font>
    <font>
      <b/>
      <sz val="22"/>
      <color rgb="FFFF0000"/>
      <name val="Times New Roman"/>
      <family val="1"/>
    </font>
    <font>
      <sz val="14"/>
      <name val="Times New Roman"/>
      <family val="1"/>
    </font>
    <font>
      <sz val="18"/>
      <color rgb="FFFF0000"/>
      <name val="Times New Roman"/>
      <family val="1"/>
    </font>
    <font>
      <b/>
      <sz val="14"/>
      <color rgb="FFFF0000"/>
      <name val="Times New Roman"/>
      <family val="1"/>
    </font>
    <font>
      <b/>
      <sz val="18"/>
      <color rgb="FF00B050"/>
      <name val="Times New Roman"/>
      <family val="1"/>
    </font>
    <font>
      <b/>
      <sz val="14"/>
      <color theme="4" tint="-0.249977111117893"/>
      <name val="Times New Roman"/>
      <family val="1"/>
    </font>
    <font>
      <b/>
      <sz val="16"/>
      <color theme="4" tint="-0.249977111117893"/>
      <name val="Times New Roman"/>
      <family val="1"/>
    </font>
    <font>
      <b/>
      <u/>
      <sz val="12"/>
      <name val="Times New Roman"/>
      <family val="1"/>
    </font>
    <font>
      <b/>
      <u/>
      <sz val="14"/>
      <name val="Times New Roman"/>
      <family val="1"/>
    </font>
    <font>
      <b/>
      <vertAlign val="superscript"/>
      <sz val="10"/>
      <name val="Times New Roman"/>
      <family val="1"/>
    </font>
    <font>
      <b/>
      <u val="double"/>
      <sz val="16"/>
      <name val="Times New Roman"/>
      <family val="1"/>
    </font>
    <font>
      <sz val="11"/>
      <color rgb="FF000000"/>
      <name val="Times New Roman"/>
      <family val="1"/>
    </font>
    <font>
      <sz val="10"/>
      <color rgb="FFFF0000"/>
      <name val="Times New Roman"/>
      <family val="1"/>
    </font>
    <font>
      <vertAlign val="superscript"/>
      <sz val="10"/>
      <color rgb="FFFF0000"/>
      <name val="Times New Roman"/>
      <family val="1"/>
    </font>
  </fonts>
  <fills count="11">
    <fill>
      <patternFill patternType="none"/>
    </fill>
    <fill>
      <patternFill patternType="gray125"/>
    </fill>
    <fill>
      <patternFill patternType="solid">
        <fgColor theme="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theme="8" tint="0.79998168889431442"/>
        <bgColor indexed="64"/>
      </patternFill>
    </fill>
    <fill>
      <patternFill patternType="solid">
        <fgColor rgb="FF92D050"/>
        <bgColor indexed="64"/>
      </patternFill>
    </fill>
    <fill>
      <patternFill patternType="solid">
        <fgColor theme="0" tint="-0.14999847407452621"/>
        <bgColor indexed="64"/>
      </patternFill>
    </fill>
  </fills>
  <borders count="86">
    <border>
      <left/>
      <right/>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diagonal/>
    </border>
    <border>
      <left/>
      <right style="hair">
        <color indexed="64"/>
      </right>
      <top style="hair">
        <color indexed="64"/>
      </top>
      <bottom style="hair">
        <color indexed="64"/>
      </bottom>
      <diagonal/>
    </border>
    <border>
      <left/>
      <right/>
      <top style="hair">
        <color indexed="64"/>
      </top>
      <bottom style="hair">
        <color indexed="64"/>
      </bottom>
      <diagonal/>
    </border>
    <border>
      <left style="hair">
        <color indexed="64"/>
      </left>
      <right style="hair">
        <color indexed="64"/>
      </right>
      <top style="medium">
        <color indexed="64"/>
      </top>
      <bottom style="medium">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thin">
        <color indexed="64"/>
      </top>
      <bottom style="hair">
        <color indexed="64"/>
      </bottom>
      <diagonal/>
    </border>
    <border>
      <left/>
      <right/>
      <top style="thin">
        <color indexed="64"/>
      </top>
      <bottom style="thin">
        <color indexed="64"/>
      </bottom>
      <diagonal/>
    </border>
    <border>
      <left style="medium">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hair">
        <color indexed="64"/>
      </right>
      <top/>
      <bottom/>
      <diagonal/>
    </border>
    <border>
      <left/>
      <right/>
      <top/>
      <bottom style="medium">
        <color indexed="64"/>
      </bottom>
      <diagonal/>
    </border>
    <border>
      <left style="thin">
        <color indexed="64"/>
      </left>
      <right style="thin">
        <color indexed="64"/>
      </right>
      <top style="thin">
        <color indexed="64"/>
      </top>
      <bottom/>
      <diagonal/>
    </border>
    <border>
      <left/>
      <right/>
      <top style="medium">
        <color indexed="64"/>
      </top>
      <bottom/>
      <diagonal/>
    </border>
    <border>
      <left style="medium">
        <color indexed="64"/>
      </left>
      <right/>
      <top/>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medium">
        <color indexed="64"/>
      </left>
      <right style="thin">
        <color indexed="64"/>
      </right>
      <top style="thin">
        <color indexed="64"/>
      </top>
      <bottom/>
      <diagonal/>
    </border>
    <border>
      <left/>
      <right style="hair">
        <color indexed="64"/>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hair">
        <color indexed="64"/>
      </left>
      <right/>
      <top/>
      <bottom style="medium">
        <color indexed="64"/>
      </bottom>
      <diagonal/>
    </border>
    <border>
      <left/>
      <right style="hair">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hair">
        <color indexed="64"/>
      </right>
      <top style="thin">
        <color indexed="64"/>
      </top>
      <bottom style="hair">
        <color indexed="64"/>
      </bottom>
      <diagonal/>
    </border>
    <border>
      <left style="hair">
        <color indexed="64"/>
      </left>
      <right style="medium">
        <color indexed="64"/>
      </right>
      <top style="thin">
        <color indexed="64"/>
      </top>
      <bottom style="hair">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hair">
        <color indexed="64"/>
      </left>
      <right style="hair">
        <color indexed="64"/>
      </right>
      <top style="thin">
        <color indexed="64"/>
      </top>
      <bottom style="thin">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bottom style="thin">
        <color indexed="64"/>
      </bottom>
      <diagonal/>
    </border>
  </borders>
  <cellStyleXfs count="16">
    <xf numFmtId="0" fontId="0" fillId="0" borderId="0"/>
    <xf numFmtId="43" fontId="1" fillId="0" borderId="0" applyFont="0" applyFill="0" applyBorder="0" applyAlignment="0" applyProtection="0"/>
    <xf numFmtId="0" fontId="3" fillId="0" borderId="0"/>
    <xf numFmtId="0" fontId="3" fillId="0" borderId="0"/>
    <xf numFmtId="0" fontId="2" fillId="0" borderId="0"/>
    <xf numFmtId="0" fontId="9" fillId="0" borderId="0"/>
    <xf numFmtId="0" fontId="1" fillId="0" borderId="0"/>
    <xf numFmtId="0" fontId="1" fillId="0" borderId="0"/>
    <xf numFmtId="0" fontId="1" fillId="0" borderId="0"/>
    <xf numFmtId="0" fontId="3"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35" fillId="0" borderId="0"/>
    <xf numFmtId="0" fontId="1" fillId="0" borderId="0"/>
  </cellStyleXfs>
  <cellXfs count="1181">
    <xf numFmtId="0" fontId="0" fillId="0" borderId="0" xfId="0"/>
    <xf numFmtId="2" fontId="4" fillId="0" borderId="0" xfId="5" applyNumberFormat="1" applyFont="1" applyAlignment="1">
      <alignment horizontal="left" vertical="center"/>
    </xf>
    <xf numFmtId="0" fontId="24" fillId="0" borderId="0" xfId="0" applyFont="1" applyAlignment="1">
      <alignment vertical="center"/>
    </xf>
    <xf numFmtId="0" fontId="2" fillId="0" borderId="0" xfId="0" applyFont="1" applyAlignment="1">
      <alignment vertical="center"/>
    </xf>
    <xf numFmtId="0" fontId="7" fillId="0" borderId="0" xfId="7" applyFont="1" applyAlignment="1">
      <alignment vertical="center"/>
    </xf>
    <xf numFmtId="0" fontId="4" fillId="0" borderId="0" xfId="3" applyFont="1" applyAlignment="1">
      <alignment horizontal="center" vertical="center"/>
    </xf>
    <xf numFmtId="0" fontId="2" fillId="0" borderId="0" xfId="3" applyFont="1" applyAlignment="1">
      <alignment vertical="center"/>
    </xf>
    <xf numFmtId="0" fontId="4" fillId="0" borderId="0" xfId="3" applyFont="1" applyAlignment="1">
      <alignment horizontal="left" vertical="center"/>
    </xf>
    <xf numFmtId="0" fontId="2" fillId="0" borderId="0" xfId="7" applyFont="1" applyAlignment="1">
      <alignment vertical="center"/>
    </xf>
    <xf numFmtId="0" fontId="11" fillId="0" borderId="0" xfId="3" applyFont="1" applyAlignment="1">
      <alignment vertical="center"/>
    </xf>
    <xf numFmtId="0" fontId="10" fillId="0" borderId="0" xfId="3" applyFont="1" applyAlignment="1">
      <alignment vertical="center"/>
    </xf>
    <xf numFmtId="43" fontId="2" fillId="0" borderId="12" xfId="1" applyFont="1" applyBorder="1" applyAlignment="1">
      <alignment vertical="center"/>
    </xf>
    <xf numFmtId="0" fontId="0" fillId="0" borderId="0" xfId="0" applyAlignment="1">
      <alignment vertical="center"/>
    </xf>
    <xf numFmtId="17" fontId="13" fillId="0" borderId="0" xfId="0" applyNumberFormat="1" applyFont="1" applyAlignment="1">
      <alignment horizontal="right" vertical="center"/>
    </xf>
    <xf numFmtId="0" fontId="13" fillId="0" borderId="0" xfId="0" applyFont="1" applyAlignment="1">
      <alignment horizontal="left" vertical="center"/>
    </xf>
    <xf numFmtId="2" fontId="10" fillId="0" borderId="22" xfId="7" applyNumberFormat="1" applyFont="1" applyBorder="1" applyAlignment="1">
      <alignment vertical="center" shrinkToFit="1"/>
    </xf>
    <xf numFmtId="2" fontId="7" fillId="0" borderId="22" xfId="7" applyNumberFormat="1" applyFont="1" applyBorder="1" applyAlignment="1">
      <alignment horizontal="center" vertical="center" shrinkToFit="1"/>
    </xf>
    <xf numFmtId="2" fontId="10" fillId="0" borderId="24" xfId="7" applyNumberFormat="1" applyFont="1" applyBorder="1" applyAlignment="1">
      <alignment horizontal="center" vertical="center"/>
    </xf>
    <xf numFmtId="2" fontId="7" fillId="0" borderId="25" xfId="7" applyNumberFormat="1" applyFont="1" applyBorder="1" applyAlignment="1">
      <alignment horizontal="center" vertical="center" shrinkToFit="1"/>
    </xf>
    <xf numFmtId="2" fontId="10" fillId="0" borderId="42" xfId="7" applyNumberFormat="1" applyFont="1" applyBorder="1" applyAlignment="1">
      <alignment horizontal="center" vertical="center"/>
    </xf>
    <xf numFmtId="2" fontId="7" fillId="0" borderId="42" xfId="7" applyNumberFormat="1" applyFont="1" applyBorder="1" applyAlignment="1">
      <alignment horizontal="center" vertical="center" shrinkToFit="1"/>
    </xf>
    <xf numFmtId="2" fontId="10" fillId="0" borderId="22" xfId="7" applyNumberFormat="1" applyFont="1" applyBorder="1" applyAlignment="1">
      <alignment horizontal="center" vertical="center"/>
    </xf>
    <xf numFmtId="2" fontId="10" fillId="0" borderId="31" xfId="7" applyNumberFormat="1" applyFont="1" applyBorder="1" applyAlignment="1">
      <alignment horizontal="center" vertical="center"/>
    </xf>
    <xf numFmtId="2" fontId="10" fillId="0" borderId="26" xfId="7" applyNumberFormat="1" applyFont="1" applyBorder="1" applyAlignment="1">
      <alignment vertical="center" wrapText="1" shrinkToFit="1"/>
    </xf>
    <xf numFmtId="2" fontId="7" fillId="0" borderId="22" xfId="7" applyNumberFormat="1" applyFont="1" applyBorder="1" applyAlignment="1">
      <alignment horizontal="center" vertical="center"/>
    </xf>
    <xf numFmtId="2" fontId="10" fillId="0" borderId="1" xfId="7" applyNumberFormat="1" applyFont="1" applyBorder="1" applyAlignment="1">
      <alignment horizontal="center" vertical="center" wrapText="1"/>
    </xf>
    <xf numFmtId="2" fontId="10" fillId="0" borderId="1" xfId="7" applyNumberFormat="1" applyFont="1" applyBorder="1" applyAlignment="1">
      <alignment horizontal="right" vertical="center" shrinkToFit="1"/>
    </xf>
    <xf numFmtId="2" fontId="10" fillId="2" borderId="1" xfId="7" applyNumberFormat="1" applyFont="1" applyFill="1" applyBorder="1" applyAlignment="1">
      <alignment horizontal="center" vertical="center" wrapText="1"/>
    </xf>
    <xf numFmtId="2" fontId="10" fillId="2" borderId="1" xfId="7" applyNumberFormat="1" applyFont="1" applyFill="1" applyBorder="1" applyAlignment="1">
      <alignment horizontal="center" vertical="center"/>
    </xf>
    <xf numFmtId="2" fontId="10" fillId="2" borderId="22" xfId="7" applyNumberFormat="1" applyFont="1" applyFill="1" applyBorder="1" applyAlignment="1">
      <alignment horizontal="center" vertical="center"/>
    </xf>
    <xf numFmtId="2" fontId="7" fillId="0" borderId="42" xfId="7" applyNumberFormat="1" applyFont="1" applyBorder="1" applyAlignment="1">
      <alignment horizontal="center" vertical="center"/>
    </xf>
    <xf numFmtId="2" fontId="7" fillId="0" borderId="25" xfId="7" applyNumberFormat="1" applyFont="1" applyBorder="1" applyAlignment="1">
      <alignment horizontal="center" vertical="center"/>
    </xf>
    <xf numFmtId="2" fontId="10" fillId="0" borderId="1" xfId="7" applyNumberFormat="1" applyFont="1" applyBorder="1" applyAlignment="1">
      <alignment horizontal="left" vertical="center" shrinkToFit="1"/>
    </xf>
    <xf numFmtId="2" fontId="10" fillId="0" borderId="22" xfId="7" applyNumberFormat="1" applyFont="1" applyBorder="1" applyAlignment="1">
      <alignment horizontal="center" vertical="center" wrapText="1" shrinkToFit="1"/>
    </xf>
    <xf numFmtId="2" fontId="10" fillId="0" borderId="41" xfId="7" applyNumberFormat="1" applyFont="1" applyBorder="1" applyAlignment="1">
      <alignment vertical="center" wrapText="1" shrinkToFit="1"/>
    </xf>
    <xf numFmtId="2" fontId="10" fillId="0" borderId="1" xfId="7" applyNumberFormat="1" applyFont="1" applyBorder="1" applyAlignment="1">
      <alignment horizontal="center" vertical="center" wrapText="1" shrinkToFit="1"/>
    </xf>
    <xf numFmtId="2" fontId="10" fillId="0" borderId="1" xfId="7" applyNumberFormat="1" applyFont="1" applyBorder="1" applyAlignment="1">
      <alignment vertical="center" shrinkToFit="1"/>
    </xf>
    <xf numFmtId="0" fontId="2" fillId="0" borderId="0" xfId="7" applyFont="1"/>
    <xf numFmtId="0" fontId="2" fillId="0" borderId="0" xfId="7" applyFont="1" applyAlignment="1">
      <alignment horizontal="center"/>
    </xf>
    <xf numFmtId="2" fontId="2" fillId="0" borderId="0" xfId="7" applyNumberFormat="1" applyFont="1" applyAlignment="1">
      <alignment horizontal="left" vertical="center"/>
    </xf>
    <xf numFmtId="0" fontId="2" fillId="0" borderId="0" xfId="7" applyFont="1" applyAlignment="1">
      <alignment horizontal="center" vertical="center"/>
    </xf>
    <xf numFmtId="2" fontId="10" fillId="2" borderId="22" xfId="7" applyNumberFormat="1" applyFont="1" applyFill="1" applyBorder="1" applyAlignment="1">
      <alignment horizontal="center" vertical="center" shrinkToFit="1"/>
    </xf>
    <xf numFmtId="2" fontId="10" fillId="0" borderId="21" xfId="7" applyNumberFormat="1" applyFont="1" applyBorder="1" applyAlignment="1">
      <alignment vertical="center" shrinkToFit="1"/>
    </xf>
    <xf numFmtId="2" fontId="7" fillId="0" borderId="44" xfId="7" applyNumberFormat="1" applyFont="1" applyBorder="1" applyAlignment="1">
      <alignment horizontal="center" vertical="center"/>
    </xf>
    <xf numFmtId="2" fontId="10" fillId="0" borderId="21" xfId="0" applyNumberFormat="1" applyFont="1" applyBorder="1" applyAlignment="1">
      <alignment horizontal="center" vertical="center" shrinkToFit="1"/>
    </xf>
    <xf numFmtId="2" fontId="10" fillId="0" borderId="1" xfId="0" applyNumberFormat="1" applyFont="1" applyBorder="1" applyAlignment="1">
      <alignment horizontal="center" vertical="center" shrinkToFit="1"/>
    </xf>
    <xf numFmtId="2" fontId="10" fillId="0" borderId="22" xfId="0" applyNumberFormat="1" applyFont="1" applyBorder="1" applyAlignment="1">
      <alignment horizontal="center" vertical="center" shrinkToFit="1"/>
    </xf>
    <xf numFmtId="2" fontId="7" fillId="0" borderId="0" xfId="7" applyNumberFormat="1" applyFont="1" applyAlignment="1">
      <alignment horizontal="center" vertical="center"/>
    </xf>
    <xf numFmtId="2" fontId="10" fillId="0" borderId="67" xfId="7" applyNumberFormat="1" applyFont="1" applyBorder="1" applyAlignment="1">
      <alignment horizontal="center" vertical="center"/>
    </xf>
    <xf numFmtId="2" fontId="7" fillId="0" borderId="67" xfId="7" applyNumberFormat="1" applyFont="1" applyBorder="1" applyAlignment="1">
      <alignment horizontal="center" vertical="center" shrinkToFit="1"/>
    </xf>
    <xf numFmtId="2" fontId="7" fillId="0" borderId="44" xfId="7" applyNumberFormat="1" applyFont="1" applyBorder="1" applyAlignment="1">
      <alignment horizontal="left" vertical="center"/>
    </xf>
    <xf numFmtId="2" fontId="10" fillId="0" borderId="0" xfId="7" applyNumberFormat="1" applyFont="1" applyAlignment="1">
      <alignment horizontal="center" vertical="center"/>
    </xf>
    <xf numFmtId="2" fontId="7" fillId="0" borderId="0" xfId="7" applyNumberFormat="1" applyFont="1" applyAlignment="1">
      <alignment horizontal="center" vertical="center" shrinkToFit="1"/>
    </xf>
    <xf numFmtId="2" fontId="10" fillId="0" borderId="42" xfId="7" applyNumberFormat="1" applyFont="1" applyBorder="1" applyAlignment="1">
      <alignment vertical="center"/>
    </xf>
    <xf numFmtId="2" fontId="10" fillId="0" borderId="67" xfId="7" applyNumberFormat="1" applyFont="1" applyBorder="1" applyAlignment="1">
      <alignment vertical="center"/>
    </xf>
    <xf numFmtId="2" fontId="10" fillId="0" borderId="44" xfId="0" applyNumberFormat="1" applyFont="1" applyBorder="1" applyAlignment="1">
      <alignment horizontal="center" vertical="center"/>
    </xf>
    <xf numFmtId="2" fontId="7" fillId="0" borderId="44" xfId="0" applyNumberFormat="1" applyFont="1" applyBorder="1" applyAlignment="1">
      <alignment horizontal="center" vertical="center" shrinkToFit="1"/>
    </xf>
    <xf numFmtId="2" fontId="10" fillId="0" borderId="44" xfId="7" applyNumberFormat="1" applyFont="1" applyBorder="1" applyAlignment="1">
      <alignment horizontal="center" vertical="center"/>
    </xf>
    <xf numFmtId="2" fontId="7" fillId="0" borderId="67" xfId="7" applyNumberFormat="1" applyFont="1" applyBorder="1" applyAlignment="1">
      <alignment horizontal="center" vertical="center"/>
    </xf>
    <xf numFmtId="165" fontId="2" fillId="0" borderId="0" xfId="0" applyNumberFormat="1" applyFont="1" applyAlignment="1">
      <alignment vertical="center"/>
    </xf>
    <xf numFmtId="2" fontId="7" fillId="2" borderId="44" xfId="7" applyNumberFormat="1" applyFont="1" applyFill="1" applyBorder="1" applyAlignment="1">
      <alignment vertical="center"/>
    </xf>
    <xf numFmtId="2" fontId="10" fillId="0" borderId="22" xfId="7" applyNumberFormat="1" applyFont="1" applyBorder="1" applyAlignment="1">
      <alignment horizontal="center" vertical="center" shrinkToFit="1"/>
    </xf>
    <xf numFmtId="2" fontId="6" fillId="0" borderId="0" xfId="7" applyNumberFormat="1" applyFont="1" applyAlignment="1">
      <alignment horizontal="center" vertical="center" shrinkToFit="1"/>
    </xf>
    <xf numFmtId="2" fontId="6" fillId="0" borderId="0" xfId="7" applyNumberFormat="1" applyFont="1" applyAlignment="1">
      <alignment vertical="center"/>
    </xf>
    <xf numFmtId="2" fontId="10" fillId="0" borderId="1" xfId="7" applyNumberFormat="1" applyFont="1" applyBorder="1" applyAlignment="1">
      <alignment vertical="center" wrapText="1" shrinkToFit="1"/>
    </xf>
    <xf numFmtId="2" fontId="6" fillId="0" borderId="45" xfId="7" applyNumberFormat="1" applyFont="1" applyBorder="1" applyAlignment="1">
      <alignment horizontal="center" vertical="center" shrinkToFit="1"/>
    </xf>
    <xf numFmtId="2" fontId="7" fillId="2" borderId="0" xfId="7" applyNumberFormat="1" applyFont="1" applyFill="1" applyAlignment="1">
      <alignment vertical="center"/>
    </xf>
    <xf numFmtId="2" fontId="7" fillId="0" borderId="44" xfId="7" applyNumberFormat="1" applyFont="1" applyBorder="1" applyAlignment="1">
      <alignment vertical="center"/>
    </xf>
    <xf numFmtId="2" fontId="7" fillId="0" borderId="44" xfId="7" applyNumberFormat="1" applyFont="1" applyBorder="1" applyAlignment="1">
      <alignment horizontal="center" vertical="center" shrinkToFit="1"/>
    </xf>
    <xf numFmtId="2" fontId="7" fillId="0" borderId="42" xfId="7" applyNumberFormat="1" applyFont="1" applyBorder="1" applyAlignment="1">
      <alignment vertical="center"/>
    </xf>
    <xf numFmtId="2" fontId="10" fillId="0" borderId="1" xfId="7" applyNumberFormat="1" applyFont="1" applyBorder="1" applyAlignment="1">
      <alignment horizontal="left" vertical="center" wrapText="1" shrinkToFit="1"/>
    </xf>
    <xf numFmtId="2" fontId="10" fillId="0" borderId="1" xfId="10" applyNumberFormat="1" applyFont="1" applyFill="1" applyBorder="1" applyAlignment="1">
      <alignment horizontal="center" vertical="center" shrinkToFit="1"/>
    </xf>
    <xf numFmtId="2" fontId="10" fillId="0" borderId="21" xfId="7" applyNumberFormat="1" applyFont="1" applyBorder="1" applyAlignment="1">
      <alignment horizontal="center" vertical="center" shrinkToFit="1"/>
    </xf>
    <xf numFmtId="2" fontId="10" fillId="0" borderId="1" xfId="7" applyNumberFormat="1" applyFont="1" applyBorder="1" applyAlignment="1">
      <alignment horizontal="center" vertical="center" shrinkToFit="1"/>
    </xf>
    <xf numFmtId="2" fontId="10" fillId="0" borderId="1" xfId="7" applyNumberFormat="1" applyFont="1" applyBorder="1" applyAlignment="1">
      <alignment horizontal="center" vertical="center"/>
    </xf>
    <xf numFmtId="2" fontId="10" fillId="0" borderId="1" xfId="7" applyNumberFormat="1" applyFont="1" applyBorder="1" applyAlignment="1">
      <alignment horizontal="left" vertical="center"/>
    </xf>
    <xf numFmtId="2" fontId="7" fillId="2" borderId="25" xfId="7" applyNumberFormat="1" applyFont="1" applyFill="1" applyBorder="1" applyAlignment="1">
      <alignment horizontal="center" vertical="center"/>
    </xf>
    <xf numFmtId="2" fontId="10" fillId="2" borderId="21" xfId="7" applyNumberFormat="1" applyFont="1" applyFill="1" applyBorder="1" applyAlignment="1">
      <alignment horizontal="center" vertical="center" shrinkToFit="1"/>
    </xf>
    <xf numFmtId="2" fontId="10" fillId="2" borderId="1" xfId="7" applyNumberFormat="1" applyFont="1" applyFill="1" applyBorder="1" applyAlignment="1">
      <alignment horizontal="center" vertical="center" shrinkToFit="1"/>
    </xf>
    <xf numFmtId="2" fontId="7" fillId="0" borderId="1" xfId="7" applyNumberFormat="1" applyFont="1" applyBorder="1" applyAlignment="1">
      <alignment horizontal="center" vertical="center"/>
    </xf>
    <xf numFmtId="2" fontId="10" fillId="0" borderId="24" xfId="0" applyNumberFormat="1" applyFont="1" applyBorder="1" applyAlignment="1">
      <alignment horizontal="center" vertical="center"/>
    </xf>
    <xf numFmtId="2" fontId="10" fillId="0" borderId="21" xfId="7" applyNumberFormat="1" applyFont="1" applyBorder="1" applyAlignment="1">
      <alignment vertical="center" wrapText="1" shrinkToFit="1"/>
    </xf>
    <xf numFmtId="2" fontId="10" fillId="0" borderId="23" xfId="7" applyNumberFormat="1" applyFont="1" applyBorder="1" applyAlignment="1">
      <alignment horizontal="right" vertical="center"/>
    </xf>
    <xf numFmtId="2" fontId="10" fillId="0" borderId="24" xfId="7" applyNumberFormat="1" applyFont="1" applyBorder="1" applyAlignment="1">
      <alignment horizontal="right" vertical="center"/>
    </xf>
    <xf numFmtId="2" fontId="10" fillId="0" borderId="24" xfId="7" applyNumberFormat="1" applyFont="1" applyBorder="1" applyAlignment="1">
      <alignment horizontal="center" vertical="center" shrinkToFit="1"/>
    </xf>
    <xf numFmtId="2" fontId="10" fillId="2" borderId="22" xfId="7" applyNumberFormat="1" applyFont="1" applyFill="1" applyBorder="1" applyAlignment="1">
      <alignment horizontal="center" vertical="center" wrapText="1"/>
    </xf>
    <xf numFmtId="2" fontId="10" fillId="0" borderId="34" xfId="7" applyNumberFormat="1" applyFont="1" applyBorder="1" applyAlignment="1">
      <alignment horizontal="center" vertical="center" wrapText="1" shrinkToFit="1"/>
    </xf>
    <xf numFmtId="2" fontId="10" fillId="2" borderId="46" xfId="7" applyNumberFormat="1" applyFont="1" applyFill="1" applyBorder="1" applyAlignment="1">
      <alignment horizontal="center" vertical="center" shrinkToFit="1"/>
    </xf>
    <xf numFmtId="2" fontId="10" fillId="2" borderId="19" xfId="7" applyNumberFormat="1" applyFont="1" applyFill="1" applyBorder="1" applyAlignment="1">
      <alignment horizontal="center" vertical="center" wrapText="1"/>
    </xf>
    <xf numFmtId="2" fontId="10" fillId="2" borderId="18" xfId="7" applyNumberFormat="1" applyFont="1" applyFill="1" applyBorder="1" applyAlignment="1">
      <alignment horizontal="center" vertical="center" wrapText="1"/>
    </xf>
    <xf numFmtId="2" fontId="10" fillId="0" borderId="1" xfId="7" applyNumberFormat="1" applyFont="1" applyBorder="1" applyAlignment="1">
      <alignment vertical="center"/>
    </xf>
    <xf numFmtId="0" fontId="2" fillId="0" borderId="0" xfId="7" applyFont="1" applyAlignment="1">
      <alignment vertical="center" wrapText="1"/>
    </xf>
    <xf numFmtId="0" fontId="2" fillId="0" borderId="0" xfId="7" applyFont="1" applyAlignment="1">
      <alignment horizontal="center" vertical="center" wrapText="1"/>
    </xf>
    <xf numFmtId="0" fontId="29" fillId="0" borderId="0" xfId="7" applyFont="1"/>
    <xf numFmtId="0" fontId="3" fillId="0" borderId="0" xfId="7" applyFont="1"/>
    <xf numFmtId="2" fontId="30" fillId="0" borderId="0" xfId="7" applyNumberFormat="1" applyFont="1" applyAlignment="1">
      <alignment horizontal="center" shrinkToFit="1"/>
    </xf>
    <xf numFmtId="0" fontId="3" fillId="0" borderId="0" xfId="7" applyFont="1" applyAlignment="1">
      <alignment vertical="center"/>
    </xf>
    <xf numFmtId="1" fontId="30" fillId="0" borderId="0" xfId="7" applyNumberFormat="1" applyFont="1" applyAlignment="1">
      <alignment horizontal="center" shrinkToFit="1"/>
    </xf>
    <xf numFmtId="0" fontId="3" fillId="0" borderId="5" xfId="7" applyFont="1" applyBorder="1" applyAlignment="1">
      <alignment horizontal="left" vertical="center" shrinkToFit="1"/>
    </xf>
    <xf numFmtId="2" fontId="3" fillId="0" borderId="5" xfId="7" applyNumberFormat="1" applyFont="1" applyBorder="1" applyAlignment="1">
      <alignment horizontal="center" vertical="center" shrinkToFit="1"/>
    </xf>
    <xf numFmtId="0" fontId="4" fillId="0" borderId="0" xfId="7" applyFont="1" applyAlignment="1">
      <alignment horizontal="center" vertical="center"/>
    </xf>
    <xf numFmtId="166" fontId="2" fillId="0" borderId="5" xfId="7" applyNumberFormat="1" applyFont="1" applyBorder="1" applyAlignment="1">
      <alignment horizontal="center" vertical="center" wrapText="1"/>
    </xf>
    <xf numFmtId="43" fontId="10" fillId="0" borderId="12" xfId="1" applyFont="1" applyFill="1" applyBorder="1" applyAlignment="1" applyProtection="1">
      <alignment horizontal="center" vertical="center" wrapText="1"/>
    </xf>
    <xf numFmtId="0" fontId="7" fillId="0" borderId="16" xfId="7" applyFont="1" applyBorder="1" applyAlignment="1">
      <alignment horizontal="center" vertical="center" wrapText="1"/>
    </xf>
    <xf numFmtId="2" fontId="10" fillId="0" borderId="12" xfId="7" applyNumberFormat="1" applyFont="1" applyBorder="1" applyAlignment="1">
      <alignment horizontal="center" vertical="center" wrapText="1"/>
    </xf>
    <xf numFmtId="0" fontId="2" fillId="0" borderId="0" xfId="7" applyFont="1" applyAlignment="1">
      <alignment horizontal="left" vertical="center" wrapText="1"/>
    </xf>
    <xf numFmtId="2" fontId="2" fillId="0" borderId="0" xfId="7" applyNumberFormat="1" applyFont="1" applyAlignment="1">
      <alignment horizontal="center" vertical="center" wrapText="1"/>
    </xf>
    <xf numFmtId="0" fontId="7" fillId="8" borderId="54" xfId="7" applyFont="1" applyFill="1" applyBorder="1" applyAlignment="1">
      <alignment horizontal="center" vertical="center" wrapText="1"/>
    </xf>
    <xf numFmtId="0" fontId="7" fillId="8" borderId="55" xfId="7" applyFont="1" applyFill="1" applyBorder="1" applyAlignment="1">
      <alignment horizontal="center" vertical="center" wrapText="1"/>
    </xf>
    <xf numFmtId="0" fontId="7" fillId="0" borderId="6" xfId="7" applyFont="1" applyBorder="1" applyAlignment="1">
      <alignment horizontal="center" vertical="center" wrapText="1"/>
    </xf>
    <xf numFmtId="0" fontId="7" fillId="0" borderId="6" xfId="7" applyFont="1" applyBorder="1" applyAlignment="1">
      <alignment horizontal="left" vertical="center" wrapText="1"/>
    </xf>
    <xf numFmtId="0" fontId="10" fillId="0" borderId="5" xfId="7" applyFont="1" applyBorder="1" applyAlignment="1">
      <alignment horizontal="center" vertical="center" wrapText="1"/>
    </xf>
    <xf numFmtId="0" fontId="10" fillId="0" borderId="5" xfId="7" applyFont="1" applyBorder="1" applyAlignment="1">
      <alignment horizontal="left" vertical="center" wrapText="1"/>
    </xf>
    <xf numFmtId="0" fontId="10" fillId="0" borderId="5" xfId="7" applyFont="1" applyBorder="1" applyAlignment="1">
      <alignment horizontal="center" vertical="center"/>
    </xf>
    <xf numFmtId="0" fontId="7" fillId="0" borderId="6" xfId="7" applyFont="1" applyBorder="1" applyAlignment="1">
      <alignment horizontal="left" vertical="center"/>
    </xf>
    <xf numFmtId="0" fontId="10" fillId="0" borderId="5" xfId="7" quotePrefix="1" applyFont="1" applyBorder="1" applyAlignment="1">
      <alignment horizontal="center" vertical="center" wrapText="1"/>
    </xf>
    <xf numFmtId="0" fontId="7" fillId="0" borderId="5" xfId="7" quotePrefix="1" applyFont="1" applyBorder="1" applyAlignment="1">
      <alignment horizontal="left" vertical="center" wrapText="1"/>
    </xf>
    <xf numFmtId="0" fontId="7" fillId="0" borderId="5" xfId="7" quotePrefix="1" applyFont="1" applyBorder="1" applyAlignment="1">
      <alignment horizontal="left" vertical="center"/>
    </xf>
    <xf numFmtId="0" fontId="7" fillId="0" borderId="5" xfId="7" applyFont="1" applyBorder="1" applyAlignment="1">
      <alignment horizontal="left" vertical="center"/>
    </xf>
    <xf numFmtId="0" fontId="4" fillId="0" borderId="0" xfId="7" applyFont="1" applyAlignment="1">
      <alignment vertical="center"/>
    </xf>
    <xf numFmtId="43" fontId="2" fillId="0" borderId="0" xfId="7" applyNumberFormat="1" applyFont="1" applyAlignment="1">
      <alignment vertical="center"/>
    </xf>
    <xf numFmtId="0" fontId="2" fillId="0" borderId="0" xfId="7" applyFont="1" applyAlignment="1">
      <alignment horizontal="left" vertical="center"/>
    </xf>
    <xf numFmtId="2" fontId="2" fillId="0" borderId="5" xfId="1" applyNumberFormat="1" applyFont="1" applyFill="1" applyBorder="1" applyAlignment="1">
      <alignment horizontal="right" vertical="center"/>
    </xf>
    <xf numFmtId="43" fontId="2" fillId="0" borderId="12" xfId="1" applyFont="1" applyFill="1" applyBorder="1" applyAlignment="1">
      <alignment horizontal="right" vertical="center"/>
    </xf>
    <xf numFmtId="43" fontId="4" fillId="0" borderId="8" xfId="1" applyFont="1" applyFill="1" applyBorder="1" applyAlignment="1">
      <alignment horizontal="right" vertical="center"/>
    </xf>
    <xf numFmtId="2" fontId="4" fillId="0" borderId="8" xfId="1" applyNumberFormat="1" applyFont="1" applyFill="1" applyBorder="1" applyAlignment="1">
      <alignment horizontal="right" vertical="center"/>
    </xf>
    <xf numFmtId="43" fontId="4" fillId="0" borderId="9" xfId="1" applyFont="1" applyFill="1" applyBorder="1" applyAlignment="1">
      <alignment horizontal="right" vertical="center"/>
    </xf>
    <xf numFmtId="43" fontId="4" fillId="0" borderId="17" xfId="1" applyFont="1" applyFill="1" applyBorder="1" applyAlignment="1">
      <alignment horizontal="right" vertical="center"/>
    </xf>
    <xf numFmtId="2" fontId="4" fillId="0" borderId="17" xfId="1" applyNumberFormat="1" applyFont="1" applyFill="1" applyBorder="1" applyAlignment="1">
      <alignment horizontal="right" vertical="center"/>
    </xf>
    <xf numFmtId="43" fontId="4" fillId="0" borderId="36" xfId="1" applyFont="1" applyFill="1" applyBorder="1" applyAlignment="1">
      <alignment horizontal="right" vertical="center"/>
    </xf>
    <xf numFmtId="43" fontId="2" fillId="0" borderId="43" xfId="1" applyFont="1" applyFill="1" applyBorder="1" applyAlignment="1">
      <alignment horizontal="center" vertical="center"/>
    </xf>
    <xf numFmtId="43" fontId="2" fillId="0" borderId="43" xfId="1" applyFont="1" applyFill="1" applyBorder="1" applyAlignment="1">
      <alignment horizontal="right" vertical="center"/>
    </xf>
    <xf numFmtId="43" fontId="2" fillId="0" borderId="0" xfId="4" applyNumberFormat="1" applyAlignment="1">
      <alignment vertical="center"/>
    </xf>
    <xf numFmtId="0" fontId="1" fillId="0" borderId="0" xfId="4" applyFont="1" applyAlignment="1">
      <alignment vertical="center"/>
    </xf>
    <xf numFmtId="2" fontId="10" fillId="0" borderId="34" xfId="7" applyNumberFormat="1" applyFont="1" applyBorder="1" applyAlignment="1">
      <alignment horizontal="right" vertical="center"/>
    </xf>
    <xf numFmtId="2" fontId="10" fillId="0" borderId="4" xfId="7" applyNumberFormat="1" applyFont="1" applyBorder="1" applyAlignment="1">
      <alignment horizontal="right" vertical="center"/>
    </xf>
    <xf numFmtId="2" fontId="10" fillId="0" borderId="4" xfId="7" applyNumberFormat="1" applyFont="1" applyBorder="1" applyAlignment="1">
      <alignment horizontal="center" vertical="center" shrinkToFit="1"/>
    </xf>
    <xf numFmtId="2" fontId="10" fillId="0" borderId="35" xfId="7" applyNumberFormat="1" applyFont="1" applyBorder="1" applyAlignment="1">
      <alignment horizontal="center" vertical="center" shrinkToFit="1"/>
    </xf>
    <xf numFmtId="2" fontId="10" fillId="0" borderId="31" xfId="7" applyNumberFormat="1" applyFont="1" applyBorder="1" applyAlignment="1">
      <alignment horizontal="right" vertical="center"/>
    </xf>
    <xf numFmtId="2" fontId="10" fillId="0" borderId="31" xfId="7" applyNumberFormat="1" applyFont="1" applyBorder="1" applyAlignment="1">
      <alignment horizontal="center" vertical="center" shrinkToFit="1"/>
    </xf>
    <xf numFmtId="43" fontId="2" fillId="0" borderId="5" xfId="1" applyFont="1" applyFill="1" applyBorder="1" applyAlignment="1">
      <alignment horizontal="center" vertical="center"/>
    </xf>
    <xf numFmtId="2" fontId="2" fillId="0" borderId="11" xfId="4" applyNumberFormat="1" applyBorder="1" applyAlignment="1">
      <alignment horizontal="center" vertical="center"/>
    </xf>
    <xf numFmtId="2" fontId="2" fillId="0" borderId="5" xfId="4" applyNumberFormat="1" applyBorder="1" applyAlignment="1">
      <alignment horizontal="center" vertical="center"/>
    </xf>
    <xf numFmtId="0" fontId="2" fillId="0" borderId="5" xfId="4" applyBorder="1" applyAlignment="1">
      <alignment horizontal="center" vertical="center" wrapText="1"/>
    </xf>
    <xf numFmtId="43" fontId="2" fillId="0" borderId="5" xfId="1" applyFont="1" applyFill="1" applyBorder="1" applyAlignment="1">
      <alignment horizontal="right" vertical="center"/>
    </xf>
    <xf numFmtId="0" fontId="2" fillId="0" borderId="0" xfId="4" applyAlignment="1">
      <alignment vertical="center"/>
    </xf>
    <xf numFmtId="2" fontId="1" fillId="0" borderId="0" xfId="4" applyNumberFormat="1" applyFont="1" applyAlignment="1">
      <alignment vertical="center"/>
    </xf>
    <xf numFmtId="2" fontId="10" fillId="0" borderId="1" xfId="0" applyNumberFormat="1" applyFont="1" applyBorder="1" applyAlignment="1">
      <alignment horizontal="right" vertical="center"/>
    </xf>
    <xf numFmtId="2" fontId="10" fillId="0" borderId="1" xfId="0" applyNumberFormat="1" applyFont="1" applyBorder="1" applyAlignment="1">
      <alignment horizontal="left" vertical="center"/>
    </xf>
    <xf numFmtId="2" fontId="10" fillId="0" borderId="21" xfId="7" applyNumberFormat="1" applyFont="1" applyBorder="1" applyAlignment="1">
      <alignment horizontal="right" vertical="center"/>
    </xf>
    <xf numFmtId="2" fontId="10" fillId="0" borderId="1" xfId="7" applyNumberFormat="1" applyFont="1" applyBorder="1" applyAlignment="1">
      <alignment horizontal="right" vertical="center"/>
    </xf>
    <xf numFmtId="2" fontId="10" fillId="0" borderId="1" xfId="7" applyNumberFormat="1" applyFont="1" applyBorder="1" applyAlignment="1">
      <alignment horizontal="left" vertical="center" wrapText="1"/>
    </xf>
    <xf numFmtId="2" fontId="10" fillId="0" borderId="21" xfId="7" applyNumberFormat="1" applyFont="1" applyBorder="1" applyAlignment="1">
      <alignment horizontal="center" vertical="center" wrapText="1" shrinkToFit="1"/>
    </xf>
    <xf numFmtId="2" fontId="10" fillId="0" borderId="21" xfId="0" applyNumberFormat="1" applyFont="1" applyBorder="1" applyAlignment="1">
      <alignment horizontal="right" vertical="center"/>
    </xf>
    <xf numFmtId="2" fontId="6" fillId="0" borderId="0" xfId="7" applyNumberFormat="1" applyFont="1" applyAlignment="1">
      <alignment horizontal="right" vertical="center"/>
    </xf>
    <xf numFmtId="165" fontId="1" fillId="0" borderId="0" xfId="15" applyNumberFormat="1" applyAlignment="1">
      <alignment horizontal="right" vertical="center"/>
    </xf>
    <xf numFmtId="165" fontId="8" fillId="0" borderId="0" xfId="15" applyNumberFormat="1" applyFont="1" applyAlignment="1">
      <alignment horizontal="center" vertical="center"/>
    </xf>
    <xf numFmtId="165" fontId="1" fillId="0" borderId="0" xfId="15" applyNumberFormat="1" applyAlignment="1">
      <alignment horizontal="center" vertical="center"/>
    </xf>
    <xf numFmtId="165" fontId="1" fillId="0" borderId="0" xfId="15" applyNumberFormat="1" applyAlignment="1">
      <alignment vertical="center"/>
    </xf>
    <xf numFmtId="165" fontId="8" fillId="0" borderId="0" xfId="15" applyNumberFormat="1" applyFont="1" applyAlignment="1">
      <alignment horizontal="right" vertical="center"/>
    </xf>
    <xf numFmtId="165" fontId="8" fillId="0" borderId="0" xfId="15" applyNumberFormat="1" applyFont="1" applyAlignment="1">
      <alignment horizontal="left" vertical="center"/>
    </xf>
    <xf numFmtId="165" fontId="36" fillId="0" borderId="0" xfId="15" applyNumberFormat="1" applyFont="1" applyAlignment="1">
      <alignment horizontal="center" vertical="center"/>
    </xf>
    <xf numFmtId="165" fontId="1" fillId="0" borderId="0" xfId="15" applyNumberFormat="1" applyAlignment="1">
      <alignment horizontal="left" vertical="center"/>
    </xf>
    <xf numFmtId="165" fontId="8" fillId="0" borderId="0" xfId="15" applyNumberFormat="1" applyFont="1" applyAlignment="1">
      <alignment vertical="center"/>
    </xf>
    <xf numFmtId="165" fontId="1" fillId="0" borderId="0" xfId="15" applyNumberFormat="1" applyAlignment="1">
      <alignment vertical="center" wrapText="1"/>
    </xf>
    <xf numFmtId="165" fontId="37" fillId="0" borderId="0" xfId="15" applyNumberFormat="1" applyFont="1" applyAlignment="1">
      <alignment horizontal="right" vertical="center"/>
    </xf>
    <xf numFmtId="0" fontId="37" fillId="0" borderId="0" xfId="15" applyFont="1" applyAlignment="1">
      <alignment vertical="center"/>
    </xf>
    <xf numFmtId="0" fontId="25" fillId="0" borderId="0" xfId="15" applyFont="1" applyAlignment="1">
      <alignment vertical="center"/>
    </xf>
    <xf numFmtId="165" fontId="1" fillId="0" borderId="0" xfId="15" applyNumberFormat="1" applyAlignment="1" applyProtection="1">
      <alignment horizontal="center" vertical="center"/>
      <protection locked="0"/>
    </xf>
    <xf numFmtId="165" fontId="1" fillId="0" borderId="0" xfId="15" applyNumberFormat="1" applyAlignment="1" applyProtection="1">
      <alignment vertical="center"/>
      <protection locked="0"/>
    </xf>
    <xf numFmtId="165" fontId="8" fillId="0" borderId="0" xfId="15" applyNumberFormat="1" applyFont="1" applyAlignment="1" applyProtection="1">
      <alignment horizontal="center" vertical="center"/>
      <protection locked="0"/>
    </xf>
    <xf numFmtId="165" fontId="1" fillId="0" borderId="0" xfId="15" applyNumberFormat="1" applyAlignment="1" applyProtection="1">
      <alignment horizontal="left" vertical="center"/>
      <protection locked="0"/>
    </xf>
    <xf numFmtId="0" fontId="23" fillId="0" borderId="0" xfId="15" applyFont="1" applyAlignment="1">
      <alignment vertical="center"/>
    </xf>
    <xf numFmtId="0" fontId="2" fillId="0" borderId="0" xfId="15" applyFont="1" applyAlignment="1">
      <alignment vertical="center"/>
    </xf>
    <xf numFmtId="0" fontId="2" fillId="0" borderId="0" xfId="15" applyFont="1" applyAlignment="1">
      <alignment horizontal="center" vertical="center"/>
    </xf>
    <xf numFmtId="0" fontId="8" fillId="0" borderId="0" xfId="15" applyFont="1" applyAlignment="1">
      <alignment vertical="center"/>
    </xf>
    <xf numFmtId="0" fontId="4" fillId="0" borderId="0" xfId="15" applyFont="1" applyAlignment="1">
      <alignment vertical="center"/>
    </xf>
    <xf numFmtId="0" fontId="24" fillId="0" borderId="0" xfId="15" applyFont="1" applyAlignment="1">
      <alignment vertical="center"/>
    </xf>
    <xf numFmtId="0" fontId="2" fillId="0" borderId="53" xfId="15" applyFont="1" applyBorder="1" applyAlignment="1">
      <alignment horizontal="center" vertical="center"/>
    </xf>
    <xf numFmtId="0" fontId="2" fillId="0" borderId="54" xfId="15" applyFont="1" applyBorder="1" applyAlignment="1">
      <alignment horizontal="left" vertical="center"/>
    </xf>
    <xf numFmtId="43" fontId="2" fillId="0" borderId="55" xfId="15" applyNumberFormat="1" applyFont="1" applyBorder="1" applyAlignment="1">
      <alignment vertical="center"/>
    </xf>
    <xf numFmtId="0" fontId="2" fillId="0" borderId="11" xfId="15" applyFont="1" applyBorder="1" applyAlignment="1">
      <alignment horizontal="center" vertical="center"/>
    </xf>
    <xf numFmtId="0" fontId="2" fillId="0" borderId="5" xfId="15" applyFont="1" applyBorder="1" applyAlignment="1">
      <alignment horizontal="left" vertical="center"/>
    </xf>
    <xf numFmtId="43" fontId="2" fillId="0" borderId="12" xfId="15" applyNumberFormat="1" applyFont="1" applyBorder="1" applyAlignment="1">
      <alignment vertical="center"/>
    </xf>
    <xf numFmtId="43" fontId="2" fillId="0" borderId="0" xfId="15" applyNumberFormat="1" applyFont="1" applyAlignment="1">
      <alignment vertical="center"/>
    </xf>
    <xf numFmtId="43" fontId="7" fillId="0" borderId="12" xfId="15" applyNumberFormat="1" applyFont="1" applyBorder="1" applyAlignment="1">
      <alignment vertical="center"/>
    </xf>
    <xf numFmtId="43" fontId="7" fillId="0" borderId="15" xfId="15" applyNumberFormat="1" applyFont="1" applyBorder="1" applyAlignment="1">
      <alignment vertical="center"/>
    </xf>
    <xf numFmtId="0" fontId="4" fillId="0" borderId="7" xfId="15" applyFont="1" applyBorder="1" applyAlignment="1">
      <alignment vertical="center"/>
    </xf>
    <xf numFmtId="0" fontId="4" fillId="0" borderId="8" xfId="15" applyFont="1" applyBorder="1" applyAlignment="1">
      <alignment horizontal="center" vertical="center"/>
    </xf>
    <xf numFmtId="0" fontId="4" fillId="0" borderId="9" xfId="15" applyFont="1" applyBorder="1" applyAlignment="1">
      <alignment horizontal="center" vertical="center"/>
    </xf>
    <xf numFmtId="0" fontId="2" fillId="0" borderId="50" xfId="15" applyFont="1" applyBorder="1" applyAlignment="1">
      <alignment horizontal="center" vertical="center"/>
    </xf>
    <xf numFmtId="0" fontId="2" fillId="0" borderId="11" xfId="15" applyFont="1" applyBorder="1" applyAlignment="1">
      <alignment vertical="center"/>
    </xf>
    <xf numFmtId="0" fontId="4" fillId="0" borderId="38" xfId="15" applyFont="1" applyBorder="1" applyAlignment="1">
      <alignment horizontal="center" vertical="center"/>
    </xf>
    <xf numFmtId="43" fontId="4" fillId="0" borderId="12" xfId="15" applyNumberFormat="1" applyFont="1" applyBorder="1" applyAlignment="1">
      <alignment vertical="center"/>
    </xf>
    <xf numFmtId="0" fontId="10" fillId="0" borderId="13" xfId="15" applyFont="1" applyBorder="1" applyAlignment="1">
      <alignment vertical="center"/>
    </xf>
    <xf numFmtId="0" fontId="7" fillId="0" borderId="39" xfId="15" applyFont="1" applyBorder="1" applyAlignment="1">
      <alignment horizontal="center" vertical="center"/>
    </xf>
    <xf numFmtId="168" fontId="2" fillId="0" borderId="0" xfId="15" applyNumberFormat="1" applyFont="1" applyAlignment="1">
      <alignment vertical="center"/>
    </xf>
    <xf numFmtId="0" fontId="10" fillId="0" borderId="0" xfId="3" applyFont="1" applyAlignment="1">
      <alignment horizontal="center" vertical="center"/>
    </xf>
    <xf numFmtId="0" fontId="4" fillId="0" borderId="54" xfId="15" applyFont="1" applyBorder="1" applyAlignment="1">
      <alignment horizontal="center" vertical="center" wrapText="1"/>
    </xf>
    <xf numFmtId="166" fontId="4" fillId="0" borderId="11" xfId="15" applyNumberFormat="1" applyFont="1" applyBorder="1" applyAlignment="1">
      <alignment horizontal="center" vertical="center"/>
    </xf>
    <xf numFmtId="2" fontId="4" fillId="0" borderId="5" xfId="15" applyNumberFormat="1" applyFont="1" applyBorder="1" applyAlignment="1">
      <alignment horizontal="center" vertical="center" wrapText="1"/>
    </xf>
    <xf numFmtId="0" fontId="2" fillId="0" borderId="5" xfId="15" applyFont="1" applyBorder="1" applyAlignment="1">
      <alignment horizontal="center" vertical="center" wrapText="1"/>
    </xf>
    <xf numFmtId="0" fontId="2" fillId="0" borderId="5" xfId="15" applyFont="1" applyBorder="1" applyAlignment="1">
      <alignment horizontal="right" vertical="center" wrapText="1"/>
    </xf>
    <xf numFmtId="4" fontId="2" fillId="0" borderId="5" xfId="15" applyNumberFormat="1" applyFont="1" applyBorder="1" applyAlignment="1">
      <alignment horizontal="center" vertical="center"/>
    </xf>
    <xf numFmtId="0" fontId="2" fillId="0" borderId="12" xfId="15" applyFont="1" applyBorder="1" applyAlignment="1">
      <alignment vertical="center"/>
    </xf>
    <xf numFmtId="166" fontId="19" fillId="0" borderId="11" xfId="6" applyNumberFormat="1" applyFont="1" applyBorder="1" applyAlignment="1">
      <alignment vertical="center"/>
    </xf>
    <xf numFmtId="0" fontId="19" fillId="0" borderId="12" xfId="6" applyFont="1" applyBorder="1" applyAlignment="1">
      <alignment vertical="center" wrapText="1"/>
    </xf>
    <xf numFmtId="166" fontId="18" fillId="7" borderId="11" xfId="6" applyNumberFormat="1" applyFont="1" applyFill="1" applyBorder="1" applyAlignment="1">
      <alignment horizontal="center" vertical="center"/>
    </xf>
    <xf numFmtId="0" fontId="15" fillId="0" borderId="12" xfId="15" applyFont="1" applyBorder="1" applyAlignment="1">
      <alignment vertical="center"/>
    </xf>
    <xf numFmtId="0" fontId="2" fillId="0" borderId="5" xfId="15" applyFont="1" applyBorder="1" applyAlignment="1">
      <alignment horizontal="center" vertical="center"/>
    </xf>
    <xf numFmtId="0" fontId="15" fillId="0" borderId="11" xfId="15" applyFont="1" applyBorder="1" applyAlignment="1">
      <alignment vertical="center"/>
    </xf>
    <xf numFmtId="0" fontId="1" fillId="0" borderId="5" xfId="4" applyFont="1" applyBorder="1" applyAlignment="1">
      <alignment vertical="center"/>
    </xf>
    <xf numFmtId="43" fontId="2" fillId="0" borderId="5" xfId="1" applyFont="1" applyFill="1" applyBorder="1" applyAlignment="1">
      <alignment vertical="center"/>
    </xf>
    <xf numFmtId="0" fontId="2" fillId="0" borderId="5" xfId="15" applyFont="1" applyBorder="1" applyAlignment="1">
      <alignment horizontal="justify" vertical="center" wrapText="1"/>
    </xf>
    <xf numFmtId="43" fontId="16" fillId="0" borderId="0" xfId="4" applyNumberFormat="1" applyFont="1" applyAlignment="1">
      <alignment vertical="center"/>
    </xf>
    <xf numFmtId="2" fontId="2" fillId="0" borderId="7" xfId="15" applyNumberFormat="1" applyFont="1" applyBorder="1" applyAlignment="1">
      <alignment horizontal="center" vertical="center"/>
    </xf>
    <xf numFmtId="2" fontId="2" fillId="0" borderId="8" xfId="15" applyNumberFormat="1" applyFont="1" applyBorder="1" applyAlignment="1">
      <alignment horizontal="center" vertical="center"/>
    </xf>
    <xf numFmtId="43" fontId="4" fillId="0" borderId="8" xfId="1" applyFont="1" applyFill="1" applyBorder="1" applyAlignment="1">
      <alignment horizontal="center" vertical="center"/>
    </xf>
    <xf numFmtId="0" fontId="15" fillId="0" borderId="9" xfId="15" applyFont="1" applyBorder="1" applyAlignment="1">
      <alignment vertical="center"/>
    </xf>
    <xf numFmtId="166" fontId="4" fillId="0" borderId="10" xfId="15" applyNumberFormat="1" applyFont="1" applyBorder="1" applyAlignment="1">
      <alignment horizontal="center" vertical="center" wrapText="1"/>
    </xf>
    <xf numFmtId="2" fontId="4" fillId="0" borderId="6" xfId="15" applyNumberFormat="1" applyFont="1" applyBorder="1" applyAlignment="1">
      <alignment horizontal="center" vertical="center" wrapText="1"/>
    </xf>
    <xf numFmtId="0" fontId="2" fillId="0" borderId="6" xfId="15" applyFont="1" applyBorder="1" applyAlignment="1">
      <alignment horizontal="center" vertical="center"/>
    </xf>
    <xf numFmtId="43" fontId="2" fillId="0" borderId="6" xfId="1" applyFont="1" applyFill="1" applyBorder="1" applyAlignment="1">
      <alignment horizontal="right" vertical="center"/>
    </xf>
    <xf numFmtId="43" fontId="2" fillId="0" borderId="6" xfId="1" applyFont="1" applyFill="1" applyBorder="1" applyAlignment="1">
      <alignment horizontal="center" vertical="center"/>
    </xf>
    <xf numFmtId="0" fontId="15" fillId="0" borderId="16" xfId="15" applyFont="1" applyBorder="1" applyAlignment="1">
      <alignment vertical="center"/>
    </xf>
    <xf numFmtId="2" fontId="2" fillId="0" borderId="5" xfId="15" applyNumberFormat="1" applyFont="1" applyBorder="1" applyAlignment="1">
      <alignment horizontal="center" vertical="center"/>
    </xf>
    <xf numFmtId="2" fontId="2" fillId="0" borderId="11" xfId="15" applyNumberFormat="1" applyFont="1" applyBorder="1" applyAlignment="1">
      <alignment horizontal="center" vertical="center"/>
    </xf>
    <xf numFmtId="0" fontId="1" fillId="0" borderId="0" xfId="15" applyAlignment="1">
      <alignment horizontal="center" vertical="center"/>
    </xf>
    <xf numFmtId="2" fontId="2" fillId="0" borderId="50" xfId="15" applyNumberFormat="1" applyFont="1" applyBorder="1" applyAlignment="1">
      <alignment horizontal="center" vertical="center"/>
    </xf>
    <xf numFmtId="2" fontId="2" fillId="0" borderId="43" xfId="15" applyNumberFormat="1" applyFont="1" applyBorder="1" applyAlignment="1">
      <alignment horizontal="center" vertical="center"/>
    </xf>
    <xf numFmtId="0" fontId="2" fillId="0" borderId="43" xfId="15" applyFont="1" applyBorder="1" applyAlignment="1">
      <alignment horizontal="center" vertical="center"/>
    </xf>
    <xf numFmtId="0" fontId="15" fillId="0" borderId="56" xfId="15" applyFont="1" applyBorder="1" applyAlignment="1">
      <alignment vertical="center"/>
    </xf>
    <xf numFmtId="0" fontId="15" fillId="0" borderId="12" xfId="7" applyFont="1" applyBorder="1" applyAlignment="1">
      <alignment vertical="center"/>
    </xf>
    <xf numFmtId="0" fontId="15" fillId="0" borderId="11" xfId="7" applyFont="1" applyBorder="1" applyAlignment="1">
      <alignment vertical="center"/>
    </xf>
    <xf numFmtId="2" fontId="2" fillId="0" borderId="7" xfId="7" applyNumberFormat="1" applyFont="1" applyBorder="1" applyAlignment="1">
      <alignment horizontal="center" vertical="center" wrapText="1"/>
    </xf>
    <xf numFmtId="2" fontId="2" fillId="0" borderId="8" xfId="7" applyNumberFormat="1" applyFont="1" applyBorder="1" applyAlignment="1">
      <alignment horizontal="center" vertical="center" wrapText="1"/>
    </xf>
    <xf numFmtId="43" fontId="4" fillId="0" borderId="8" xfId="7" applyNumberFormat="1" applyFont="1" applyBorder="1" applyAlignment="1">
      <alignment horizontal="center" vertical="center" wrapText="1"/>
    </xf>
    <xf numFmtId="0" fontId="15" fillId="0" borderId="9" xfId="7" applyFont="1" applyBorder="1" applyAlignment="1">
      <alignment vertical="center"/>
    </xf>
    <xf numFmtId="2" fontId="2" fillId="0" borderId="6" xfId="15" applyNumberFormat="1" applyFont="1" applyBorder="1" applyAlignment="1">
      <alignment horizontal="center" vertical="center" wrapText="1"/>
    </xf>
    <xf numFmtId="0" fontId="2" fillId="0" borderId="6" xfId="15" applyFont="1" applyBorder="1" applyAlignment="1">
      <alignment horizontal="center" vertical="center" wrapText="1"/>
    </xf>
    <xf numFmtId="43" fontId="2" fillId="0" borderId="6" xfId="15" applyNumberFormat="1" applyFont="1" applyBorder="1" applyAlignment="1">
      <alignment horizontal="center" vertical="center" wrapText="1"/>
    </xf>
    <xf numFmtId="43" fontId="4" fillId="0" borderId="5" xfId="1" applyFont="1" applyFill="1" applyBorder="1" applyAlignment="1">
      <alignment horizontal="center" vertical="center" wrapText="1"/>
    </xf>
    <xf numFmtId="2" fontId="4" fillId="0" borderId="11" xfId="15" applyNumberFormat="1" applyFont="1" applyBorder="1" applyAlignment="1">
      <alignment horizontal="center" vertical="center" wrapText="1"/>
    </xf>
    <xf numFmtId="43" fontId="1" fillId="0" borderId="0" xfId="4" applyNumberFormat="1" applyFont="1" applyAlignment="1">
      <alignment vertical="center"/>
    </xf>
    <xf numFmtId="43" fontId="4" fillId="0" borderId="5" xfId="15" applyNumberFormat="1" applyFont="1" applyBorder="1" applyAlignment="1">
      <alignment horizontal="center" vertical="center" wrapText="1"/>
    </xf>
    <xf numFmtId="2" fontId="4" fillId="0" borderId="13" xfId="15" applyNumberFormat="1" applyFont="1" applyBorder="1" applyAlignment="1">
      <alignment horizontal="center" vertical="center" wrapText="1"/>
    </xf>
    <xf numFmtId="2" fontId="4" fillId="0" borderId="14" xfId="15" applyNumberFormat="1" applyFont="1" applyBorder="1" applyAlignment="1">
      <alignment horizontal="center" vertical="center" wrapText="1"/>
    </xf>
    <xf numFmtId="43" fontId="4" fillId="0" borderId="14" xfId="15" applyNumberFormat="1" applyFont="1" applyBorder="1" applyAlignment="1">
      <alignment horizontal="center" vertical="center" wrapText="1"/>
    </xf>
    <xf numFmtId="0" fontId="4" fillId="0" borderId="15" xfId="15" applyFont="1" applyBorder="1" applyAlignment="1">
      <alignment horizontal="right" vertical="center"/>
    </xf>
    <xf numFmtId="2" fontId="1" fillId="0" borderId="0" xfId="15" applyNumberFormat="1" applyAlignment="1">
      <alignment horizontal="center" vertical="center" wrapText="1"/>
    </xf>
    <xf numFmtId="0" fontId="1" fillId="0" borderId="0" xfId="15" applyAlignment="1">
      <alignment horizontal="left" vertical="center" wrapText="1"/>
    </xf>
    <xf numFmtId="0" fontId="1" fillId="0" borderId="0" xfId="15" applyAlignment="1">
      <alignment horizontal="center" vertical="center" wrapText="1"/>
    </xf>
    <xf numFmtId="0" fontId="1" fillId="0" borderId="0" xfId="15" applyAlignment="1">
      <alignment horizontal="right" vertical="center"/>
    </xf>
    <xf numFmtId="0" fontId="1" fillId="0" borderId="0" xfId="4" applyFont="1" applyAlignment="1">
      <alignment horizontal="center" vertical="center"/>
    </xf>
    <xf numFmtId="43" fontId="1" fillId="0" borderId="0" xfId="1" applyFont="1" applyFill="1" applyAlignment="1">
      <alignment horizontal="center" vertical="center"/>
    </xf>
    <xf numFmtId="43" fontId="1" fillId="0" borderId="0" xfId="1" applyFont="1" applyFill="1" applyAlignment="1">
      <alignment vertical="center"/>
    </xf>
    <xf numFmtId="2" fontId="4" fillId="0" borderId="5" xfId="1" applyNumberFormat="1" applyFont="1" applyFill="1" applyBorder="1" applyAlignment="1">
      <alignment horizontal="right" vertical="center"/>
    </xf>
    <xf numFmtId="43" fontId="4" fillId="0" borderId="12" xfId="1" applyFont="1" applyFill="1" applyBorder="1" applyAlignment="1">
      <alignment horizontal="right" vertical="center"/>
    </xf>
    <xf numFmtId="2" fontId="4" fillId="0" borderId="6" xfId="1" applyNumberFormat="1" applyFont="1" applyFill="1" applyBorder="1" applyAlignment="1">
      <alignment horizontal="right" vertical="center"/>
    </xf>
    <xf numFmtId="43" fontId="4" fillId="0" borderId="16" xfId="1" applyFont="1" applyFill="1" applyBorder="1" applyAlignment="1">
      <alignment horizontal="right" vertical="center"/>
    </xf>
    <xf numFmtId="43" fontId="4" fillId="0" borderId="54" xfId="1" applyFont="1" applyFill="1" applyBorder="1" applyAlignment="1">
      <alignment horizontal="right" vertical="center"/>
    </xf>
    <xf numFmtId="2" fontId="4" fillId="0" borderId="54" xfId="1" applyNumberFormat="1" applyFont="1" applyFill="1" applyBorder="1" applyAlignment="1">
      <alignment horizontal="right" vertical="center"/>
    </xf>
    <xf numFmtId="43" fontId="4" fillId="0" borderId="55" xfId="1" applyFont="1" applyFill="1" applyBorder="1" applyAlignment="1">
      <alignment horizontal="right" vertical="center"/>
    </xf>
    <xf numFmtId="43" fontId="4" fillId="0" borderId="6" xfId="1" applyFont="1" applyFill="1" applyBorder="1" applyAlignment="1">
      <alignment horizontal="right" vertical="center"/>
    </xf>
    <xf numFmtId="2" fontId="2" fillId="0" borderId="6" xfId="1" applyNumberFormat="1" applyFont="1" applyFill="1" applyBorder="1" applyAlignment="1">
      <alignment horizontal="right" vertical="center"/>
    </xf>
    <xf numFmtId="43" fontId="2" fillId="0" borderId="16" xfId="1" applyFont="1" applyFill="1" applyBorder="1" applyAlignment="1">
      <alignment horizontal="right" vertical="center"/>
    </xf>
    <xf numFmtId="43" fontId="2" fillId="0" borderId="56" xfId="1" applyFont="1" applyFill="1" applyBorder="1" applyAlignment="1">
      <alignment horizontal="right" vertical="center"/>
    </xf>
    <xf numFmtId="43" fontId="4" fillId="0" borderId="5" xfId="1" applyFont="1" applyFill="1" applyBorder="1" applyAlignment="1">
      <alignment horizontal="right" vertical="center"/>
    </xf>
    <xf numFmtId="43" fontId="4" fillId="0" borderId="60" xfId="1" applyFont="1" applyFill="1" applyBorder="1" applyAlignment="1">
      <alignment horizontal="right" vertical="center"/>
    </xf>
    <xf numFmtId="43" fontId="4" fillId="0" borderId="56" xfId="1" applyFont="1" applyFill="1" applyBorder="1" applyAlignment="1">
      <alignment horizontal="right" vertical="center"/>
    </xf>
    <xf numFmtId="0" fontId="4" fillId="0" borderId="54" xfId="15" applyFont="1" applyBorder="1" applyAlignment="1">
      <alignment horizontal="right" vertical="center" wrapText="1"/>
    </xf>
    <xf numFmtId="2" fontId="7" fillId="0" borderId="0" xfId="7" applyNumberFormat="1" applyFont="1" applyAlignment="1">
      <alignment horizontal="left" vertical="center"/>
    </xf>
    <xf numFmtId="2" fontId="27" fillId="0" borderId="0" xfId="0" applyNumberFormat="1" applyFont="1" applyAlignment="1">
      <alignment vertical="center"/>
    </xf>
    <xf numFmtId="2" fontId="2" fillId="0" borderId="0" xfId="0" applyNumberFormat="1" applyFont="1" applyAlignment="1">
      <alignment vertical="center"/>
    </xf>
    <xf numFmtId="2" fontId="7" fillId="5" borderId="55" xfId="7" applyNumberFormat="1" applyFont="1" applyFill="1" applyBorder="1" applyAlignment="1">
      <alignment horizontal="center" vertical="center" wrapText="1"/>
    </xf>
    <xf numFmtId="2" fontId="7" fillId="5" borderId="12" xfId="7" applyNumberFormat="1" applyFont="1" applyFill="1" applyBorder="1" applyAlignment="1">
      <alignment horizontal="center" vertical="center" wrapText="1"/>
    </xf>
    <xf numFmtId="2" fontId="7" fillId="0" borderId="24" xfId="7" applyNumberFormat="1" applyFont="1" applyBorder="1" applyAlignment="1">
      <alignment vertical="center"/>
    </xf>
    <xf numFmtId="2" fontId="6" fillId="0" borderId="0" xfId="9" applyNumberFormat="1" applyFont="1" applyAlignment="1">
      <alignment vertical="center"/>
    </xf>
    <xf numFmtId="2" fontId="6" fillId="0" borderId="0" xfId="9" quotePrefix="1" applyNumberFormat="1" applyFont="1" applyAlignment="1">
      <alignment horizontal="right" vertical="center"/>
    </xf>
    <xf numFmtId="2" fontId="6" fillId="0" borderId="0" xfId="1" applyNumberFormat="1" applyFont="1" applyFill="1" applyBorder="1" applyAlignment="1">
      <alignment vertical="center"/>
    </xf>
    <xf numFmtId="2" fontId="7" fillId="0" borderId="0" xfId="7" applyNumberFormat="1" applyFont="1" applyAlignment="1">
      <alignment vertical="center"/>
    </xf>
    <xf numFmtId="2" fontId="10" fillId="0" borderId="44" xfId="7" applyNumberFormat="1" applyFont="1" applyBorder="1" applyAlignment="1">
      <alignment horizontal="right" vertical="center"/>
    </xf>
    <xf numFmtId="2" fontId="7" fillId="0" borderId="42" xfId="7" applyNumberFormat="1" applyFont="1" applyBorder="1" applyAlignment="1">
      <alignment horizontal="left" vertical="center"/>
    </xf>
    <xf numFmtId="2" fontId="10" fillId="0" borderId="42" xfId="7" applyNumberFormat="1" applyFont="1" applyBorder="1" applyAlignment="1">
      <alignment horizontal="right" vertical="center"/>
    </xf>
    <xf numFmtId="2" fontId="10" fillId="0" borderId="26" xfId="7" applyNumberFormat="1" applyFont="1" applyBorder="1" applyAlignment="1">
      <alignment horizontal="center" vertical="center"/>
    </xf>
    <xf numFmtId="2" fontId="10" fillId="0" borderId="2" xfId="7" applyNumberFormat="1" applyFont="1" applyBorder="1" applyAlignment="1">
      <alignment vertical="center"/>
    </xf>
    <xf numFmtId="2" fontId="10" fillId="0" borderId="27" xfId="7" applyNumberFormat="1" applyFont="1" applyBorder="1" applyAlignment="1">
      <alignment vertical="center"/>
    </xf>
    <xf numFmtId="2" fontId="10" fillId="0" borderId="21" xfId="7" applyNumberFormat="1" applyFont="1" applyBorder="1" applyAlignment="1">
      <alignment horizontal="center" vertical="center"/>
    </xf>
    <xf numFmtId="2" fontId="10" fillId="0" borderId="22" xfId="7" applyNumberFormat="1" applyFont="1" applyBorder="1" applyAlignment="1">
      <alignment vertical="center"/>
    </xf>
    <xf numFmtId="2" fontId="7" fillId="2" borderId="42" xfId="7" applyNumberFormat="1" applyFont="1" applyFill="1" applyBorder="1" applyAlignment="1">
      <alignment horizontal="left" vertical="center"/>
    </xf>
    <xf numFmtId="2" fontId="7" fillId="2" borderId="59" xfId="7" applyNumberFormat="1" applyFont="1" applyFill="1" applyBorder="1" applyAlignment="1">
      <alignment horizontal="left" vertical="center"/>
    </xf>
    <xf numFmtId="2" fontId="7" fillId="0" borderId="59" xfId="7" applyNumberFormat="1" applyFont="1" applyBorder="1" applyAlignment="1">
      <alignment horizontal="left" vertical="center"/>
    </xf>
    <xf numFmtId="2" fontId="7" fillId="0" borderId="1" xfId="7" applyNumberFormat="1" applyFont="1" applyBorder="1" applyAlignment="1">
      <alignment vertical="center"/>
    </xf>
    <xf numFmtId="2" fontId="10" fillId="2" borderId="23" xfId="7" applyNumberFormat="1" applyFont="1" applyFill="1" applyBorder="1" applyAlignment="1">
      <alignment horizontal="center" vertical="center"/>
    </xf>
    <xf numFmtId="2" fontId="10" fillId="0" borderId="24" xfId="7" applyNumberFormat="1" applyFont="1" applyBorder="1" applyAlignment="1">
      <alignment vertical="center"/>
    </xf>
    <xf numFmtId="2" fontId="7" fillId="0" borderId="24" xfId="7" applyNumberFormat="1" applyFont="1" applyBorder="1" applyAlignment="1">
      <alignment horizontal="right" vertical="center"/>
    </xf>
    <xf numFmtId="2" fontId="6" fillId="0" borderId="42" xfId="7" applyNumberFormat="1" applyFont="1" applyBorder="1" applyAlignment="1">
      <alignment vertical="center"/>
    </xf>
    <xf numFmtId="2" fontId="10" fillId="2" borderId="44" xfId="7" applyNumberFormat="1" applyFont="1" applyFill="1" applyBorder="1" applyAlignment="1">
      <alignment horizontal="center" vertical="center"/>
    </xf>
    <xf numFmtId="2" fontId="10" fillId="0" borderId="44" xfId="7" applyNumberFormat="1" applyFont="1" applyBorder="1" applyAlignment="1">
      <alignment vertical="center"/>
    </xf>
    <xf numFmtId="2" fontId="7" fillId="0" borderId="44" xfId="7" applyNumberFormat="1" applyFont="1" applyBorder="1" applyAlignment="1">
      <alignment horizontal="right" vertical="center"/>
    </xf>
    <xf numFmtId="2" fontId="7" fillId="2" borderId="0" xfId="7" applyNumberFormat="1" applyFont="1" applyFill="1" applyAlignment="1">
      <alignment horizontal="left" vertical="center"/>
    </xf>
    <xf numFmtId="2" fontId="10" fillId="0" borderId="0" xfId="7" applyNumberFormat="1" applyFont="1" applyAlignment="1">
      <alignment horizontal="right" vertical="center"/>
    </xf>
    <xf numFmtId="2" fontId="10" fillId="0" borderId="0" xfId="7" applyNumberFormat="1" applyFont="1" applyAlignment="1">
      <alignment vertical="center"/>
    </xf>
    <xf numFmtId="2" fontId="7" fillId="0" borderId="0" xfId="7" applyNumberFormat="1" applyFont="1" applyAlignment="1">
      <alignment horizontal="right" vertical="center"/>
    </xf>
    <xf numFmtId="2" fontId="6" fillId="0" borderId="44" xfId="7" applyNumberFormat="1" applyFont="1" applyBorder="1" applyAlignment="1">
      <alignment vertical="center"/>
    </xf>
    <xf numFmtId="2" fontId="10" fillId="2" borderId="42" xfId="7" applyNumberFormat="1" applyFont="1" applyFill="1" applyBorder="1" applyAlignment="1">
      <alignment horizontal="center" vertical="center"/>
    </xf>
    <xf numFmtId="2" fontId="7" fillId="0" borderId="42" xfId="7" applyNumberFormat="1" applyFont="1" applyBorder="1" applyAlignment="1">
      <alignment horizontal="right" vertical="center"/>
    </xf>
    <xf numFmtId="2" fontId="10" fillId="0" borderId="2" xfId="7" applyNumberFormat="1" applyFont="1" applyBorder="1" applyAlignment="1">
      <alignment vertical="center" shrinkToFit="1"/>
    </xf>
    <xf numFmtId="2" fontId="10" fillId="2" borderId="23" xfId="7" applyNumberFormat="1" applyFont="1" applyFill="1" applyBorder="1" applyAlignment="1">
      <alignment horizontal="right" vertical="center"/>
    </xf>
    <xf numFmtId="2" fontId="10" fillId="2" borderId="0" xfId="7" applyNumberFormat="1" applyFont="1" applyFill="1" applyAlignment="1">
      <alignment horizontal="center" vertical="center"/>
    </xf>
    <xf numFmtId="2" fontId="7" fillId="3" borderId="53" xfId="7" applyNumberFormat="1" applyFont="1" applyFill="1" applyBorder="1" applyAlignment="1">
      <alignment vertical="center"/>
    </xf>
    <xf numFmtId="2" fontId="7" fillId="3" borderId="54" xfId="7" applyNumberFormat="1" applyFont="1" applyFill="1" applyBorder="1" applyAlignment="1">
      <alignment vertical="center" wrapText="1"/>
    </xf>
    <xf numFmtId="2" fontId="10" fillId="2" borderId="0" xfId="7" applyNumberFormat="1" applyFont="1" applyFill="1" applyAlignment="1">
      <alignment horizontal="right" vertical="center"/>
    </xf>
    <xf numFmtId="2" fontId="7" fillId="0" borderId="21" xfId="7" applyNumberFormat="1" applyFont="1" applyBorder="1" applyAlignment="1">
      <alignment horizontal="center" vertical="center"/>
    </xf>
    <xf numFmtId="2" fontId="17" fillId="2" borderId="0" xfId="7" applyNumberFormat="1" applyFont="1" applyFill="1" applyAlignment="1">
      <alignment horizontal="center" vertical="center"/>
    </xf>
    <xf numFmtId="2" fontId="17" fillId="2" borderId="45" xfId="7" applyNumberFormat="1" applyFont="1" applyFill="1" applyBorder="1" applyAlignment="1">
      <alignment horizontal="center" vertical="center"/>
    </xf>
    <xf numFmtId="2" fontId="6" fillId="0" borderId="24" xfId="7" applyNumberFormat="1" applyFont="1" applyBorder="1" applyAlignment="1">
      <alignment vertical="center"/>
    </xf>
    <xf numFmtId="2" fontId="7" fillId="2" borderId="23" xfId="7" applyNumberFormat="1" applyFont="1" applyFill="1" applyBorder="1" applyAlignment="1">
      <alignment horizontal="left" vertical="center"/>
    </xf>
    <xf numFmtId="2" fontId="7" fillId="2" borderId="24" xfId="7" applyNumberFormat="1" applyFont="1" applyFill="1" applyBorder="1" applyAlignment="1">
      <alignment horizontal="left" vertical="center"/>
    </xf>
    <xf numFmtId="2" fontId="10" fillId="2" borderId="24" xfId="7" applyNumberFormat="1" applyFont="1" applyFill="1" applyBorder="1" applyAlignment="1">
      <alignment horizontal="center" vertical="center"/>
    </xf>
    <xf numFmtId="2" fontId="22" fillId="0" borderId="67" xfId="7" applyNumberFormat="1" applyFont="1" applyBorder="1" applyAlignment="1">
      <alignment horizontal="left" vertical="center"/>
    </xf>
    <xf numFmtId="2" fontId="7" fillId="2" borderId="67" xfId="7" applyNumberFormat="1" applyFont="1" applyFill="1" applyBorder="1" applyAlignment="1">
      <alignment horizontal="left" vertical="center"/>
    </xf>
    <xf numFmtId="2" fontId="10" fillId="2" borderId="67" xfId="7" applyNumberFormat="1" applyFont="1" applyFill="1" applyBorder="1" applyAlignment="1">
      <alignment horizontal="center" vertical="center"/>
    </xf>
    <xf numFmtId="2" fontId="10" fillId="0" borderId="23" xfId="7" applyNumberFormat="1" applyFont="1" applyBorder="1" applyAlignment="1">
      <alignment horizontal="center" vertical="center"/>
    </xf>
    <xf numFmtId="2" fontId="7" fillId="0" borderId="67" xfId="7" applyNumberFormat="1" applyFont="1" applyBorder="1" applyAlignment="1">
      <alignment horizontal="left" vertical="center"/>
    </xf>
    <xf numFmtId="2" fontId="10" fillId="0" borderId="23" xfId="7" applyNumberFormat="1" applyFont="1" applyBorder="1" applyAlignment="1">
      <alignment vertical="center"/>
    </xf>
    <xf numFmtId="2" fontId="10" fillId="2" borderId="67" xfId="7" applyNumberFormat="1" applyFont="1" applyFill="1" applyBorder="1" applyAlignment="1">
      <alignment horizontal="right" vertical="center"/>
    </xf>
    <xf numFmtId="2" fontId="10" fillId="0" borderId="67" xfId="7" applyNumberFormat="1" applyFont="1" applyBorder="1" applyAlignment="1">
      <alignment horizontal="right" vertical="center"/>
    </xf>
    <xf numFmtId="2" fontId="7" fillId="0" borderId="67" xfId="7" applyNumberFormat="1" applyFont="1" applyBorder="1" applyAlignment="1">
      <alignment horizontal="right" vertical="center"/>
    </xf>
    <xf numFmtId="2" fontId="7" fillId="0" borderId="67" xfId="7" applyNumberFormat="1" applyFont="1" applyBorder="1" applyAlignment="1">
      <alignment vertical="center"/>
    </xf>
    <xf numFmtId="2" fontId="6" fillId="0" borderId="0" xfId="0" applyNumberFormat="1" applyFont="1" applyAlignment="1">
      <alignment vertical="center"/>
    </xf>
    <xf numFmtId="2" fontId="7" fillId="0" borderId="1" xfId="0" applyNumberFormat="1" applyFont="1" applyBorder="1" applyAlignment="1">
      <alignment horizontal="center" vertical="center"/>
    </xf>
    <xf numFmtId="2" fontId="7" fillId="0" borderId="22" xfId="0" applyNumberFormat="1" applyFont="1" applyBorder="1" applyAlignment="1">
      <alignment horizontal="center" vertical="center"/>
    </xf>
    <xf numFmtId="2" fontId="7" fillId="0" borderId="21" xfId="0" applyNumberFormat="1" applyFont="1" applyBorder="1" applyAlignment="1">
      <alignment horizontal="center" vertical="center"/>
    </xf>
    <xf numFmtId="2" fontId="10" fillId="0" borderId="23" xfId="0" applyNumberFormat="1" applyFont="1" applyBorder="1" applyAlignment="1">
      <alignment vertical="center"/>
    </xf>
    <xf numFmtId="2" fontId="10" fillId="0" borderId="24" xfId="0" applyNumberFormat="1" applyFont="1" applyBorder="1" applyAlignment="1">
      <alignment vertical="center"/>
    </xf>
    <xf numFmtId="2" fontId="10" fillId="0" borderId="24" xfId="0" applyNumberFormat="1" applyFont="1" applyBorder="1" applyAlignment="1">
      <alignment horizontal="right" vertical="center"/>
    </xf>
    <xf numFmtId="2" fontId="6" fillId="0" borderId="24" xfId="0" applyNumberFormat="1" applyFont="1" applyBorder="1" applyAlignment="1">
      <alignment vertical="center"/>
    </xf>
    <xf numFmtId="2" fontId="7" fillId="0" borderId="24" xfId="0" applyNumberFormat="1" applyFont="1" applyBorder="1" applyAlignment="1">
      <alignment horizontal="right" vertical="center"/>
    </xf>
    <xf numFmtId="2" fontId="10" fillId="0" borderId="44" xfId="0" applyNumberFormat="1" applyFont="1" applyBorder="1" applyAlignment="1">
      <alignment vertical="center"/>
    </xf>
    <xf numFmtId="2" fontId="10" fillId="0" borderId="44" xfId="0" applyNumberFormat="1" applyFont="1" applyBorder="1" applyAlignment="1">
      <alignment horizontal="right" vertical="center"/>
    </xf>
    <xf numFmtId="2" fontId="6" fillId="0" borderId="44" xfId="0" applyNumberFormat="1" applyFont="1" applyBorder="1" applyAlignment="1">
      <alignment vertical="center"/>
    </xf>
    <xf numFmtId="2" fontId="7" fillId="0" borderId="44" xfId="0" applyNumberFormat="1" applyFont="1" applyBorder="1" applyAlignment="1">
      <alignment horizontal="right" vertical="center"/>
    </xf>
    <xf numFmtId="2" fontId="10" fillId="6" borderId="11" xfId="7" applyNumberFormat="1" applyFont="1" applyFill="1" applyBorder="1" applyAlignment="1">
      <alignment vertical="center"/>
    </xf>
    <xf numFmtId="2" fontId="10" fillId="6" borderId="5" xfId="7" applyNumberFormat="1" applyFont="1" applyFill="1" applyBorder="1" applyAlignment="1">
      <alignment vertical="center" wrapText="1"/>
    </xf>
    <xf numFmtId="2" fontId="7" fillId="0" borderId="69" xfId="7" applyNumberFormat="1" applyFont="1" applyBorder="1" applyAlignment="1">
      <alignment vertical="center"/>
    </xf>
    <xf numFmtId="2" fontId="7" fillId="0" borderId="21" xfId="7" applyNumberFormat="1" applyFont="1" applyBorder="1" applyAlignment="1">
      <alignment vertical="center"/>
    </xf>
    <xf numFmtId="2" fontId="10" fillId="2" borderId="44" xfId="7" applyNumberFormat="1" applyFont="1" applyFill="1" applyBorder="1" applyAlignment="1">
      <alignment horizontal="right" vertical="center"/>
    </xf>
    <xf numFmtId="2" fontId="6" fillId="0" borderId="67" xfId="7" applyNumberFormat="1" applyFont="1" applyBorder="1" applyAlignment="1">
      <alignment vertical="center"/>
    </xf>
    <xf numFmtId="2" fontId="10" fillId="0" borderId="30" xfId="7" applyNumberFormat="1" applyFont="1" applyBorder="1" applyAlignment="1">
      <alignment horizontal="right" vertical="center"/>
    </xf>
    <xf numFmtId="2" fontId="10" fillId="0" borderId="42" xfId="7" applyNumberFormat="1" applyFont="1" applyBorder="1" applyAlignment="1">
      <alignment horizontal="left" vertical="center"/>
    </xf>
    <xf numFmtId="2" fontId="7" fillId="2" borderId="1" xfId="7" applyNumberFormat="1" applyFont="1" applyFill="1" applyBorder="1" applyAlignment="1">
      <alignment horizontal="center" vertical="center"/>
    </xf>
    <xf numFmtId="2" fontId="7" fillId="2" borderId="22" xfId="7" applyNumberFormat="1" applyFont="1" applyFill="1" applyBorder="1" applyAlignment="1">
      <alignment horizontal="center" vertical="center"/>
    </xf>
    <xf numFmtId="2" fontId="10" fillId="2" borderId="1" xfId="7" applyNumberFormat="1" applyFont="1" applyFill="1" applyBorder="1" applyAlignment="1">
      <alignment horizontal="left" vertical="center" shrinkToFit="1"/>
    </xf>
    <xf numFmtId="2" fontId="10" fillId="2" borderId="1" xfId="7" applyNumberFormat="1" applyFont="1" applyFill="1" applyBorder="1" applyAlignment="1">
      <alignment horizontal="left" vertical="center" wrapText="1" shrinkToFit="1"/>
    </xf>
    <xf numFmtId="2" fontId="10" fillId="2" borderId="1" xfId="7" applyNumberFormat="1" applyFont="1" applyFill="1" applyBorder="1" applyAlignment="1">
      <alignment horizontal="right" vertical="center" shrinkToFit="1"/>
    </xf>
    <xf numFmtId="2" fontId="10" fillId="2" borderId="1" xfId="7" applyNumberFormat="1" applyFont="1" applyFill="1" applyBorder="1" applyAlignment="1">
      <alignment vertical="center"/>
    </xf>
    <xf numFmtId="2" fontId="10" fillId="0" borderId="19" xfId="7" applyNumberFormat="1" applyFont="1" applyBorder="1" applyAlignment="1">
      <alignment horizontal="left" vertical="center"/>
    </xf>
    <xf numFmtId="2" fontId="10" fillId="2" borderId="19" xfId="7" applyNumberFormat="1" applyFont="1" applyFill="1" applyBorder="1" applyAlignment="1">
      <alignment horizontal="center" vertical="center" shrinkToFit="1"/>
    </xf>
    <xf numFmtId="2" fontId="10" fillId="2" borderId="1" xfId="7" applyNumberFormat="1" applyFont="1" applyFill="1" applyBorder="1" applyAlignment="1">
      <alignment horizontal="center" vertical="center" wrapText="1" shrinkToFit="1"/>
    </xf>
    <xf numFmtId="166" fontId="4" fillId="0" borderId="11" xfId="7" applyNumberFormat="1" applyFont="1" applyBorder="1" applyAlignment="1">
      <alignment horizontal="center" vertical="center"/>
    </xf>
    <xf numFmtId="2" fontId="4" fillId="0" borderId="5" xfId="7" applyNumberFormat="1" applyFont="1" applyBorder="1" applyAlignment="1">
      <alignment horizontal="center" vertical="center"/>
    </xf>
    <xf numFmtId="2" fontId="2" fillId="0" borderId="7" xfId="7" applyNumberFormat="1" applyFont="1" applyBorder="1" applyAlignment="1">
      <alignment horizontal="center" vertical="center"/>
    </xf>
    <xf numFmtId="2" fontId="2" fillId="0" borderId="8" xfId="7" applyNumberFormat="1" applyFont="1" applyBorder="1" applyAlignment="1">
      <alignment horizontal="center" vertical="center"/>
    </xf>
    <xf numFmtId="2" fontId="10" fillId="0" borderId="4" xfId="7" applyNumberFormat="1" applyFont="1" applyBorder="1" applyAlignment="1">
      <alignment horizontal="center" vertical="center"/>
    </xf>
    <xf numFmtId="166" fontId="10" fillId="0" borderId="21" xfId="7" applyNumberFormat="1" applyFont="1" applyBorder="1" applyAlignment="1">
      <alignment horizontal="center" vertical="center" shrinkToFit="1"/>
    </xf>
    <xf numFmtId="2" fontId="6" fillId="0" borderId="23" xfId="7" applyNumberFormat="1" applyFont="1" applyBorder="1" applyAlignment="1">
      <alignment vertical="center"/>
    </xf>
    <xf numFmtId="0" fontId="1" fillId="0" borderId="0" xfId="15" applyAlignment="1">
      <alignment vertical="center"/>
    </xf>
    <xf numFmtId="166" fontId="1" fillId="0" borderId="0" xfId="15" applyNumberFormat="1" applyAlignment="1">
      <alignment horizontal="center" vertical="center"/>
    </xf>
    <xf numFmtId="166" fontId="36" fillId="0" borderId="0" xfId="15" applyNumberFormat="1" applyFont="1" applyAlignment="1">
      <alignment horizontal="center" vertical="center"/>
    </xf>
    <xf numFmtId="166" fontId="1" fillId="0" borderId="0" xfId="15" applyNumberFormat="1" applyAlignment="1" applyProtection="1">
      <alignment horizontal="center" vertical="center"/>
      <protection locked="0"/>
    </xf>
    <xf numFmtId="166" fontId="36" fillId="0" borderId="0" xfId="15" applyNumberFormat="1" applyFont="1" applyAlignment="1" applyProtection="1">
      <alignment horizontal="center" vertical="center"/>
      <protection locked="0"/>
    </xf>
    <xf numFmtId="165" fontId="36" fillId="0" borderId="0" xfId="15" applyNumberFormat="1" applyFont="1" applyAlignment="1" applyProtection="1">
      <alignment horizontal="left" vertical="center"/>
      <protection locked="0"/>
    </xf>
    <xf numFmtId="165" fontId="36" fillId="0" borderId="0" xfId="15" applyNumberFormat="1" applyFont="1" applyAlignment="1" applyProtection="1">
      <alignment horizontal="center" vertical="center"/>
      <protection locked="0"/>
    </xf>
    <xf numFmtId="2" fontId="10" fillId="2" borderId="34" xfId="7" applyNumberFormat="1" applyFont="1" applyFill="1" applyBorder="1" applyAlignment="1">
      <alignment horizontal="right" vertical="center"/>
    </xf>
    <xf numFmtId="2" fontId="7" fillId="0" borderId="4" xfId="7" applyNumberFormat="1" applyFont="1" applyBorder="1" applyAlignment="1">
      <alignment vertical="center"/>
    </xf>
    <xf numFmtId="2" fontId="7" fillId="0" borderId="35" xfId="7" applyNumberFormat="1" applyFont="1" applyBorder="1" applyAlignment="1">
      <alignment horizontal="center" vertical="center" shrinkToFit="1"/>
    </xf>
    <xf numFmtId="2" fontId="10" fillId="2" borderId="23" xfId="7" applyNumberFormat="1" applyFont="1" applyFill="1" applyBorder="1" applyAlignment="1">
      <alignment horizontal="center" vertical="center" shrinkToFit="1"/>
    </xf>
    <xf numFmtId="2" fontId="10" fillId="2" borderId="24" xfId="7" applyNumberFormat="1" applyFont="1" applyFill="1" applyBorder="1" applyAlignment="1">
      <alignment horizontal="center" vertical="center" shrinkToFit="1"/>
    </xf>
    <xf numFmtId="2" fontId="10" fillId="2" borderId="24" xfId="7" applyNumberFormat="1" applyFont="1" applyFill="1" applyBorder="1" applyAlignment="1">
      <alignment horizontal="center" vertical="center" wrapText="1"/>
    </xf>
    <xf numFmtId="2" fontId="10" fillId="2" borderId="24" xfId="7" applyNumberFormat="1" applyFont="1" applyFill="1" applyBorder="1" applyAlignment="1">
      <alignment horizontal="left" vertical="center" wrapText="1" shrinkToFit="1"/>
    </xf>
    <xf numFmtId="2" fontId="7" fillId="2" borderId="25" xfId="7" applyNumberFormat="1" applyFont="1" applyFill="1" applyBorder="1" applyAlignment="1">
      <alignment horizontal="center" vertical="center" wrapText="1"/>
    </xf>
    <xf numFmtId="43" fontId="4" fillId="0" borderId="16" xfId="1" applyFont="1" applyFill="1" applyBorder="1" applyAlignment="1">
      <alignment horizontal="center" vertical="center"/>
    </xf>
    <xf numFmtId="43" fontId="4" fillId="0" borderId="12" xfId="1" applyFont="1" applyFill="1" applyBorder="1" applyAlignment="1">
      <alignment horizontal="center" vertical="center"/>
    </xf>
    <xf numFmtId="2" fontId="4" fillId="0" borderId="6" xfId="7" applyNumberFormat="1" applyFont="1" applyBorder="1" applyAlignment="1">
      <alignment horizontal="center" vertical="center" wrapText="1"/>
    </xf>
    <xf numFmtId="2" fontId="2" fillId="0" borderId="6" xfId="7" applyNumberFormat="1" applyFont="1" applyBorder="1" applyAlignment="1">
      <alignment horizontal="center" vertical="center"/>
    </xf>
    <xf numFmtId="0" fontId="15" fillId="0" borderId="16" xfId="7" applyFont="1" applyBorder="1" applyAlignment="1">
      <alignment vertical="center"/>
    </xf>
    <xf numFmtId="2" fontId="4" fillId="0" borderId="11" xfId="7" applyNumberFormat="1" applyFont="1" applyBorder="1" applyAlignment="1">
      <alignment horizontal="center" vertical="center" wrapText="1"/>
    </xf>
    <xf numFmtId="2" fontId="2" fillId="0" borderId="5" xfId="7" applyNumberFormat="1" applyFont="1" applyBorder="1" applyAlignment="1">
      <alignment horizontal="center" vertical="center" wrapText="1"/>
    </xf>
    <xf numFmtId="2" fontId="4" fillId="0" borderId="5" xfId="7" applyNumberFormat="1" applyFont="1" applyBorder="1" applyAlignment="1">
      <alignment horizontal="center" vertical="center" wrapText="1"/>
    </xf>
    <xf numFmtId="2" fontId="2" fillId="0" borderId="5" xfId="7" applyNumberFormat="1" applyFont="1" applyBorder="1" applyAlignment="1">
      <alignment horizontal="center" vertical="center"/>
    </xf>
    <xf numFmtId="0" fontId="19" fillId="0" borderId="11" xfId="6" applyFont="1" applyBorder="1" applyAlignment="1">
      <alignment vertical="center"/>
    </xf>
    <xf numFmtId="2" fontId="18" fillId="0" borderId="5" xfId="6" applyNumberFormat="1" applyFont="1" applyBorder="1" applyAlignment="1">
      <alignment horizontal="center" vertical="center" wrapText="1"/>
    </xf>
    <xf numFmtId="0" fontId="19" fillId="0" borderId="12" xfId="6" applyFont="1" applyBorder="1" applyAlignment="1">
      <alignment vertical="center"/>
    </xf>
    <xf numFmtId="0" fontId="2" fillId="0" borderId="0" xfId="4" applyAlignment="1">
      <alignment horizontal="center" vertical="center"/>
    </xf>
    <xf numFmtId="0" fontId="1" fillId="0" borderId="0" xfId="4" applyFont="1" applyAlignment="1">
      <alignment horizontal="center" vertical="center" wrapText="1"/>
    </xf>
    <xf numFmtId="0" fontId="2" fillId="0" borderId="43" xfId="15" applyFont="1" applyBorder="1" applyAlignment="1">
      <alignment horizontal="justify" vertical="center" wrapText="1"/>
    </xf>
    <xf numFmtId="166" fontId="10" fillId="0" borderId="21" xfId="7" applyNumberFormat="1" applyFont="1" applyBorder="1" applyAlignment="1">
      <alignment horizontal="center" vertical="center"/>
    </xf>
    <xf numFmtId="43" fontId="4" fillId="0" borderId="56" xfId="1" applyFont="1" applyFill="1" applyBorder="1" applyAlignment="1">
      <alignment horizontal="center" vertical="center"/>
    </xf>
    <xf numFmtId="43" fontId="2" fillId="0" borderId="36" xfId="1" applyFont="1" applyFill="1" applyBorder="1" applyAlignment="1">
      <alignment horizontal="right" vertical="center"/>
    </xf>
    <xf numFmtId="0" fontId="7" fillId="0" borderId="0" xfId="7" applyFont="1" applyAlignment="1">
      <alignment horizontal="center" vertical="center"/>
    </xf>
    <xf numFmtId="169" fontId="4" fillId="0" borderId="12" xfId="1" applyNumberFormat="1" applyFont="1" applyFill="1" applyBorder="1" applyAlignment="1">
      <alignment horizontal="right" vertical="center"/>
    </xf>
    <xf numFmtId="169" fontId="4" fillId="0" borderId="56" xfId="1" applyNumberFormat="1" applyFont="1" applyFill="1" applyBorder="1" applyAlignment="1">
      <alignment horizontal="right" vertical="center"/>
    </xf>
    <xf numFmtId="43" fontId="4" fillId="0" borderId="62" xfId="1" applyFont="1" applyFill="1" applyBorder="1" applyAlignment="1">
      <alignment horizontal="right" vertical="center"/>
    </xf>
    <xf numFmtId="2" fontId="4" fillId="0" borderId="62" xfId="1" applyNumberFormat="1" applyFont="1" applyFill="1" applyBorder="1" applyAlignment="1">
      <alignment horizontal="right" vertical="center"/>
    </xf>
    <xf numFmtId="43" fontId="4" fillId="0" borderId="63" xfId="1" applyFont="1" applyFill="1" applyBorder="1" applyAlignment="1">
      <alignment horizontal="right" vertical="center"/>
    </xf>
    <xf numFmtId="0" fontId="4" fillId="0" borderId="17" xfId="15" applyFont="1" applyBorder="1" applyAlignment="1">
      <alignment horizontal="right" vertical="center" wrapText="1"/>
    </xf>
    <xf numFmtId="2" fontId="10" fillId="0" borderId="22" xfId="7" applyNumberFormat="1" applyFont="1" applyBorder="1" applyAlignment="1">
      <alignment vertical="center" wrapText="1" shrinkToFit="1"/>
    </xf>
    <xf numFmtId="0" fontId="3" fillId="0" borderId="0" xfId="7" applyFont="1" applyAlignment="1">
      <alignment horizontal="center"/>
    </xf>
    <xf numFmtId="0" fontId="30" fillId="0" borderId="0" xfId="7" applyFont="1" applyAlignment="1">
      <alignment horizontal="right"/>
    </xf>
    <xf numFmtId="0" fontId="30" fillId="0" borderId="0" xfId="7" applyFont="1"/>
    <xf numFmtId="0" fontId="30" fillId="0" borderId="0" xfId="7" applyFont="1" applyAlignment="1">
      <alignment horizontal="center" vertical="center"/>
    </xf>
    <xf numFmtId="0" fontId="30" fillId="0" borderId="0" xfId="7" applyFont="1" applyAlignment="1">
      <alignment vertical="center"/>
    </xf>
    <xf numFmtId="0" fontId="31" fillId="0" borderId="0" xfId="7" applyFont="1" applyAlignment="1">
      <alignment horizontal="right"/>
    </xf>
    <xf numFmtId="0" fontId="30" fillId="0" borderId="0" xfId="7" applyFont="1" applyAlignment="1">
      <alignment horizontal="center"/>
    </xf>
    <xf numFmtId="0" fontId="3" fillId="0" borderId="0" xfId="7" applyFont="1" applyAlignment="1">
      <alignment horizontal="right"/>
    </xf>
    <xf numFmtId="0" fontId="3" fillId="0" borderId="0" xfId="7" applyFont="1" applyAlignment="1">
      <alignment horizontal="center" vertical="center"/>
    </xf>
    <xf numFmtId="0" fontId="30" fillId="0" borderId="14" xfId="7" applyFont="1" applyBorder="1" applyAlignment="1">
      <alignment horizontal="center" vertical="center"/>
    </xf>
    <xf numFmtId="0" fontId="32" fillId="0" borderId="14" xfId="7" applyFont="1" applyBorder="1" applyAlignment="1">
      <alignment horizontal="center" vertical="center"/>
    </xf>
    <xf numFmtId="0" fontId="32" fillId="0" borderId="15" xfId="7" applyFont="1" applyBorder="1" applyAlignment="1">
      <alignment horizontal="center" vertical="center"/>
    </xf>
    <xf numFmtId="2" fontId="33" fillId="0" borderId="53" xfId="7" applyNumberFormat="1" applyFont="1" applyBorder="1" applyAlignment="1">
      <alignment horizontal="left" vertical="center" wrapText="1" shrinkToFit="1"/>
    </xf>
    <xf numFmtId="43" fontId="3" fillId="0" borderId="54" xfId="13" applyFont="1" applyFill="1" applyBorder="1" applyAlignment="1">
      <alignment horizontal="center" vertical="center" wrapText="1" shrinkToFit="1"/>
    </xf>
    <xf numFmtId="43" fontId="33" fillId="0" borderId="54" xfId="13" applyFont="1" applyFill="1" applyBorder="1" applyAlignment="1">
      <alignment horizontal="center" vertical="center" shrinkToFit="1"/>
    </xf>
    <xf numFmtId="43" fontId="33" fillId="0" borderId="55" xfId="13" applyFont="1" applyFill="1" applyBorder="1" applyAlignment="1">
      <alignment horizontal="center" vertical="center" shrinkToFit="1"/>
    </xf>
    <xf numFmtId="0" fontId="3" fillId="0" borderId="0" xfId="7" applyFont="1" applyAlignment="1">
      <alignment horizontal="right" vertical="center"/>
    </xf>
    <xf numFmtId="2" fontId="33" fillId="0" borderId="13" xfId="7" applyNumberFormat="1" applyFont="1" applyBorder="1" applyAlignment="1">
      <alignment horizontal="left" shrinkToFit="1"/>
    </xf>
    <xf numFmtId="43" fontId="3" fillId="0" borderId="14" xfId="13" applyFont="1" applyFill="1" applyBorder="1" applyAlignment="1">
      <alignment horizontal="center" vertical="center" wrapText="1" shrinkToFit="1"/>
    </xf>
    <xf numFmtId="43" fontId="33" fillId="0" borderId="14" xfId="13" applyFont="1" applyFill="1" applyBorder="1" applyAlignment="1">
      <alignment horizontal="center" vertical="center" shrinkToFit="1"/>
    </xf>
    <xf numFmtId="43" fontId="33" fillId="0" borderId="15" xfId="13" applyFont="1" applyFill="1" applyBorder="1" applyAlignment="1">
      <alignment horizontal="center" vertical="center" shrinkToFit="1"/>
    </xf>
    <xf numFmtId="0" fontId="2" fillId="0" borderId="0" xfId="7" applyFont="1" applyAlignment="1">
      <alignment horizontal="right"/>
    </xf>
    <xf numFmtId="0" fontId="4" fillId="0" borderId="0" xfId="7" applyFont="1" applyAlignment="1">
      <alignment horizontal="right"/>
    </xf>
    <xf numFmtId="0" fontId="4" fillId="0" borderId="0" xfId="7" applyFont="1" applyAlignment="1">
      <alignment horizontal="center"/>
    </xf>
    <xf numFmtId="0" fontId="12" fillId="0" borderId="0" xfId="7" applyFont="1" applyAlignment="1">
      <alignment horizontal="center"/>
    </xf>
    <xf numFmtId="2" fontId="3" fillId="0" borderId="5" xfId="7" applyNumberFormat="1" applyFont="1" applyBorder="1" applyAlignment="1" applyProtection="1">
      <alignment horizontal="center" vertical="center" shrinkToFit="1"/>
      <protection locked="0"/>
    </xf>
    <xf numFmtId="0" fontId="3" fillId="0" borderId="5" xfId="7" applyFont="1" applyBorder="1" applyAlignment="1">
      <alignment horizontal="left" vertical="center" wrapText="1"/>
    </xf>
    <xf numFmtId="2" fontId="2" fillId="0" borderId="5" xfId="7" applyNumberFormat="1" applyFont="1" applyBorder="1" applyAlignment="1">
      <alignment vertical="center"/>
    </xf>
    <xf numFmtId="2" fontId="2" fillId="0" borderId="5" xfId="7" applyNumberFormat="1" applyFont="1" applyBorder="1" applyAlignment="1" applyProtection="1">
      <alignment vertical="center"/>
      <protection locked="0"/>
    </xf>
    <xf numFmtId="0" fontId="2" fillId="0" borderId="5" xfId="7" applyFont="1" applyBorder="1" applyAlignment="1">
      <alignment vertical="center"/>
    </xf>
    <xf numFmtId="0" fontId="3" fillId="0" borderId="5" xfId="7" applyFont="1" applyBorder="1" applyAlignment="1">
      <alignment vertical="center" wrapText="1" shrinkToFit="1"/>
    </xf>
    <xf numFmtId="2" fontId="3" fillId="0" borderId="5" xfId="7" applyNumberFormat="1" applyFont="1" applyBorder="1" applyAlignment="1">
      <alignment vertical="center" shrinkToFit="1"/>
    </xf>
    <xf numFmtId="0" fontId="2" fillId="0" borderId="5" xfId="7" applyFont="1" applyBorder="1" applyAlignment="1">
      <alignment horizontal="left" vertical="center" wrapText="1"/>
    </xf>
    <xf numFmtId="0" fontId="2" fillId="0" borderId="5" xfId="7" applyFont="1" applyBorder="1" applyAlignment="1">
      <alignment horizontal="right" vertical="center" wrapText="1"/>
    </xf>
    <xf numFmtId="0" fontId="4" fillId="0" borderId="5" xfId="7" applyFont="1" applyBorder="1" applyAlignment="1">
      <alignment horizontal="center" vertical="center" wrapText="1"/>
    </xf>
    <xf numFmtId="2" fontId="2" fillId="0" borderId="5" xfId="7" applyNumberFormat="1" applyFont="1" applyBorder="1" applyAlignment="1">
      <alignment vertical="center" wrapText="1"/>
    </xf>
    <xf numFmtId="0" fontId="4" fillId="0" borderId="5" xfId="7" applyFont="1" applyBorder="1" applyAlignment="1">
      <alignment vertical="center"/>
    </xf>
    <xf numFmtId="0" fontId="7" fillId="8" borderId="53" xfId="7" applyFont="1" applyFill="1" applyBorder="1" applyAlignment="1">
      <alignment horizontal="center" vertical="center" wrapText="1"/>
    </xf>
    <xf numFmtId="0" fontId="7" fillId="0" borderId="10" xfId="7" applyFont="1" applyBorder="1" applyAlignment="1">
      <alignment horizontal="center" vertical="center" wrapText="1"/>
    </xf>
    <xf numFmtId="0" fontId="10" fillId="0" borderId="11" xfId="7" applyFont="1" applyBorder="1" applyAlignment="1">
      <alignment horizontal="center" vertical="center" wrapText="1"/>
    </xf>
    <xf numFmtId="0" fontId="7" fillId="0" borderId="11" xfId="7" applyFont="1" applyBorder="1" applyAlignment="1">
      <alignment horizontal="center" vertical="center" wrapText="1"/>
    </xf>
    <xf numFmtId="2" fontId="10" fillId="0" borderId="11" xfId="7" quotePrefix="1" applyNumberFormat="1" applyFont="1" applyBorder="1" applyAlignment="1">
      <alignment horizontal="center" vertical="center" shrinkToFit="1"/>
    </xf>
    <xf numFmtId="166" fontId="10" fillId="0" borderId="11" xfId="7" quotePrefix="1" applyNumberFormat="1" applyFont="1" applyBorder="1" applyAlignment="1">
      <alignment horizontal="center" vertical="center" wrapText="1"/>
    </xf>
    <xf numFmtId="16" fontId="10" fillId="0" borderId="11" xfId="7" quotePrefix="1" applyNumberFormat="1" applyFont="1" applyBorder="1" applyAlignment="1">
      <alignment horizontal="center" vertical="center" wrapText="1"/>
    </xf>
    <xf numFmtId="2" fontId="10" fillId="0" borderId="11" xfId="7" quotePrefix="1" applyNumberFormat="1" applyFont="1" applyBorder="1" applyAlignment="1">
      <alignment horizontal="center" vertical="center" wrapText="1"/>
    </xf>
    <xf numFmtId="166" fontId="10" fillId="0" borderId="11" xfId="7" applyNumberFormat="1" applyFont="1" applyBorder="1" applyAlignment="1">
      <alignment horizontal="center" vertical="center" shrinkToFit="1"/>
    </xf>
    <xf numFmtId="2" fontId="10" fillId="0" borderId="11" xfId="7" applyNumberFormat="1" applyFont="1" applyBorder="1" applyAlignment="1">
      <alignment horizontal="center" vertical="center" wrapText="1"/>
    </xf>
    <xf numFmtId="2" fontId="2" fillId="0" borderId="11" xfId="7" applyNumberFormat="1" applyFont="1" applyBorder="1" applyAlignment="1">
      <alignment horizontal="center" vertical="center" wrapText="1"/>
    </xf>
    <xf numFmtId="43" fontId="2" fillId="0" borderId="5" xfId="1" applyFont="1" applyFill="1" applyBorder="1" applyAlignment="1">
      <alignment horizontal="left" vertical="center" wrapText="1"/>
    </xf>
    <xf numFmtId="0" fontId="4" fillId="0" borderId="38" xfId="7" applyFont="1" applyBorder="1" applyAlignment="1">
      <alignment horizontal="center" vertical="center" wrapText="1"/>
    </xf>
    <xf numFmtId="166" fontId="18" fillId="7" borderId="50" xfId="6" applyNumberFormat="1" applyFont="1" applyFill="1" applyBorder="1" applyAlignment="1">
      <alignment horizontal="center" vertical="center"/>
    </xf>
    <xf numFmtId="2" fontId="2" fillId="0" borderId="43" xfId="4" applyNumberFormat="1" applyBorder="1" applyAlignment="1">
      <alignment horizontal="center" vertical="center"/>
    </xf>
    <xf numFmtId="0" fontId="19" fillId="0" borderId="56" xfId="6" applyFont="1" applyBorder="1" applyAlignment="1">
      <alignment vertical="center" wrapText="1"/>
    </xf>
    <xf numFmtId="166" fontId="4" fillId="0" borderId="10" xfId="15" applyNumberFormat="1" applyFont="1" applyBorder="1" applyAlignment="1">
      <alignment horizontal="center" vertical="center"/>
    </xf>
    <xf numFmtId="2" fontId="4" fillId="0" borderId="6" xfId="15" applyNumberFormat="1" applyFont="1" applyBorder="1" applyAlignment="1">
      <alignment horizontal="center" vertical="center"/>
    </xf>
    <xf numFmtId="166" fontId="2" fillId="0" borderId="7" xfId="15" applyNumberFormat="1" applyFont="1" applyBorder="1" applyAlignment="1">
      <alignment horizontal="center" vertical="center"/>
    </xf>
    <xf numFmtId="2" fontId="2" fillId="0" borderId="8" xfId="4" applyNumberFormat="1" applyBorder="1" applyAlignment="1">
      <alignment horizontal="center" vertical="center"/>
    </xf>
    <xf numFmtId="43" fontId="4" fillId="0" borderId="17" xfId="1" applyFont="1" applyFill="1" applyBorder="1" applyAlignment="1">
      <alignment horizontal="center" vertical="center"/>
    </xf>
    <xf numFmtId="0" fontId="15" fillId="0" borderId="36" xfId="15" applyFont="1" applyBorder="1" applyAlignment="1">
      <alignment vertical="center"/>
    </xf>
    <xf numFmtId="166" fontId="2" fillId="0" borderId="53" xfId="15" applyNumberFormat="1" applyFont="1" applyBorder="1" applyAlignment="1">
      <alignment horizontal="center" vertical="center"/>
    </xf>
    <xf numFmtId="2" fontId="2" fillId="0" borderId="54" xfId="4" applyNumberFormat="1" applyBorder="1" applyAlignment="1">
      <alignment horizontal="center" vertical="center"/>
    </xf>
    <xf numFmtId="43" fontId="4" fillId="0" borderId="54" xfId="1" applyFont="1" applyFill="1" applyBorder="1" applyAlignment="1">
      <alignment horizontal="center" vertical="center"/>
    </xf>
    <xf numFmtId="0" fontId="15" fillId="0" borderId="55" xfId="15" applyFont="1" applyBorder="1" applyAlignment="1">
      <alignment vertical="center"/>
    </xf>
    <xf numFmtId="2" fontId="2" fillId="0" borderId="66" xfId="15" applyNumberFormat="1" applyFont="1" applyBorder="1" applyAlignment="1">
      <alignment horizontal="center" vertical="center"/>
    </xf>
    <xf numFmtId="2" fontId="2" fillId="0" borderId="17" xfId="15" applyNumberFormat="1" applyFont="1" applyBorder="1" applyAlignment="1">
      <alignment horizontal="center" vertical="center"/>
    </xf>
    <xf numFmtId="0" fontId="15" fillId="0" borderId="55" xfId="7" applyFont="1" applyBorder="1" applyAlignment="1">
      <alignment vertical="center"/>
    </xf>
    <xf numFmtId="2" fontId="2" fillId="0" borderId="53" xfId="7" applyNumberFormat="1" applyFont="1" applyBorder="1" applyAlignment="1">
      <alignment horizontal="center" vertical="center" wrapText="1"/>
    </xf>
    <xf numFmtId="2" fontId="2" fillId="0" borderId="54" xfId="7" applyNumberFormat="1" applyFont="1" applyBorder="1" applyAlignment="1">
      <alignment horizontal="center" vertical="center" wrapText="1"/>
    </xf>
    <xf numFmtId="0" fontId="2" fillId="0" borderId="54" xfId="7" applyFont="1" applyBorder="1" applyAlignment="1">
      <alignment horizontal="right" vertical="center" wrapText="1"/>
    </xf>
    <xf numFmtId="43" fontId="4" fillId="0" borderId="54" xfId="7" applyNumberFormat="1" applyFont="1" applyBorder="1" applyAlignment="1">
      <alignment horizontal="center" vertical="center" wrapText="1"/>
    </xf>
    <xf numFmtId="0" fontId="15" fillId="0" borderId="50" xfId="15" applyFont="1" applyBorder="1" applyAlignment="1">
      <alignment vertical="center"/>
    </xf>
    <xf numFmtId="43" fontId="2" fillId="0" borderId="43" xfId="1" applyFont="1" applyFill="1" applyBorder="1" applyAlignment="1">
      <alignment horizontal="center" vertical="center" wrapText="1"/>
    </xf>
    <xf numFmtId="2" fontId="4" fillId="0" borderId="10" xfId="15" applyNumberFormat="1" applyFont="1" applyBorder="1" applyAlignment="1">
      <alignment horizontal="center" vertical="center" wrapText="1"/>
    </xf>
    <xf numFmtId="43" fontId="4" fillId="0" borderId="6" xfId="1" applyFont="1" applyFill="1" applyBorder="1" applyAlignment="1">
      <alignment horizontal="center" vertical="center" wrapText="1"/>
    </xf>
    <xf numFmtId="2" fontId="2" fillId="0" borderId="7" xfId="15" applyNumberFormat="1" applyFont="1" applyBorder="1" applyAlignment="1">
      <alignment horizontal="center" vertical="center" wrapText="1"/>
    </xf>
    <xf numFmtId="2" fontId="2" fillId="0" borderId="8" xfId="15" applyNumberFormat="1" applyFont="1" applyBorder="1" applyAlignment="1">
      <alignment horizontal="center" vertical="center" wrapText="1"/>
    </xf>
    <xf numFmtId="43" fontId="4" fillId="0" borderId="8" xfId="1" applyFont="1" applyFill="1" applyBorder="1" applyAlignment="1">
      <alignment horizontal="center" vertical="center" wrapText="1"/>
    </xf>
    <xf numFmtId="43" fontId="4" fillId="0" borderId="74" xfId="1" applyFont="1" applyFill="1" applyBorder="1" applyAlignment="1">
      <alignment horizontal="right" vertical="center"/>
    </xf>
    <xf numFmtId="2" fontId="2" fillId="0" borderId="6" xfId="15" applyNumberFormat="1" applyFont="1" applyBorder="1" applyAlignment="1">
      <alignment horizontal="center" vertical="center"/>
    </xf>
    <xf numFmtId="0" fontId="19" fillId="0" borderId="36" xfId="6" applyFont="1" applyBorder="1" applyAlignment="1">
      <alignment vertical="center" wrapText="1"/>
    </xf>
    <xf numFmtId="0" fontId="4" fillId="0" borderId="17" xfId="15" applyFont="1" applyBorder="1" applyAlignment="1">
      <alignment horizontal="center" vertical="center" wrapText="1"/>
    </xf>
    <xf numFmtId="0" fontId="2" fillId="0" borderId="54" xfId="7" applyFont="1" applyBorder="1" applyAlignment="1">
      <alignment horizontal="center" vertical="center" wrapText="1"/>
    </xf>
    <xf numFmtId="0" fontId="2" fillId="0" borderId="11" xfId="7" applyFont="1" applyBorder="1" applyAlignment="1">
      <alignment horizontal="center" vertical="center"/>
    </xf>
    <xf numFmtId="0" fontId="2" fillId="0" borderId="12" xfId="7" applyFont="1" applyBorder="1" applyAlignment="1">
      <alignment horizontal="center" vertical="center"/>
    </xf>
    <xf numFmtId="2" fontId="2" fillId="0" borderId="12" xfId="7" applyNumberFormat="1" applyFont="1" applyBorder="1" applyAlignment="1">
      <alignment horizontal="center" vertical="center"/>
    </xf>
    <xf numFmtId="164" fontId="1" fillId="0" borderId="0" xfId="4" applyNumberFormat="1" applyFont="1" applyAlignment="1">
      <alignment vertical="center"/>
    </xf>
    <xf numFmtId="0" fontId="24" fillId="0" borderId="0" xfId="15" applyFont="1" applyAlignment="1">
      <alignment horizontal="justify" vertical="center" wrapText="1"/>
    </xf>
    <xf numFmtId="0" fontId="4" fillId="0" borderId="54" xfId="15" applyFont="1" applyBorder="1" applyAlignment="1">
      <alignment horizontal="justify" vertical="center" wrapText="1"/>
    </xf>
    <xf numFmtId="0" fontId="4" fillId="0" borderId="5" xfId="15" applyFont="1" applyBorder="1" applyAlignment="1">
      <alignment horizontal="justify" vertical="center" wrapText="1"/>
    </xf>
    <xf numFmtId="0" fontId="4" fillId="0" borderId="6" xfId="15" applyFont="1" applyBorder="1" applyAlignment="1">
      <alignment horizontal="justify" vertical="center" wrapText="1"/>
    </xf>
    <xf numFmtId="0" fontId="2" fillId="0" borderId="5" xfId="4" applyBorder="1" applyAlignment="1">
      <alignment horizontal="justify" vertical="center" wrapText="1"/>
    </xf>
    <xf numFmtId="0" fontId="4" fillId="0" borderId="17" xfId="15" applyFont="1" applyBorder="1" applyAlignment="1">
      <alignment horizontal="justify" vertical="center" wrapText="1"/>
    </xf>
    <xf numFmtId="0" fontId="4" fillId="0" borderId="5" xfId="7" applyFont="1" applyBorder="1" applyAlignment="1">
      <alignment horizontal="justify" vertical="center" wrapText="1"/>
    </xf>
    <xf numFmtId="0" fontId="4" fillId="0" borderId="54" xfId="7" applyFont="1" applyBorder="1" applyAlignment="1">
      <alignment horizontal="justify" vertical="center" wrapText="1"/>
    </xf>
    <xf numFmtId="0" fontId="2" fillId="0" borderId="5" xfId="2" applyFont="1" applyBorder="1" applyAlignment="1">
      <alignment horizontal="justify" vertical="center" wrapText="1"/>
    </xf>
    <xf numFmtId="0" fontId="4" fillId="0" borderId="6" xfId="7" applyFont="1" applyBorder="1" applyAlignment="1">
      <alignment horizontal="justify" vertical="center" wrapText="1"/>
    </xf>
    <xf numFmtId="0" fontId="2" fillId="0" borderId="5" xfId="3" applyFont="1" applyBorder="1" applyAlignment="1">
      <alignment horizontal="justify" vertical="center" wrapText="1"/>
    </xf>
    <xf numFmtId="0" fontId="4" fillId="0" borderId="37" xfId="15" applyFont="1" applyBorder="1" applyAlignment="1">
      <alignment horizontal="justify" vertical="center" wrapText="1"/>
    </xf>
    <xf numFmtId="0" fontId="4" fillId="0" borderId="40" xfId="15" applyFont="1" applyBorder="1" applyAlignment="1">
      <alignment horizontal="justify" vertical="center" wrapText="1"/>
    </xf>
    <xf numFmtId="0" fontId="1" fillId="0" borderId="0" xfId="15" applyAlignment="1">
      <alignment horizontal="justify" vertical="center" wrapText="1"/>
    </xf>
    <xf numFmtId="0" fontId="1" fillId="0" borderId="0" xfId="4" applyFont="1" applyAlignment="1">
      <alignment horizontal="justify" vertical="center" wrapText="1"/>
    </xf>
    <xf numFmtId="0" fontId="30" fillId="9" borderId="0" xfId="7" applyFont="1" applyFill="1" applyProtection="1">
      <protection locked="0"/>
    </xf>
    <xf numFmtId="0" fontId="15" fillId="0" borderId="5" xfId="3" quotePrefix="1" applyFont="1" applyBorder="1" applyAlignment="1">
      <alignment vertical="center" wrapText="1"/>
    </xf>
    <xf numFmtId="0" fontId="15" fillId="0" borderId="36" xfId="0" applyFont="1" applyBorder="1" applyAlignment="1">
      <alignment vertical="center"/>
    </xf>
    <xf numFmtId="2" fontId="4" fillId="0" borderId="17" xfId="1" applyNumberFormat="1" applyFont="1" applyFill="1" applyBorder="1" applyAlignment="1" applyProtection="1">
      <alignment horizontal="right" vertical="center"/>
    </xf>
    <xf numFmtId="0" fontId="15" fillId="0" borderId="36" xfId="7" applyFont="1" applyBorder="1" applyAlignment="1">
      <alignment vertical="center"/>
    </xf>
    <xf numFmtId="0" fontId="6" fillId="0" borderId="0" xfId="7" applyFont="1" applyAlignment="1">
      <alignment vertical="center"/>
    </xf>
    <xf numFmtId="0" fontId="7" fillId="5" borderId="55" xfId="7" applyFont="1" applyFill="1" applyBorder="1" applyAlignment="1">
      <alignment horizontal="center" vertical="center" wrapText="1"/>
    </xf>
    <xf numFmtId="0" fontId="7" fillId="5" borderId="12" xfId="7" applyFont="1" applyFill="1" applyBorder="1" applyAlignment="1">
      <alignment horizontal="center" vertical="center" wrapText="1"/>
    </xf>
    <xf numFmtId="0" fontId="7" fillId="2" borderId="1" xfId="7" applyFont="1" applyFill="1" applyBorder="1" applyAlignment="1">
      <alignment horizontal="center" vertical="center"/>
    </xf>
    <xf numFmtId="0" fontId="7" fillId="2" borderId="22" xfId="7" applyFont="1" applyFill="1" applyBorder="1" applyAlignment="1">
      <alignment horizontal="center" vertical="center"/>
    </xf>
    <xf numFmtId="166" fontId="10" fillId="2" borderId="21" xfId="7" applyNumberFormat="1" applyFont="1" applyFill="1" applyBorder="1" applyAlignment="1">
      <alignment horizontal="center" vertical="center" shrinkToFit="1"/>
    </xf>
    <xf numFmtId="0" fontId="10" fillId="0" borderId="1" xfId="7" applyFont="1" applyBorder="1" applyAlignment="1">
      <alignment horizontal="left" vertical="center" shrinkToFit="1"/>
    </xf>
    <xf numFmtId="0" fontId="10" fillId="2" borderId="1" xfId="7" applyFont="1" applyFill="1" applyBorder="1" applyAlignment="1">
      <alignment horizontal="center" vertical="center" shrinkToFit="1"/>
    </xf>
    <xf numFmtId="0" fontId="10" fillId="2" borderId="1" xfId="7" applyFont="1" applyFill="1" applyBorder="1" applyAlignment="1">
      <alignment horizontal="left" vertical="center" wrapText="1" shrinkToFit="1"/>
    </xf>
    <xf numFmtId="0" fontId="10" fillId="2" borderId="1" xfId="7" applyFont="1" applyFill="1" applyBorder="1" applyAlignment="1">
      <alignment horizontal="left" vertical="center" shrinkToFit="1"/>
    </xf>
    <xf numFmtId="0" fontId="10" fillId="0" borderId="1" xfId="7" applyFont="1" applyBorder="1" applyAlignment="1">
      <alignment horizontal="left" vertical="center"/>
    </xf>
    <xf numFmtId="0" fontId="10" fillId="2" borderId="1" xfId="7" applyFont="1" applyFill="1" applyBorder="1" applyAlignment="1">
      <alignment vertical="center"/>
    </xf>
    <xf numFmtId="0" fontId="10" fillId="2" borderId="23" xfId="7" applyFont="1" applyFill="1" applyBorder="1" applyAlignment="1">
      <alignment horizontal="right" vertical="center"/>
    </xf>
    <xf numFmtId="0" fontId="10" fillId="0" borderId="24" xfId="7" applyFont="1" applyBorder="1" applyAlignment="1">
      <alignment horizontal="right" vertical="center"/>
    </xf>
    <xf numFmtId="0" fontId="7" fillId="0" borderId="24" xfId="7" applyFont="1" applyBorder="1" applyAlignment="1">
      <alignment vertical="center"/>
    </xf>
    <xf numFmtId="0" fontId="2" fillId="0" borderId="17" xfId="15" applyFont="1" applyBorder="1" applyAlignment="1">
      <alignment horizontal="justify" vertical="center" wrapText="1"/>
    </xf>
    <xf numFmtId="43" fontId="2" fillId="0" borderId="17" xfId="1" applyFont="1" applyFill="1" applyBorder="1" applyAlignment="1">
      <alignment horizontal="left" vertical="center" wrapText="1"/>
    </xf>
    <xf numFmtId="2" fontId="4" fillId="0" borderId="5" xfId="1" applyNumberFormat="1" applyFont="1" applyFill="1" applyBorder="1" applyAlignment="1" applyProtection="1">
      <alignment horizontal="right" vertical="center"/>
    </xf>
    <xf numFmtId="43" fontId="4" fillId="0" borderId="12" xfId="1" applyFont="1" applyFill="1" applyBorder="1" applyAlignment="1" applyProtection="1">
      <alignment horizontal="center" vertical="center"/>
      <protection locked="0"/>
    </xf>
    <xf numFmtId="43" fontId="4" fillId="0" borderId="8" xfId="1" applyFont="1" applyFill="1" applyBorder="1" applyAlignment="1" applyProtection="1">
      <alignment horizontal="right" vertical="center"/>
      <protection locked="0"/>
    </xf>
    <xf numFmtId="43" fontId="4" fillId="0" borderId="9" xfId="1" applyFont="1" applyFill="1" applyBorder="1" applyAlignment="1" applyProtection="1">
      <alignment horizontal="right" vertical="center"/>
      <protection locked="0"/>
    </xf>
    <xf numFmtId="43" fontId="4" fillId="0" borderId="0" xfId="1" applyFont="1" applyFill="1" applyBorder="1" applyAlignment="1" applyProtection="1">
      <alignment horizontal="right" vertical="center"/>
      <protection locked="0"/>
    </xf>
    <xf numFmtId="43" fontId="4" fillId="0" borderId="36" xfId="1" applyFont="1" applyFill="1" applyBorder="1" applyAlignment="1" applyProtection="1">
      <alignment horizontal="right" vertical="center"/>
      <protection locked="0"/>
    </xf>
    <xf numFmtId="2" fontId="4" fillId="0" borderId="6" xfId="1" applyNumberFormat="1" applyFont="1" applyFill="1" applyBorder="1" applyAlignment="1" applyProtection="1">
      <alignment horizontal="right" vertical="center"/>
    </xf>
    <xf numFmtId="43" fontId="4" fillId="0" borderId="16" xfId="1" applyFont="1" applyFill="1" applyBorder="1" applyAlignment="1" applyProtection="1">
      <alignment horizontal="right" vertical="center"/>
      <protection locked="0"/>
    </xf>
    <xf numFmtId="166" fontId="10" fillId="0" borderId="5" xfId="7" applyNumberFormat="1" applyFont="1" applyBorder="1" applyAlignment="1">
      <alignment horizontal="center" vertical="center" shrinkToFit="1"/>
    </xf>
    <xf numFmtId="0" fontId="7" fillId="0" borderId="0" xfId="7" applyFont="1" applyAlignment="1">
      <alignment horizontal="left" vertical="center"/>
    </xf>
    <xf numFmtId="0" fontId="7" fillId="3" borderId="53" xfId="7" applyFont="1" applyFill="1" applyBorder="1" applyAlignment="1">
      <alignment vertical="center"/>
    </xf>
    <xf numFmtId="0" fontId="7" fillId="0" borderId="1" xfId="7" applyFont="1" applyBorder="1" applyAlignment="1">
      <alignment horizontal="center" vertical="center"/>
    </xf>
    <xf numFmtId="0" fontId="7" fillId="0" borderId="22" xfId="7" applyFont="1" applyBorder="1" applyAlignment="1">
      <alignment horizontal="center" vertical="center"/>
    </xf>
    <xf numFmtId="0" fontId="10" fillId="0" borderId="1" xfId="7" applyFont="1" applyBorder="1" applyAlignment="1">
      <alignment horizontal="center" vertical="center"/>
    </xf>
    <xf numFmtId="0" fontId="10" fillId="0" borderId="1" xfId="7" applyFont="1" applyBorder="1" applyAlignment="1">
      <alignment horizontal="left" vertical="center" wrapText="1"/>
    </xf>
    <xf numFmtId="0" fontId="7" fillId="0" borderId="21" xfId="7" applyFont="1" applyBorder="1" applyAlignment="1">
      <alignment horizontal="center" vertical="center"/>
    </xf>
    <xf numFmtId="0" fontId="10" fillId="0" borderId="23" xfId="7" applyFont="1" applyBorder="1" applyAlignment="1">
      <alignment horizontal="right" vertical="center"/>
    </xf>
    <xf numFmtId="0" fontId="7" fillId="0" borderId="24" xfId="7" applyFont="1" applyBorder="1" applyAlignment="1">
      <alignment horizontal="right" vertical="center"/>
    </xf>
    <xf numFmtId="2" fontId="2" fillId="0" borderId="50" xfId="7" applyNumberFormat="1" applyFont="1" applyBorder="1" applyAlignment="1">
      <alignment horizontal="center" vertical="center" wrapText="1"/>
    </xf>
    <xf numFmtId="2" fontId="2" fillId="0" borderId="43" xfId="7" applyNumberFormat="1" applyFont="1" applyBorder="1" applyAlignment="1">
      <alignment horizontal="center" vertical="center" wrapText="1"/>
    </xf>
    <xf numFmtId="0" fontId="2" fillId="0" borderId="43" xfId="0" applyFont="1" applyBorder="1" applyAlignment="1">
      <alignment horizontal="justify" vertical="center" wrapText="1"/>
    </xf>
    <xf numFmtId="0" fontId="2" fillId="0" borderId="43" xfId="7" applyFont="1" applyBorder="1" applyAlignment="1">
      <alignment horizontal="center" vertical="center" wrapText="1"/>
    </xf>
    <xf numFmtId="43" fontId="2" fillId="0" borderId="43" xfId="1" applyFont="1" applyFill="1" applyBorder="1" applyAlignment="1" applyProtection="1">
      <alignment horizontal="left" vertical="center" wrapText="1"/>
    </xf>
    <xf numFmtId="43" fontId="2" fillId="0" borderId="43" xfId="1" applyFont="1" applyFill="1" applyBorder="1" applyAlignment="1" applyProtection="1">
      <alignment horizontal="center" vertical="center"/>
    </xf>
    <xf numFmtId="0" fontId="15" fillId="0" borderId="56" xfId="7" applyFont="1" applyBorder="1" applyAlignment="1">
      <alignment vertical="center"/>
    </xf>
    <xf numFmtId="0" fontId="2" fillId="0" borderId="43" xfId="0" applyFont="1" applyBorder="1" applyAlignment="1">
      <alignment horizontal="right" vertical="center" wrapText="1"/>
    </xf>
    <xf numFmtId="0" fontId="2" fillId="0" borderId="5" xfId="7" applyFont="1" applyBorder="1" applyAlignment="1">
      <alignment horizontal="center" vertical="center" wrapText="1"/>
    </xf>
    <xf numFmtId="0" fontId="2" fillId="0" borderId="5" xfId="7" applyFont="1" applyBorder="1" applyAlignment="1">
      <alignment horizontal="center" vertical="center"/>
    </xf>
    <xf numFmtId="9" fontId="2" fillId="0" borderId="5" xfId="7" applyNumberFormat="1" applyFont="1" applyBorder="1" applyAlignment="1">
      <alignment horizontal="center" vertical="center" wrapText="1"/>
    </xf>
    <xf numFmtId="2" fontId="4" fillId="0" borderId="8" xfId="1" applyNumberFormat="1" applyFont="1" applyFill="1" applyBorder="1" applyAlignment="1" applyProtection="1">
      <alignment horizontal="right" vertical="center"/>
    </xf>
    <xf numFmtId="0" fontId="4" fillId="0" borderId="0" xfId="11" quotePrefix="1" applyFont="1" applyAlignment="1">
      <alignment vertical="center"/>
    </xf>
    <xf numFmtId="0" fontId="4" fillId="0" borderId="0" xfId="7" applyFont="1" applyAlignment="1">
      <alignment horizontal="left" vertical="center"/>
    </xf>
    <xf numFmtId="2" fontId="7" fillId="0" borderId="9" xfId="7" applyNumberFormat="1" applyFont="1" applyBorder="1" applyAlignment="1">
      <alignment horizontal="center" vertical="center"/>
    </xf>
    <xf numFmtId="0" fontId="2" fillId="0" borderId="5" xfId="7" applyFont="1" applyBorder="1" applyAlignment="1">
      <alignment horizontal="center" vertical="center" wrapText="1" shrinkToFit="1"/>
    </xf>
    <xf numFmtId="2" fontId="2" fillId="0" borderId="5" xfId="7" applyNumberFormat="1" applyFont="1" applyBorder="1" applyAlignment="1">
      <alignment horizontal="right" vertical="center"/>
    </xf>
    <xf numFmtId="2" fontId="2" fillId="0" borderId="5" xfId="7" applyNumberFormat="1" applyFont="1" applyBorder="1" applyAlignment="1">
      <alignment horizontal="right" vertical="center" wrapText="1"/>
    </xf>
    <xf numFmtId="0" fontId="2" fillId="0" borderId="6" xfId="7" applyFont="1" applyBorder="1" applyAlignment="1">
      <alignment horizontal="center" vertical="center"/>
    </xf>
    <xf numFmtId="2" fontId="2" fillId="0" borderId="6" xfId="7" applyNumberFormat="1" applyFont="1" applyBorder="1" applyAlignment="1">
      <alignment vertical="center"/>
    </xf>
    <xf numFmtId="0" fontId="2" fillId="0" borderId="53" xfId="7" applyFont="1" applyBorder="1" applyAlignment="1">
      <alignment horizontal="left" vertical="center" wrapText="1"/>
    </xf>
    <xf numFmtId="2" fontId="2" fillId="0" borderId="54" xfId="7" applyNumberFormat="1" applyFont="1" applyBorder="1" applyAlignment="1">
      <alignment horizontal="center" vertical="center"/>
    </xf>
    <xf numFmtId="2" fontId="2" fillId="0" borderId="55" xfId="7" applyNumberFormat="1" applyFont="1" applyBorder="1" applyAlignment="1">
      <alignment horizontal="right" vertical="center"/>
    </xf>
    <xf numFmtId="0" fontId="2" fillId="0" borderId="13" xfId="7" applyFont="1" applyBorder="1" applyAlignment="1">
      <alignment horizontal="left" vertical="center" wrapText="1" shrinkToFit="1"/>
    </xf>
    <xf numFmtId="0" fontId="2" fillId="0" borderId="14" xfId="7" applyFont="1" applyBorder="1" applyAlignment="1">
      <alignment horizontal="center" vertical="center" wrapText="1" shrinkToFit="1"/>
    </xf>
    <xf numFmtId="2" fontId="2" fillId="0" borderId="15" xfId="7" applyNumberFormat="1" applyFont="1" applyBorder="1" applyAlignment="1">
      <alignment horizontal="right" vertical="center" wrapText="1" shrinkToFit="1"/>
    </xf>
    <xf numFmtId="0" fontId="4" fillId="0" borderId="0" xfId="7" applyFont="1" applyAlignment="1">
      <alignment horizontal="center" vertical="center" wrapText="1" shrinkToFit="1"/>
    </xf>
    <xf numFmtId="1" fontId="2" fillId="0" borderId="0" xfId="7" applyNumberFormat="1" applyFont="1" applyAlignment="1">
      <alignment vertical="center"/>
    </xf>
    <xf numFmtId="1" fontId="2" fillId="0" borderId="0" xfId="7" applyNumberFormat="1" applyFont="1" applyAlignment="1">
      <alignment horizontal="right" vertical="center"/>
    </xf>
    <xf numFmtId="2" fontId="2" fillId="0" borderId="5" xfId="7" applyNumberFormat="1" applyFont="1" applyBorder="1" applyAlignment="1">
      <alignment horizontal="center" vertical="center" shrinkToFit="1"/>
    </xf>
    <xf numFmtId="0" fontId="4" fillId="0" borderId="53" xfId="7" applyFont="1" applyBorder="1" applyAlignment="1">
      <alignment horizontal="center" vertical="center" wrapText="1" shrinkToFit="1"/>
    </xf>
    <xf numFmtId="2" fontId="4" fillId="0" borderId="54" xfId="7" applyNumberFormat="1" applyFont="1" applyBorder="1" applyAlignment="1">
      <alignment horizontal="center" vertical="center" shrinkToFit="1"/>
    </xf>
    <xf numFmtId="0" fontId="4" fillId="0" borderId="55" xfId="7" applyFont="1" applyBorder="1" applyAlignment="1">
      <alignment horizontal="center" vertical="center" wrapText="1" shrinkToFit="1"/>
    </xf>
    <xf numFmtId="0" fontId="2" fillId="0" borderId="11" xfId="7" applyFont="1" applyBorder="1" applyAlignment="1">
      <alignment horizontal="left" vertical="center" wrapText="1"/>
    </xf>
    <xf numFmtId="2" fontId="2" fillId="0" borderId="12" xfId="7" applyNumberFormat="1" applyFont="1" applyBorder="1" applyAlignment="1">
      <alignment vertical="center"/>
    </xf>
    <xf numFmtId="0" fontId="2" fillId="0" borderId="11" xfId="7" applyFont="1" applyBorder="1" applyAlignment="1">
      <alignment vertical="center"/>
    </xf>
    <xf numFmtId="0" fontId="2" fillId="0" borderId="11" xfId="7" applyFont="1" applyBorder="1" applyAlignment="1">
      <alignment horizontal="left" vertical="center" wrapText="1" shrinkToFit="1"/>
    </xf>
    <xf numFmtId="0" fontId="2" fillId="0" borderId="14" xfId="7" applyFont="1" applyBorder="1" applyAlignment="1">
      <alignment horizontal="center" vertical="center"/>
    </xf>
    <xf numFmtId="2" fontId="2" fillId="0" borderId="15" xfId="7" applyNumberFormat="1" applyFont="1" applyBorder="1" applyAlignment="1">
      <alignment horizontal="right" vertical="center"/>
    </xf>
    <xf numFmtId="2" fontId="4" fillId="10" borderId="53" xfId="15" applyNumberFormat="1" applyFont="1" applyFill="1" applyBorder="1" applyAlignment="1">
      <alignment horizontal="center" vertical="center"/>
    </xf>
    <xf numFmtId="2" fontId="4" fillId="10" borderId="54" xfId="15" applyNumberFormat="1" applyFont="1" applyFill="1" applyBorder="1" applyAlignment="1">
      <alignment horizontal="center" vertical="center"/>
    </xf>
    <xf numFmtId="0" fontId="4" fillId="10" borderId="54" xfId="15" applyFont="1" applyFill="1" applyBorder="1" applyAlignment="1">
      <alignment horizontal="justify" vertical="center" wrapText="1"/>
    </xf>
    <xf numFmtId="0" fontId="4" fillId="10" borderId="54" xfId="15" applyFont="1" applyFill="1" applyBorder="1" applyAlignment="1">
      <alignment horizontal="center" vertical="center"/>
    </xf>
    <xf numFmtId="0" fontId="4" fillId="10" borderId="54" xfId="15" applyFont="1" applyFill="1" applyBorder="1" applyAlignment="1">
      <alignment horizontal="center" vertical="center" wrapText="1"/>
    </xf>
    <xf numFmtId="0" fontId="4" fillId="10" borderId="55" xfId="15" applyFont="1" applyFill="1" applyBorder="1" applyAlignment="1">
      <alignment horizontal="center" vertical="center"/>
    </xf>
    <xf numFmtId="0" fontId="7" fillId="0" borderId="64" xfId="15" applyFont="1" applyBorder="1" applyAlignment="1">
      <alignment vertical="center"/>
    </xf>
    <xf numFmtId="0" fontId="7" fillId="0" borderId="65" xfId="15" applyFont="1" applyBorder="1" applyAlignment="1">
      <alignment horizontal="center" vertical="center"/>
    </xf>
    <xf numFmtId="0" fontId="7" fillId="0" borderId="60" xfId="15" applyFont="1" applyBorder="1" applyAlignment="1">
      <alignment horizontal="center" vertical="center"/>
    </xf>
    <xf numFmtId="2" fontId="2" fillId="0" borderId="5" xfId="7" applyNumberFormat="1" applyFont="1" applyBorder="1" applyAlignment="1">
      <alignment horizontal="left" vertical="center"/>
    </xf>
    <xf numFmtId="0" fontId="2" fillId="0" borderId="5" xfId="7" applyFont="1" applyBorder="1" applyAlignment="1">
      <alignment horizontal="left" vertical="center"/>
    </xf>
    <xf numFmtId="0" fontId="2" fillId="0" borderId="5" xfId="7" applyFont="1" applyBorder="1" applyAlignment="1">
      <alignment horizontal="left" vertical="center" wrapText="1" shrinkToFit="1"/>
    </xf>
    <xf numFmtId="2" fontId="2" fillId="0" borderId="5" xfId="7" applyNumberFormat="1" applyFont="1" applyBorder="1" applyAlignment="1">
      <alignment horizontal="left" vertical="center" wrapText="1" shrinkToFit="1"/>
    </xf>
    <xf numFmtId="2" fontId="2" fillId="0" borderId="5" xfId="7" applyNumberFormat="1" applyFont="1" applyBorder="1" applyAlignment="1">
      <alignment horizontal="center" vertical="center" wrapText="1" shrinkToFit="1"/>
    </xf>
    <xf numFmtId="0" fontId="2" fillId="0" borderId="6" xfId="7" applyFont="1" applyBorder="1" applyAlignment="1">
      <alignment vertical="center"/>
    </xf>
    <xf numFmtId="0" fontId="2" fillId="0" borderId="6" xfId="7" applyFont="1" applyBorder="1" applyAlignment="1">
      <alignment horizontal="center" vertical="center" wrapText="1"/>
    </xf>
    <xf numFmtId="2" fontId="2" fillId="0" borderId="6" xfId="7" applyNumberFormat="1" applyFont="1" applyBorder="1" applyAlignment="1">
      <alignment horizontal="left" vertical="center"/>
    </xf>
    <xf numFmtId="0" fontId="4" fillId="0" borderId="7" xfId="7" applyFont="1" applyBorder="1" applyAlignment="1">
      <alignment horizontal="center" vertical="center" wrapText="1" shrinkToFit="1"/>
    </xf>
    <xf numFmtId="2" fontId="4" fillId="0" borderId="8" xfId="7" applyNumberFormat="1" applyFont="1" applyBorder="1" applyAlignment="1">
      <alignment horizontal="center" vertical="center" shrinkToFit="1"/>
    </xf>
    <xf numFmtId="0" fontId="4" fillId="0" borderId="8" xfId="7" applyFont="1" applyBorder="1" applyAlignment="1">
      <alignment horizontal="center" vertical="center" wrapText="1"/>
    </xf>
    <xf numFmtId="0" fontId="4" fillId="0" borderId="9" xfId="7" applyFont="1" applyBorder="1" applyAlignment="1">
      <alignment horizontal="center" vertical="center" wrapText="1" shrinkToFit="1"/>
    </xf>
    <xf numFmtId="0" fontId="2" fillId="0" borderId="10" xfId="7" applyFont="1" applyBorder="1" applyAlignment="1">
      <alignment vertical="center"/>
    </xf>
    <xf numFmtId="0" fontId="2" fillId="2" borderId="16" xfId="7" applyFont="1" applyFill="1" applyBorder="1" applyAlignment="1">
      <alignment vertical="center"/>
    </xf>
    <xf numFmtId="0" fontId="2" fillId="0" borderId="12" xfId="7" applyFont="1" applyBorder="1" applyAlignment="1">
      <alignment vertical="center"/>
    </xf>
    <xf numFmtId="0" fontId="2" fillId="2" borderId="12" xfId="7" applyFont="1" applyFill="1" applyBorder="1" applyAlignment="1">
      <alignment vertical="center"/>
    </xf>
    <xf numFmtId="0" fontId="2" fillId="0" borderId="11" xfId="7" applyFont="1" applyBorder="1" applyAlignment="1">
      <alignment vertical="center" wrapText="1"/>
    </xf>
    <xf numFmtId="0" fontId="2" fillId="0" borderId="11" xfId="7" applyFont="1" applyBorder="1" applyAlignment="1">
      <alignment horizontal="right" vertical="center"/>
    </xf>
    <xf numFmtId="0" fontId="2" fillId="0" borderId="12" xfId="7" applyFont="1" applyBorder="1" applyAlignment="1">
      <alignment vertical="center" wrapText="1"/>
    </xf>
    <xf numFmtId="0" fontId="2" fillId="0" borderId="11" xfId="7" applyFont="1" applyBorder="1" applyAlignment="1">
      <alignment horizontal="left" vertical="center"/>
    </xf>
    <xf numFmtId="0" fontId="2" fillId="0" borderId="11" xfId="7" applyFont="1" applyBorder="1" applyAlignment="1">
      <alignment horizontal="left" vertical="center" shrinkToFit="1"/>
    </xf>
    <xf numFmtId="2" fontId="2" fillId="2" borderId="12" xfId="7" applyNumberFormat="1" applyFont="1" applyFill="1" applyBorder="1" applyAlignment="1">
      <alignment horizontal="right" vertical="center"/>
    </xf>
    <xf numFmtId="0" fontId="2" fillId="0" borderId="13" xfId="7" applyFont="1" applyBorder="1" applyAlignment="1">
      <alignment vertical="center" wrapText="1"/>
    </xf>
    <xf numFmtId="0" fontId="2" fillId="0" borderId="14" xfId="7" applyFont="1" applyBorder="1" applyAlignment="1">
      <alignment horizontal="center" vertical="center" wrapText="1"/>
    </xf>
    <xf numFmtId="2" fontId="2" fillId="0" borderId="14" xfId="7" applyNumberFormat="1" applyFont="1" applyBorder="1" applyAlignment="1">
      <alignment horizontal="left" vertical="center"/>
    </xf>
    <xf numFmtId="0" fontId="2" fillId="0" borderId="14" xfId="7" applyFont="1" applyBorder="1" applyAlignment="1">
      <alignment horizontal="left" vertical="center"/>
    </xf>
    <xf numFmtId="0" fontId="2" fillId="2" borderId="15" xfId="7" applyFont="1" applyFill="1" applyBorder="1" applyAlignment="1">
      <alignment vertical="center"/>
    </xf>
    <xf numFmtId="0" fontId="2" fillId="0" borderId="6" xfId="7" applyFont="1" applyBorder="1" applyAlignment="1">
      <alignment horizontal="left" vertical="center" wrapText="1"/>
    </xf>
    <xf numFmtId="0" fontId="2" fillId="10" borderId="14" xfId="7" applyFont="1" applyFill="1" applyBorder="1" applyAlignment="1">
      <alignment horizontal="center" vertical="center" wrapText="1"/>
    </xf>
    <xf numFmtId="0" fontId="2" fillId="0" borderId="11" xfId="7" applyFont="1" applyBorder="1" applyAlignment="1">
      <alignment horizontal="center" vertical="center" wrapText="1"/>
    </xf>
    <xf numFmtId="0" fontId="2" fillId="0" borderId="12" xfId="7" applyFont="1" applyBorder="1" applyAlignment="1">
      <alignment horizontal="center" vertical="center" wrapText="1"/>
    </xf>
    <xf numFmtId="0" fontId="2" fillId="0" borderId="11" xfId="7" applyFont="1" applyBorder="1" applyAlignment="1">
      <alignment horizontal="right" vertical="center" wrapText="1"/>
    </xf>
    <xf numFmtId="0" fontId="2" fillId="0" borderId="13" xfId="7" applyFont="1" applyBorder="1" applyAlignment="1">
      <alignment horizontal="right" vertical="center" wrapText="1"/>
    </xf>
    <xf numFmtId="0" fontId="2" fillId="0" borderId="14" xfId="7" applyFont="1" applyBorder="1" applyAlignment="1">
      <alignment vertical="center"/>
    </xf>
    <xf numFmtId="2" fontId="2" fillId="0" borderId="14" xfId="7" applyNumberFormat="1" applyFont="1" applyBorder="1" applyAlignment="1">
      <alignment horizontal="center" vertical="center" wrapText="1"/>
    </xf>
    <xf numFmtId="2" fontId="2" fillId="0" borderId="14" xfId="7" applyNumberFormat="1" applyFont="1" applyBorder="1" applyAlignment="1">
      <alignment vertical="center"/>
    </xf>
    <xf numFmtId="0" fontId="4" fillId="0" borderId="14" xfId="7" applyFont="1" applyBorder="1" applyAlignment="1">
      <alignment vertical="center"/>
    </xf>
    <xf numFmtId="0" fontId="2" fillId="0" borderId="15" xfId="7" applyFont="1" applyBorder="1" applyAlignment="1">
      <alignment vertical="center"/>
    </xf>
    <xf numFmtId="0" fontId="2" fillId="0" borderId="10" xfId="7" applyFont="1" applyBorder="1" applyAlignment="1">
      <alignment horizontal="center" vertical="center" wrapText="1"/>
    </xf>
    <xf numFmtId="0" fontId="2" fillId="0" borderId="16" xfId="7" applyFont="1" applyBorder="1" applyAlignment="1">
      <alignment horizontal="center" vertical="center" wrapText="1"/>
    </xf>
    <xf numFmtId="0" fontId="3" fillId="0" borderId="6" xfId="7" applyFont="1" applyBorder="1" applyAlignment="1">
      <alignment horizontal="left" vertical="center" shrinkToFit="1"/>
    </xf>
    <xf numFmtId="2" fontId="3" fillId="0" borderId="6" xfId="7" applyNumberFormat="1" applyFont="1" applyBorder="1" applyAlignment="1">
      <alignment horizontal="center" vertical="center" shrinkToFit="1"/>
    </xf>
    <xf numFmtId="0" fontId="2" fillId="0" borderId="10" xfId="7" applyFont="1" applyBorder="1" applyAlignment="1">
      <alignment horizontal="center" vertical="center"/>
    </xf>
    <xf numFmtId="0" fontId="2" fillId="0" borderId="16" xfId="7" applyFont="1" applyBorder="1" applyAlignment="1">
      <alignment horizontal="center" vertical="center"/>
    </xf>
    <xf numFmtId="0" fontId="34" fillId="0" borderId="12" xfId="7" applyFont="1" applyBorder="1" applyAlignment="1">
      <alignment horizontal="center" vertical="center" wrapText="1"/>
    </xf>
    <xf numFmtId="0" fontId="34" fillId="0" borderId="12" xfId="7" applyFont="1" applyBorder="1" applyAlignment="1">
      <alignment horizontal="center" vertical="center"/>
    </xf>
    <xf numFmtId="2" fontId="3" fillId="0" borderId="12" xfId="7" applyNumberFormat="1" applyFont="1" applyBorder="1" applyAlignment="1">
      <alignment vertical="center" shrinkToFit="1"/>
    </xf>
    <xf numFmtId="0" fontId="2" fillId="0" borderId="13" xfId="7" applyFont="1" applyBorder="1" applyAlignment="1">
      <alignment horizontal="center"/>
    </xf>
    <xf numFmtId="0" fontId="2" fillId="0" borderId="14" xfId="7" applyFont="1" applyBorder="1"/>
    <xf numFmtId="2" fontId="3" fillId="0" borderId="14" xfId="7" applyNumberFormat="1" applyFont="1" applyBorder="1" applyAlignment="1">
      <alignment horizontal="center" vertical="center" shrinkToFit="1"/>
    </xf>
    <xf numFmtId="2" fontId="3" fillId="0" borderId="14" xfId="7" applyNumberFormat="1" applyFont="1" applyBorder="1" applyAlignment="1" applyProtection="1">
      <alignment horizontal="center" vertical="center" shrinkToFit="1"/>
      <protection locked="0"/>
    </xf>
    <xf numFmtId="2" fontId="2" fillId="0" borderId="14" xfId="7" applyNumberFormat="1" applyFont="1" applyBorder="1" applyAlignment="1">
      <alignment horizontal="center" vertical="center"/>
    </xf>
    <xf numFmtId="2" fontId="4" fillId="0" borderId="14" xfId="7" applyNumberFormat="1" applyFont="1" applyBorder="1" applyAlignment="1">
      <alignment horizontal="center" vertical="center"/>
    </xf>
    <xf numFmtId="0" fontId="2" fillId="0" borderId="15" xfId="7" applyFont="1" applyBorder="1"/>
    <xf numFmtId="0" fontId="4" fillId="10" borderId="7" xfId="7" applyFont="1" applyFill="1" applyBorder="1" applyAlignment="1">
      <alignment horizontal="center" vertical="center" wrapText="1" shrinkToFit="1"/>
    </xf>
    <xf numFmtId="2" fontId="4" fillId="10" borderId="8" xfId="7" applyNumberFormat="1" applyFont="1" applyFill="1" applyBorder="1" applyAlignment="1">
      <alignment horizontal="center" vertical="center" shrinkToFit="1"/>
    </xf>
    <xf numFmtId="0" fontId="4" fillId="10" borderId="8" xfId="7" applyFont="1" applyFill="1" applyBorder="1" applyAlignment="1">
      <alignment horizontal="center" vertical="center" wrapText="1"/>
    </xf>
    <xf numFmtId="0" fontId="4" fillId="10" borderId="9" xfId="7" applyFont="1" applyFill="1" applyBorder="1" applyAlignment="1">
      <alignment horizontal="center" vertical="center" wrapText="1" shrinkToFit="1"/>
    </xf>
    <xf numFmtId="0" fontId="2" fillId="0" borderId="5" xfId="0" applyFont="1" applyBorder="1" applyAlignment="1">
      <alignment horizontal="right" vertical="center" wrapText="1"/>
    </xf>
    <xf numFmtId="43" fontId="2" fillId="0" borderId="5" xfId="1" applyFont="1" applyFill="1" applyBorder="1" applyAlignment="1" applyProtection="1">
      <alignment horizontal="left" vertical="center" wrapText="1"/>
    </xf>
    <xf numFmtId="43" fontId="2" fillId="0" borderId="5" xfId="1" applyFont="1" applyFill="1" applyBorder="1" applyAlignment="1" applyProtection="1">
      <alignment horizontal="center" vertical="center"/>
    </xf>
    <xf numFmtId="0" fontId="4" fillId="0" borderId="0" xfId="7" applyFont="1" applyAlignment="1">
      <alignment horizontal="left" vertical="center" wrapText="1" shrinkToFit="1"/>
    </xf>
    <xf numFmtId="0" fontId="2" fillId="0" borderId="16" xfId="7" applyFont="1" applyBorder="1" applyAlignment="1">
      <alignment vertical="center"/>
    </xf>
    <xf numFmtId="0" fontId="2" fillId="0" borderId="11" xfId="7" applyFont="1" applyBorder="1" applyAlignment="1">
      <alignment vertical="center" wrapText="1" shrinkToFit="1"/>
    </xf>
    <xf numFmtId="2" fontId="2" fillId="0" borderId="11" xfId="7" applyNumberFormat="1" applyFont="1" applyBorder="1" applyAlignment="1">
      <alignment vertical="center"/>
    </xf>
    <xf numFmtId="0" fontId="2" fillId="0" borderId="11" xfId="7" applyFont="1" applyBorder="1" applyAlignment="1">
      <alignment horizontal="right" vertical="center" wrapText="1" shrinkToFit="1"/>
    </xf>
    <xf numFmtId="0" fontId="2" fillId="0" borderId="11" xfId="7" applyFont="1" applyBorder="1" applyAlignment="1">
      <alignment horizontal="right" vertical="center" shrinkToFit="1"/>
    </xf>
    <xf numFmtId="2" fontId="2" fillId="0" borderId="12" xfId="7" applyNumberFormat="1" applyFont="1" applyBorder="1" applyAlignment="1">
      <alignment horizontal="right" vertical="center"/>
    </xf>
    <xf numFmtId="0" fontId="2" fillId="0" borderId="11" xfId="7" applyFont="1" applyBorder="1" applyAlignment="1">
      <alignment vertical="center" shrinkToFit="1"/>
    </xf>
    <xf numFmtId="0" fontId="27" fillId="0" borderId="0" xfId="0" applyFont="1" applyAlignment="1">
      <alignment vertical="center"/>
    </xf>
    <xf numFmtId="0" fontId="4" fillId="0" borderId="53" xfId="7" applyFont="1" applyBorder="1" applyAlignment="1">
      <alignment vertical="center"/>
    </xf>
    <xf numFmtId="0" fontId="4" fillId="0" borderId="54" xfId="7" applyFont="1" applyBorder="1" applyAlignment="1">
      <alignment vertical="center"/>
    </xf>
    <xf numFmtId="165" fontId="4" fillId="0" borderId="54" xfId="7" applyNumberFormat="1" applyFont="1" applyBorder="1" applyAlignment="1">
      <alignment vertical="center"/>
    </xf>
    <xf numFmtId="165" fontId="4" fillId="0" borderId="55" xfId="7" applyNumberFormat="1" applyFont="1" applyBorder="1" applyAlignment="1">
      <alignment vertical="center"/>
    </xf>
    <xf numFmtId="0" fontId="2" fillId="0" borderId="11" xfId="0" applyFont="1" applyBorder="1" applyAlignment="1">
      <alignment vertical="center"/>
    </xf>
    <xf numFmtId="0" fontId="2" fillId="0" borderId="5" xfId="0" applyFont="1" applyBorder="1" applyAlignment="1">
      <alignment vertical="center"/>
    </xf>
    <xf numFmtId="165" fontId="2" fillId="0" borderId="5" xfId="0" applyNumberFormat="1" applyFont="1" applyBorder="1" applyAlignment="1">
      <alignment vertical="center"/>
    </xf>
    <xf numFmtId="165" fontId="2" fillId="0" borderId="12" xfId="0" applyNumberFormat="1" applyFont="1" applyBorder="1" applyAlignment="1">
      <alignment vertical="center"/>
    </xf>
    <xf numFmtId="165" fontId="4" fillId="0" borderId="5" xfId="7" applyNumberFormat="1" applyFont="1" applyBorder="1" applyAlignment="1">
      <alignment vertical="center"/>
    </xf>
    <xf numFmtId="165" fontId="4" fillId="0" borderId="12" xfId="7" applyNumberFormat="1" applyFont="1" applyBorder="1" applyAlignment="1">
      <alignment vertical="center"/>
    </xf>
    <xf numFmtId="165" fontId="2" fillId="0" borderId="6" xfId="0" applyNumberFormat="1" applyFont="1" applyBorder="1" applyAlignment="1">
      <alignment vertical="center"/>
    </xf>
    <xf numFmtId="165" fontId="2" fillId="0" borderId="16" xfId="0" applyNumberFormat="1" applyFont="1" applyBorder="1" applyAlignment="1">
      <alignment vertical="center"/>
    </xf>
    <xf numFmtId="165" fontId="2" fillId="0" borderId="43" xfId="0" applyNumberFormat="1" applyFont="1" applyBorder="1" applyAlignment="1">
      <alignment vertical="center"/>
    </xf>
    <xf numFmtId="0" fontId="2" fillId="0" borderId="43" xfId="0" applyFont="1" applyBorder="1" applyAlignment="1">
      <alignment vertical="center"/>
    </xf>
    <xf numFmtId="0" fontId="2" fillId="0" borderId="13" xfId="7" applyFont="1" applyBorder="1" applyAlignment="1">
      <alignment vertical="center"/>
    </xf>
    <xf numFmtId="165" fontId="2" fillId="0" borderId="14" xfId="7" applyNumberFormat="1" applyFont="1" applyBorder="1" applyAlignment="1">
      <alignment vertical="center"/>
    </xf>
    <xf numFmtId="165" fontId="4" fillId="0" borderId="14" xfId="7" applyNumberFormat="1" applyFont="1" applyBorder="1" applyAlignment="1">
      <alignment vertical="center"/>
    </xf>
    <xf numFmtId="165" fontId="4" fillId="0" borderId="15" xfId="7" applyNumberFormat="1" applyFont="1" applyBorder="1" applyAlignment="1">
      <alignment vertical="center"/>
    </xf>
    <xf numFmtId="165" fontId="2" fillId="0" borderId="0" xfId="7" applyNumberFormat="1" applyFont="1" applyAlignment="1">
      <alignment vertical="center"/>
    </xf>
    <xf numFmtId="0" fontId="4" fillId="0" borderId="8" xfId="15" applyFont="1" applyBorder="1" applyAlignment="1">
      <alignment horizontal="right" vertical="center" wrapText="1"/>
    </xf>
    <xf numFmtId="0" fontId="2" fillId="0" borderId="53" xfId="7" applyFont="1" applyBorder="1" applyAlignment="1">
      <alignment vertical="center"/>
    </xf>
    <xf numFmtId="2" fontId="6" fillId="0" borderId="55" xfId="7" applyNumberFormat="1" applyFont="1" applyBorder="1" applyAlignment="1">
      <alignment horizontal="right" vertical="center"/>
    </xf>
    <xf numFmtId="43" fontId="2" fillId="0" borderId="0" xfId="12" applyFont="1" applyAlignment="1">
      <alignment vertical="center"/>
    </xf>
    <xf numFmtId="0" fontId="52" fillId="0" borderId="0" xfId="7" applyFont="1" applyAlignment="1">
      <alignment vertical="center"/>
    </xf>
    <xf numFmtId="2" fontId="6" fillId="0" borderId="12" xfId="7" applyNumberFormat="1" applyFont="1" applyBorder="1" applyAlignment="1">
      <alignment horizontal="right" vertical="center" wrapText="1" shrinkToFit="1"/>
    </xf>
    <xf numFmtId="2" fontId="6" fillId="0" borderId="15" xfId="7" applyNumberFormat="1" applyFont="1" applyBorder="1" applyAlignment="1">
      <alignment horizontal="right" vertical="center" wrapText="1" shrinkToFit="1"/>
    </xf>
    <xf numFmtId="2" fontId="2" fillId="0" borderId="0" xfId="7" applyNumberFormat="1" applyFont="1" applyAlignment="1">
      <alignment vertical="center"/>
    </xf>
    <xf numFmtId="2" fontId="2" fillId="10" borderId="14" xfId="7" applyNumberFormat="1" applyFont="1" applyFill="1" applyBorder="1" applyAlignment="1">
      <alignment horizontal="center" vertical="center" wrapText="1"/>
    </xf>
    <xf numFmtId="0" fontId="2" fillId="0" borderId="77" xfId="7" applyFont="1" applyBorder="1" applyAlignment="1">
      <alignment vertical="center"/>
    </xf>
    <xf numFmtId="0" fontId="2" fillId="0" borderId="10" xfId="7" applyFont="1" applyBorder="1" applyAlignment="1">
      <alignment vertical="center" wrapText="1"/>
    </xf>
    <xf numFmtId="43" fontId="2" fillId="0" borderId="16" xfId="12" applyFont="1" applyBorder="1" applyAlignment="1">
      <alignment vertical="center"/>
    </xf>
    <xf numFmtId="43" fontId="2" fillId="0" borderId="12" xfId="12" applyFont="1" applyBorder="1" applyAlignment="1">
      <alignment vertical="center"/>
    </xf>
    <xf numFmtId="0" fontId="2" fillId="0" borderId="5" xfId="7" applyFont="1" applyBorder="1" applyAlignment="1">
      <alignment vertical="center" wrapText="1"/>
    </xf>
    <xf numFmtId="43" fontId="2" fillId="0" borderId="15" xfId="12" applyFont="1" applyBorder="1" applyAlignment="1">
      <alignment vertical="center"/>
    </xf>
    <xf numFmtId="0" fontId="53" fillId="0" borderId="45" xfId="14" applyFont="1" applyBorder="1"/>
    <xf numFmtId="2" fontId="2" fillId="0" borderId="0" xfId="15" applyNumberFormat="1" applyFont="1" applyAlignment="1">
      <alignment horizontal="center" vertical="center" wrapText="1"/>
    </xf>
    <xf numFmtId="0" fontId="53" fillId="0" borderId="0" xfId="14" applyFont="1"/>
    <xf numFmtId="0" fontId="2" fillId="0" borderId="5" xfId="15" applyFont="1" applyBorder="1" applyAlignment="1">
      <alignment horizontal="right" vertical="center"/>
    </xf>
    <xf numFmtId="165" fontId="2" fillId="0" borderId="5" xfId="15" applyNumberFormat="1" applyFont="1" applyBorder="1" applyAlignment="1">
      <alignment horizontal="right" vertical="center"/>
    </xf>
    <xf numFmtId="2" fontId="2" fillId="0" borderId="5" xfId="15" applyNumberFormat="1" applyFont="1" applyBorder="1" applyAlignment="1">
      <alignment horizontal="right" vertical="center"/>
    </xf>
    <xf numFmtId="0" fontId="15" fillId="0" borderId="43" xfId="15" applyFont="1" applyBorder="1" applyAlignment="1">
      <alignment horizontal="right" vertical="center"/>
    </xf>
    <xf numFmtId="165" fontId="15" fillId="0" borderId="5" xfId="15" applyNumberFormat="1" applyFont="1" applyBorder="1" applyAlignment="1">
      <alignment horizontal="right" vertical="center"/>
    </xf>
    <xf numFmtId="2" fontId="15" fillId="0" borderId="5" xfId="15" applyNumberFormat="1" applyFont="1" applyBorder="1" applyAlignment="1">
      <alignment horizontal="right" vertical="center"/>
    </xf>
    <xf numFmtId="0" fontId="2" fillId="0" borderId="8" xfId="15" applyFont="1" applyBorder="1" applyAlignment="1">
      <alignment horizontal="justify" vertical="center"/>
    </xf>
    <xf numFmtId="1" fontId="2" fillId="0" borderId="8" xfId="3" quotePrefix="1" applyNumberFormat="1" applyFont="1" applyBorder="1" applyAlignment="1">
      <alignment horizontal="right" vertical="center"/>
    </xf>
    <xf numFmtId="165" fontId="2" fillId="0" borderId="8" xfId="3" quotePrefix="1" applyNumberFormat="1" applyFont="1" applyBorder="1" applyAlignment="1">
      <alignment horizontal="right" vertical="center"/>
    </xf>
    <xf numFmtId="0" fontId="2" fillId="0" borderId="12" xfId="3" applyFont="1" applyBorder="1" applyAlignment="1">
      <alignment vertical="center"/>
    </xf>
    <xf numFmtId="0" fontId="15" fillId="0" borderId="12" xfId="3" applyFont="1" applyBorder="1" applyAlignment="1">
      <alignment vertical="center"/>
    </xf>
    <xf numFmtId="1" fontId="2" fillId="0" borderId="6" xfId="3" quotePrefix="1" applyNumberFormat="1" applyFont="1" applyBorder="1" applyAlignment="1">
      <alignment horizontal="right" vertical="center"/>
    </xf>
    <xf numFmtId="165" fontId="2" fillId="0" borderId="5" xfId="3" applyNumberFormat="1" applyFont="1" applyBorder="1" applyAlignment="1">
      <alignment horizontal="right" vertical="center"/>
    </xf>
    <xf numFmtId="0" fontId="2" fillId="0" borderId="5" xfId="15" applyFont="1" applyBorder="1" applyAlignment="1">
      <alignment horizontal="justify" vertical="center"/>
    </xf>
    <xf numFmtId="1" fontId="2" fillId="0" borderId="5" xfId="3" applyNumberFormat="1" applyFont="1" applyBorder="1" applyAlignment="1">
      <alignment horizontal="right" vertical="center"/>
    </xf>
    <xf numFmtId="2" fontId="2" fillId="0" borderId="5" xfId="3" applyNumberFormat="1" applyFont="1" applyBorder="1" applyAlignment="1">
      <alignment horizontal="right" vertical="center"/>
    </xf>
    <xf numFmtId="0" fontId="4" fillId="0" borderId="5" xfId="15" applyFont="1" applyBorder="1" applyAlignment="1">
      <alignment horizontal="justify" vertical="center"/>
    </xf>
    <xf numFmtId="1" fontId="2" fillId="0" borderId="43" xfId="3" applyNumberFormat="1" applyFont="1" applyBorder="1" applyAlignment="1">
      <alignment horizontal="right" vertical="center"/>
    </xf>
    <xf numFmtId="165" fontId="2" fillId="0" borderId="43" xfId="3" applyNumberFormat="1" applyFont="1" applyBorder="1" applyAlignment="1">
      <alignment horizontal="right" vertical="center"/>
    </xf>
    <xf numFmtId="2" fontId="2" fillId="0" borderId="43" xfId="3" applyNumberFormat="1" applyFont="1" applyBorder="1" applyAlignment="1">
      <alignment horizontal="right" vertical="center"/>
    </xf>
    <xf numFmtId="0" fontId="2" fillId="0" borderId="56" xfId="3" applyFont="1" applyBorder="1" applyAlignment="1">
      <alignment vertical="center"/>
    </xf>
    <xf numFmtId="0" fontId="2" fillId="0" borderId="5" xfId="15" applyFont="1" applyBorder="1" applyAlignment="1">
      <alignment vertical="center"/>
    </xf>
    <xf numFmtId="165" fontId="2" fillId="0" borderId="43" xfId="15" applyNumberFormat="1" applyFont="1" applyBorder="1" applyAlignment="1">
      <alignment horizontal="right" vertical="center"/>
    </xf>
    <xf numFmtId="0" fontId="2" fillId="0" borderId="43" xfId="15" applyFont="1" applyBorder="1" applyAlignment="1">
      <alignment vertical="center"/>
    </xf>
    <xf numFmtId="0" fontId="4" fillId="0" borderId="8" xfId="15" applyFont="1" applyBorder="1" applyAlignment="1">
      <alignment horizontal="right" vertical="center"/>
    </xf>
    <xf numFmtId="0" fontId="4" fillId="0" borderId="6" xfId="15" applyFont="1" applyBorder="1" applyAlignment="1">
      <alignment horizontal="justify" vertical="center"/>
    </xf>
    <xf numFmtId="165" fontId="2" fillId="0" borderId="6" xfId="3" applyNumberFormat="1" applyFont="1" applyBorder="1" applyAlignment="1">
      <alignment horizontal="right" vertical="center"/>
    </xf>
    <xf numFmtId="0" fontId="14" fillId="0" borderId="5" xfId="3" applyFont="1" applyBorder="1" applyAlignment="1">
      <alignment vertical="center"/>
    </xf>
    <xf numFmtId="1" fontId="2" fillId="0" borderId="5" xfId="3" quotePrefix="1" applyNumberFormat="1" applyFont="1" applyBorder="1" applyAlignment="1">
      <alignment horizontal="right" vertical="center"/>
    </xf>
    <xf numFmtId="165" fontId="2" fillId="0" borderId="8" xfId="3" applyNumberFormat="1" applyFont="1" applyBorder="1" applyAlignment="1">
      <alignment horizontal="right" vertical="center"/>
    </xf>
    <xf numFmtId="1" fontId="2" fillId="0" borderId="54" xfId="3" quotePrefix="1" applyNumberFormat="1" applyFont="1" applyBorder="1" applyAlignment="1">
      <alignment horizontal="right" vertical="center"/>
    </xf>
    <xf numFmtId="165" fontId="2" fillId="0" borderId="54" xfId="3" applyNumberFormat="1" applyFont="1" applyBorder="1" applyAlignment="1">
      <alignment horizontal="right" vertical="center"/>
    </xf>
    <xf numFmtId="0" fontId="2" fillId="0" borderId="11" xfId="4" applyBorder="1" applyAlignment="1">
      <alignment horizontal="center" vertical="center"/>
    </xf>
    <xf numFmtId="0" fontId="2" fillId="0" borderId="5" xfId="3" applyFont="1" applyBorder="1" applyAlignment="1">
      <alignment horizontal="left" vertical="center"/>
    </xf>
    <xf numFmtId="0" fontId="2" fillId="0" borderId="50" xfId="4" applyBorder="1" applyAlignment="1">
      <alignment horizontal="center" vertical="center"/>
    </xf>
    <xf numFmtId="0" fontId="2" fillId="0" borderId="43" xfId="3" applyFont="1" applyBorder="1" applyAlignment="1">
      <alignment horizontal="left" vertical="center"/>
    </xf>
    <xf numFmtId="1" fontId="2" fillId="0" borderId="43" xfId="3" quotePrefix="1" applyNumberFormat="1" applyFont="1" applyBorder="1" applyAlignment="1">
      <alignment horizontal="right" vertical="center"/>
    </xf>
    <xf numFmtId="0" fontId="2" fillId="0" borderId="7" xfId="4" applyBorder="1" applyAlignment="1">
      <alignment horizontal="center" vertical="center"/>
    </xf>
    <xf numFmtId="0" fontId="2" fillId="0" borderId="5" xfId="3" applyFont="1" applyBorder="1" applyAlignment="1">
      <alignment horizontal="right" vertical="center"/>
    </xf>
    <xf numFmtId="0" fontId="14" fillId="0" borderId="5" xfId="15" applyFont="1" applyBorder="1" applyAlignment="1">
      <alignment vertical="center" wrapText="1"/>
    </xf>
    <xf numFmtId="165" fontId="2" fillId="0" borderId="0" xfId="3" applyNumberFormat="1" applyFont="1" applyAlignment="1">
      <alignment vertical="center"/>
    </xf>
    <xf numFmtId="0" fontId="2" fillId="0" borderId="5" xfId="3" applyFont="1" applyBorder="1" applyAlignment="1">
      <alignment vertical="center" wrapText="1"/>
    </xf>
    <xf numFmtId="2" fontId="2" fillId="0" borderId="5" xfId="0" applyNumberFormat="1" applyFont="1" applyBorder="1" applyAlignment="1">
      <alignment horizontal="right" vertical="center"/>
    </xf>
    <xf numFmtId="0" fontId="14" fillId="0" borderId="5" xfId="3" applyFont="1" applyBorder="1" applyAlignment="1">
      <alignment horizontal="center" vertical="center"/>
    </xf>
    <xf numFmtId="0" fontId="3" fillId="0" borderId="0" xfId="3" applyAlignment="1">
      <alignment vertical="center"/>
    </xf>
    <xf numFmtId="165" fontId="39" fillId="0" borderId="5" xfId="3" applyNumberFormat="1" applyFont="1" applyBorder="1" applyAlignment="1">
      <alignment horizontal="right" vertical="center"/>
    </xf>
    <xf numFmtId="165" fontId="24" fillId="0" borderId="0" xfId="15" applyNumberFormat="1" applyFont="1" applyAlignment="1">
      <alignment vertical="center"/>
    </xf>
    <xf numFmtId="165" fontId="2" fillId="0" borderId="0" xfId="15" applyNumberFormat="1" applyFont="1" applyAlignment="1">
      <alignment vertical="center"/>
    </xf>
    <xf numFmtId="2" fontId="2" fillId="0" borderId="0" xfId="15" applyNumberFormat="1" applyFont="1" applyAlignment="1">
      <alignment vertical="center"/>
    </xf>
    <xf numFmtId="165" fontId="4" fillId="0" borderId="14" xfId="3" applyNumberFormat="1" applyFont="1" applyBorder="1" applyAlignment="1">
      <alignment horizontal="center" vertical="center"/>
    </xf>
    <xf numFmtId="0" fontId="4" fillId="0" borderId="53" xfId="15" applyFont="1" applyBorder="1" applyAlignment="1">
      <alignment horizontal="center" vertical="center"/>
    </xf>
    <xf numFmtId="0" fontId="4" fillId="0" borderId="54" xfId="15" applyFont="1" applyBorder="1" applyAlignment="1">
      <alignment horizontal="left" vertical="center"/>
    </xf>
    <xf numFmtId="1" fontId="4" fillId="0" borderId="54" xfId="15" applyNumberFormat="1" applyFont="1" applyBorder="1" applyAlignment="1">
      <alignment horizontal="right" vertical="center"/>
    </xf>
    <xf numFmtId="165" fontId="4" fillId="0" borderId="54" xfId="15" applyNumberFormat="1" applyFont="1" applyBorder="1" applyAlignment="1">
      <alignment horizontal="right" vertical="center"/>
    </xf>
    <xf numFmtId="2" fontId="2" fillId="0" borderId="54" xfId="15" applyNumberFormat="1" applyFont="1" applyBorder="1" applyAlignment="1">
      <alignment horizontal="right" vertical="center"/>
    </xf>
    <xf numFmtId="43" fontId="2" fillId="0" borderId="55" xfId="15" applyNumberFormat="1" applyFont="1" applyBorder="1" applyAlignment="1">
      <alignment horizontal="left" vertical="center"/>
    </xf>
    <xf numFmtId="0" fontId="15" fillId="0" borderId="50" xfId="4" applyFont="1" applyBorder="1" applyAlignment="1">
      <alignment horizontal="center" vertical="center"/>
    </xf>
    <xf numFmtId="0" fontId="15" fillId="0" borderId="0" xfId="3" applyFont="1" applyAlignment="1">
      <alignment vertical="center"/>
    </xf>
    <xf numFmtId="0" fontId="2" fillId="0" borderId="7" xfId="15" applyFont="1" applyBorder="1" applyAlignment="1">
      <alignment horizontal="right" vertical="center"/>
    </xf>
    <xf numFmtId="9" fontId="4" fillId="0" borderId="0" xfId="15" applyNumberFormat="1" applyFont="1" applyAlignment="1">
      <alignment horizontal="center" vertical="center"/>
    </xf>
    <xf numFmtId="0" fontId="2" fillId="0" borderId="10" xfId="4" applyBorder="1" applyAlignment="1">
      <alignment horizontal="center" vertical="center"/>
    </xf>
    <xf numFmtId="0" fontId="4" fillId="0" borderId="11" xfId="4" applyFont="1" applyBorder="1" applyAlignment="1">
      <alignment horizontal="right" vertical="center"/>
    </xf>
    <xf numFmtId="0" fontId="3" fillId="0" borderId="77" xfId="4" applyFont="1" applyBorder="1" applyAlignment="1">
      <alignment horizontal="center" vertical="center"/>
    </xf>
    <xf numFmtId="0" fontId="3" fillId="0" borderId="78" xfId="4" applyFont="1" applyBorder="1" applyAlignment="1">
      <alignment horizontal="center" vertical="center"/>
    </xf>
    <xf numFmtId="0" fontId="4" fillId="0" borderId="10" xfId="4" applyFont="1" applyBorder="1" applyAlignment="1">
      <alignment horizontal="right" vertical="center"/>
    </xf>
    <xf numFmtId="0" fontId="2" fillId="0" borderId="53" xfId="4" applyBorder="1" applyAlignment="1">
      <alignment horizontal="center" vertical="center"/>
    </xf>
    <xf numFmtId="0" fontId="2" fillId="0" borderId="5" xfId="15" applyFont="1" applyBorder="1" applyAlignment="1">
      <alignment horizontal="left" vertical="center" wrapText="1"/>
    </xf>
    <xf numFmtId="0" fontId="2" fillId="0" borderId="5" xfId="4" applyBorder="1" applyAlignment="1">
      <alignment vertical="center" wrapText="1"/>
    </xf>
    <xf numFmtId="0" fontId="14" fillId="0" borderId="6" xfId="15" applyFont="1" applyBorder="1" applyAlignment="1">
      <alignment vertical="center" wrapText="1"/>
    </xf>
    <xf numFmtId="0" fontId="2" fillId="0" borderId="6" xfId="15" applyFont="1" applyBorder="1" applyAlignment="1">
      <alignment horizontal="justify" vertical="center" wrapText="1"/>
    </xf>
    <xf numFmtId="1" fontId="2" fillId="0" borderId="6" xfId="3" applyNumberFormat="1" applyFont="1" applyBorder="1" applyAlignment="1">
      <alignment horizontal="right" vertical="center"/>
    </xf>
    <xf numFmtId="0" fontId="2" fillId="0" borderId="66" xfId="4" applyBorder="1" applyAlignment="1">
      <alignment horizontal="center" vertical="center"/>
    </xf>
    <xf numFmtId="0" fontId="2" fillId="0" borderId="17" xfId="3" applyFont="1" applyBorder="1" applyAlignment="1">
      <alignment horizontal="left" vertical="center"/>
    </xf>
    <xf numFmtId="1" fontId="2" fillId="0" borderId="17" xfId="3" quotePrefix="1" applyNumberFormat="1" applyFont="1" applyBorder="1" applyAlignment="1">
      <alignment horizontal="right" vertical="center"/>
    </xf>
    <xf numFmtId="165" fontId="2" fillId="0" borderId="17" xfId="3" applyNumberFormat="1" applyFont="1" applyBorder="1" applyAlignment="1">
      <alignment horizontal="right" vertical="center"/>
    </xf>
    <xf numFmtId="2" fontId="2" fillId="0" borderId="6" xfId="15" applyNumberFormat="1" applyFont="1" applyBorder="1" applyAlignment="1">
      <alignment horizontal="right" vertical="center"/>
    </xf>
    <xf numFmtId="0" fontId="2" fillId="0" borderId="5" xfId="3" applyFont="1" applyBorder="1" applyAlignment="1">
      <alignment vertical="center"/>
    </xf>
    <xf numFmtId="1" fontId="2" fillId="0" borderId="5" xfId="15" applyNumberFormat="1" applyFont="1" applyBorder="1" applyAlignment="1">
      <alignment horizontal="right" vertical="center"/>
    </xf>
    <xf numFmtId="0" fontId="2" fillId="0" borderId="0" xfId="3" applyFont="1" applyAlignment="1" applyProtection="1">
      <alignment horizontal="right" vertical="center"/>
      <protection locked="0"/>
    </xf>
    <xf numFmtId="0" fontId="2" fillId="0" borderId="0" xfId="3" applyFont="1" applyAlignment="1" applyProtection="1">
      <alignment vertical="center"/>
      <protection locked="0"/>
    </xf>
    <xf numFmtId="0" fontId="2" fillId="0" borderId="5" xfId="3" applyFont="1" applyBorder="1" applyAlignment="1" applyProtection="1">
      <alignment horizontal="right" vertical="center"/>
      <protection locked="0"/>
    </xf>
    <xf numFmtId="0" fontId="2" fillId="0" borderId="43" xfId="3" applyFont="1" applyBorder="1" applyAlignment="1">
      <alignment horizontal="right" vertical="center"/>
    </xf>
    <xf numFmtId="0" fontId="2" fillId="0" borderId="5" xfId="15" quotePrefix="1" applyFont="1" applyBorder="1" applyAlignment="1">
      <alignment vertical="center" wrapText="1"/>
    </xf>
    <xf numFmtId="0" fontId="2" fillId="0" borderId="5" xfId="0" quotePrefix="1" applyFont="1" applyBorder="1" applyAlignment="1" applyProtection="1">
      <alignment vertical="center" wrapText="1"/>
      <protection locked="0"/>
    </xf>
    <xf numFmtId="1" fontId="2" fillId="0" borderId="17" xfId="3" quotePrefix="1" applyNumberFormat="1" applyFont="1" applyBorder="1" applyAlignment="1" applyProtection="1">
      <alignment horizontal="right" vertical="center"/>
      <protection locked="0"/>
    </xf>
    <xf numFmtId="165" fontId="2" fillId="0" borderId="17" xfId="3" applyNumberFormat="1" applyFont="1" applyBorder="1" applyAlignment="1" applyProtection="1">
      <alignment horizontal="right" vertical="center"/>
      <protection locked="0"/>
    </xf>
    <xf numFmtId="0" fontId="2" fillId="0" borderId="11" xfId="0" quotePrefix="1" applyFont="1" applyBorder="1" applyAlignment="1" applyProtection="1">
      <alignment horizontal="right" vertical="center" wrapText="1"/>
      <protection locked="0"/>
    </xf>
    <xf numFmtId="0" fontId="4" fillId="0" borderId="11" xfId="15" applyFont="1" applyBorder="1" applyAlignment="1">
      <alignment horizontal="center" vertical="center"/>
    </xf>
    <xf numFmtId="0" fontId="4" fillId="0" borderId="5" xfId="15" applyFont="1" applyBorder="1" applyAlignment="1">
      <alignment horizontal="left" vertical="center"/>
    </xf>
    <xf numFmtId="1" fontId="4" fillId="0" borderId="5" xfId="15" applyNumberFormat="1" applyFont="1" applyBorder="1" applyAlignment="1">
      <alignment horizontal="right" vertical="center"/>
    </xf>
    <xf numFmtId="165" fontId="4" fillId="0" borderId="5" xfId="15" applyNumberFormat="1" applyFont="1" applyBorder="1" applyAlignment="1">
      <alignment horizontal="right" vertical="center"/>
    </xf>
    <xf numFmtId="43" fontId="2" fillId="0" borderId="12" xfId="15" applyNumberFormat="1" applyFont="1" applyBorder="1" applyAlignment="1">
      <alignment horizontal="left" vertical="center"/>
    </xf>
    <xf numFmtId="0" fontId="2" fillId="0" borderId="11" xfId="3" applyFont="1" applyBorder="1" applyAlignment="1">
      <alignment horizontal="center" vertical="center"/>
    </xf>
    <xf numFmtId="0" fontId="4" fillId="0" borderId="11" xfId="3" applyFont="1" applyBorder="1" applyAlignment="1">
      <alignment horizontal="center" vertical="center"/>
    </xf>
    <xf numFmtId="165" fontId="2" fillId="0" borderId="0" xfId="3" applyNumberFormat="1" applyFont="1" applyAlignment="1">
      <alignment horizontal="center" vertical="center"/>
    </xf>
    <xf numFmtId="0" fontId="4" fillId="0" borderId="5" xfId="15" applyFont="1" applyBorder="1" applyAlignment="1">
      <alignment vertical="center"/>
    </xf>
    <xf numFmtId="0" fontId="2" fillId="0" borderId="11" xfId="2" applyFont="1" applyBorder="1" applyAlignment="1">
      <alignment vertical="center"/>
    </xf>
    <xf numFmtId="0" fontId="2" fillId="0" borderId="61" xfId="4" applyBorder="1" applyAlignment="1">
      <alignment horizontal="center" vertical="center"/>
    </xf>
    <xf numFmtId="0" fontId="2" fillId="0" borderId="62" xfId="15" applyFont="1" applyBorder="1" applyAlignment="1">
      <alignment horizontal="left" vertical="center" wrapText="1"/>
    </xf>
    <xf numFmtId="1" fontId="2" fillId="0" borderId="62" xfId="3" quotePrefix="1" applyNumberFormat="1" applyFont="1" applyBorder="1" applyAlignment="1">
      <alignment horizontal="right" vertical="center"/>
    </xf>
    <xf numFmtId="165" fontId="2" fillId="0" borderId="62" xfId="3" applyNumberFormat="1" applyFont="1" applyBorder="1" applyAlignment="1">
      <alignment horizontal="right" vertical="center"/>
    </xf>
    <xf numFmtId="0" fontId="2" fillId="0" borderId="0" xfId="3" applyFont="1" applyAlignment="1">
      <alignment horizontal="left" vertical="center"/>
    </xf>
    <xf numFmtId="0" fontId="2" fillId="0" borderId="0" xfId="3" applyFont="1" applyAlignment="1">
      <alignment vertical="center" wrapText="1"/>
    </xf>
    <xf numFmtId="0" fontId="2" fillId="0" borderId="10" xfId="3" applyFont="1" applyBorder="1" applyAlignment="1">
      <alignment horizontal="center" vertical="center"/>
    </xf>
    <xf numFmtId="0" fontId="2" fillId="0" borderId="6" xfId="15" applyFont="1" applyBorder="1" applyAlignment="1">
      <alignment horizontal="left" vertical="center" wrapText="1"/>
    </xf>
    <xf numFmtId="0" fontId="2" fillId="0" borderId="50" xfId="2" applyFont="1" applyBorder="1" applyAlignment="1">
      <alignment vertical="center"/>
    </xf>
    <xf numFmtId="0" fontId="2" fillId="0" borderId="43" xfId="2" applyFont="1" applyBorder="1" applyAlignment="1">
      <alignment horizontal="left" vertical="center" wrapText="1"/>
    </xf>
    <xf numFmtId="1" fontId="2" fillId="0" borderId="43" xfId="2" applyNumberFormat="1" applyFont="1" applyBorder="1" applyAlignment="1">
      <alignment horizontal="right" vertical="center"/>
    </xf>
    <xf numFmtId="165" fontId="2" fillId="0" borderId="43" xfId="2" applyNumberFormat="1" applyFont="1" applyBorder="1" applyAlignment="1">
      <alignment horizontal="right" vertical="center"/>
    </xf>
    <xf numFmtId="1" fontId="2" fillId="0" borderId="5" xfId="2" applyNumberFormat="1" applyFont="1" applyBorder="1" applyAlignment="1">
      <alignment horizontal="right" vertical="center"/>
    </xf>
    <xf numFmtId="165" fontId="2" fillId="0" borderId="5" xfId="2" applyNumberFormat="1" applyFont="1" applyBorder="1" applyAlignment="1">
      <alignment horizontal="right" vertical="center"/>
    </xf>
    <xf numFmtId="0" fontId="2" fillId="0" borderId="5" xfId="2" applyFont="1" applyBorder="1" applyAlignment="1">
      <alignment vertical="center" wrapText="1"/>
    </xf>
    <xf numFmtId="0" fontId="2" fillId="0" borderId="61" xfId="3" applyFont="1" applyBorder="1" applyAlignment="1">
      <alignment horizontal="center" vertical="center"/>
    </xf>
    <xf numFmtId="165" fontId="2" fillId="0" borderId="62" xfId="2" applyNumberFormat="1" applyFont="1" applyBorder="1" applyAlignment="1">
      <alignment horizontal="right" vertical="center"/>
    </xf>
    <xf numFmtId="2" fontId="4" fillId="0" borderId="62" xfId="15" applyNumberFormat="1" applyFont="1" applyBorder="1" applyAlignment="1">
      <alignment horizontal="right" vertical="center"/>
    </xf>
    <xf numFmtId="0" fontId="2" fillId="0" borderId="0" xfId="2" applyFont="1" applyAlignment="1">
      <alignment vertical="center"/>
    </xf>
    <xf numFmtId="0" fontId="2" fillId="0" borderId="66" xfId="3" applyFont="1" applyBorder="1" applyAlignment="1">
      <alignment horizontal="center" vertical="center"/>
    </xf>
    <xf numFmtId="0" fontId="2" fillId="0" borderId="17" xfId="15" applyFont="1" applyBorder="1" applyAlignment="1">
      <alignment horizontal="left" vertical="center" wrapText="1"/>
    </xf>
    <xf numFmtId="165" fontId="2" fillId="0" borderId="17" xfId="2" applyNumberFormat="1" applyFont="1" applyBorder="1" applyAlignment="1">
      <alignment horizontal="right" vertical="center"/>
    </xf>
    <xf numFmtId="2" fontId="4" fillId="0" borderId="17" xfId="15" applyNumberFormat="1" applyFont="1" applyBorder="1" applyAlignment="1">
      <alignment horizontal="right" vertical="center"/>
    </xf>
    <xf numFmtId="0" fontId="2" fillId="0" borderId="7" xfId="3" applyFont="1" applyBorder="1" applyAlignment="1">
      <alignment horizontal="center" vertical="center"/>
    </xf>
    <xf numFmtId="0" fontId="2" fillId="0" borderId="8" xfId="15" applyFont="1" applyBorder="1" applyAlignment="1">
      <alignment horizontal="left" vertical="center" wrapText="1"/>
    </xf>
    <xf numFmtId="0" fontId="2" fillId="0" borderId="8" xfId="2" applyFont="1" applyBorder="1" applyAlignment="1">
      <alignment horizontal="right" vertical="center"/>
    </xf>
    <xf numFmtId="2" fontId="4" fillId="0" borderId="8" xfId="15" applyNumberFormat="1" applyFont="1" applyBorder="1" applyAlignment="1">
      <alignment horizontal="right" vertical="center"/>
    </xf>
    <xf numFmtId="0" fontId="2" fillId="0" borderId="6" xfId="2" applyFont="1" applyBorder="1" applyAlignment="1">
      <alignment horizontal="right" vertical="center"/>
    </xf>
    <xf numFmtId="2" fontId="4" fillId="0" borderId="6" xfId="15" applyNumberFormat="1" applyFont="1" applyBorder="1" applyAlignment="1">
      <alignment horizontal="right" vertical="center"/>
    </xf>
    <xf numFmtId="0" fontId="2" fillId="0" borderId="5" xfId="2" applyFont="1" applyBorder="1" applyAlignment="1">
      <alignment horizontal="right" vertical="center"/>
    </xf>
    <xf numFmtId="2" fontId="4" fillId="0" borderId="5" xfId="15" applyNumberFormat="1" applyFont="1" applyBorder="1" applyAlignment="1">
      <alignment horizontal="right" vertical="center"/>
    </xf>
    <xf numFmtId="0" fontId="2" fillId="0" borderId="17" xfId="2" applyFont="1" applyBorder="1" applyAlignment="1">
      <alignment vertical="center" wrapText="1"/>
    </xf>
    <xf numFmtId="0" fontId="2" fillId="0" borderId="17" xfId="2" applyFont="1" applyBorder="1" applyAlignment="1">
      <alignment horizontal="right" vertical="center"/>
    </xf>
    <xf numFmtId="0" fontId="2" fillId="0" borderId="5" xfId="15" applyFont="1" applyBorder="1" applyAlignment="1">
      <alignment vertical="center" wrapText="1"/>
    </xf>
    <xf numFmtId="0" fontId="2" fillId="0" borderId="50" xfId="3" applyFont="1" applyBorder="1" applyAlignment="1">
      <alignment horizontal="center" vertical="center"/>
    </xf>
    <xf numFmtId="0" fontId="2" fillId="0" borderId="43" xfId="15" applyFont="1" applyBorder="1" applyAlignment="1">
      <alignment horizontal="right" vertical="center" wrapText="1"/>
    </xf>
    <xf numFmtId="0" fontId="2" fillId="0" borderId="53" xfId="3" applyFont="1" applyBorder="1" applyAlignment="1">
      <alignment horizontal="center" vertical="center"/>
    </xf>
    <xf numFmtId="0" fontId="2" fillId="0" borderId="6" xfId="2" applyFont="1" applyBorder="1" applyAlignment="1">
      <alignment vertical="center" wrapText="1"/>
    </xf>
    <xf numFmtId="165" fontId="2" fillId="0" borderId="6" xfId="2" applyNumberFormat="1" applyFont="1" applyBorder="1" applyAlignment="1">
      <alignment horizontal="right" vertical="center"/>
    </xf>
    <xf numFmtId="0" fontId="2" fillId="0" borderId="64" xfId="3" applyFont="1" applyBorder="1" applyAlignment="1">
      <alignment horizontal="center" vertical="center"/>
    </xf>
    <xf numFmtId="0" fontId="4" fillId="0" borderId="65" xfId="15" applyFont="1" applyBorder="1" applyAlignment="1">
      <alignment horizontal="right" vertical="center" wrapText="1"/>
    </xf>
    <xf numFmtId="1" fontId="2" fillId="0" borderId="65" xfId="3" quotePrefix="1" applyNumberFormat="1" applyFont="1" applyBorder="1" applyAlignment="1">
      <alignment horizontal="right" vertical="center"/>
    </xf>
    <xf numFmtId="165" fontId="2" fillId="0" borderId="65" xfId="3" applyNumberFormat="1" applyFont="1" applyBorder="1" applyAlignment="1">
      <alignment horizontal="right" vertical="center"/>
    </xf>
    <xf numFmtId="2" fontId="4" fillId="0" borderId="65" xfId="1" applyNumberFormat="1" applyFont="1" applyFill="1" applyBorder="1" applyAlignment="1">
      <alignment horizontal="right" vertical="center"/>
    </xf>
    <xf numFmtId="0" fontId="4" fillId="0" borderId="11" xfId="4" applyFont="1" applyBorder="1" applyAlignment="1">
      <alignment horizontal="center" vertical="center"/>
    </xf>
    <xf numFmtId="0" fontId="4" fillId="0" borderId="5" xfId="4" applyFont="1" applyBorder="1" applyAlignment="1">
      <alignment vertical="center" wrapText="1"/>
    </xf>
    <xf numFmtId="0" fontId="2" fillId="0" borderId="5" xfId="3" quotePrefix="1" applyFont="1" applyBorder="1" applyAlignment="1">
      <alignment horizontal="right" vertical="center"/>
    </xf>
    <xf numFmtId="165" fontId="2" fillId="0" borderId="5" xfId="3" quotePrefix="1" applyNumberFormat="1" applyFont="1" applyBorder="1" applyAlignment="1">
      <alignment horizontal="right" vertical="center"/>
    </xf>
    <xf numFmtId="2" fontId="4" fillId="0" borderId="43" xfId="3" applyNumberFormat="1" applyFont="1" applyBorder="1" applyAlignment="1">
      <alignment horizontal="right" vertical="center"/>
    </xf>
    <xf numFmtId="0" fontId="2" fillId="0" borderId="5" xfId="3" applyFont="1" applyBorder="1" applyAlignment="1">
      <alignment horizontal="right" vertical="center" wrapText="1"/>
    </xf>
    <xf numFmtId="0" fontId="8" fillId="0" borderId="12" xfId="15" applyFont="1" applyBorder="1" applyAlignment="1">
      <alignment horizontal="left" vertical="center"/>
    </xf>
    <xf numFmtId="2" fontId="4" fillId="0" borderId="5" xfId="3" applyNumberFormat="1" applyFont="1" applyBorder="1" applyAlignment="1">
      <alignment horizontal="right" vertical="center"/>
    </xf>
    <xf numFmtId="0" fontId="2" fillId="0" borderId="17" xfId="3" applyFont="1" applyBorder="1" applyAlignment="1">
      <alignment horizontal="right" vertical="center" wrapText="1"/>
    </xf>
    <xf numFmtId="2" fontId="2" fillId="0" borderId="14" xfId="15" applyNumberFormat="1" applyFont="1" applyBorder="1" applyAlignment="1">
      <alignment horizontal="right" vertical="center"/>
    </xf>
    <xf numFmtId="0" fontId="8" fillId="0" borderId="15" xfId="15" applyFont="1" applyBorder="1" applyAlignment="1">
      <alignment horizontal="left" vertical="center"/>
    </xf>
    <xf numFmtId="1" fontId="2" fillId="0" borderId="5" xfId="3" applyNumberFormat="1" applyFont="1" applyBorder="1" applyAlignment="1">
      <alignment horizontal="right" vertical="center" wrapText="1"/>
    </xf>
    <xf numFmtId="165" fontId="2" fillId="0" borderId="5" xfId="3" applyNumberFormat="1" applyFont="1" applyBorder="1" applyAlignment="1">
      <alignment horizontal="right" vertical="center" wrapText="1"/>
    </xf>
    <xf numFmtId="2" fontId="4" fillId="0" borderId="6" xfId="3" applyNumberFormat="1" applyFont="1" applyBorder="1" applyAlignment="1">
      <alignment horizontal="right" vertical="center" wrapText="1"/>
    </xf>
    <xf numFmtId="2" fontId="2" fillId="0" borderId="17" xfId="15" applyNumberFormat="1" applyFont="1" applyBorder="1" applyAlignment="1">
      <alignment horizontal="right" vertical="center"/>
    </xf>
    <xf numFmtId="0" fontId="8" fillId="0" borderId="36" xfId="15" applyFont="1" applyBorder="1" applyAlignment="1">
      <alignment horizontal="left" vertical="center"/>
    </xf>
    <xf numFmtId="167" fontId="2" fillId="0" borderId="11" xfId="3" applyNumberFormat="1" applyFont="1" applyBorder="1" applyAlignment="1">
      <alignment horizontal="center" vertical="center"/>
    </xf>
    <xf numFmtId="0" fontId="2" fillId="0" borderId="5" xfId="3" applyFont="1" applyBorder="1" applyAlignment="1">
      <alignment horizontal="left" vertical="center" wrapText="1"/>
    </xf>
    <xf numFmtId="167" fontId="2" fillId="0" borderId="11" xfId="3" applyNumberFormat="1" applyFont="1" applyBorder="1" applyAlignment="1" applyProtection="1">
      <alignment horizontal="center" vertical="center"/>
      <protection locked="0"/>
    </xf>
    <xf numFmtId="0" fontId="2" fillId="0" borderId="5" xfId="3" applyFont="1" applyBorder="1" applyAlignment="1" applyProtection="1">
      <alignment horizontal="left" vertical="center" wrapText="1"/>
      <protection locked="0"/>
    </xf>
    <xf numFmtId="1" fontId="2" fillId="0" borderId="5" xfId="3" quotePrefix="1" applyNumberFormat="1" applyFont="1" applyBorder="1" applyAlignment="1" applyProtection="1">
      <alignment horizontal="right" vertical="center"/>
      <protection locked="0"/>
    </xf>
    <xf numFmtId="165" fontId="2" fillId="0" borderId="5" xfId="3" applyNumberFormat="1" applyFont="1" applyBorder="1" applyAlignment="1" applyProtection="1">
      <alignment horizontal="right" vertical="center"/>
      <protection locked="0"/>
    </xf>
    <xf numFmtId="0" fontId="2" fillId="0" borderId="5" xfId="3" applyFont="1" applyBorder="1" applyAlignment="1" applyProtection="1">
      <alignment horizontal="right" vertical="center" wrapText="1"/>
      <protection locked="0"/>
    </xf>
    <xf numFmtId="0" fontId="2" fillId="0" borderId="7" xfId="4" applyBorder="1" applyAlignment="1" applyProtection="1">
      <alignment horizontal="center" vertical="center"/>
      <protection locked="0"/>
    </xf>
    <xf numFmtId="1" fontId="2" fillId="0" borderId="8" xfId="3" quotePrefix="1" applyNumberFormat="1" applyFont="1" applyBorder="1" applyAlignment="1" applyProtection="1">
      <alignment horizontal="right" vertical="center"/>
      <protection locked="0"/>
    </xf>
    <xf numFmtId="165" fontId="2" fillId="0" borderId="8" xfId="3" applyNumberFormat="1" applyFont="1" applyBorder="1" applyAlignment="1" applyProtection="1">
      <alignment horizontal="right" vertical="center"/>
      <protection locked="0"/>
    </xf>
    <xf numFmtId="0" fontId="2" fillId="0" borderId="66" xfId="4" applyBorder="1" applyAlignment="1" applyProtection="1">
      <alignment horizontal="center" vertical="center"/>
      <protection locked="0"/>
    </xf>
    <xf numFmtId="0" fontId="2" fillId="0" borderId="10" xfId="4" applyBorder="1" applyAlignment="1" applyProtection="1">
      <alignment horizontal="center" vertical="center"/>
      <protection locked="0"/>
    </xf>
    <xf numFmtId="0" fontId="2" fillId="0" borderId="82" xfId="0" quotePrefix="1" applyFont="1" applyBorder="1" applyAlignment="1" applyProtection="1">
      <alignment horizontal="left" vertical="center" wrapText="1"/>
      <protection locked="0"/>
    </xf>
    <xf numFmtId="1" fontId="2" fillId="0" borderId="6" xfId="3" quotePrefix="1" applyNumberFormat="1" applyFont="1" applyBorder="1" applyAlignment="1" applyProtection="1">
      <alignment horizontal="right" vertical="center"/>
      <protection locked="0"/>
    </xf>
    <xf numFmtId="165" fontId="2" fillId="0" borderId="6" xfId="3" applyNumberFormat="1" applyFont="1" applyBorder="1" applyAlignment="1" applyProtection="1">
      <alignment horizontal="right" vertical="center"/>
      <protection locked="0"/>
    </xf>
    <xf numFmtId="165" fontId="2" fillId="0" borderId="11" xfId="3" applyNumberFormat="1" applyFont="1" applyBorder="1" applyAlignment="1" applyProtection="1">
      <alignment horizontal="right" vertical="center"/>
      <protection locked="0"/>
    </xf>
    <xf numFmtId="165" fontId="2" fillId="0" borderId="12" xfId="3" applyNumberFormat="1" applyFont="1" applyBorder="1" applyAlignment="1" applyProtection="1">
      <alignment horizontal="right" vertical="center"/>
      <protection locked="0"/>
    </xf>
    <xf numFmtId="165" fontId="2" fillId="0" borderId="50" xfId="3" applyNumberFormat="1" applyFont="1" applyBorder="1" applyAlignment="1" applyProtection="1">
      <alignment horizontal="right" vertical="center"/>
      <protection locked="0"/>
    </xf>
    <xf numFmtId="165" fontId="2" fillId="0" borderId="43" xfId="3" applyNumberFormat="1" applyFont="1" applyBorder="1" applyAlignment="1" applyProtection="1">
      <alignment horizontal="right" vertical="center"/>
      <protection locked="0"/>
    </xf>
    <xf numFmtId="165" fontId="2" fillId="0" borderId="56" xfId="3" applyNumberFormat="1" applyFont="1" applyBorder="1" applyAlignment="1" applyProtection="1">
      <alignment horizontal="right" vertical="center"/>
      <protection locked="0"/>
    </xf>
    <xf numFmtId="0" fontId="4" fillId="0" borderId="10" xfId="4" applyFont="1" applyBorder="1" applyAlignment="1">
      <alignment horizontal="center" vertical="center"/>
    </xf>
    <xf numFmtId="0" fontId="4" fillId="0" borderId="6" xfId="4" applyFont="1" applyBorder="1" applyAlignment="1">
      <alignment vertical="center" wrapText="1"/>
    </xf>
    <xf numFmtId="1" fontId="4" fillId="0" borderId="6" xfId="15" applyNumberFormat="1" applyFont="1" applyBorder="1" applyAlignment="1">
      <alignment horizontal="right" vertical="center"/>
    </xf>
    <xf numFmtId="165" fontId="4" fillId="0" borderId="6" xfId="15" applyNumberFormat="1" applyFont="1" applyBorder="1" applyAlignment="1">
      <alignment horizontal="right" vertical="center"/>
    </xf>
    <xf numFmtId="2" fontId="4" fillId="0" borderId="5" xfId="3" applyNumberFormat="1" applyFont="1" applyBorder="1" applyAlignment="1">
      <alignment horizontal="right" vertical="center" wrapText="1"/>
    </xf>
    <xf numFmtId="9" fontId="2" fillId="0" borderId="0" xfId="3" applyNumberFormat="1" applyFont="1" applyAlignment="1">
      <alignment horizontal="center" vertical="center"/>
    </xf>
    <xf numFmtId="0" fontId="4" fillId="0" borderId="43" xfId="15" applyFont="1" applyBorder="1" applyAlignment="1">
      <alignment horizontal="right" vertical="center"/>
    </xf>
    <xf numFmtId="0" fontId="4" fillId="0" borderId="53" xfId="4" applyFont="1" applyBorder="1" applyAlignment="1">
      <alignment horizontal="right" vertical="center"/>
    </xf>
    <xf numFmtId="0" fontId="4" fillId="0" borderId="54" xfId="15" applyFont="1" applyBorder="1" applyAlignment="1">
      <alignment horizontal="justify" vertical="center"/>
    </xf>
    <xf numFmtId="0" fontId="4" fillId="0" borderId="7" xfId="4" applyFont="1" applyBorder="1" applyAlignment="1">
      <alignment horizontal="right" vertical="center"/>
    </xf>
    <xf numFmtId="0" fontId="4" fillId="0" borderId="8" xfId="15" applyFont="1" applyBorder="1" applyAlignment="1">
      <alignment horizontal="justify" vertical="center"/>
    </xf>
    <xf numFmtId="0" fontId="2" fillId="0" borderId="43" xfId="3" applyFont="1" applyBorder="1" applyAlignment="1">
      <alignment vertical="center" wrapText="1"/>
    </xf>
    <xf numFmtId="0" fontId="2" fillId="0" borderId="43" xfId="3" applyFont="1" applyBorder="1" applyAlignment="1">
      <alignment horizontal="right" vertical="center" wrapText="1"/>
    </xf>
    <xf numFmtId="0" fontId="1" fillId="0" borderId="12" xfId="15" applyBorder="1" applyAlignment="1">
      <alignment horizontal="left" vertical="center"/>
    </xf>
    <xf numFmtId="0" fontId="2" fillId="0" borderId="5" xfId="3" applyFont="1" applyBorder="1" applyAlignment="1" applyProtection="1">
      <alignment horizontal="center" vertical="center" wrapText="1"/>
      <protection locked="0"/>
    </xf>
    <xf numFmtId="165" fontId="2" fillId="0" borderId="5" xfId="3" applyNumberFormat="1" applyFont="1" applyBorder="1" applyAlignment="1" applyProtection="1">
      <alignment horizontal="center" vertical="center"/>
      <protection locked="0"/>
    </xf>
    <xf numFmtId="0" fontId="2" fillId="0" borderId="0" xfId="3" applyFont="1" applyAlignment="1">
      <alignment horizontal="right" vertical="center"/>
    </xf>
    <xf numFmtId="0" fontId="2" fillId="0" borderId="5" xfId="15" quotePrefix="1" applyFont="1" applyBorder="1" applyAlignment="1">
      <alignment horizontal="right" vertical="center" wrapText="1"/>
    </xf>
    <xf numFmtId="0" fontId="2" fillId="0" borderId="17" xfId="15" quotePrefix="1" applyFont="1" applyBorder="1" applyAlignment="1">
      <alignment horizontal="right" vertical="center" wrapText="1"/>
    </xf>
    <xf numFmtId="0" fontId="2" fillId="0" borderId="5" xfId="2" applyFont="1" applyBorder="1" applyAlignment="1">
      <alignment horizontal="left" vertical="center" wrapText="1"/>
    </xf>
    <xf numFmtId="0" fontId="2" fillId="0" borderId="5" xfId="2" applyFont="1" applyBorder="1" applyAlignment="1">
      <alignment horizontal="right" vertical="center" wrapText="1"/>
    </xf>
    <xf numFmtId="167" fontId="2" fillId="0" borderId="50" xfId="3" applyNumberFormat="1" applyFont="1" applyBorder="1" applyAlignment="1">
      <alignment horizontal="center" vertical="center"/>
    </xf>
    <xf numFmtId="0" fontId="2" fillId="0" borderId="43" xfId="2" applyFont="1" applyBorder="1" applyAlignment="1">
      <alignment horizontal="right" vertical="center" wrapText="1"/>
    </xf>
    <xf numFmtId="165" fontId="2" fillId="0" borderId="43" xfId="3" applyNumberFormat="1" applyFont="1" applyBorder="1" applyAlignment="1">
      <alignment horizontal="right" vertical="center" wrapText="1"/>
    </xf>
    <xf numFmtId="0" fontId="4" fillId="0" borderId="50" xfId="4" applyFont="1" applyBorder="1" applyAlignment="1">
      <alignment horizontal="center" vertical="center"/>
    </xf>
    <xf numFmtId="0" fontId="2" fillId="0" borderId="43" xfId="3" quotePrefix="1" applyFont="1" applyBorder="1" applyAlignment="1">
      <alignment horizontal="right" vertical="center"/>
    </xf>
    <xf numFmtId="0" fontId="2" fillId="0" borderId="0" xfId="3" applyFont="1" applyAlignment="1">
      <alignment horizontal="center" vertical="center"/>
    </xf>
    <xf numFmtId="1" fontId="2" fillId="0" borderId="0" xfId="3" applyNumberFormat="1" applyFont="1" applyAlignment="1">
      <alignment horizontal="right" vertical="center"/>
    </xf>
    <xf numFmtId="165" fontId="2" fillId="0" borderId="0" xfId="3" applyNumberFormat="1" applyFont="1" applyAlignment="1">
      <alignment horizontal="right" vertical="center"/>
    </xf>
    <xf numFmtId="2" fontId="2" fillId="0" borderId="0" xfId="3" applyNumberFormat="1" applyFont="1" applyAlignment="1">
      <alignment horizontal="right" vertical="center"/>
    </xf>
    <xf numFmtId="0" fontId="2" fillId="0" borderId="5" xfId="0" applyFont="1" applyBorder="1" applyAlignment="1">
      <alignment horizontal="justify" vertical="center" wrapText="1"/>
    </xf>
    <xf numFmtId="165" fontId="8" fillId="0" borderId="0" xfId="15" applyNumberFormat="1" applyFont="1" applyAlignment="1">
      <alignment horizontal="center" vertical="center"/>
    </xf>
    <xf numFmtId="0" fontId="20" fillId="0" borderId="0" xfId="0" applyFont="1" applyAlignment="1">
      <alignment horizontal="center" vertical="center"/>
    </xf>
    <xf numFmtId="0" fontId="41" fillId="0" borderId="0" xfId="0" applyFont="1" applyAlignment="1">
      <alignment horizontal="center" vertical="center"/>
    </xf>
    <xf numFmtId="0" fontId="44" fillId="0" borderId="0" xfId="0" applyFont="1" applyAlignment="1">
      <alignment horizontal="center" vertical="center"/>
    </xf>
    <xf numFmtId="0" fontId="45" fillId="0" borderId="0" xfId="0" applyFont="1" applyAlignment="1">
      <alignment horizontal="center" vertical="center" wrapText="1"/>
    </xf>
    <xf numFmtId="0" fontId="13" fillId="0" borderId="0" xfId="0" applyFont="1" applyAlignment="1">
      <alignment horizontal="center" vertical="center"/>
    </xf>
    <xf numFmtId="0" fontId="42" fillId="0" borderId="0" xfId="0" applyFont="1" applyAlignment="1">
      <alignment horizontal="center" vertical="center"/>
    </xf>
    <xf numFmtId="0" fontId="43" fillId="0" borderId="0" xfId="0" applyFont="1" applyAlignment="1">
      <alignment horizontal="center" vertical="center" wrapText="1"/>
    </xf>
    <xf numFmtId="0" fontId="43" fillId="0" borderId="0" xfId="0" applyFont="1" applyAlignment="1">
      <alignment horizontal="center" vertical="center"/>
    </xf>
    <xf numFmtId="0" fontId="46" fillId="0" borderId="0" xfId="0" applyFont="1" applyAlignment="1">
      <alignment horizontal="center" vertical="center"/>
    </xf>
    <xf numFmtId="0" fontId="5" fillId="0" borderId="0" xfId="0" applyFont="1" applyAlignment="1">
      <alignment horizontal="center" vertical="center"/>
    </xf>
    <xf numFmtId="0" fontId="47" fillId="0" borderId="0" xfId="0" applyFont="1" applyAlignment="1">
      <alignment horizontal="center" vertical="center" wrapText="1"/>
    </xf>
    <xf numFmtId="0" fontId="12" fillId="0" borderId="0" xfId="0" applyFont="1" applyAlignment="1">
      <alignment horizontal="center" vertical="center"/>
    </xf>
    <xf numFmtId="0" fontId="7" fillId="0" borderId="0" xfId="0" applyFont="1" applyAlignment="1">
      <alignment horizontal="center" vertical="center" wrapText="1"/>
    </xf>
    <xf numFmtId="0" fontId="48" fillId="0" borderId="0" xfId="0" applyFont="1" applyAlignment="1">
      <alignment horizontal="center" vertical="center"/>
    </xf>
    <xf numFmtId="0" fontId="7" fillId="0" borderId="11" xfId="15" applyFont="1" applyBorder="1" applyAlignment="1">
      <alignment horizontal="center" vertical="center"/>
    </xf>
    <xf numFmtId="0" fontId="7" fillId="0" borderId="5" xfId="15" applyFont="1" applyBorder="1" applyAlignment="1">
      <alignment horizontal="center" vertical="center"/>
    </xf>
    <xf numFmtId="0" fontId="7" fillId="0" borderId="13" xfId="15" applyFont="1" applyBorder="1" applyAlignment="1">
      <alignment horizontal="center" vertical="center"/>
    </xf>
    <xf numFmtId="0" fontId="7" fillId="0" borderId="14" xfId="15" applyFont="1" applyBorder="1" applyAlignment="1">
      <alignment horizontal="center" vertical="center"/>
    </xf>
    <xf numFmtId="0" fontId="7" fillId="0" borderId="0" xfId="3" applyFont="1" applyAlignment="1">
      <alignment horizontal="center" vertical="center"/>
    </xf>
    <xf numFmtId="0" fontId="7" fillId="0" borderId="77" xfId="15" applyFont="1" applyBorder="1" applyAlignment="1">
      <alignment horizontal="center" vertical="center"/>
    </xf>
    <xf numFmtId="0" fontId="7" fillId="0" borderId="38" xfId="15" applyFont="1" applyBorder="1" applyAlignment="1">
      <alignment horizontal="center" vertical="center"/>
    </xf>
    <xf numFmtId="0" fontId="40" fillId="0" borderId="0" xfId="3" applyFont="1" applyAlignment="1">
      <alignment horizontal="center" vertical="center"/>
    </xf>
    <xf numFmtId="0" fontId="49" fillId="0" borderId="0" xfId="15" applyFont="1" applyAlignment="1">
      <alignment horizontal="center" vertical="center"/>
    </xf>
    <xf numFmtId="0" fontId="4" fillId="0" borderId="42" xfId="15" applyFont="1" applyBorder="1" applyAlignment="1">
      <alignment horizontal="left" vertical="center" wrapText="1"/>
    </xf>
    <xf numFmtId="0" fontId="12" fillId="0" borderId="0" xfId="3" applyFont="1" applyAlignment="1">
      <alignment horizontal="center" vertical="center"/>
    </xf>
    <xf numFmtId="0" fontId="4" fillId="0" borderId="79" xfId="7" applyFont="1" applyBorder="1" applyAlignment="1">
      <alignment horizontal="right" vertical="center" wrapText="1"/>
    </xf>
    <xf numFmtId="0" fontId="4" fillId="0" borderId="80" xfId="7" applyFont="1" applyBorder="1" applyAlignment="1">
      <alignment horizontal="right" vertical="center" wrapText="1"/>
    </xf>
    <xf numFmtId="0" fontId="4" fillId="0" borderId="81" xfId="7" applyFont="1" applyBorder="1" applyAlignment="1">
      <alignment horizontal="right" vertical="center" wrapText="1"/>
    </xf>
    <xf numFmtId="0" fontId="4" fillId="0" borderId="37" xfId="7" applyFont="1" applyBorder="1" applyAlignment="1">
      <alignment horizontal="right" vertical="center" wrapText="1"/>
    </xf>
    <xf numFmtId="0" fontId="0" fillId="0" borderId="33" xfId="0" applyBorder="1" applyAlignment="1">
      <alignment horizontal="right" vertical="center" wrapText="1"/>
    </xf>
    <xf numFmtId="0" fontId="0" fillId="0" borderId="38" xfId="0" applyBorder="1" applyAlignment="1">
      <alignment horizontal="right" vertical="center" wrapText="1"/>
    </xf>
    <xf numFmtId="0" fontId="4" fillId="0" borderId="37" xfId="7" applyFont="1" applyBorder="1" applyAlignment="1">
      <alignment horizontal="right" vertical="top" wrapText="1"/>
    </xf>
    <xf numFmtId="0" fontId="4" fillId="0" borderId="33" xfId="7" applyFont="1" applyBorder="1" applyAlignment="1">
      <alignment horizontal="right" vertical="top" wrapText="1"/>
    </xf>
    <xf numFmtId="0" fontId="10" fillId="0" borderId="0" xfId="3" applyFont="1" applyAlignment="1">
      <alignment horizontal="center" vertical="center"/>
    </xf>
    <xf numFmtId="0" fontId="4" fillId="0" borderId="8" xfId="7" applyFont="1" applyBorder="1" applyAlignment="1">
      <alignment horizontal="right" vertical="center" wrapText="1"/>
    </xf>
    <xf numFmtId="0" fontId="2" fillId="0" borderId="8" xfId="7" applyFont="1" applyBorder="1" applyAlignment="1">
      <alignment horizontal="right" vertical="center" wrapText="1"/>
    </xf>
    <xf numFmtId="0" fontId="4" fillId="0" borderId="8" xfId="15" applyFont="1" applyBorder="1" applyAlignment="1">
      <alignment horizontal="right" vertical="center" wrapText="1"/>
    </xf>
    <xf numFmtId="0" fontId="5" fillId="0" borderId="0" xfId="3" applyFont="1" applyAlignment="1">
      <alignment horizontal="center" vertical="center"/>
    </xf>
    <xf numFmtId="0" fontId="4" fillId="0" borderId="38" xfId="15" applyFont="1" applyBorder="1" applyAlignment="1">
      <alignment horizontal="center" vertical="center" wrapText="1"/>
    </xf>
    <xf numFmtId="0" fontId="4" fillId="0" borderId="5" xfId="15" applyFont="1" applyBorder="1" applyAlignment="1">
      <alignment horizontal="center" vertical="center" wrapText="1"/>
    </xf>
    <xf numFmtId="0" fontId="4" fillId="0" borderId="39" xfId="15" applyFont="1" applyBorder="1" applyAlignment="1">
      <alignment horizontal="center" vertical="center" wrapText="1"/>
    </xf>
    <xf numFmtId="0" fontId="4" fillId="0" borderId="14" xfId="15" applyFont="1" applyBorder="1" applyAlignment="1">
      <alignment horizontal="center" vertical="center" wrapText="1"/>
    </xf>
    <xf numFmtId="0" fontId="49" fillId="0" borderId="0" xfId="4" applyFont="1" applyAlignment="1">
      <alignment horizontal="center" vertical="center"/>
    </xf>
    <xf numFmtId="165" fontId="2" fillId="0" borderId="37" xfId="3" applyNumberFormat="1" applyFont="1" applyBorder="1" applyAlignment="1">
      <alignment horizontal="center" vertical="center"/>
    </xf>
    <xf numFmtId="165" fontId="2" fillId="0" borderId="33" xfId="3" applyNumberFormat="1" applyFont="1" applyBorder="1" applyAlignment="1">
      <alignment horizontal="center" vertical="center"/>
    </xf>
    <xf numFmtId="165" fontId="2" fillId="0" borderId="38" xfId="3" applyNumberFormat="1" applyFont="1" applyBorder="1" applyAlignment="1">
      <alignment horizontal="center" vertical="center"/>
    </xf>
    <xf numFmtId="165" fontId="2" fillId="0" borderId="5" xfId="3" applyNumberFormat="1" applyFont="1" applyBorder="1" applyAlignment="1">
      <alignment horizontal="center" vertical="center"/>
    </xf>
    <xf numFmtId="165" fontId="2" fillId="0" borderId="37" xfId="2" applyNumberFormat="1" applyFont="1" applyBorder="1" applyAlignment="1">
      <alignment horizontal="center" vertical="center"/>
    </xf>
    <xf numFmtId="165" fontId="2" fillId="0" borderId="33" xfId="2" applyNumberFormat="1" applyFont="1" applyBorder="1" applyAlignment="1">
      <alignment horizontal="center" vertical="center"/>
    </xf>
    <xf numFmtId="165" fontId="2" fillId="0" borderId="38" xfId="2" applyNumberFormat="1" applyFont="1" applyBorder="1" applyAlignment="1">
      <alignment horizontal="center" vertical="center"/>
    </xf>
    <xf numFmtId="165" fontId="39" fillId="0" borderId="37" xfId="3" applyNumberFormat="1" applyFont="1" applyBorder="1" applyAlignment="1">
      <alignment horizontal="right" vertical="center"/>
    </xf>
    <xf numFmtId="165" fontId="39" fillId="0" borderId="38" xfId="3" applyNumberFormat="1" applyFont="1" applyBorder="1" applyAlignment="1">
      <alignment horizontal="right" vertical="center"/>
    </xf>
    <xf numFmtId="0" fontId="4" fillId="0" borderId="55" xfId="3" applyFont="1" applyBorder="1" applyAlignment="1">
      <alignment horizontal="center" vertical="center"/>
    </xf>
    <xf numFmtId="0" fontId="4" fillId="0" borderId="15" xfId="3" applyFont="1" applyBorder="1" applyAlignment="1">
      <alignment horizontal="center" vertical="center"/>
    </xf>
    <xf numFmtId="0" fontId="49" fillId="0" borderId="0" xfId="3" applyFont="1" applyAlignment="1">
      <alignment horizontal="center" vertical="center"/>
    </xf>
    <xf numFmtId="0" fontId="4" fillId="0" borderId="53" xfId="3" applyFont="1" applyBorder="1" applyAlignment="1">
      <alignment horizontal="center" vertical="center"/>
    </xf>
    <xf numFmtId="0" fontId="4" fillId="0" borderId="13" xfId="3" applyFont="1" applyBorder="1" applyAlignment="1">
      <alignment horizontal="center" vertical="center"/>
    </xf>
    <xf numFmtId="0" fontId="4" fillId="0" borderId="54" xfId="3" applyFont="1" applyBorder="1" applyAlignment="1">
      <alignment horizontal="center" vertical="center"/>
    </xf>
    <xf numFmtId="0" fontId="4" fillId="0" borderId="14" xfId="3" applyFont="1" applyBorder="1" applyAlignment="1">
      <alignment horizontal="center" vertical="center"/>
    </xf>
    <xf numFmtId="1" fontId="4" fillId="0" borderId="54" xfId="3" applyNumberFormat="1" applyFont="1" applyBorder="1" applyAlignment="1">
      <alignment horizontal="center" vertical="center"/>
    </xf>
    <xf numFmtId="1" fontId="4" fillId="0" borderId="14" xfId="3" applyNumberFormat="1" applyFont="1" applyBorder="1" applyAlignment="1">
      <alignment horizontal="center" vertical="center"/>
    </xf>
    <xf numFmtId="165" fontId="4" fillId="0" borderId="54" xfId="3" applyNumberFormat="1" applyFont="1" applyBorder="1" applyAlignment="1">
      <alignment horizontal="center" vertical="center"/>
    </xf>
    <xf numFmtId="2" fontId="4" fillId="0" borderId="54" xfId="3" applyNumberFormat="1" applyFont="1" applyBorder="1" applyAlignment="1">
      <alignment horizontal="center" vertical="center"/>
    </xf>
    <xf numFmtId="2" fontId="4" fillId="0" borderId="14" xfId="3" applyNumberFormat="1" applyFont="1" applyBorder="1" applyAlignment="1">
      <alignment horizontal="center" vertical="center"/>
    </xf>
    <xf numFmtId="0" fontId="7" fillId="0" borderId="0" xfId="7" applyFont="1" applyAlignment="1">
      <alignment horizontal="center" vertical="center" wrapText="1"/>
    </xf>
    <xf numFmtId="0" fontId="10" fillId="0" borderId="68" xfId="7" applyFont="1" applyBorder="1" applyAlignment="1">
      <alignment horizontal="center" vertical="center"/>
    </xf>
    <xf numFmtId="0" fontId="10" fillId="0" borderId="67" xfId="7" applyFont="1" applyBorder="1" applyAlignment="1">
      <alignment horizontal="center" vertical="center"/>
    </xf>
    <xf numFmtId="0" fontId="10" fillId="0" borderId="83" xfId="7" applyFont="1" applyBorder="1" applyAlignment="1">
      <alignment horizontal="center" vertical="center"/>
    </xf>
    <xf numFmtId="0" fontId="10" fillId="0" borderId="84" xfId="7" applyFont="1" applyBorder="1" applyAlignment="1">
      <alignment horizontal="right" vertical="center"/>
    </xf>
    <xf numFmtId="0" fontId="10" fillId="0" borderId="83" xfId="7" applyFont="1" applyBorder="1" applyAlignment="1">
      <alignment horizontal="right" vertical="center"/>
    </xf>
    <xf numFmtId="2" fontId="10" fillId="0" borderId="46" xfId="7" applyNumberFormat="1" applyFont="1" applyBorder="1" applyAlignment="1">
      <alignment horizontal="right" vertical="center"/>
    </xf>
    <xf numFmtId="2" fontId="10" fillId="0" borderId="19" xfId="7" applyNumberFormat="1" applyFont="1" applyBorder="1" applyAlignment="1">
      <alignment horizontal="right" vertical="center"/>
    </xf>
    <xf numFmtId="2" fontId="10" fillId="0" borderId="18" xfId="7" applyNumberFormat="1" applyFont="1" applyBorder="1" applyAlignment="1">
      <alignment horizontal="right" vertical="center"/>
    </xf>
    <xf numFmtId="2" fontId="7" fillId="3" borderId="53" xfId="7" applyNumberFormat="1" applyFont="1" applyFill="1" applyBorder="1" applyAlignment="1">
      <alignment horizontal="left" vertical="center" wrapText="1"/>
    </xf>
    <xf numFmtId="2" fontId="7" fillId="3" borderId="54" xfId="7" applyNumberFormat="1" applyFont="1" applyFill="1" applyBorder="1" applyAlignment="1">
      <alignment horizontal="left" vertical="center" wrapText="1"/>
    </xf>
    <xf numFmtId="2" fontId="7" fillId="4" borderId="54" xfId="7" applyNumberFormat="1" applyFont="1" applyFill="1" applyBorder="1" applyAlignment="1">
      <alignment horizontal="left" vertical="center" wrapText="1"/>
    </xf>
    <xf numFmtId="2" fontId="10" fillId="4" borderId="54" xfId="7" applyNumberFormat="1" applyFont="1" applyFill="1" applyBorder="1" applyAlignment="1">
      <alignment vertical="center"/>
    </xf>
    <xf numFmtId="2" fontId="10" fillId="4" borderId="5" xfId="7" applyNumberFormat="1" applyFont="1" applyFill="1" applyBorder="1" applyAlignment="1">
      <alignment vertical="center"/>
    </xf>
    <xf numFmtId="2" fontId="10" fillId="6" borderId="11" xfId="7" applyNumberFormat="1" applyFont="1" applyFill="1" applyBorder="1" applyAlignment="1">
      <alignment horizontal="left" vertical="center"/>
    </xf>
    <xf numFmtId="2" fontId="10" fillId="6" borderId="5" xfId="7" applyNumberFormat="1" applyFont="1" applyFill="1" applyBorder="1" applyAlignment="1">
      <alignment horizontal="left" vertical="center"/>
    </xf>
    <xf numFmtId="2" fontId="7" fillId="2" borderId="69" xfId="7" applyNumberFormat="1" applyFont="1" applyFill="1" applyBorder="1" applyAlignment="1">
      <alignment horizontal="center" vertical="center"/>
    </xf>
    <xf numFmtId="2" fontId="7" fillId="2" borderId="21" xfId="7" applyNumberFormat="1" applyFont="1" applyFill="1" applyBorder="1" applyAlignment="1">
      <alignment horizontal="center" vertical="center"/>
    </xf>
    <xf numFmtId="2" fontId="7" fillId="2" borderId="32" xfId="7" applyNumberFormat="1" applyFont="1" applyFill="1" applyBorder="1" applyAlignment="1">
      <alignment horizontal="center" vertical="center"/>
    </xf>
    <xf numFmtId="2" fontId="7" fillId="2" borderId="70" xfId="7" applyNumberFormat="1" applyFont="1" applyFill="1" applyBorder="1" applyAlignment="1">
      <alignment horizontal="center" vertical="center"/>
    </xf>
    <xf numFmtId="2" fontId="10" fillId="2" borderId="21" xfId="7" applyNumberFormat="1" applyFont="1" applyFill="1" applyBorder="1" applyAlignment="1">
      <alignment horizontal="right" vertical="center"/>
    </xf>
    <xf numFmtId="2" fontId="10" fillId="2" borderId="1" xfId="7" applyNumberFormat="1" applyFont="1" applyFill="1" applyBorder="1" applyAlignment="1">
      <alignment horizontal="right" vertical="center"/>
    </xf>
    <xf numFmtId="2" fontId="10" fillId="0" borderId="24" xfId="7" applyNumberFormat="1" applyFont="1" applyBorder="1" applyAlignment="1">
      <alignment horizontal="right" vertical="center"/>
    </xf>
    <xf numFmtId="2" fontId="7" fillId="0" borderId="24" xfId="7" applyNumberFormat="1" applyFont="1" applyBorder="1" applyAlignment="1">
      <alignment horizontal="right" vertical="center"/>
    </xf>
    <xf numFmtId="2" fontId="7" fillId="0" borderId="69" xfId="7" applyNumberFormat="1" applyFont="1" applyBorder="1" applyAlignment="1">
      <alignment horizontal="center" vertical="center"/>
    </xf>
    <xf numFmtId="2" fontId="7" fillId="0" borderId="21" xfId="7" applyNumberFormat="1" applyFont="1" applyBorder="1" applyAlignment="1">
      <alignment horizontal="center" vertical="center"/>
    </xf>
    <xf numFmtId="2" fontId="7" fillId="0" borderId="32" xfId="7" applyNumberFormat="1" applyFont="1" applyBorder="1" applyAlignment="1">
      <alignment horizontal="center" vertical="center"/>
    </xf>
    <xf numFmtId="2" fontId="7" fillId="0" borderId="70" xfId="7" applyNumberFormat="1" applyFont="1" applyBorder="1" applyAlignment="1">
      <alignment horizontal="center" vertical="center"/>
    </xf>
    <xf numFmtId="2" fontId="10" fillId="0" borderId="21" xfId="7" applyNumberFormat="1" applyFont="1" applyBorder="1" applyAlignment="1">
      <alignment horizontal="right" vertical="center"/>
    </xf>
    <xf numFmtId="2" fontId="10" fillId="0" borderId="1" xfId="7" applyNumberFormat="1" applyFont="1" applyBorder="1" applyAlignment="1">
      <alignment horizontal="right" vertical="center"/>
    </xf>
    <xf numFmtId="2" fontId="10" fillId="0" borderId="31" xfId="7" applyNumberFormat="1" applyFont="1" applyBorder="1" applyAlignment="1">
      <alignment horizontal="left" vertical="center" wrapText="1"/>
    </xf>
    <xf numFmtId="2" fontId="10" fillId="0" borderId="24" xfId="7" applyNumberFormat="1" applyFont="1" applyBorder="1" applyAlignment="1">
      <alignment horizontal="left" vertical="center" wrapText="1"/>
    </xf>
    <xf numFmtId="2" fontId="7" fillId="0" borderId="0" xfId="7" applyNumberFormat="1" applyFont="1" applyAlignment="1">
      <alignment horizontal="center" vertical="center"/>
    </xf>
    <xf numFmtId="2" fontId="10" fillId="0" borderId="1" xfId="7" applyNumberFormat="1" applyFont="1" applyBorder="1" applyAlignment="1">
      <alignment horizontal="left" vertical="center" shrinkToFit="1"/>
    </xf>
    <xf numFmtId="2" fontId="10" fillId="6" borderId="11" xfId="7" applyNumberFormat="1" applyFont="1" applyFill="1" applyBorder="1" applyAlignment="1">
      <alignment horizontal="left" vertical="center" wrapText="1"/>
    </xf>
    <xf numFmtId="2" fontId="10" fillId="6" borderId="5" xfId="7" applyNumberFormat="1" applyFont="1" applyFill="1" applyBorder="1" applyAlignment="1">
      <alignment horizontal="left" vertical="center" wrapText="1"/>
    </xf>
    <xf numFmtId="2" fontId="10" fillId="0" borderId="3" xfId="7" applyNumberFormat="1" applyFont="1" applyBorder="1" applyAlignment="1">
      <alignment horizontal="center" vertical="center"/>
    </xf>
    <xf numFmtId="2" fontId="10" fillId="0" borderId="19" xfId="7" applyNumberFormat="1" applyFont="1" applyBorder="1" applyAlignment="1">
      <alignment horizontal="center" vertical="center"/>
    </xf>
    <xf numFmtId="2" fontId="10" fillId="0" borderId="18" xfId="7" applyNumberFormat="1" applyFont="1" applyBorder="1" applyAlignment="1">
      <alignment horizontal="center" vertical="center"/>
    </xf>
    <xf numFmtId="2" fontId="10" fillId="0" borderId="4" xfId="7" applyNumberFormat="1" applyFont="1" applyBorder="1" applyAlignment="1">
      <alignment horizontal="right" vertical="center"/>
    </xf>
    <xf numFmtId="2" fontId="7" fillId="0" borderId="4" xfId="7" applyNumberFormat="1" applyFont="1" applyBorder="1" applyAlignment="1">
      <alignment horizontal="right" vertical="center"/>
    </xf>
    <xf numFmtId="2" fontId="10" fillId="0" borderId="24" xfId="7" applyNumberFormat="1" applyFont="1" applyBorder="1" applyAlignment="1">
      <alignment horizontal="left" vertical="center"/>
    </xf>
    <xf numFmtId="2" fontId="10" fillId="2" borderId="3" xfId="7" applyNumberFormat="1" applyFont="1" applyFill="1" applyBorder="1" applyAlignment="1">
      <alignment horizontal="right" vertical="center"/>
    </xf>
    <xf numFmtId="2" fontId="10" fillId="2" borderId="19" xfId="7" applyNumberFormat="1" applyFont="1" applyFill="1" applyBorder="1" applyAlignment="1">
      <alignment horizontal="right" vertical="center"/>
    </xf>
    <xf numFmtId="2" fontId="10" fillId="2" borderId="18" xfId="7" applyNumberFormat="1" applyFont="1" applyFill="1" applyBorder="1" applyAlignment="1">
      <alignment horizontal="right" vertical="center"/>
    </xf>
    <xf numFmtId="2" fontId="10" fillId="2" borderId="46" xfId="7" applyNumberFormat="1" applyFont="1" applyFill="1" applyBorder="1" applyAlignment="1">
      <alignment horizontal="right" vertical="center"/>
    </xf>
    <xf numFmtId="2" fontId="10" fillId="0" borderId="1" xfId="7" applyNumberFormat="1" applyFont="1" applyBorder="1" applyAlignment="1">
      <alignment horizontal="center" vertical="center"/>
    </xf>
    <xf numFmtId="2" fontId="7" fillId="4" borderId="5" xfId="7" applyNumberFormat="1" applyFont="1" applyFill="1" applyBorder="1" applyAlignment="1">
      <alignment horizontal="left" vertical="center" wrapText="1"/>
    </xf>
    <xf numFmtId="2" fontId="10" fillId="0" borderId="42" xfId="7" applyNumberFormat="1" applyFont="1" applyBorder="1" applyAlignment="1">
      <alignment horizontal="left" vertical="center"/>
    </xf>
    <xf numFmtId="2" fontId="7" fillId="0" borderId="32" xfId="0" applyNumberFormat="1" applyFont="1" applyBorder="1" applyAlignment="1">
      <alignment horizontal="center" vertical="center"/>
    </xf>
    <xf numFmtId="2" fontId="7" fillId="0" borderId="70" xfId="0" applyNumberFormat="1" applyFont="1" applyBorder="1" applyAlignment="1">
      <alignment horizontal="center" vertical="center"/>
    </xf>
    <xf numFmtId="2" fontId="10" fillId="0" borderId="21" xfId="0" applyNumberFormat="1" applyFont="1" applyBorder="1" applyAlignment="1">
      <alignment horizontal="right" vertical="center"/>
    </xf>
    <xf numFmtId="2" fontId="10" fillId="0" borderId="1" xfId="0" applyNumberFormat="1" applyFont="1" applyBorder="1" applyAlignment="1">
      <alignment horizontal="right" vertical="center"/>
    </xf>
    <xf numFmtId="2" fontId="7" fillId="0" borderId="2" xfId="7" applyNumberFormat="1" applyFont="1" applyBorder="1" applyAlignment="1">
      <alignment horizontal="center" vertical="center"/>
    </xf>
    <xf numFmtId="2" fontId="7" fillId="0" borderId="27" xfId="7" applyNumberFormat="1" applyFont="1" applyBorder="1" applyAlignment="1">
      <alignment horizontal="center" vertical="center"/>
    </xf>
    <xf numFmtId="2" fontId="7" fillId="0" borderId="1" xfId="7" applyNumberFormat="1" applyFont="1" applyBorder="1" applyAlignment="1">
      <alignment horizontal="right" vertical="center"/>
    </xf>
    <xf numFmtId="2" fontId="7" fillId="0" borderId="26" xfId="7" applyNumberFormat="1" applyFont="1" applyBorder="1" applyAlignment="1">
      <alignment horizontal="center" vertical="center"/>
    </xf>
    <xf numFmtId="2" fontId="10" fillId="0" borderId="0" xfId="7" applyNumberFormat="1" applyFont="1" applyAlignment="1">
      <alignment horizontal="right" vertical="center"/>
    </xf>
    <xf numFmtId="2" fontId="7" fillId="3" borderId="71" xfId="7" applyNumberFormat="1" applyFont="1" applyFill="1" applyBorder="1" applyAlignment="1">
      <alignment horizontal="left" vertical="center"/>
    </xf>
    <xf numFmtId="2" fontId="7" fillId="3" borderId="72" xfId="7" applyNumberFormat="1" applyFont="1" applyFill="1" applyBorder="1" applyAlignment="1">
      <alignment horizontal="left" vertical="center"/>
    </xf>
    <xf numFmtId="2" fontId="7" fillId="0" borderId="24" xfId="7" applyNumberFormat="1" applyFont="1" applyBorder="1" applyAlignment="1">
      <alignment horizontal="center" vertical="center"/>
    </xf>
    <xf numFmtId="2" fontId="7" fillId="0" borderId="1" xfId="7" applyNumberFormat="1" applyFont="1" applyBorder="1" applyAlignment="1">
      <alignment horizontal="center" vertical="center"/>
    </xf>
    <xf numFmtId="2" fontId="7" fillId="3" borderId="28" xfId="7" applyNumberFormat="1" applyFont="1" applyFill="1" applyBorder="1" applyAlignment="1">
      <alignment horizontal="left" vertical="center" wrapText="1"/>
    </xf>
    <xf numFmtId="2" fontId="7" fillId="3" borderId="29" xfId="7" applyNumberFormat="1" applyFont="1" applyFill="1" applyBorder="1" applyAlignment="1">
      <alignment horizontal="left" vertical="center" wrapText="1"/>
    </xf>
    <xf numFmtId="2" fontId="7" fillId="0" borderId="49" xfId="7" applyNumberFormat="1" applyFont="1" applyBorder="1" applyAlignment="1">
      <alignment horizontal="right" vertical="center"/>
    </xf>
    <xf numFmtId="2" fontId="7" fillId="0" borderId="48" xfId="7" applyNumberFormat="1" applyFont="1" applyBorder="1" applyAlignment="1">
      <alignment horizontal="right" vertical="center"/>
    </xf>
    <xf numFmtId="2" fontId="50" fillId="0" borderId="0" xfId="7" applyNumberFormat="1" applyFont="1" applyAlignment="1">
      <alignment horizontal="center" vertical="center"/>
    </xf>
    <xf numFmtId="2" fontId="7" fillId="0" borderId="22" xfId="7" applyNumberFormat="1" applyFont="1" applyBorder="1" applyAlignment="1">
      <alignment horizontal="center" vertical="center"/>
    </xf>
    <xf numFmtId="2" fontId="10" fillId="2" borderId="44" xfId="7" applyNumberFormat="1" applyFont="1" applyFill="1" applyBorder="1" applyAlignment="1">
      <alignment horizontal="center" vertical="center"/>
    </xf>
    <xf numFmtId="2" fontId="17" fillId="2" borderId="0" xfId="7" applyNumberFormat="1" applyFont="1" applyFill="1" applyAlignment="1">
      <alignment horizontal="center" vertical="center"/>
    </xf>
    <xf numFmtId="2" fontId="17" fillId="2" borderId="45" xfId="7" applyNumberFormat="1" applyFont="1" applyFill="1" applyBorder="1" applyAlignment="1">
      <alignment horizontal="center" vertical="center"/>
    </xf>
    <xf numFmtId="2" fontId="6" fillId="0" borderId="45" xfId="7" applyNumberFormat="1" applyFont="1" applyBorder="1" applyAlignment="1">
      <alignment horizontal="right" vertical="center"/>
    </xf>
    <xf numFmtId="2" fontId="6" fillId="0" borderId="0" xfId="7" applyNumberFormat="1" applyFont="1" applyAlignment="1">
      <alignment horizontal="right" vertical="center"/>
    </xf>
    <xf numFmtId="2" fontId="10" fillId="0" borderId="1" xfId="7" applyNumberFormat="1" applyFont="1" applyBorder="1" applyAlignment="1">
      <alignment horizontal="left" vertical="center"/>
    </xf>
    <xf numFmtId="2" fontId="10" fillId="0" borderId="1" xfId="7" applyNumberFormat="1" applyFont="1" applyBorder="1" applyAlignment="1">
      <alignment horizontal="left" vertical="center" wrapText="1" shrinkToFit="1"/>
    </xf>
    <xf numFmtId="2" fontId="7" fillId="0" borderId="69" xfId="0" applyNumberFormat="1" applyFont="1" applyBorder="1" applyAlignment="1">
      <alignment horizontal="center" vertical="center"/>
    </xf>
    <xf numFmtId="2" fontId="7" fillId="0" borderId="21" xfId="0" applyNumberFormat="1" applyFont="1" applyBorder="1" applyAlignment="1">
      <alignment horizontal="center" vertical="center"/>
    </xf>
    <xf numFmtId="2" fontId="10" fillId="0" borderId="57" xfId="7" applyNumberFormat="1" applyFont="1" applyBorder="1" applyAlignment="1">
      <alignment horizontal="right" vertical="center"/>
    </xf>
    <xf numFmtId="2" fontId="10" fillId="0" borderId="42" xfId="7" applyNumberFormat="1" applyFont="1" applyBorder="1" applyAlignment="1">
      <alignment horizontal="right" vertical="center"/>
    </xf>
    <xf numFmtId="2" fontId="10" fillId="0" borderId="58" xfId="7" applyNumberFormat="1" applyFont="1" applyBorder="1" applyAlignment="1">
      <alignment horizontal="right" vertical="center"/>
    </xf>
    <xf numFmtId="2" fontId="7" fillId="3" borderId="52" xfId="7" applyNumberFormat="1" applyFont="1" applyFill="1" applyBorder="1" applyAlignment="1">
      <alignment horizontal="left" vertical="center" wrapText="1"/>
    </xf>
    <xf numFmtId="2" fontId="7" fillId="3" borderId="51" xfId="7" applyNumberFormat="1" applyFont="1" applyFill="1" applyBorder="1" applyAlignment="1">
      <alignment horizontal="left" vertical="center" wrapText="1"/>
    </xf>
    <xf numFmtId="2" fontId="7" fillId="4" borderId="29" xfId="7" applyNumberFormat="1" applyFont="1" applyFill="1" applyBorder="1" applyAlignment="1">
      <alignment horizontal="left" vertical="center" wrapText="1"/>
    </xf>
    <xf numFmtId="2" fontId="10" fillId="4" borderId="29" xfId="7" applyNumberFormat="1" applyFont="1" applyFill="1" applyBorder="1" applyAlignment="1">
      <alignment vertical="center"/>
    </xf>
    <xf numFmtId="2" fontId="10" fillId="4" borderId="1" xfId="7" applyNumberFormat="1" applyFont="1" applyFill="1" applyBorder="1" applyAlignment="1">
      <alignment vertical="center"/>
    </xf>
    <xf numFmtId="2" fontId="10" fillId="0" borderId="3" xfId="7" applyNumberFormat="1" applyFont="1" applyBorder="1" applyAlignment="1">
      <alignment horizontal="left" vertical="center"/>
    </xf>
    <xf numFmtId="2" fontId="10" fillId="0" borderId="19" xfId="7" applyNumberFormat="1" applyFont="1" applyBorder="1" applyAlignment="1">
      <alignment horizontal="left" vertical="center"/>
    </xf>
    <xf numFmtId="2" fontId="10" fillId="0" borderId="18" xfId="7" applyNumberFormat="1" applyFont="1" applyBorder="1" applyAlignment="1">
      <alignment horizontal="left" vertical="center"/>
    </xf>
    <xf numFmtId="2" fontId="10" fillId="0" borderId="21" xfId="7" applyNumberFormat="1" applyFont="1" applyBorder="1" applyAlignment="1">
      <alignment horizontal="center" vertical="center" wrapText="1" shrinkToFit="1"/>
    </xf>
    <xf numFmtId="2" fontId="10" fillId="6" borderId="21" xfId="7" applyNumberFormat="1" applyFont="1" applyFill="1" applyBorder="1" applyAlignment="1">
      <alignment horizontal="left" vertical="center"/>
    </xf>
    <xf numFmtId="2" fontId="10" fillId="6" borderId="1" xfId="7" applyNumberFormat="1" applyFont="1" applyFill="1" applyBorder="1" applyAlignment="1">
      <alignment horizontal="left" vertical="center"/>
    </xf>
    <xf numFmtId="2" fontId="10" fillId="0" borderId="3" xfId="7" applyNumberFormat="1" applyFont="1" applyBorder="1" applyAlignment="1">
      <alignment horizontal="right" vertical="center"/>
    </xf>
    <xf numFmtId="2" fontId="10" fillId="0" borderId="3" xfId="7" applyNumberFormat="1" applyFont="1" applyBorder="1" applyAlignment="1">
      <alignment horizontal="center" vertical="center" shrinkToFit="1"/>
    </xf>
    <xf numFmtId="2" fontId="10" fillId="0" borderId="19" xfId="7" applyNumberFormat="1" applyFont="1" applyBorder="1" applyAlignment="1">
      <alignment horizontal="center" vertical="center" shrinkToFit="1"/>
    </xf>
    <xf numFmtId="2" fontId="10" fillId="0" borderId="18" xfId="7" applyNumberFormat="1" applyFont="1" applyBorder="1" applyAlignment="1">
      <alignment horizontal="center" vertical="center" shrinkToFit="1"/>
    </xf>
    <xf numFmtId="2" fontId="10" fillId="0" borderId="1" xfId="7" applyNumberFormat="1" applyFont="1" applyBorder="1" applyAlignment="1">
      <alignment horizontal="left" vertical="center" wrapText="1"/>
    </xf>
    <xf numFmtId="2" fontId="10" fillId="0" borderId="49" xfId="7" applyNumberFormat="1" applyFont="1" applyBorder="1" applyAlignment="1">
      <alignment horizontal="right" vertical="center"/>
    </xf>
    <xf numFmtId="2" fontId="10" fillId="0" borderId="47" xfId="7" applyNumberFormat="1" applyFont="1" applyBorder="1" applyAlignment="1">
      <alignment horizontal="right" vertical="center"/>
    </xf>
    <xf numFmtId="2" fontId="10" fillId="0" borderId="48" xfId="7" applyNumberFormat="1" applyFont="1" applyBorder="1" applyAlignment="1">
      <alignment horizontal="right" vertical="center"/>
    </xf>
    <xf numFmtId="2" fontId="10" fillId="0" borderId="1" xfId="0" applyNumberFormat="1" applyFont="1" applyBorder="1" applyAlignment="1">
      <alignment horizontal="left" vertical="center"/>
    </xf>
    <xf numFmtId="2" fontId="10" fillId="6" borderId="11" xfId="0" applyNumberFormat="1" applyFont="1" applyFill="1" applyBorder="1" applyAlignment="1">
      <alignment horizontal="left" vertical="center"/>
    </xf>
    <xf numFmtId="2" fontId="10" fillId="6" borderId="5" xfId="0" applyNumberFormat="1" applyFont="1" applyFill="1" applyBorder="1" applyAlignment="1">
      <alignment horizontal="left" vertical="center"/>
    </xf>
    <xf numFmtId="2" fontId="7" fillId="4" borderId="54" xfId="7" applyNumberFormat="1" applyFont="1" applyFill="1" applyBorder="1" applyAlignment="1">
      <alignment horizontal="left" vertical="top" wrapText="1"/>
    </xf>
    <xf numFmtId="2" fontId="10" fillId="4" borderId="54" xfId="7" applyNumberFormat="1" applyFont="1" applyFill="1" applyBorder="1" applyAlignment="1">
      <alignment vertical="top" wrapText="1"/>
    </xf>
    <xf numFmtId="2" fontId="10" fillId="4" borderId="5" xfId="7" applyNumberFormat="1" applyFont="1" applyFill="1" applyBorder="1" applyAlignment="1">
      <alignment vertical="top" wrapText="1"/>
    </xf>
    <xf numFmtId="2" fontId="10" fillId="0" borderId="3" xfId="7" applyNumberFormat="1" applyFont="1" applyBorder="1" applyAlignment="1">
      <alignment horizontal="left" vertical="center" wrapText="1"/>
    </xf>
    <xf numFmtId="2" fontId="10" fillId="0" borderId="19" xfId="7" applyNumberFormat="1" applyFont="1" applyBorder="1" applyAlignment="1">
      <alignment horizontal="left" vertical="center" wrapText="1"/>
    </xf>
    <xf numFmtId="2" fontId="10" fillId="0" borderId="18" xfId="7" applyNumberFormat="1" applyFont="1" applyBorder="1" applyAlignment="1">
      <alignment horizontal="left" vertical="center" wrapText="1"/>
    </xf>
    <xf numFmtId="2" fontId="10" fillId="0" borderId="23" xfId="7" applyNumberFormat="1" applyFont="1" applyBorder="1" applyAlignment="1">
      <alignment horizontal="right" vertical="center"/>
    </xf>
    <xf numFmtId="0" fontId="7" fillId="0" borderId="0" xfId="7" applyFont="1" applyAlignment="1">
      <alignment horizontal="center" vertical="center"/>
    </xf>
    <xf numFmtId="0" fontId="7" fillId="3" borderId="53" xfId="7" applyFont="1" applyFill="1" applyBorder="1" applyAlignment="1">
      <alignment horizontal="left" vertical="center" wrapText="1"/>
    </xf>
    <xf numFmtId="0" fontId="7" fillId="3" borderId="54" xfId="7" applyFont="1" applyFill="1" applyBorder="1" applyAlignment="1">
      <alignment horizontal="left" vertical="center" wrapText="1"/>
    </xf>
    <xf numFmtId="0" fontId="7" fillId="4" borderId="54" xfId="7" applyFont="1" applyFill="1" applyBorder="1" applyAlignment="1">
      <alignment horizontal="left" vertical="center" wrapText="1"/>
    </xf>
    <xf numFmtId="0" fontId="10" fillId="4" borderId="54" xfId="7" applyFont="1" applyFill="1" applyBorder="1" applyAlignment="1">
      <alignment vertical="center"/>
    </xf>
    <xf numFmtId="0" fontId="10" fillId="4" borderId="5" xfId="7" applyFont="1" applyFill="1" applyBorder="1" applyAlignment="1">
      <alignment vertical="center"/>
    </xf>
    <xf numFmtId="0" fontId="10" fillId="6" borderId="11" xfId="7" applyFont="1" applyFill="1" applyBorder="1" applyAlignment="1">
      <alignment horizontal="left" vertical="center"/>
    </xf>
    <xf numFmtId="0" fontId="10" fillId="6" borderId="5" xfId="7" applyFont="1" applyFill="1" applyBorder="1" applyAlignment="1">
      <alignment horizontal="left" vertical="center"/>
    </xf>
    <xf numFmtId="0" fontId="7" fillId="2" borderId="69" xfId="7" applyFont="1" applyFill="1" applyBorder="1" applyAlignment="1">
      <alignment horizontal="center" vertical="center"/>
    </xf>
    <xf numFmtId="0" fontId="7" fillId="2" borderId="21" xfId="7" applyFont="1" applyFill="1" applyBorder="1" applyAlignment="1">
      <alignment horizontal="center" vertical="center"/>
    </xf>
    <xf numFmtId="0" fontId="7" fillId="2" borderId="32" xfId="7" applyFont="1" applyFill="1" applyBorder="1" applyAlignment="1">
      <alignment horizontal="center" vertical="center"/>
    </xf>
    <xf numFmtId="0" fontId="7" fillId="2" borderId="70" xfId="7" applyFont="1" applyFill="1" applyBorder="1" applyAlignment="1">
      <alignment horizontal="center" vertical="center"/>
    </xf>
    <xf numFmtId="0" fontId="10" fillId="2" borderId="21" xfId="7" applyFont="1" applyFill="1" applyBorder="1" applyAlignment="1">
      <alignment horizontal="right" vertical="center"/>
    </xf>
    <xf numFmtId="0" fontId="10" fillId="2" borderId="1" xfId="7" applyFont="1" applyFill="1" applyBorder="1" applyAlignment="1">
      <alignment horizontal="right" vertical="center"/>
    </xf>
    <xf numFmtId="0" fontId="10" fillId="0" borderId="24" xfId="7" applyFont="1" applyBorder="1" applyAlignment="1">
      <alignment horizontal="right" vertical="center"/>
    </xf>
    <xf numFmtId="0" fontId="7" fillId="0" borderId="24" xfId="7" applyFont="1" applyBorder="1" applyAlignment="1">
      <alignment horizontal="right" vertical="center"/>
    </xf>
    <xf numFmtId="0" fontId="7" fillId="0" borderId="20" xfId="7" applyFont="1" applyBorder="1" applyAlignment="1">
      <alignment horizontal="right" vertical="center"/>
    </xf>
    <xf numFmtId="0" fontId="7" fillId="4" borderId="5" xfId="7" applyFont="1" applyFill="1" applyBorder="1" applyAlignment="1">
      <alignment horizontal="left" vertical="center" wrapText="1"/>
    </xf>
    <xf numFmtId="0" fontId="10" fillId="6" borderId="11" xfId="7" applyFont="1" applyFill="1" applyBorder="1" applyAlignment="1">
      <alignment horizontal="left" vertical="center" wrapText="1"/>
    </xf>
    <xf numFmtId="0" fontId="10" fillId="6" borderId="5" xfId="7" applyFont="1" applyFill="1" applyBorder="1" applyAlignment="1">
      <alignment horizontal="left" vertical="center" wrapText="1"/>
    </xf>
    <xf numFmtId="0" fontId="7" fillId="0" borderId="69" xfId="7" applyFont="1" applyBorder="1" applyAlignment="1">
      <alignment horizontal="center" vertical="center"/>
    </xf>
    <xf numFmtId="0" fontId="7" fillId="0" borderId="21" xfId="7" applyFont="1" applyBorder="1" applyAlignment="1">
      <alignment horizontal="center" vertical="center"/>
    </xf>
    <xf numFmtId="0" fontId="7" fillId="0" borderId="32" xfId="7" applyFont="1" applyBorder="1" applyAlignment="1">
      <alignment horizontal="center" vertical="center"/>
    </xf>
    <xf numFmtId="0" fontId="7" fillId="0" borderId="70" xfId="7" applyFont="1" applyBorder="1" applyAlignment="1">
      <alignment horizontal="center" vertical="center"/>
    </xf>
    <xf numFmtId="0" fontId="12" fillId="0" borderId="0" xfId="7" applyFont="1" applyAlignment="1">
      <alignment horizontal="center" vertical="center"/>
    </xf>
    <xf numFmtId="0" fontId="2" fillId="0" borderId="14" xfId="7" applyFont="1" applyBorder="1" applyAlignment="1">
      <alignment horizontal="center" vertical="center"/>
    </xf>
    <xf numFmtId="9" fontId="2" fillId="0" borderId="14" xfId="7" applyNumberFormat="1" applyFont="1" applyBorder="1" applyAlignment="1">
      <alignment horizontal="center" vertical="center" wrapText="1"/>
    </xf>
    <xf numFmtId="0" fontId="2" fillId="0" borderId="5" xfId="7" applyFont="1" applyBorder="1" applyAlignment="1">
      <alignment horizontal="center" vertical="center" wrapText="1"/>
    </xf>
    <xf numFmtId="9" fontId="2" fillId="0" borderId="5" xfId="7" applyNumberFormat="1" applyFont="1" applyBorder="1" applyAlignment="1">
      <alignment horizontal="center" vertical="center" wrapText="1"/>
    </xf>
    <xf numFmtId="0" fontId="40" fillId="0" borderId="0" xfId="7" applyFont="1" applyAlignment="1">
      <alignment horizontal="center" vertical="center"/>
    </xf>
    <xf numFmtId="0" fontId="2" fillId="10" borderId="53" xfId="7" applyFont="1" applyFill="1" applyBorder="1" applyAlignment="1">
      <alignment horizontal="center" vertical="center" wrapText="1"/>
    </xf>
    <xf numFmtId="0" fontId="2" fillId="10" borderId="13" xfId="7" applyFont="1" applyFill="1" applyBorder="1" applyAlignment="1">
      <alignment horizontal="center" vertical="center" wrapText="1"/>
    </xf>
    <xf numFmtId="0" fontId="2" fillId="10" borderId="54" xfId="7" applyFont="1" applyFill="1" applyBorder="1" applyAlignment="1">
      <alignment horizontal="center" vertical="center" wrapText="1"/>
    </xf>
    <xf numFmtId="0" fontId="2" fillId="10" borderId="14" xfId="7" applyFont="1" applyFill="1" applyBorder="1" applyAlignment="1">
      <alignment horizontal="center" vertical="center" wrapText="1"/>
    </xf>
    <xf numFmtId="0" fontId="2" fillId="10" borderId="54" xfId="7" applyFont="1" applyFill="1" applyBorder="1" applyAlignment="1">
      <alignment horizontal="center" vertical="center"/>
    </xf>
    <xf numFmtId="0" fontId="2" fillId="10" borderId="55" xfId="7" applyFont="1" applyFill="1" applyBorder="1" applyAlignment="1">
      <alignment horizontal="center" vertical="center" wrapText="1"/>
    </xf>
    <xf numFmtId="0" fontId="2" fillId="10" borderId="15" xfId="7" applyFont="1" applyFill="1" applyBorder="1" applyAlignment="1">
      <alignment horizontal="center" vertical="center" wrapText="1"/>
    </xf>
    <xf numFmtId="0" fontId="2" fillId="10" borderId="55" xfId="7" applyFont="1" applyFill="1" applyBorder="1" applyAlignment="1">
      <alignment horizontal="center" vertical="center"/>
    </xf>
    <xf numFmtId="0" fontId="2" fillId="10" borderId="15" xfId="7" applyFont="1" applyFill="1" applyBorder="1" applyAlignment="1">
      <alignment horizontal="center" vertical="center"/>
    </xf>
    <xf numFmtId="0" fontId="2" fillId="10" borderId="65" xfId="7" applyFont="1" applyFill="1" applyBorder="1" applyAlignment="1">
      <alignment horizontal="center" vertical="center" wrapText="1"/>
    </xf>
    <xf numFmtId="0" fontId="2" fillId="10" borderId="62" xfId="7" applyFont="1" applyFill="1" applyBorder="1" applyAlignment="1">
      <alignment horizontal="center" vertical="center" wrapText="1"/>
    </xf>
    <xf numFmtId="0" fontId="2" fillId="10" borderId="73" xfId="7" applyFont="1" applyFill="1" applyBorder="1" applyAlignment="1">
      <alignment horizontal="center" vertical="center" wrapText="1"/>
    </xf>
    <xf numFmtId="0" fontId="2" fillId="10" borderId="74" xfId="7" applyFont="1" applyFill="1" applyBorder="1" applyAlignment="1">
      <alignment horizontal="center" vertical="center" wrapText="1"/>
    </xf>
    <xf numFmtId="0" fontId="2" fillId="10" borderId="72" xfId="7" applyFont="1" applyFill="1" applyBorder="1" applyAlignment="1">
      <alignment horizontal="center" vertical="center" wrapText="1"/>
    </xf>
    <xf numFmtId="0" fontId="7" fillId="0" borderId="0" xfId="7" applyFont="1" applyAlignment="1">
      <alignment horizontal="center"/>
    </xf>
    <xf numFmtId="0" fontId="12" fillId="0" borderId="0" xfId="7" applyFont="1" applyAlignment="1">
      <alignment horizontal="center"/>
    </xf>
    <xf numFmtId="0" fontId="32" fillId="0" borderId="64" xfId="7" applyFont="1" applyBorder="1" applyAlignment="1">
      <alignment horizontal="center" vertical="center"/>
    </xf>
    <xf numFmtId="0" fontId="32" fillId="0" borderId="61" xfId="7" applyFont="1" applyBorder="1" applyAlignment="1">
      <alignment horizontal="center" vertical="center"/>
    </xf>
    <xf numFmtId="0" fontId="32" fillId="0" borderId="73" xfId="7" applyFont="1" applyBorder="1" applyAlignment="1">
      <alignment horizontal="center" vertical="center" wrapText="1"/>
    </xf>
    <xf numFmtId="0" fontId="32" fillId="0" borderId="74" xfId="7" applyFont="1" applyBorder="1" applyAlignment="1">
      <alignment horizontal="center" vertical="center" wrapText="1"/>
    </xf>
    <xf numFmtId="0" fontId="32" fillId="0" borderId="75" xfId="7" applyFont="1" applyBorder="1" applyAlignment="1">
      <alignment horizontal="center" vertical="center" wrapText="1"/>
    </xf>
    <xf numFmtId="0" fontId="2" fillId="10" borderId="65" xfId="7" applyFont="1" applyFill="1" applyBorder="1" applyAlignment="1">
      <alignment horizontal="center" vertical="center"/>
    </xf>
    <xf numFmtId="0" fontId="2" fillId="10" borderId="62" xfId="7" applyFont="1" applyFill="1" applyBorder="1" applyAlignment="1">
      <alignment horizontal="center" vertical="center"/>
    </xf>
    <xf numFmtId="0" fontId="2" fillId="10" borderId="53" xfId="7" applyFont="1" applyFill="1" applyBorder="1" applyAlignment="1">
      <alignment horizontal="center" vertical="center"/>
    </xf>
    <xf numFmtId="0" fontId="2" fillId="10" borderId="13" xfId="7" applyFont="1" applyFill="1" applyBorder="1" applyAlignment="1">
      <alignment horizontal="center" vertical="center"/>
    </xf>
    <xf numFmtId="0" fontId="4" fillId="0" borderId="0" xfId="7" applyFont="1" applyAlignment="1">
      <alignment horizontal="left" vertical="center"/>
    </xf>
    <xf numFmtId="0" fontId="4" fillId="0" borderId="45" xfId="7" applyFont="1" applyBorder="1" applyAlignment="1">
      <alignment horizontal="left" vertical="center" wrapText="1" shrinkToFit="1"/>
    </xf>
    <xf numFmtId="0" fontId="4" fillId="0" borderId="0" xfId="7" applyFont="1" applyAlignment="1">
      <alignment horizontal="left" vertical="center" wrapText="1" shrinkToFit="1"/>
    </xf>
    <xf numFmtId="0" fontId="12" fillId="0" borderId="0" xfId="11" quotePrefix="1" applyFont="1" applyAlignment="1">
      <alignment horizontal="center" vertical="center"/>
    </xf>
    <xf numFmtId="0" fontId="52" fillId="0" borderId="0" xfId="7" applyFont="1" applyAlignment="1">
      <alignment horizontal="center" vertical="center"/>
    </xf>
    <xf numFmtId="0" fontId="52" fillId="0" borderId="76" xfId="7" applyFont="1" applyBorder="1" applyAlignment="1">
      <alignment horizontal="center" vertical="center"/>
    </xf>
    <xf numFmtId="43" fontId="2" fillId="10" borderId="55" xfId="12" applyFont="1" applyFill="1" applyBorder="1" applyAlignment="1">
      <alignment horizontal="center" vertical="center" wrapText="1"/>
    </xf>
    <xf numFmtId="43" fontId="2" fillId="10" borderId="15" xfId="12" applyFont="1" applyFill="1" applyBorder="1" applyAlignment="1">
      <alignment horizontal="center" vertical="center" wrapText="1"/>
    </xf>
    <xf numFmtId="0" fontId="2" fillId="0" borderId="71" xfId="7" applyFont="1" applyBorder="1" applyAlignment="1">
      <alignment horizontal="center" vertical="center" wrapText="1"/>
    </xf>
    <xf numFmtId="0" fontId="2" fillId="0" borderId="77" xfId="7" applyFont="1" applyBorder="1" applyAlignment="1">
      <alignment horizontal="center" vertical="center" wrapText="1"/>
    </xf>
    <xf numFmtId="2" fontId="2" fillId="10" borderId="54" xfId="7" applyNumberFormat="1" applyFont="1" applyFill="1" applyBorder="1" applyAlignment="1">
      <alignment horizontal="center" vertical="center" wrapText="1"/>
    </xf>
    <xf numFmtId="0" fontId="4" fillId="0" borderId="85" xfId="4" applyFont="1" applyBorder="1" applyAlignment="1">
      <alignment horizontal="right" vertical="center"/>
    </xf>
    <xf numFmtId="0" fontId="14" fillId="0" borderId="6" xfId="15" applyFont="1" applyBorder="1" applyAlignment="1">
      <alignment horizontal="justify" vertical="center"/>
    </xf>
    <xf numFmtId="0" fontId="2" fillId="0" borderId="6" xfId="15" applyFont="1" applyBorder="1" applyAlignment="1">
      <alignment horizontal="right" vertical="center"/>
    </xf>
    <xf numFmtId="165" fontId="54" fillId="0" borderId="5" xfId="15" applyNumberFormat="1" applyFont="1" applyBorder="1" applyAlignment="1">
      <alignment horizontal="right" vertical="center"/>
    </xf>
    <xf numFmtId="2" fontId="54" fillId="0" borderId="5" xfId="15" applyNumberFormat="1" applyFont="1" applyBorder="1" applyAlignment="1">
      <alignment horizontal="right" vertical="center"/>
    </xf>
    <xf numFmtId="0" fontId="54" fillId="0" borderId="5" xfId="3" applyFont="1" applyBorder="1" applyAlignment="1">
      <alignment horizontal="left" vertical="center"/>
    </xf>
    <xf numFmtId="0" fontId="54" fillId="0" borderId="5" xfId="3" applyFont="1" applyBorder="1" applyAlignment="1">
      <alignment horizontal="right" vertical="center"/>
    </xf>
    <xf numFmtId="165" fontId="54" fillId="0" borderId="5" xfId="3" applyNumberFormat="1" applyFont="1" applyBorder="1" applyAlignment="1">
      <alignment horizontal="right" vertical="center"/>
    </xf>
    <xf numFmtId="0" fontId="54" fillId="0" borderId="5" xfId="3" applyFont="1" applyBorder="1" applyAlignment="1" applyProtection="1">
      <alignment horizontal="right" vertical="center"/>
      <protection locked="0"/>
    </xf>
    <xf numFmtId="0" fontId="54" fillId="0" borderId="5" xfId="0" quotePrefix="1" applyFont="1" applyBorder="1" applyAlignment="1" applyProtection="1">
      <alignment horizontal="right" vertical="center" wrapText="1"/>
      <protection locked="0"/>
    </xf>
    <xf numFmtId="165" fontId="2" fillId="0" borderId="37" xfId="3" applyNumberFormat="1" applyFont="1" applyBorder="1" applyAlignment="1">
      <alignment vertical="center"/>
    </xf>
    <xf numFmtId="0" fontId="54" fillId="0" borderId="5" xfId="15" applyFont="1" applyBorder="1" applyAlignment="1">
      <alignment horizontal="justify" vertical="center"/>
    </xf>
    <xf numFmtId="0" fontId="54" fillId="0" borderId="62" xfId="15" applyFont="1" applyBorder="1" applyAlignment="1">
      <alignment horizontal="left" vertical="center" wrapText="1"/>
    </xf>
    <xf numFmtId="2" fontId="54" fillId="0" borderId="11" xfId="7" applyNumberFormat="1" applyFont="1" applyBorder="1" applyAlignment="1">
      <alignment vertical="center"/>
    </xf>
    <xf numFmtId="0" fontId="54" fillId="0" borderId="11" xfId="7" applyFont="1" applyBorder="1" applyAlignment="1">
      <alignment vertical="center"/>
    </xf>
    <xf numFmtId="0" fontId="54" fillId="0" borderId="11" xfId="7" applyFont="1" applyBorder="1" applyAlignment="1">
      <alignment vertical="center" wrapText="1"/>
    </xf>
    <xf numFmtId="0" fontId="54" fillId="0" borderId="11" xfId="7" applyFont="1" applyBorder="1" applyAlignment="1">
      <alignment vertical="center" wrapText="1" shrinkToFit="1"/>
    </xf>
    <xf numFmtId="0" fontId="54" fillId="0" borderId="5" xfId="7" applyFont="1" applyBorder="1" applyAlignment="1">
      <alignment horizontal="center" vertical="center" wrapText="1" shrinkToFit="1"/>
    </xf>
    <xf numFmtId="2" fontId="54" fillId="0" borderId="5" xfId="7" applyNumberFormat="1" applyFont="1" applyBorder="1" applyAlignment="1">
      <alignment horizontal="right" vertical="center"/>
    </xf>
    <xf numFmtId="0" fontId="54" fillId="0" borderId="12" xfId="7" applyFont="1" applyBorder="1" applyAlignment="1">
      <alignment vertical="center"/>
    </xf>
    <xf numFmtId="0" fontId="54" fillId="0" borderId="0" xfId="7" applyFont="1" applyAlignment="1">
      <alignment vertical="center"/>
    </xf>
    <xf numFmtId="2" fontId="54" fillId="0" borderId="5" xfId="7" applyNumberFormat="1" applyFont="1" applyBorder="1" applyAlignment="1">
      <alignment vertical="center"/>
    </xf>
    <xf numFmtId="0" fontId="54" fillId="0" borderId="5" xfId="7" applyFont="1" applyBorder="1" applyAlignment="1">
      <alignment horizontal="center" vertical="center"/>
    </xf>
    <xf numFmtId="0" fontId="54" fillId="0" borderId="12" xfId="7" applyFont="1" applyBorder="1" applyAlignment="1">
      <alignment vertical="center" wrapText="1"/>
    </xf>
    <xf numFmtId="2" fontId="54" fillId="0" borderId="12" xfId="7" applyNumberFormat="1" applyFont="1" applyBorder="1" applyAlignment="1">
      <alignment horizontal="right" vertical="center"/>
    </xf>
    <xf numFmtId="0" fontId="54" fillId="0" borderId="13" xfId="7" applyFont="1" applyBorder="1" applyAlignment="1">
      <alignment vertical="center" shrinkToFit="1"/>
    </xf>
    <xf numFmtId="0" fontId="54" fillId="0" borderId="14" xfId="7" applyFont="1" applyBorder="1" applyAlignment="1">
      <alignment horizontal="center" vertical="center" wrapText="1" shrinkToFit="1"/>
    </xf>
    <xf numFmtId="2" fontId="54" fillId="0" borderId="14" xfId="7" applyNumberFormat="1" applyFont="1" applyBorder="1" applyAlignment="1">
      <alignment horizontal="right" vertical="center"/>
    </xf>
    <xf numFmtId="0" fontId="54" fillId="0" borderId="15" xfId="7" applyFont="1" applyBorder="1" applyAlignment="1">
      <alignment vertical="center"/>
    </xf>
  </cellXfs>
  <cellStyles count="16">
    <cellStyle name="Comma" xfId="1" builtinId="3"/>
    <cellStyle name="Comma 2" xfId="12" xr:uid="{00000000-0005-0000-0000-000001000000}"/>
    <cellStyle name="Comma 24" xfId="13" xr:uid="{00000000-0005-0000-0000-000002000000}"/>
    <cellStyle name="Normal" xfId="0" builtinId="0"/>
    <cellStyle name="Normal 10 2 2" xfId="15" xr:uid="{00000000-0005-0000-0000-000004000000}"/>
    <cellStyle name="Normal 18" xfId="14" xr:uid="{00000000-0005-0000-0000-000005000000}"/>
    <cellStyle name="Normal 2 2 2 2" xfId="7" xr:uid="{00000000-0005-0000-0000-000006000000}"/>
    <cellStyle name="Normal 4" xfId="6" xr:uid="{00000000-0005-0000-0000-000007000000}"/>
    <cellStyle name="Normal 5" xfId="8" xr:uid="{00000000-0005-0000-0000-000008000000}"/>
    <cellStyle name="Normal_abs-cost Dhikgad" xfId="9" xr:uid="{00000000-0005-0000-0000-000009000000}"/>
    <cellStyle name="Normal_Abs-Cost-Bannala" xfId="2" xr:uid="{00000000-0005-0000-0000-00000A000000}"/>
    <cellStyle name="Normal_kattike" xfId="5" xr:uid="{00000000-0005-0000-0000-00000B000000}"/>
    <cellStyle name="Normal_New-DMS" xfId="3" xr:uid="{00000000-0005-0000-0000-00000C000000}"/>
    <cellStyle name="Normal_Qty Est-MRB" xfId="4" xr:uid="{00000000-0005-0000-0000-00000D000000}"/>
    <cellStyle name="Normal_Quantity Estimate" xfId="11" xr:uid="{00000000-0005-0000-0000-00000E000000}"/>
    <cellStyle name="Percent 2" xfId="10" xr:uid="{00000000-0005-0000-0000-00000F000000}"/>
  </cellStyles>
  <dxfs count="3">
    <dxf>
      <font>
        <strike val="0"/>
        <color theme="0"/>
      </font>
    </dxf>
    <dxf>
      <numFmt numFmtId="166" formatCode="0.0"/>
    </dxf>
    <dxf>
      <numFmt numFmtId="166" formatCode="0.0"/>
    </dxf>
  </dxfs>
  <tableStyles count="0" defaultTableStyle="TableStyleMedium9" defaultPivotStyle="PivotStyleLight16"/>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15.emf"/><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590550</xdr:colOff>
          <xdr:row>2</xdr:row>
          <xdr:rowOff>133350</xdr:rowOff>
        </xdr:from>
        <xdr:to>
          <xdr:col>23</xdr:col>
          <xdr:colOff>438150</xdr:colOff>
          <xdr:row>24</xdr:row>
          <xdr:rowOff>104775</xdr:rowOff>
        </xdr:to>
        <xdr:sp macro="" textlink="">
          <xdr:nvSpPr>
            <xdr:cNvPr id="45057" name="Object 1" hidden="1">
              <a:extLst>
                <a:ext uri="{63B3BB69-23CF-44E3-9099-C40C66FF867C}">
                  <a14:compatExt spid="_x0000_s45057"/>
                </a:ext>
                <a:ext uri="{FF2B5EF4-FFF2-40B4-BE49-F238E27FC236}">
                  <a16:creationId xmlns:a16="http://schemas.microsoft.com/office/drawing/2014/main" id="{00000000-0008-0000-0000-000001B0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257175</xdr:colOff>
          <xdr:row>35</xdr:row>
          <xdr:rowOff>152400</xdr:rowOff>
        </xdr:from>
        <xdr:to>
          <xdr:col>27</xdr:col>
          <xdr:colOff>57150</xdr:colOff>
          <xdr:row>60</xdr:row>
          <xdr:rowOff>76200</xdr:rowOff>
        </xdr:to>
        <xdr:sp macro="" textlink="">
          <xdr:nvSpPr>
            <xdr:cNvPr id="45058" name="Object 2" hidden="1">
              <a:extLst>
                <a:ext uri="{63B3BB69-23CF-44E3-9099-C40C66FF867C}">
                  <a14:compatExt spid="_x0000_s45058"/>
                </a:ext>
                <a:ext uri="{FF2B5EF4-FFF2-40B4-BE49-F238E27FC236}">
                  <a16:creationId xmlns:a16="http://schemas.microsoft.com/office/drawing/2014/main" id="{00000000-0008-0000-0000-000002B0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466725</xdr:colOff>
          <xdr:row>4</xdr:row>
          <xdr:rowOff>57150</xdr:rowOff>
        </xdr:from>
        <xdr:to>
          <xdr:col>35</xdr:col>
          <xdr:colOff>514350</xdr:colOff>
          <xdr:row>23</xdr:row>
          <xdr:rowOff>200025</xdr:rowOff>
        </xdr:to>
        <xdr:sp macro="" textlink="">
          <xdr:nvSpPr>
            <xdr:cNvPr id="45059" name="Object 3" hidden="1">
              <a:extLst>
                <a:ext uri="{63B3BB69-23CF-44E3-9099-C40C66FF867C}">
                  <a14:compatExt spid="_x0000_s45059"/>
                </a:ext>
                <a:ext uri="{FF2B5EF4-FFF2-40B4-BE49-F238E27FC236}">
                  <a16:creationId xmlns:a16="http://schemas.microsoft.com/office/drawing/2014/main" id="{00000000-0008-0000-0000-000003B0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438150</xdr:colOff>
          <xdr:row>36</xdr:row>
          <xdr:rowOff>104775</xdr:rowOff>
        </xdr:from>
        <xdr:to>
          <xdr:col>37</xdr:col>
          <xdr:colOff>590550</xdr:colOff>
          <xdr:row>60</xdr:row>
          <xdr:rowOff>95250</xdr:rowOff>
        </xdr:to>
        <xdr:sp macro="" textlink="">
          <xdr:nvSpPr>
            <xdr:cNvPr id="45060" name="Object 4" hidden="1">
              <a:extLst>
                <a:ext uri="{63B3BB69-23CF-44E3-9099-C40C66FF867C}">
                  <a14:compatExt spid="_x0000_s45060"/>
                </a:ext>
                <a:ext uri="{FF2B5EF4-FFF2-40B4-BE49-F238E27FC236}">
                  <a16:creationId xmlns:a16="http://schemas.microsoft.com/office/drawing/2014/main" id="{00000000-0008-0000-0000-000004B0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342900</xdr:colOff>
          <xdr:row>61</xdr:row>
          <xdr:rowOff>9525</xdr:rowOff>
        </xdr:from>
        <xdr:to>
          <xdr:col>24</xdr:col>
          <xdr:colOff>466725</xdr:colOff>
          <xdr:row>82</xdr:row>
          <xdr:rowOff>57150</xdr:rowOff>
        </xdr:to>
        <xdr:sp macro="" textlink="">
          <xdr:nvSpPr>
            <xdr:cNvPr id="45061" name="Object 5" hidden="1">
              <a:extLst>
                <a:ext uri="{63B3BB69-23CF-44E3-9099-C40C66FF867C}">
                  <a14:compatExt spid="_x0000_s45061"/>
                </a:ext>
                <a:ext uri="{FF2B5EF4-FFF2-40B4-BE49-F238E27FC236}">
                  <a16:creationId xmlns:a16="http://schemas.microsoft.com/office/drawing/2014/main" id="{00000000-0008-0000-0000-000005B0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171450</xdr:colOff>
          <xdr:row>65</xdr:row>
          <xdr:rowOff>76200</xdr:rowOff>
        </xdr:from>
        <xdr:to>
          <xdr:col>36</xdr:col>
          <xdr:colOff>352425</xdr:colOff>
          <xdr:row>80</xdr:row>
          <xdr:rowOff>19050</xdr:rowOff>
        </xdr:to>
        <xdr:sp macro="" textlink="">
          <xdr:nvSpPr>
            <xdr:cNvPr id="45062" name="Object 6" hidden="1">
              <a:extLst>
                <a:ext uri="{63B3BB69-23CF-44E3-9099-C40C66FF867C}">
                  <a14:compatExt spid="_x0000_s45062"/>
                </a:ext>
                <a:ext uri="{FF2B5EF4-FFF2-40B4-BE49-F238E27FC236}">
                  <a16:creationId xmlns:a16="http://schemas.microsoft.com/office/drawing/2014/main" id="{00000000-0008-0000-0000-000006B0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238125</xdr:colOff>
          <xdr:row>83</xdr:row>
          <xdr:rowOff>19050</xdr:rowOff>
        </xdr:from>
        <xdr:to>
          <xdr:col>25</xdr:col>
          <xdr:colOff>104775</xdr:colOff>
          <xdr:row>98</xdr:row>
          <xdr:rowOff>123825</xdr:rowOff>
        </xdr:to>
        <xdr:sp macro="" textlink="">
          <xdr:nvSpPr>
            <xdr:cNvPr id="45063" name="Object 7" hidden="1">
              <a:extLst>
                <a:ext uri="{63B3BB69-23CF-44E3-9099-C40C66FF867C}">
                  <a14:compatExt spid="_x0000_s45063"/>
                </a:ext>
                <a:ext uri="{FF2B5EF4-FFF2-40B4-BE49-F238E27FC236}">
                  <a16:creationId xmlns:a16="http://schemas.microsoft.com/office/drawing/2014/main" id="{00000000-0008-0000-0000-000007B0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228600</xdr:colOff>
          <xdr:row>82</xdr:row>
          <xdr:rowOff>161925</xdr:rowOff>
        </xdr:from>
        <xdr:to>
          <xdr:col>31</xdr:col>
          <xdr:colOff>514350</xdr:colOff>
          <xdr:row>94</xdr:row>
          <xdr:rowOff>123825</xdr:rowOff>
        </xdr:to>
        <xdr:sp macro="" textlink="">
          <xdr:nvSpPr>
            <xdr:cNvPr id="45064" name="Object 8" hidden="1">
              <a:extLst>
                <a:ext uri="{63B3BB69-23CF-44E3-9099-C40C66FF867C}">
                  <a14:compatExt spid="_x0000_s45064"/>
                </a:ext>
                <a:ext uri="{FF2B5EF4-FFF2-40B4-BE49-F238E27FC236}">
                  <a16:creationId xmlns:a16="http://schemas.microsoft.com/office/drawing/2014/main" id="{00000000-0008-0000-0000-000008B0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95250</xdr:colOff>
          <xdr:row>101</xdr:row>
          <xdr:rowOff>9525</xdr:rowOff>
        </xdr:from>
        <xdr:to>
          <xdr:col>24</xdr:col>
          <xdr:colOff>219075</xdr:colOff>
          <xdr:row>114</xdr:row>
          <xdr:rowOff>57150</xdr:rowOff>
        </xdr:to>
        <xdr:sp macro="" textlink="">
          <xdr:nvSpPr>
            <xdr:cNvPr id="45065" name="Object 9" hidden="1">
              <a:extLst>
                <a:ext uri="{63B3BB69-23CF-44E3-9099-C40C66FF867C}">
                  <a14:compatExt spid="_x0000_s45065"/>
                </a:ext>
                <a:ext uri="{FF2B5EF4-FFF2-40B4-BE49-F238E27FC236}">
                  <a16:creationId xmlns:a16="http://schemas.microsoft.com/office/drawing/2014/main" id="{00000000-0008-0000-0000-000009B0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466725</xdr:colOff>
          <xdr:row>88</xdr:row>
          <xdr:rowOff>161925</xdr:rowOff>
        </xdr:from>
        <xdr:to>
          <xdr:col>11</xdr:col>
          <xdr:colOff>561975</xdr:colOff>
          <xdr:row>106</xdr:row>
          <xdr:rowOff>9525</xdr:rowOff>
        </xdr:to>
        <xdr:sp macro="" textlink="">
          <xdr:nvSpPr>
            <xdr:cNvPr id="45066" name="Object 10" hidden="1">
              <a:extLst>
                <a:ext uri="{63B3BB69-23CF-44E3-9099-C40C66FF867C}">
                  <a14:compatExt spid="_x0000_s45066"/>
                </a:ext>
                <a:ext uri="{FF2B5EF4-FFF2-40B4-BE49-F238E27FC236}">
                  <a16:creationId xmlns:a16="http://schemas.microsoft.com/office/drawing/2014/main" id="{00000000-0008-0000-0000-00000AB0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552450</xdr:colOff>
          <xdr:row>2</xdr:row>
          <xdr:rowOff>38100</xdr:rowOff>
        </xdr:from>
        <xdr:to>
          <xdr:col>20</xdr:col>
          <xdr:colOff>247650</xdr:colOff>
          <xdr:row>26</xdr:row>
          <xdr:rowOff>47625</xdr:rowOff>
        </xdr:to>
        <xdr:sp macro="" textlink="">
          <xdr:nvSpPr>
            <xdr:cNvPr id="46081" name="Object 1" hidden="1">
              <a:extLst>
                <a:ext uri="{63B3BB69-23CF-44E3-9099-C40C66FF867C}">
                  <a14:compatExt spid="_x0000_s46081"/>
                </a:ext>
                <a:ext uri="{FF2B5EF4-FFF2-40B4-BE49-F238E27FC236}">
                  <a16:creationId xmlns:a16="http://schemas.microsoft.com/office/drawing/2014/main" id="{00000000-0008-0000-0100-000001B4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419100</xdr:colOff>
          <xdr:row>3</xdr:row>
          <xdr:rowOff>57150</xdr:rowOff>
        </xdr:from>
        <xdr:to>
          <xdr:col>31</xdr:col>
          <xdr:colOff>257175</xdr:colOff>
          <xdr:row>26</xdr:row>
          <xdr:rowOff>57150</xdr:rowOff>
        </xdr:to>
        <xdr:sp macro="" textlink="">
          <xdr:nvSpPr>
            <xdr:cNvPr id="46082" name="Object 2" hidden="1">
              <a:extLst>
                <a:ext uri="{63B3BB69-23CF-44E3-9099-C40C66FF867C}">
                  <a14:compatExt spid="_x0000_s46082"/>
                </a:ext>
                <a:ext uri="{FF2B5EF4-FFF2-40B4-BE49-F238E27FC236}">
                  <a16:creationId xmlns:a16="http://schemas.microsoft.com/office/drawing/2014/main" id="{00000000-0008-0000-0100-000002B4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95250</xdr:colOff>
          <xdr:row>30</xdr:row>
          <xdr:rowOff>133350</xdr:rowOff>
        </xdr:from>
        <xdr:to>
          <xdr:col>28</xdr:col>
          <xdr:colOff>438150</xdr:colOff>
          <xdr:row>51</xdr:row>
          <xdr:rowOff>133350</xdr:rowOff>
        </xdr:to>
        <xdr:sp macro="" textlink="">
          <xdr:nvSpPr>
            <xdr:cNvPr id="46083" name="Object 3" hidden="1">
              <a:extLst>
                <a:ext uri="{63B3BB69-23CF-44E3-9099-C40C66FF867C}">
                  <a14:compatExt spid="_x0000_s46083"/>
                </a:ext>
                <a:ext uri="{FF2B5EF4-FFF2-40B4-BE49-F238E27FC236}">
                  <a16:creationId xmlns:a16="http://schemas.microsoft.com/office/drawing/2014/main" id="{00000000-0008-0000-0100-000003B4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342900</xdr:colOff>
          <xdr:row>4</xdr:row>
          <xdr:rowOff>85725</xdr:rowOff>
        </xdr:from>
        <xdr:to>
          <xdr:col>26</xdr:col>
          <xdr:colOff>133350</xdr:colOff>
          <xdr:row>35</xdr:row>
          <xdr:rowOff>57150</xdr:rowOff>
        </xdr:to>
        <xdr:sp macro="" textlink="">
          <xdr:nvSpPr>
            <xdr:cNvPr id="47105" name="Object 1" hidden="1">
              <a:extLst>
                <a:ext uri="{63B3BB69-23CF-44E3-9099-C40C66FF867C}">
                  <a14:compatExt spid="_x0000_s47105"/>
                </a:ext>
                <a:ext uri="{FF2B5EF4-FFF2-40B4-BE49-F238E27FC236}">
                  <a16:creationId xmlns:a16="http://schemas.microsoft.com/office/drawing/2014/main" id="{00000000-0008-0000-0200-000001B8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495300</xdr:colOff>
          <xdr:row>6</xdr:row>
          <xdr:rowOff>57150</xdr:rowOff>
        </xdr:from>
        <xdr:to>
          <xdr:col>39</xdr:col>
          <xdr:colOff>447675</xdr:colOff>
          <xdr:row>35</xdr:row>
          <xdr:rowOff>47625</xdr:rowOff>
        </xdr:to>
        <xdr:sp macro="" textlink="">
          <xdr:nvSpPr>
            <xdr:cNvPr id="47106" name="Object 2" hidden="1">
              <a:extLst>
                <a:ext uri="{63B3BB69-23CF-44E3-9099-C40C66FF867C}">
                  <a14:compatExt spid="_x0000_s47106"/>
                </a:ext>
                <a:ext uri="{FF2B5EF4-FFF2-40B4-BE49-F238E27FC236}">
                  <a16:creationId xmlns:a16="http://schemas.microsoft.com/office/drawing/2014/main" id="{00000000-0008-0000-0200-000002B8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561975</xdr:colOff>
          <xdr:row>52</xdr:row>
          <xdr:rowOff>47625</xdr:rowOff>
        </xdr:from>
        <xdr:to>
          <xdr:col>34</xdr:col>
          <xdr:colOff>561975</xdr:colOff>
          <xdr:row>76</xdr:row>
          <xdr:rowOff>85725</xdr:rowOff>
        </xdr:to>
        <xdr:sp macro="" textlink="">
          <xdr:nvSpPr>
            <xdr:cNvPr id="47107" name="Object 3" hidden="1">
              <a:extLst>
                <a:ext uri="{63B3BB69-23CF-44E3-9099-C40C66FF867C}">
                  <a14:compatExt spid="_x0000_s47107"/>
                </a:ext>
                <a:ext uri="{FF2B5EF4-FFF2-40B4-BE49-F238E27FC236}">
                  <a16:creationId xmlns:a16="http://schemas.microsoft.com/office/drawing/2014/main" id="{00000000-0008-0000-0200-000003B80000}"/>
                </a:ext>
              </a:extLst>
            </xdr:cNvPr>
            <xdr:cNvSpPr/>
          </xdr:nvSpPr>
          <xdr:spPr bwMode="auto">
            <a:xfrm>
              <a:off x="0" y="0"/>
              <a:ext cx="0" cy="0"/>
            </a:xfrm>
            <a:prstGeom prst="rect">
              <a:avLst/>
            </a:prstGeom>
            <a:solidFill>
              <a:srgbClr val="FFFFFF" mc:Ignorable="a14" a14:legacySpreadsheetColorIndex="65">
                <a:alpha val="0"/>
              </a:srgbClr>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4</xdr:col>
      <xdr:colOff>238125</xdr:colOff>
      <xdr:row>1</xdr:row>
      <xdr:rowOff>66675</xdr:rowOff>
    </xdr:from>
    <xdr:to>
      <xdr:col>5</xdr:col>
      <xdr:colOff>571500</xdr:colOff>
      <xdr:row>5</xdr:row>
      <xdr:rowOff>121920</xdr:rowOff>
    </xdr:to>
    <xdr:pic>
      <xdr:nvPicPr>
        <xdr:cNvPr id="2" name="Picture 1">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00300" y="228600"/>
          <a:ext cx="838200" cy="702945"/>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dell\Desktop\GOVINDA\065-66\Janapriya%20MC\Final%20Document\Estimat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BOQ"/>
      <sheetName val="Boq Check"/>
      <sheetName val="Estimate Summary"/>
      <sheetName val="Steel Cal"/>
      <sheetName val="electricity"/>
      <sheetName val="Furniture"/>
      <sheetName val="Cost_Sanitary"/>
      <sheetName val="Septic_tank"/>
      <sheetName val="Water Tank"/>
      <sheetName val="Rate Analysis"/>
      <sheetName val="RA_Sanitar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3" Type="http://schemas.openxmlformats.org/officeDocument/2006/relationships/vmlDrawing" Target="../drawings/vmlDrawing1.vml"/><Relationship Id="rId21" Type="http://schemas.openxmlformats.org/officeDocument/2006/relationships/image" Target="../media/image9.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10" Type="http://schemas.openxmlformats.org/officeDocument/2006/relationships/oleObject" Target="../embeddings/oleObject4.bin"/><Relationship Id="rId19" Type="http://schemas.openxmlformats.org/officeDocument/2006/relationships/image" Target="../media/image8.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13.bin"/><Relationship Id="rId3" Type="http://schemas.openxmlformats.org/officeDocument/2006/relationships/vmlDrawing" Target="../drawings/vmlDrawing2.vml"/><Relationship Id="rId7" Type="http://schemas.openxmlformats.org/officeDocument/2006/relationships/image" Target="../media/image12.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oleObject" Target="../embeddings/oleObject12.bin"/><Relationship Id="rId5" Type="http://schemas.openxmlformats.org/officeDocument/2006/relationships/image" Target="../media/image11.emf"/><Relationship Id="rId4" Type="http://schemas.openxmlformats.org/officeDocument/2006/relationships/oleObject" Target="../embeddings/oleObject11.bin"/><Relationship Id="rId9" Type="http://schemas.openxmlformats.org/officeDocument/2006/relationships/image" Target="../media/image13.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6.bin"/><Relationship Id="rId3" Type="http://schemas.openxmlformats.org/officeDocument/2006/relationships/vmlDrawing" Target="../drawings/vmlDrawing3.vml"/><Relationship Id="rId7" Type="http://schemas.openxmlformats.org/officeDocument/2006/relationships/image" Target="../media/image15.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5.bin"/><Relationship Id="rId5" Type="http://schemas.openxmlformats.org/officeDocument/2006/relationships/image" Target="../media/image14.emf"/><Relationship Id="rId4" Type="http://schemas.openxmlformats.org/officeDocument/2006/relationships/oleObject" Target="../embeddings/oleObject14.bin"/><Relationship Id="rId9" Type="http://schemas.openxmlformats.org/officeDocument/2006/relationships/image" Target="../media/image16.emf"/></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13"/>
  <sheetViews>
    <sheetView workbookViewId="0"/>
  </sheetViews>
  <sheetFormatPr defaultColWidth="8.85546875" defaultRowHeight="12.75" x14ac:dyDescent="0.2"/>
  <cols>
    <col min="1" max="1" width="2.7109375" style="155" bestFit="1" customWidth="1"/>
    <col min="2" max="2" width="24.28515625" style="158" bestFit="1" customWidth="1"/>
    <col min="3" max="3" width="4.5703125" style="157" bestFit="1" customWidth="1"/>
    <col min="4" max="4" width="9.7109375" style="157" bestFit="1" customWidth="1"/>
    <col min="5" max="5" width="3.28515625" style="157" customWidth="1"/>
    <col min="6" max="8" width="8.85546875" style="157"/>
    <col min="9" max="9" width="9.7109375" style="157" bestFit="1" customWidth="1"/>
    <col min="10" max="10" width="8.85546875" style="157"/>
    <col min="11" max="16384" width="8.85546875" style="158"/>
  </cols>
  <sheetData>
    <row r="1" spans="1:34" x14ac:dyDescent="0.2">
      <c r="B1" s="156" t="s">
        <v>950</v>
      </c>
      <c r="C1" s="156" t="s">
        <v>7</v>
      </c>
      <c r="D1" s="912" t="s">
        <v>891</v>
      </c>
      <c r="E1" s="912"/>
      <c r="F1" s="912"/>
    </row>
    <row r="2" spans="1:34" x14ac:dyDescent="0.2">
      <c r="A2" s="159" t="s">
        <v>85</v>
      </c>
      <c r="B2" s="160" t="s">
        <v>951</v>
      </c>
      <c r="C2" s="156"/>
      <c r="D2" s="156"/>
      <c r="E2" s="156"/>
      <c r="F2" s="156"/>
      <c r="K2" s="158">
        <f>(thickness_cantilever_II-thickness_cantilever_I)/slabcantilever</f>
        <v>9.0999999999999998E-2</v>
      </c>
      <c r="L2" s="158" t="s">
        <v>952</v>
      </c>
    </row>
    <row r="3" spans="1:34" x14ac:dyDescent="0.2">
      <c r="B3" s="158" t="s">
        <v>909</v>
      </c>
      <c r="D3" s="161">
        <v>2</v>
      </c>
      <c r="E3" s="157" t="s">
        <v>902</v>
      </c>
      <c r="F3" s="161">
        <v>0</v>
      </c>
    </row>
    <row r="4" spans="1:34" x14ac:dyDescent="0.2">
      <c r="B4" s="158" t="s">
        <v>953</v>
      </c>
      <c r="C4" s="157" t="s">
        <v>17</v>
      </c>
      <c r="D4" s="161">
        <v>38</v>
      </c>
    </row>
    <row r="5" spans="1:34" x14ac:dyDescent="0.2">
      <c r="B5" s="158" t="s">
        <v>954</v>
      </c>
      <c r="C5" s="157" t="s">
        <v>17</v>
      </c>
      <c r="D5" s="161">
        <v>7.5</v>
      </c>
    </row>
    <row r="6" spans="1:34" x14ac:dyDescent="0.2">
      <c r="B6" s="158" t="s">
        <v>955</v>
      </c>
      <c r="C6" s="157" t="s">
        <v>17</v>
      </c>
      <c r="D6" s="157">
        <f>IF(D5=6,1.2,(IF(D5=7.5,1.75)))</f>
        <v>1.75</v>
      </c>
      <c r="AE6" s="158">
        <f>width_slab</f>
        <v>11</v>
      </c>
    </row>
    <row r="7" spans="1:34" x14ac:dyDescent="0.2">
      <c r="B7" s="158" t="s">
        <v>956</v>
      </c>
      <c r="C7" s="157" t="s">
        <v>17</v>
      </c>
      <c r="D7" s="161">
        <v>2.1</v>
      </c>
      <c r="F7" s="162" t="s">
        <v>957</v>
      </c>
    </row>
    <row r="8" spans="1:34" x14ac:dyDescent="0.2">
      <c r="B8" s="158" t="s">
        <v>958</v>
      </c>
      <c r="C8" s="157" t="s">
        <v>17</v>
      </c>
      <c r="D8" s="161">
        <v>1.86</v>
      </c>
      <c r="F8" s="162" t="s">
        <v>959</v>
      </c>
      <c r="K8" s="158" t="s">
        <v>960</v>
      </c>
      <c r="AC8" s="158">
        <f>footpathwidth</f>
        <v>1.75</v>
      </c>
      <c r="AE8" s="158">
        <f>carriagewaywidth</f>
        <v>7.5</v>
      </c>
      <c r="AG8" s="158">
        <f>footpathwidth</f>
        <v>1.75</v>
      </c>
    </row>
    <row r="9" spans="1:34" x14ac:dyDescent="0.2">
      <c r="B9" s="158" t="s">
        <v>961</v>
      </c>
      <c r="C9" s="157" t="s">
        <v>17</v>
      </c>
      <c r="D9" s="161">
        <v>0.2</v>
      </c>
      <c r="E9" s="157" t="s">
        <v>914</v>
      </c>
      <c r="F9" s="161">
        <v>0.39100000000000001</v>
      </c>
      <c r="G9" s="162" t="s">
        <v>962</v>
      </c>
      <c r="K9" s="158">
        <f>D7/(F9-D9)</f>
        <v>10.994999999999999</v>
      </c>
    </row>
    <row r="10" spans="1:34" x14ac:dyDescent="0.2">
      <c r="B10" s="158" t="s">
        <v>963</v>
      </c>
      <c r="C10" s="157" t="s">
        <v>17</v>
      </c>
      <c r="D10" s="161">
        <v>0.6</v>
      </c>
      <c r="F10" s="162" t="s">
        <v>957</v>
      </c>
      <c r="R10" s="158">
        <f>length_slab_enddeck</f>
        <v>40.104999999999997</v>
      </c>
    </row>
    <row r="11" spans="1:34" x14ac:dyDescent="0.2">
      <c r="B11" s="158" t="s">
        <v>964</v>
      </c>
      <c r="C11" s="157" t="s">
        <v>17</v>
      </c>
      <c r="D11" s="157">
        <f>(prestressingspace-D14)/2+offset_abutment</f>
        <v>1.5049999999999999</v>
      </c>
      <c r="F11" s="162" t="s">
        <v>957</v>
      </c>
      <c r="N11" s="158">
        <f>offset_abutment</f>
        <v>0.6</v>
      </c>
      <c r="R11" s="158">
        <f>spanlength</f>
        <v>38</v>
      </c>
      <c r="W11" s="157">
        <f>offset_pier</f>
        <v>1.5049999999999999</v>
      </c>
    </row>
    <row r="12" spans="1:34" x14ac:dyDescent="0.2">
      <c r="B12" s="158" t="s">
        <v>965</v>
      </c>
      <c r="C12" s="157" t="s">
        <v>17</v>
      </c>
      <c r="D12" s="161">
        <v>0.25</v>
      </c>
      <c r="F12" s="162"/>
      <c r="AF12" s="158">
        <f>thickness_cantilever_II</f>
        <v>0.39100000000000001</v>
      </c>
      <c r="AH12" s="162">
        <f>thickness_cantilever_I</f>
        <v>0.2</v>
      </c>
    </row>
    <row r="13" spans="1:34" x14ac:dyDescent="0.2">
      <c r="B13" s="158" t="s">
        <v>966</v>
      </c>
      <c r="C13" s="157" t="s">
        <v>17</v>
      </c>
      <c r="D13" s="161">
        <v>0.5</v>
      </c>
      <c r="E13" s="157" t="s">
        <v>914</v>
      </c>
      <c r="F13" s="161">
        <v>0.4</v>
      </c>
      <c r="AD13" s="158">
        <f>hunch_MG_broadend_II</f>
        <v>0</v>
      </c>
      <c r="AF13" s="158">
        <f>hunch_MG_broadend_I</f>
        <v>0</v>
      </c>
    </row>
    <row r="14" spans="1:34" x14ac:dyDescent="0.2">
      <c r="B14" s="158" t="s">
        <v>967</v>
      </c>
      <c r="C14" s="157" t="s">
        <v>17</v>
      </c>
      <c r="D14" s="161">
        <v>0.05</v>
      </c>
      <c r="F14" s="162"/>
      <c r="O14" s="158">
        <f>centraldistance_IG</f>
        <v>6.3330000000000002</v>
      </c>
      <c r="Q14" s="158">
        <f>centraldistance_IG</f>
        <v>6.3330000000000002</v>
      </c>
      <c r="AD14" s="158">
        <f>hunch_MG_broadend_I</f>
        <v>0</v>
      </c>
      <c r="AE14" s="162">
        <f>centraldistance_MG-width_MG_broadend-hunch_MG_broadend_I*2</f>
        <v>2.65</v>
      </c>
      <c r="AG14" s="158">
        <f>AH14-AH12</f>
        <v>2.2999999999999998</v>
      </c>
      <c r="AH14" s="158">
        <f>height_MG_broadend</f>
        <v>2.5</v>
      </c>
    </row>
    <row r="15" spans="1:34" x14ac:dyDescent="0.2">
      <c r="B15" s="158" t="s">
        <v>968</v>
      </c>
      <c r="C15" s="157" t="s">
        <v>17</v>
      </c>
      <c r="D15" s="157">
        <f>spanlength+2*offset_abutment+(prestressingspace-D14)/2</f>
        <v>40.104999999999997</v>
      </c>
      <c r="F15" s="162" t="s">
        <v>969</v>
      </c>
    </row>
    <row r="16" spans="1:34" x14ac:dyDescent="0.2">
      <c r="C16" s="157" t="s">
        <v>17</v>
      </c>
      <c r="D16" s="157">
        <f>IF(number_enddeck+number_intermediatedeck&gt;2,D4+2*(prestressingspace-D14)/2+2*offset_abutment,0)</f>
        <v>0</v>
      </c>
      <c r="F16" s="162" t="s">
        <v>970</v>
      </c>
    </row>
    <row r="17" spans="1:33" x14ac:dyDescent="0.2">
      <c r="B17" s="158" t="s">
        <v>971</v>
      </c>
      <c r="C17" s="157" t="s">
        <v>17</v>
      </c>
      <c r="D17" s="157">
        <f>D5+2*D6</f>
        <v>11</v>
      </c>
      <c r="F17" s="162"/>
      <c r="AD17" s="158">
        <f>height_MG_broadend-height_EG</f>
        <v>0.3</v>
      </c>
    </row>
    <row r="18" spans="1:33" x14ac:dyDescent="0.2">
      <c r="A18" s="159" t="s">
        <v>321</v>
      </c>
      <c r="B18" s="163" t="s">
        <v>972</v>
      </c>
      <c r="D18" s="156"/>
      <c r="E18" s="156"/>
      <c r="F18" s="156"/>
      <c r="G18" s="156"/>
      <c r="H18" s="156"/>
    </row>
    <row r="19" spans="1:33" x14ac:dyDescent="0.2">
      <c r="B19" s="158" t="s">
        <v>909</v>
      </c>
      <c r="D19" s="157">
        <f>IF(D5=6,2,(IF(D5=7.5,3,"check carriageway size")))</f>
        <v>3</v>
      </c>
      <c r="AC19" s="162">
        <f>slabcantilever-width_MG_broadend/2</f>
        <v>1.7250000000000001</v>
      </c>
      <c r="AD19" s="162">
        <f>width_MG_broadend</f>
        <v>0.75</v>
      </c>
      <c r="AF19" s="158">
        <f>AD19</f>
        <v>0.75</v>
      </c>
      <c r="AG19" s="157">
        <f>AC19</f>
        <v>1.7250000000000001</v>
      </c>
    </row>
    <row r="20" spans="1:33" x14ac:dyDescent="0.2">
      <c r="B20" s="158" t="s">
        <v>973</v>
      </c>
      <c r="C20" s="157" t="s">
        <v>17</v>
      </c>
      <c r="D20" s="157">
        <f>(D5+2*D6-D7*2)/(D19-1)</f>
        <v>3.4</v>
      </c>
      <c r="AC20" s="158">
        <f>slabcantilever</f>
        <v>2.1</v>
      </c>
      <c r="AE20" s="158">
        <f>centraldistance_MG</f>
        <v>3.4</v>
      </c>
      <c r="AG20" s="162">
        <f>slabcantilever</f>
        <v>2.1</v>
      </c>
    </row>
    <row r="21" spans="1:33" x14ac:dyDescent="0.2">
      <c r="B21" s="158" t="s">
        <v>897</v>
      </c>
      <c r="C21" s="157" t="s">
        <v>17</v>
      </c>
      <c r="D21" s="157">
        <f>D4+2*D10</f>
        <v>39.200000000000003</v>
      </c>
    </row>
    <row r="22" spans="1:33" x14ac:dyDescent="0.2">
      <c r="B22" s="158" t="s">
        <v>974</v>
      </c>
      <c r="C22" s="157" t="s">
        <v>17</v>
      </c>
      <c r="D22" s="161">
        <v>2.1</v>
      </c>
      <c r="F22" s="157" t="s">
        <v>975</v>
      </c>
    </row>
    <row r="23" spans="1:33" x14ac:dyDescent="0.2">
      <c r="B23" s="158" t="s">
        <v>976</v>
      </c>
      <c r="C23" s="157" t="s">
        <v>17</v>
      </c>
      <c r="D23" s="161">
        <v>0.9</v>
      </c>
      <c r="F23" s="157" t="s">
        <v>975</v>
      </c>
    </row>
    <row r="24" spans="1:33" ht="25.5" x14ac:dyDescent="0.2">
      <c r="B24" s="164" t="s">
        <v>977</v>
      </c>
      <c r="C24" s="157" t="s">
        <v>17</v>
      </c>
      <c r="D24" s="161">
        <v>10.199999999999999</v>
      </c>
    </row>
    <row r="25" spans="1:33" ht="25.5" x14ac:dyDescent="0.2">
      <c r="B25" s="164" t="s">
        <v>978</v>
      </c>
      <c r="C25" s="157" t="s">
        <v>17</v>
      </c>
      <c r="D25" s="157">
        <f>length_MG-2*SUM(D22:D24)</f>
        <v>12.8</v>
      </c>
    </row>
    <row r="26" spans="1:33" x14ac:dyDescent="0.2">
      <c r="B26" s="163" t="s">
        <v>979</v>
      </c>
    </row>
    <row r="27" spans="1:33" x14ac:dyDescent="0.2">
      <c r="B27" s="165" t="s">
        <v>980</v>
      </c>
      <c r="C27" s="157" t="s">
        <v>17</v>
      </c>
      <c r="D27" s="161">
        <v>0.75</v>
      </c>
      <c r="E27" s="157" t="s">
        <v>892</v>
      </c>
      <c r="F27" s="161">
        <v>2.5</v>
      </c>
    </row>
    <row r="28" spans="1:33" x14ac:dyDescent="0.2">
      <c r="B28" s="165" t="s">
        <v>913</v>
      </c>
      <c r="C28" s="157" t="s">
        <v>17</v>
      </c>
      <c r="D28" s="161">
        <v>0</v>
      </c>
      <c r="E28" s="157" t="s">
        <v>892</v>
      </c>
      <c r="F28" s="161">
        <v>0</v>
      </c>
    </row>
    <row r="29" spans="1:33" x14ac:dyDescent="0.2">
      <c r="B29" s="163" t="s">
        <v>981</v>
      </c>
    </row>
    <row r="30" spans="1:33" x14ac:dyDescent="0.2">
      <c r="B30" s="165" t="s">
        <v>982</v>
      </c>
      <c r="C30" s="157" t="s">
        <v>17</v>
      </c>
      <c r="D30" s="161">
        <v>0.75</v>
      </c>
      <c r="E30" s="157" t="s">
        <v>892</v>
      </c>
      <c r="F30" s="161">
        <v>0.3</v>
      </c>
    </row>
    <row r="31" spans="1:33" x14ac:dyDescent="0.2">
      <c r="B31" s="165" t="s">
        <v>916</v>
      </c>
      <c r="C31" s="157" t="s">
        <v>17</v>
      </c>
      <c r="D31" s="161">
        <v>0.45</v>
      </c>
      <c r="E31" s="157" t="s">
        <v>892</v>
      </c>
      <c r="F31" s="161">
        <v>0.2</v>
      </c>
    </row>
    <row r="32" spans="1:33" x14ac:dyDescent="0.2">
      <c r="B32" s="165" t="s">
        <v>983</v>
      </c>
      <c r="C32" s="157" t="s">
        <v>17</v>
      </c>
      <c r="D32" s="161">
        <v>0.45</v>
      </c>
      <c r="E32" s="157" t="s">
        <v>892</v>
      </c>
      <c r="F32" s="157">
        <f>height_MG_broadend-F30-F31</f>
        <v>2</v>
      </c>
    </row>
    <row r="33" spans="1:35" x14ac:dyDescent="0.2">
      <c r="B33" s="165" t="s">
        <v>913</v>
      </c>
      <c r="C33" s="157" t="s">
        <v>17</v>
      </c>
      <c r="D33" s="161">
        <v>0.22500000000000001</v>
      </c>
      <c r="E33" s="157" t="s">
        <v>892</v>
      </c>
      <c r="F33" s="161">
        <v>0.115</v>
      </c>
    </row>
    <row r="34" spans="1:35" x14ac:dyDescent="0.2">
      <c r="B34" s="163" t="s">
        <v>984</v>
      </c>
    </row>
    <row r="35" spans="1:35" x14ac:dyDescent="0.2">
      <c r="B35" s="165" t="s">
        <v>982</v>
      </c>
      <c r="C35" s="157" t="s">
        <v>17</v>
      </c>
      <c r="D35" s="161">
        <v>0.75</v>
      </c>
      <c r="E35" s="157" t="s">
        <v>892</v>
      </c>
      <c r="F35" s="161">
        <v>0.3</v>
      </c>
      <c r="K35" s="158" t="s">
        <v>915</v>
      </c>
    </row>
    <row r="36" spans="1:35" x14ac:dyDescent="0.2">
      <c r="B36" s="165" t="s">
        <v>916</v>
      </c>
      <c r="C36" s="157" t="s">
        <v>17</v>
      </c>
      <c r="D36" s="161">
        <v>0.3</v>
      </c>
      <c r="E36" s="157" t="s">
        <v>892</v>
      </c>
      <c r="F36" s="161">
        <v>0.3</v>
      </c>
      <c r="K36" s="158">
        <v>6</v>
      </c>
    </row>
    <row r="37" spans="1:35" x14ac:dyDescent="0.2">
      <c r="B37" s="165" t="s">
        <v>983</v>
      </c>
      <c r="C37" s="157" t="s">
        <v>17</v>
      </c>
      <c r="D37" s="161">
        <v>0.3</v>
      </c>
      <c r="E37" s="157" t="s">
        <v>892</v>
      </c>
      <c r="F37" s="157">
        <f>height_MG_broadend-height_MG_rectangle_II-height_MG_trapezoidal_II</f>
        <v>1.9</v>
      </c>
      <c r="K37" s="158">
        <v>7.5</v>
      </c>
    </row>
    <row r="38" spans="1:35" x14ac:dyDescent="0.2">
      <c r="B38" s="165" t="s">
        <v>913</v>
      </c>
      <c r="C38" s="157" t="s">
        <v>17</v>
      </c>
      <c r="D38" s="161">
        <v>0.3</v>
      </c>
      <c r="E38" s="157" t="s">
        <v>892</v>
      </c>
      <c r="F38" s="161">
        <v>0.15</v>
      </c>
    </row>
    <row r="39" spans="1:35" x14ac:dyDescent="0.2">
      <c r="A39" s="159" t="s">
        <v>896</v>
      </c>
      <c r="B39" s="163" t="s">
        <v>985</v>
      </c>
      <c r="D39" s="156" t="s">
        <v>986</v>
      </c>
    </row>
    <row r="40" spans="1:35" x14ac:dyDescent="0.2">
      <c r="B40" s="158" t="s">
        <v>909</v>
      </c>
      <c r="D40" s="161">
        <v>2</v>
      </c>
      <c r="AG40" s="158">
        <f>width_slab</f>
        <v>11</v>
      </c>
    </row>
    <row r="41" spans="1:35" x14ac:dyDescent="0.2">
      <c r="B41" s="158" t="s">
        <v>987</v>
      </c>
      <c r="C41" s="157" t="s">
        <v>17</v>
      </c>
      <c r="D41" s="161">
        <v>8.15</v>
      </c>
      <c r="E41" s="157" t="s">
        <v>914</v>
      </c>
      <c r="F41" s="157">
        <f>D17</f>
        <v>11</v>
      </c>
      <c r="AE41" s="158">
        <f>footpathwidth</f>
        <v>1.75</v>
      </c>
      <c r="AG41" s="158">
        <f>carriagewaywidth</f>
        <v>7.5</v>
      </c>
      <c r="AI41" s="162">
        <f>footpathwidth</f>
        <v>1.75</v>
      </c>
    </row>
    <row r="42" spans="1:35" x14ac:dyDescent="0.2">
      <c r="B42" s="158" t="s">
        <v>988</v>
      </c>
      <c r="C42" s="157" t="s">
        <v>17</v>
      </c>
      <c r="D42" s="161">
        <v>0.4</v>
      </c>
      <c r="E42" s="157" t="s">
        <v>892</v>
      </c>
      <c r="F42" s="161">
        <v>2.2000000000000002</v>
      </c>
    </row>
    <row r="43" spans="1:35" x14ac:dyDescent="0.2">
      <c r="A43" s="159" t="s">
        <v>904</v>
      </c>
      <c r="B43" s="163" t="s">
        <v>989</v>
      </c>
      <c r="D43" s="156" t="s">
        <v>986</v>
      </c>
      <c r="M43" s="162">
        <f>slabcantilever</f>
        <v>2.1</v>
      </c>
      <c r="N43" s="162">
        <f>slabcantilever-width_MG_broadend/2</f>
        <v>1.7250000000000001</v>
      </c>
      <c r="Z43" s="158">
        <f>footpathwidth</f>
        <v>1.75</v>
      </c>
    </row>
    <row r="44" spans="1:35" x14ac:dyDescent="0.2">
      <c r="B44" s="158" t="s">
        <v>909</v>
      </c>
      <c r="D44" s="161">
        <v>5</v>
      </c>
    </row>
    <row r="45" spans="1:35" x14ac:dyDescent="0.2">
      <c r="B45" s="158" t="s">
        <v>987</v>
      </c>
      <c r="C45" s="157" t="s">
        <v>17</v>
      </c>
      <c r="D45" s="161">
        <v>7.55</v>
      </c>
      <c r="E45" s="157" t="s">
        <v>914</v>
      </c>
      <c r="F45" s="157">
        <f>D17</f>
        <v>11</v>
      </c>
    </row>
    <row r="46" spans="1:35" x14ac:dyDescent="0.2">
      <c r="B46" s="158" t="s">
        <v>988</v>
      </c>
      <c r="C46" s="157" t="s">
        <v>17</v>
      </c>
      <c r="D46" s="161">
        <v>0.3</v>
      </c>
      <c r="E46" s="157" t="s">
        <v>892</v>
      </c>
      <c r="F46" s="161">
        <v>2.2000000000000002</v>
      </c>
      <c r="M46" s="162">
        <f>centraldistance_MG/2</f>
        <v>1.7</v>
      </c>
      <c r="AI46" s="158">
        <f>thickness_cantilever_I</f>
        <v>0.2</v>
      </c>
    </row>
    <row r="47" spans="1:35" x14ac:dyDescent="0.2">
      <c r="B47" s="158" t="s">
        <v>973</v>
      </c>
      <c r="C47" s="157" t="s">
        <v>17</v>
      </c>
      <c r="D47" s="157">
        <f>D4/(D44+1)</f>
        <v>6.3330000000000002</v>
      </c>
      <c r="L47" s="158">
        <f>width_slab</f>
        <v>11</v>
      </c>
      <c r="N47" s="162">
        <f>centraldistance_MG-width_MG_broadend</f>
        <v>2.65</v>
      </c>
      <c r="Z47" s="158">
        <f>carriagewaywidth</f>
        <v>7.5</v>
      </c>
    </row>
    <row r="48" spans="1:35" x14ac:dyDescent="0.2">
      <c r="A48" s="159" t="s">
        <v>907</v>
      </c>
      <c r="B48" s="163" t="s">
        <v>187</v>
      </c>
      <c r="N48" s="158">
        <f>width_EG</f>
        <v>0.4</v>
      </c>
      <c r="AG48" s="162">
        <f>height_IG-thickness_deck</f>
        <v>1.95</v>
      </c>
      <c r="AI48" s="158">
        <f>height_IG-AI46</f>
        <v>2</v>
      </c>
    </row>
    <row r="49" spans="1:35" x14ac:dyDescent="0.2">
      <c r="B49" s="158" t="s">
        <v>909</v>
      </c>
      <c r="D49" s="161">
        <v>2</v>
      </c>
      <c r="M49" s="162">
        <f>centraldistance_MG/2</f>
        <v>1.7</v>
      </c>
    </row>
    <row r="50" spans="1:35" x14ac:dyDescent="0.2">
      <c r="B50" s="158" t="s">
        <v>988</v>
      </c>
      <c r="C50" s="157" t="s">
        <v>17</v>
      </c>
      <c r="D50" s="161">
        <v>3.5</v>
      </c>
      <c r="E50" s="157" t="s">
        <v>892</v>
      </c>
      <c r="F50" s="157">
        <f>width_slab-2*thickness_wingwall</f>
        <v>10.4</v>
      </c>
      <c r="G50" s="157" t="s">
        <v>892</v>
      </c>
      <c r="H50" s="161">
        <v>0.22500000000000001</v>
      </c>
      <c r="AH50" s="158">
        <f>height_MG_trapezoidal_II</f>
        <v>0.3</v>
      </c>
    </row>
    <row r="51" spans="1:35" x14ac:dyDescent="0.2">
      <c r="A51" s="159" t="s">
        <v>908</v>
      </c>
      <c r="B51" s="163" t="s">
        <v>955</v>
      </c>
      <c r="M51" s="162">
        <f>slabcantilever</f>
        <v>2.1</v>
      </c>
    </row>
    <row r="52" spans="1:35" x14ac:dyDescent="0.2">
      <c r="B52" s="158" t="s">
        <v>990</v>
      </c>
      <c r="C52" s="157" t="s">
        <v>17</v>
      </c>
      <c r="D52" s="161">
        <v>3.95</v>
      </c>
      <c r="E52" s="157" t="s">
        <v>892</v>
      </c>
      <c r="F52" s="161">
        <v>1.294</v>
      </c>
      <c r="G52" s="157" t="s">
        <v>892</v>
      </c>
      <c r="H52" s="161">
        <v>0.15</v>
      </c>
      <c r="N52" s="162">
        <f>slabcantilever-width_MG_broadend/2</f>
        <v>1.7250000000000001</v>
      </c>
      <c r="Z52" s="158">
        <f>footpathwidth</f>
        <v>1.75</v>
      </c>
      <c r="AI52" s="162">
        <f>height_MG_rectangle_II</f>
        <v>0.3</v>
      </c>
    </row>
    <row r="53" spans="1:35" x14ac:dyDescent="0.2">
      <c r="B53" s="158" t="s">
        <v>991</v>
      </c>
      <c r="D53" s="369">
        <v>26</v>
      </c>
      <c r="E53" s="157" t="s">
        <v>902</v>
      </c>
      <c r="F53" s="368">
        <f>ROUND(D50/(D15/(D53-1))+1,0)</f>
        <v>3</v>
      </c>
      <c r="N53" s="158">
        <f>length_MG_transition</f>
        <v>0.9</v>
      </c>
      <c r="P53" s="162">
        <f>centraldistance_IG-N53-N54-width_IG/2</f>
        <v>3.7829999999999999</v>
      </c>
      <c r="AG53" s="162">
        <f>centraldistance_MG-stem_thickness_MG</f>
        <v>3.1</v>
      </c>
    </row>
    <row r="54" spans="1:35" x14ac:dyDescent="0.2">
      <c r="B54" s="158" t="s">
        <v>992</v>
      </c>
      <c r="C54" s="157" t="s">
        <v>17</v>
      </c>
      <c r="D54" s="161">
        <v>0.2</v>
      </c>
      <c r="E54" s="157" t="s">
        <v>892</v>
      </c>
      <c r="F54" s="161">
        <v>0.2</v>
      </c>
      <c r="G54" s="157" t="s">
        <v>892</v>
      </c>
      <c r="H54" s="161">
        <v>1</v>
      </c>
      <c r="M54" s="158">
        <f>width_EG/2</f>
        <v>0.2</v>
      </c>
      <c r="N54" s="162">
        <f>length_MG_broadend-offset_abutment</f>
        <v>1.5</v>
      </c>
      <c r="Q54" s="162">
        <f>width_IG</f>
        <v>0.3</v>
      </c>
      <c r="R54" s="162">
        <f>centraldistance_IG-width_IG/2</f>
        <v>6.1829999999999998</v>
      </c>
      <c r="Y54" s="158">
        <f>offset_pier</f>
        <v>1.5049999999999999</v>
      </c>
      <c r="AE54" s="158">
        <f>slabcantilever</f>
        <v>2.1</v>
      </c>
      <c r="AG54" s="158">
        <f>centraldistance_MG</f>
        <v>3.4</v>
      </c>
      <c r="AI54" s="162">
        <f>slabcantilever</f>
        <v>2.1</v>
      </c>
    </row>
    <row r="55" spans="1:35" x14ac:dyDescent="0.2">
      <c r="B55" s="158" t="s">
        <v>993</v>
      </c>
      <c r="C55" s="157" t="s">
        <v>893</v>
      </c>
      <c r="D55" s="161">
        <v>0.10199999999999999</v>
      </c>
      <c r="M55" s="158">
        <f>offset_abutment</f>
        <v>0.6</v>
      </c>
      <c r="O55" s="158">
        <f>centraldistance_IG</f>
        <v>6.3330000000000002</v>
      </c>
      <c r="R55" s="158">
        <f>centraldistance_IG</f>
        <v>6.3330000000000002</v>
      </c>
      <c r="V55" s="158">
        <f>spanlength/2+offset_pier</f>
        <v>20.504999999999999</v>
      </c>
    </row>
    <row r="56" spans="1:35" x14ac:dyDescent="0.2">
      <c r="B56" s="158" t="s">
        <v>994</v>
      </c>
      <c r="C56" s="157" t="s">
        <v>893</v>
      </c>
      <c r="D56" s="161">
        <v>0.09</v>
      </c>
    </row>
    <row r="57" spans="1:35" x14ac:dyDescent="0.2">
      <c r="A57" s="159" t="s">
        <v>911</v>
      </c>
      <c r="B57" s="163" t="s">
        <v>396</v>
      </c>
      <c r="S57" s="158">
        <f>spanlength</f>
        <v>38</v>
      </c>
    </row>
    <row r="58" spans="1:35" x14ac:dyDescent="0.2">
      <c r="B58" s="158" t="s">
        <v>995</v>
      </c>
      <c r="D58" s="369">
        <v>7</v>
      </c>
      <c r="E58" s="162" t="s">
        <v>996</v>
      </c>
    </row>
    <row r="59" spans="1:35" ht="14.25" x14ac:dyDescent="0.2">
      <c r="B59" s="166" t="s">
        <v>997</v>
      </c>
      <c r="D59" s="367"/>
      <c r="E59" s="167"/>
    </row>
    <row r="60" spans="1:35" x14ac:dyDescent="0.2">
      <c r="B60" s="158" t="s">
        <v>998</v>
      </c>
      <c r="D60" s="161">
        <v>12.7</v>
      </c>
      <c r="E60" s="162"/>
    </row>
    <row r="61" spans="1:35" x14ac:dyDescent="0.2">
      <c r="B61" s="158" t="s">
        <v>999</v>
      </c>
      <c r="D61" s="157">
        <f>PI()*D60^2/4</f>
        <v>126.67700000000001</v>
      </c>
      <c r="E61" s="162"/>
    </row>
    <row r="62" spans="1:35" x14ac:dyDescent="0.2">
      <c r="B62" s="158" t="s">
        <v>1000</v>
      </c>
      <c r="D62" s="161">
        <v>0.78</v>
      </c>
      <c r="E62" s="162"/>
    </row>
    <row r="63" spans="1:35" x14ac:dyDescent="0.2">
      <c r="B63" s="158" t="s">
        <v>1001</v>
      </c>
      <c r="D63" s="157">
        <f>D61*D62</f>
        <v>98.808000000000007</v>
      </c>
      <c r="E63" s="162"/>
    </row>
    <row r="64" spans="1:35" x14ac:dyDescent="0.2">
      <c r="B64" s="158" t="s">
        <v>1002</v>
      </c>
      <c r="D64" s="161">
        <v>19</v>
      </c>
      <c r="E64" s="162"/>
    </row>
    <row r="65" spans="1:33" x14ac:dyDescent="0.2">
      <c r="B65" s="158" t="s">
        <v>1003</v>
      </c>
      <c r="D65" s="157">
        <f>D63*D64</f>
        <v>1877.3520000000001</v>
      </c>
      <c r="E65" s="162"/>
    </row>
    <row r="66" spans="1:33" x14ac:dyDescent="0.2">
      <c r="B66" s="158" t="s">
        <v>1004</v>
      </c>
      <c r="D66" s="369">
        <v>7</v>
      </c>
      <c r="E66" s="162"/>
    </row>
    <row r="67" spans="1:33" ht="16.5" x14ac:dyDescent="0.2">
      <c r="B67" s="158" t="s">
        <v>1005</v>
      </c>
      <c r="D67" s="157">
        <f>D65*D66</f>
        <v>13141.464</v>
      </c>
      <c r="E67" s="162" t="s">
        <v>1006</v>
      </c>
    </row>
    <row r="68" spans="1:33" ht="16.5" x14ac:dyDescent="0.2">
      <c r="D68" s="157">
        <f>D67/(1000*1000)</f>
        <v>1.2999999999999999E-2</v>
      </c>
      <c r="E68" s="162" t="s">
        <v>1007</v>
      </c>
      <c r="O68" s="155">
        <f>width_EG/2</f>
        <v>0.2</v>
      </c>
      <c r="P68" s="155">
        <f>length_MG_broadend-offset_abutment</f>
        <v>1.5</v>
      </c>
      <c r="Q68" s="158">
        <f>length_MG_transition</f>
        <v>0.9</v>
      </c>
      <c r="U68" s="158">
        <f>length_MG_narrowportion/2</f>
        <v>6.4</v>
      </c>
    </row>
    <row r="69" spans="1:33" x14ac:dyDescent="0.2">
      <c r="A69" s="159" t="s">
        <v>1008</v>
      </c>
      <c r="B69" s="163" t="s">
        <v>1009</v>
      </c>
    </row>
    <row r="70" spans="1:33" x14ac:dyDescent="0.2">
      <c r="B70" s="158" t="s">
        <v>909</v>
      </c>
      <c r="D70" s="369">
        <v>12</v>
      </c>
      <c r="E70" s="162" t="s">
        <v>1010</v>
      </c>
    </row>
    <row r="71" spans="1:33" x14ac:dyDescent="0.2">
      <c r="O71" s="158">
        <f>width_MG_broadend</f>
        <v>0.75</v>
      </c>
    </row>
    <row r="75" spans="1:33" x14ac:dyDescent="0.2">
      <c r="O75" s="158">
        <f>offset_abutment</f>
        <v>0.6</v>
      </c>
      <c r="Q75" s="158">
        <f>P68+Q68+1</f>
        <v>3.4</v>
      </c>
      <c r="U75" s="158">
        <f>T76-Q75</f>
        <v>15.6</v>
      </c>
    </row>
    <row r="76" spans="1:33" x14ac:dyDescent="0.2">
      <c r="T76" s="158">
        <f>spanlength/2</f>
        <v>19</v>
      </c>
      <c r="AC76" s="162">
        <f>Q75</f>
        <v>3.4</v>
      </c>
      <c r="AG76" s="158">
        <f>U75</f>
        <v>15.6</v>
      </c>
    </row>
    <row r="77" spans="1:33" x14ac:dyDescent="0.2">
      <c r="AF77" s="158">
        <f>T76</f>
        <v>19</v>
      </c>
    </row>
    <row r="84" spans="2:25" x14ac:dyDescent="0.2">
      <c r="T84" s="158">
        <f>width_slab</f>
        <v>11</v>
      </c>
    </row>
    <row r="87" spans="2:25" x14ac:dyDescent="0.2">
      <c r="Y87" s="162">
        <f>thickness_cantilever_I</f>
        <v>0.2</v>
      </c>
    </row>
    <row r="88" spans="2:25" x14ac:dyDescent="0.2">
      <c r="Y88" s="162"/>
    </row>
    <row r="89" spans="2:25" x14ac:dyDescent="0.2">
      <c r="Y89" s="162"/>
    </row>
    <row r="90" spans="2:25" x14ac:dyDescent="0.2">
      <c r="Y90" s="162">
        <f>height_EG-Y87-Y94</f>
        <v>1.7</v>
      </c>
    </row>
    <row r="91" spans="2:25" x14ac:dyDescent="0.2">
      <c r="Y91" s="162"/>
    </row>
    <row r="92" spans="2:25" x14ac:dyDescent="0.2">
      <c r="G92" s="157">
        <f>width_slab</f>
        <v>11</v>
      </c>
      <c r="Y92" s="162"/>
    </row>
    <row r="93" spans="2:25" x14ac:dyDescent="0.2">
      <c r="B93" s="157">
        <f>footpathwidth</f>
        <v>1.75</v>
      </c>
      <c r="G93" s="157">
        <f>carriagewaywidth</f>
        <v>7.5</v>
      </c>
      <c r="K93" s="162">
        <f>footpathwidth</f>
        <v>1.75</v>
      </c>
      <c r="Y93" s="162"/>
    </row>
    <row r="94" spans="2:25" x14ac:dyDescent="0.2">
      <c r="Y94" s="162">
        <f>height_MG_broadend-height_EG</f>
        <v>0.3</v>
      </c>
    </row>
    <row r="95" spans="2:25" x14ac:dyDescent="0.2">
      <c r="Y95" s="162"/>
    </row>
    <row r="96" spans="2:25" x14ac:dyDescent="0.2">
      <c r="Q96" s="162">
        <f>W96</f>
        <v>1.7250000000000001</v>
      </c>
      <c r="R96" s="158">
        <f>width_MG_broadend</f>
        <v>0.75</v>
      </c>
      <c r="T96" s="158">
        <f>centraldistance_MG-width_MG_broadend</f>
        <v>2.65</v>
      </c>
      <c r="V96" s="158">
        <f>width_MG_broadend</f>
        <v>0.75</v>
      </c>
      <c r="W96" s="158">
        <f>slabcantilever-width_MG_broadend/2</f>
        <v>1.7250000000000001</v>
      </c>
    </row>
    <row r="97" spans="17:23" x14ac:dyDescent="0.2">
      <c r="T97" s="158">
        <f>centraldistance_MG</f>
        <v>3.4</v>
      </c>
    </row>
    <row r="102" spans="17:23" x14ac:dyDescent="0.2">
      <c r="Q102" s="158">
        <f>slabcantilever-stem_thickness_MG/2</f>
        <v>1.95</v>
      </c>
      <c r="T102" s="158">
        <f>width_slab-2*Q102</f>
        <v>7.1</v>
      </c>
      <c r="W102" s="158">
        <f>Q102</f>
        <v>1.95</v>
      </c>
    </row>
    <row r="113" spans="17:23" x14ac:dyDescent="0.2">
      <c r="Q113" s="158">
        <f>Q96</f>
        <v>1.7250000000000001</v>
      </c>
      <c r="R113" s="158">
        <f>R96</f>
        <v>0.75</v>
      </c>
      <c r="T113" s="158">
        <f>T96</f>
        <v>2.65</v>
      </c>
      <c r="V113" s="158">
        <f>V96</f>
        <v>0.75</v>
      </c>
      <c r="W113" s="158">
        <f>W96</f>
        <v>1.7250000000000001</v>
      </c>
    </row>
  </sheetData>
  <mergeCells count="1">
    <mergeCell ref="D1:F1"/>
  </mergeCells>
  <conditionalFormatting sqref="D3:D68">
    <cfRule type="expression" dxfId="2" priority="1">
      <formula>B3="Number"</formula>
    </cfRule>
  </conditionalFormatting>
  <conditionalFormatting sqref="F3">
    <cfRule type="expression" dxfId="1" priority="2">
      <formula>B3="Number"</formula>
    </cfRule>
  </conditionalFormatting>
  <dataValidations count="1">
    <dataValidation type="list" allowBlank="1" showInputMessage="1" showErrorMessage="1" sqref="D5" xr:uid="{00000000-0002-0000-0000-000000000000}">
      <formula1>"7.5,6"</formula1>
    </dataValidation>
  </dataValidations>
  <pageMargins left="0.7" right="0.7" top="0.75" bottom="0.75" header="0.3" footer="0.3"/>
  <pageSetup orientation="portrait" r:id="rId1"/>
  <drawing r:id="rId2"/>
  <legacyDrawing r:id="rId3"/>
  <oleObjects>
    <mc:AlternateContent xmlns:mc="http://schemas.openxmlformats.org/markup-compatibility/2006">
      <mc:Choice Requires="x14">
        <oleObject progId="AutoCAD.Drawing.22" shapeId="45057" r:id="rId4">
          <objectPr defaultSize="0" autoPict="0" r:id="rId5">
            <anchor moveWithCells="1">
              <from>
                <xdr:col>12</xdr:col>
                <xdr:colOff>590550</xdr:colOff>
                <xdr:row>2</xdr:row>
                <xdr:rowOff>133350</xdr:rowOff>
              </from>
              <to>
                <xdr:col>23</xdr:col>
                <xdr:colOff>438150</xdr:colOff>
                <xdr:row>24</xdr:row>
                <xdr:rowOff>104775</xdr:rowOff>
              </to>
            </anchor>
          </objectPr>
        </oleObject>
      </mc:Choice>
      <mc:Fallback>
        <oleObject progId="AutoCAD.Drawing.22" shapeId="45057" r:id="rId4"/>
      </mc:Fallback>
    </mc:AlternateContent>
    <mc:AlternateContent xmlns:mc="http://schemas.openxmlformats.org/markup-compatibility/2006">
      <mc:Choice Requires="x14">
        <oleObject progId="AutoCAD.Drawing.22" shapeId="45058" r:id="rId6">
          <objectPr defaultSize="0" autoPict="0" r:id="rId7">
            <anchor moveWithCells="1">
              <from>
                <xdr:col>10</xdr:col>
                <xdr:colOff>257175</xdr:colOff>
                <xdr:row>35</xdr:row>
                <xdr:rowOff>152400</xdr:rowOff>
              </from>
              <to>
                <xdr:col>27</xdr:col>
                <xdr:colOff>57150</xdr:colOff>
                <xdr:row>60</xdr:row>
                <xdr:rowOff>76200</xdr:rowOff>
              </to>
            </anchor>
          </objectPr>
        </oleObject>
      </mc:Choice>
      <mc:Fallback>
        <oleObject progId="AutoCAD.Drawing.22" shapeId="45058" r:id="rId6"/>
      </mc:Fallback>
    </mc:AlternateContent>
    <mc:AlternateContent xmlns:mc="http://schemas.openxmlformats.org/markup-compatibility/2006">
      <mc:Choice Requires="x14">
        <oleObject progId="AutoCAD.Drawing.22" shapeId="45059" r:id="rId8">
          <objectPr defaultSize="0" autoPict="0" r:id="rId9">
            <anchor moveWithCells="1">
              <from>
                <xdr:col>24</xdr:col>
                <xdr:colOff>466725</xdr:colOff>
                <xdr:row>4</xdr:row>
                <xdr:rowOff>57150</xdr:rowOff>
              </from>
              <to>
                <xdr:col>35</xdr:col>
                <xdr:colOff>514350</xdr:colOff>
                <xdr:row>23</xdr:row>
                <xdr:rowOff>200025</xdr:rowOff>
              </to>
            </anchor>
          </objectPr>
        </oleObject>
      </mc:Choice>
      <mc:Fallback>
        <oleObject progId="AutoCAD.Drawing.22" shapeId="45059" r:id="rId8"/>
      </mc:Fallback>
    </mc:AlternateContent>
    <mc:AlternateContent xmlns:mc="http://schemas.openxmlformats.org/markup-compatibility/2006">
      <mc:Choice Requires="x14">
        <oleObject progId="AutoCAD.Drawing.22" shapeId="45060" r:id="rId10">
          <objectPr defaultSize="0" autoPict="0" r:id="rId11">
            <anchor moveWithCells="1">
              <from>
                <xdr:col>26</xdr:col>
                <xdr:colOff>438150</xdr:colOff>
                <xdr:row>36</xdr:row>
                <xdr:rowOff>104775</xdr:rowOff>
              </from>
              <to>
                <xdr:col>37</xdr:col>
                <xdr:colOff>590550</xdr:colOff>
                <xdr:row>60</xdr:row>
                <xdr:rowOff>95250</xdr:rowOff>
              </to>
            </anchor>
          </objectPr>
        </oleObject>
      </mc:Choice>
      <mc:Fallback>
        <oleObject progId="AutoCAD.Drawing.22" shapeId="45060" r:id="rId10"/>
      </mc:Fallback>
    </mc:AlternateContent>
    <mc:AlternateContent xmlns:mc="http://schemas.openxmlformats.org/markup-compatibility/2006">
      <mc:Choice Requires="x14">
        <oleObject progId="AutoCAD.Drawing.22" shapeId="45061" r:id="rId12">
          <objectPr defaultSize="0" autoPict="0" r:id="rId13">
            <anchor moveWithCells="1">
              <from>
                <xdr:col>14</xdr:col>
                <xdr:colOff>342900</xdr:colOff>
                <xdr:row>61</xdr:row>
                <xdr:rowOff>9525</xdr:rowOff>
              </from>
              <to>
                <xdr:col>24</xdr:col>
                <xdr:colOff>466725</xdr:colOff>
                <xdr:row>82</xdr:row>
                <xdr:rowOff>57150</xdr:rowOff>
              </to>
            </anchor>
          </objectPr>
        </oleObject>
      </mc:Choice>
      <mc:Fallback>
        <oleObject progId="AutoCAD.Drawing.22" shapeId="45061" r:id="rId12"/>
      </mc:Fallback>
    </mc:AlternateContent>
    <mc:AlternateContent xmlns:mc="http://schemas.openxmlformats.org/markup-compatibility/2006">
      <mc:Choice Requires="x14">
        <oleObject progId="AutoCAD.Drawing.22" shapeId="45062" r:id="rId14">
          <objectPr defaultSize="0" autoPict="0" r:id="rId15">
            <anchor moveWithCells="1">
              <from>
                <xdr:col>26</xdr:col>
                <xdr:colOff>171450</xdr:colOff>
                <xdr:row>65</xdr:row>
                <xdr:rowOff>76200</xdr:rowOff>
              </from>
              <to>
                <xdr:col>36</xdr:col>
                <xdr:colOff>352425</xdr:colOff>
                <xdr:row>80</xdr:row>
                <xdr:rowOff>19050</xdr:rowOff>
              </to>
            </anchor>
          </objectPr>
        </oleObject>
      </mc:Choice>
      <mc:Fallback>
        <oleObject progId="AutoCAD.Drawing.22" shapeId="45062" r:id="rId14"/>
      </mc:Fallback>
    </mc:AlternateContent>
    <mc:AlternateContent xmlns:mc="http://schemas.openxmlformats.org/markup-compatibility/2006">
      <mc:Choice Requires="x14">
        <oleObject progId="AutoCAD.Drawing.22" shapeId="45063" r:id="rId16">
          <objectPr defaultSize="0" autoPict="0" r:id="rId17">
            <anchor moveWithCells="1">
              <from>
                <xdr:col>14</xdr:col>
                <xdr:colOff>238125</xdr:colOff>
                <xdr:row>83</xdr:row>
                <xdr:rowOff>19050</xdr:rowOff>
              </from>
              <to>
                <xdr:col>25</xdr:col>
                <xdr:colOff>104775</xdr:colOff>
                <xdr:row>98</xdr:row>
                <xdr:rowOff>123825</xdr:rowOff>
              </to>
            </anchor>
          </objectPr>
        </oleObject>
      </mc:Choice>
      <mc:Fallback>
        <oleObject progId="AutoCAD.Drawing.22" shapeId="45063" r:id="rId16"/>
      </mc:Fallback>
    </mc:AlternateContent>
    <mc:AlternateContent xmlns:mc="http://schemas.openxmlformats.org/markup-compatibility/2006">
      <mc:Choice Requires="x14">
        <oleObject progId="AutoCAD.Drawing.22" shapeId="45064" r:id="rId18">
          <objectPr defaultSize="0" autoPict="0" r:id="rId19">
            <anchor moveWithCells="1">
              <from>
                <xdr:col>26</xdr:col>
                <xdr:colOff>228600</xdr:colOff>
                <xdr:row>82</xdr:row>
                <xdr:rowOff>161925</xdr:rowOff>
              </from>
              <to>
                <xdr:col>31</xdr:col>
                <xdr:colOff>514350</xdr:colOff>
                <xdr:row>94</xdr:row>
                <xdr:rowOff>123825</xdr:rowOff>
              </to>
            </anchor>
          </objectPr>
        </oleObject>
      </mc:Choice>
      <mc:Fallback>
        <oleObject progId="AutoCAD.Drawing.22" shapeId="45064" r:id="rId18"/>
      </mc:Fallback>
    </mc:AlternateContent>
    <mc:AlternateContent xmlns:mc="http://schemas.openxmlformats.org/markup-compatibility/2006">
      <mc:Choice Requires="x14">
        <oleObject progId="AutoCAD.Drawing.22" shapeId="45065" r:id="rId20">
          <objectPr defaultSize="0" autoPict="0" r:id="rId21">
            <anchor moveWithCells="1">
              <from>
                <xdr:col>15</xdr:col>
                <xdr:colOff>95250</xdr:colOff>
                <xdr:row>101</xdr:row>
                <xdr:rowOff>9525</xdr:rowOff>
              </from>
              <to>
                <xdr:col>24</xdr:col>
                <xdr:colOff>219075</xdr:colOff>
                <xdr:row>114</xdr:row>
                <xdr:rowOff>57150</xdr:rowOff>
              </to>
            </anchor>
          </objectPr>
        </oleObject>
      </mc:Choice>
      <mc:Fallback>
        <oleObject progId="AutoCAD.Drawing.22" shapeId="45065" r:id="rId20"/>
      </mc:Fallback>
    </mc:AlternateContent>
    <mc:AlternateContent xmlns:mc="http://schemas.openxmlformats.org/markup-compatibility/2006">
      <mc:Choice Requires="x14">
        <oleObject progId="AutoCAD.Drawing.22" shapeId="45066" r:id="rId22">
          <objectPr defaultSize="0" autoPict="0" r:id="rId23">
            <anchor moveWithCells="1">
              <from>
                <xdr:col>1</xdr:col>
                <xdr:colOff>466725</xdr:colOff>
                <xdr:row>88</xdr:row>
                <xdr:rowOff>161925</xdr:rowOff>
              </from>
              <to>
                <xdr:col>11</xdr:col>
                <xdr:colOff>561975</xdr:colOff>
                <xdr:row>106</xdr:row>
                <xdr:rowOff>9525</xdr:rowOff>
              </to>
            </anchor>
          </objectPr>
        </oleObject>
      </mc:Choice>
      <mc:Fallback>
        <oleObject progId="AutoCAD.Drawing.22" shapeId="45066" r:id="rId22"/>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49"/>
  <sheetViews>
    <sheetView workbookViewId="0"/>
  </sheetViews>
  <sheetFormatPr defaultColWidth="8.85546875" defaultRowHeight="12.75" x14ac:dyDescent="0.2"/>
  <cols>
    <col min="1" max="1" width="2.7109375" style="155" bestFit="1" customWidth="1"/>
    <col min="2" max="2" width="16" style="158" bestFit="1" customWidth="1"/>
    <col min="3" max="3" width="4.5703125" style="157" bestFit="1" customWidth="1"/>
    <col min="4" max="4" width="7.5703125" style="157" bestFit="1" customWidth="1"/>
    <col min="5" max="5" width="2.42578125" style="157" bestFit="1" customWidth="1"/>
    <col min="6" max="6" width="8.140625" style="157" customWidth="1"/>
    <col min="7" max="7" width="1.7109375" style="157" bestFit="1" customWidth="1"/>
    <col min="8" max="8" width="8.85546875" style="157"/>
    <col min="9" max="16384" width="8.85546875" style="158"/>
  </cols>
  <sheetData>
    <row r="1" spans="1:27" x14ac:dyDescent="0.2">
      <c r="B1" s="156" t="s">
        <v>950</v>
      </c>
      <c r="C1" s="156" t="s">
        <v>7</v>
      </c>
      <c r="D1" s="912" t="s">
        <v>891</v>
      </c>
      <c r="E1" s="912"/>
      <c r="F1" s="912"/>
    </row>
    <row r="2" spans="1:27" x14ac:dyDescent="0.2">
      <c r="A2" s="159"/>
      <c r="B2" s="158" t="s">
        <v>909</v>
      </c>
      <c r="D2" s="368">
        <f>number_enddeck+number_intermediatedeck-1</f>
        <v>1</v>
      </c>
    </row>
    <row r="3" spans="1:27" x14ac:dyDescent="0.2">
      <c r="A3" s="159" t="s">
        <v>85</v>
      </c>
      <c r="B3" s="163" t="s">
        <v>183</v>
      </c>
    </row>
    <row r="4" spans="1:27" x14ac:dyDescent="0.2">
      <c r="B4" s="158" t="s">
        <v>910</v>
      </c>
      <c r="C4" s="157" t="s">
        <v>17</v>
      </c>
      <c r="D4" s="161">
        <v>12</v>
      </c>
      <c r="E4" s="157" t="s">
        <v>892</v>
      </c>
      <c r="F4" s="161">
        <v>12</v>
      </c>
      <c r="G4" s="157" t="s">
        <v>892</v>
      </c>
      <c r="H4" s="161">
        <v>1</v>
      </c>
      <c r="Y4" s="158">
        <f>piercap_width_rect</f>
        <v>9.1999999999999993</v>
      </c>
    </row>
    <row r="5" spans="1:27" x14ac:dyDescent="0.2">
      <c r="B5" s="158" t="s">
        <v>916</v>
      </c>
      <c r="C5" s="157" t="s">
        <v>17</v>
      </c>
      <c r="D5" s="161">
        <v>8.1</v>
      </c>
      <c r="E5" s="157" t="s">
        <v>892</v>
      </c>
      <c r="F5" s="161">
        <v>8.1</v>
      </c>
      <c r="G5" s="157" t="s">
        <v>892</v>
      </c>
      <c r="H5" s="161">
        <v>1.5</v>
      </c>
      <c r="P5" s="162">
        <f>piercap_length_rect</f>
        <v>4.2</v>
      </c>
      <c r="Y5" s="158">
        <f>centraldistance_MG</f>
        <v>3.4</v>
      </c>
    </row>
    <row r="6" spans="1:27" x14ac:dyDescent="0.2">
      <c r="A6" s="159" t="s">
        <v>321</v>
      </c>
      <c r="B6" s="163" t="s">
        <v>1011</v>
      </c>
      <c r="D6" s="156" t="s">
        <v>1012</v>
      </c>
      <c r="P6" s="162">
        <f>prestressingspace+2*offset_abutment</f>
        <v>3.06</v>
      </c>
    </row>
    <row r="7" spans="1:27" x14ac:dyDescent="0.2">
      <c r="B7" s="158" t="s">
        <v>1013</v>
      </c>
      <c r="C7" s="157" t="s">
        <v>17</v>
      </c>
      <c r="D7" s="161">
        <v>2.5</v>
      </c>
    </row>
    <row r="8" spans="1:27" x14ac:dyDescent="0.2">
      <c r="B8" s="158" t="s">
        <v>903</v>
      </c>
      <c r="C8" s="157" t="s">
        <v>17</v>
      </c>
      <c r="D8" s="161">
        <v>11.06</v>
      </c>
      <c r="AA8" s="162">
        <f>piercap_height_rect</f>
        <v>1</v>
      </c>
    </row>
    <row r="9" spans="1:27" x14ac:dyDescent="0.2">
      <c r="A9" s="159" t="s">
        <v>896</v>
      </c>
      <c r="B9" s="163" t="s">
        <v>1014</v>
      </c>
      <c r="Q9" s="162">
        <f>piercap_height_rect</f>
        <v>1</v>
      </c>
    </row>
    <row r="10" spans="1:27" x14ac:dyDescent="0.2">
      <c r="B10" s="158" t="s">
        <v>916</v>
      </c>
      <c r="C10" s="157" t="s">
        <v>17</v>
      </c>
      <c r="D10" s="161">
        <v>2.5</v>
      </c>
      <c r="E10" s="157" t="s">
        <v>892</v>
      </c>
      <c r="F10" s="161">
        <v>2.5</v>
      </c>
      <c r="G10" s="157" t="s">
        <v>892</v>
      </c>
      <c r="H10" s="161">
        <v>1</v>
      </c>
      <c r="AA10" s="158">
        <f>piercap_height_trapezoidal</f>
        <v>1</v>
      </c>
    </row>
    <row r="11" spans="1:27" x14ac:dyDescent="0.2">
      <c r="B11" s="158" t="s">
        <v>910</v>
      </c>
      <c r="C11" s="157" t="s">
        <v>17</v>
      </c>
      <c r="D11" s="161">
        <v>4.2</v>
      </c>
      <c r="E11" s="157" t="s">
        <v>892</v>
      </c>
      <c r="F11" s="161">
        <v>9.1999999999999993</v>
      </c>
      <c r="G11" s="157" t="s">
        <v>892</v>
      </c>
      <c r="H11" s="161">
        <v>1</v>
      </c>
    </row>
    <row r="12" spans="1:27" x14ac:dyDescent="0.2">
      <c r="A12" s="159" t="s">
        <v>904</v>
      </c>
      <c r="B12" s="163" t="s">
        <v>1015</v>
      </c>
    </row>
    <row r="13" spans="1:27" x14ac:dyDescent="0.2">
      <c r="B13" s="158" t="s">
        <v>909</v>
      </c>
      <c r="D13" s="368">
        <f>2*number_MG</f>
        <v>6</v>
      </c>
    </row>
    <row r="14" spans="1:27" x14ac:dyDescent="0.2">
      <c r="B14" s="158" t="s">
        <v>895</v>
      </c>
      <c r="C14" s="157" t="s">
        <v>17</v>
      </c>
      <c r="D14" s="157">
        <f>pedestal_width</f>
        <v>0.8</v>
      </c>
      <c r="E14" s="157" t="s">
        <v>892</v>
      </c>
      <c r="F14" s="157">
        <f>pedestal_length</f>
        <v>0.8</v>
      </c>
      <c r="G14" s="157" t="s">
        <v>892</v>
      </c>
      <c r="H14" s="157">
        <v>0.25</v>
      </c>
      <c r="AA14" s="158">
        <f>pierstem_height</f>
        <v>11.06</v>
      </c>
    </row>
    <row r="15" spans="1:27" x14ac:dyDescent="0.2">
      <c r="A15" s="159" t="s">
        <v>907</v>
      </c>
      <c r="B15" s="163" t="s">
        <v>247</v>
      </c>
    </row>
    <row r="16" spans="1:27" x14ac:dyDescent="0.2">
      <c r="B16" s="158" t="s">
        <v>909</v>
      </c>
      <c r="D16" s="369">
        <v>2</v>
      </c>
    </row>
    <row r="17" spans="2:28" x14ac:dyDescent="0.2">
      <c r="B17" s="158" t="s">
        <v>897</v>
      </c>
      <c r="C17" s="157" t="s">
        <v>17</v>
      </c>
      <c r="D17" s="157">
        <f>piercap_length_rect</f>
        <v>4.2</v>
      </c>
    </row>
    <row r="18" spans="2:28" x14ac:dyDescent="0.2">
      <c r="B18" s="158" t="s">
        <v>899</v>
      </c>
      <c r="C18" s="157" t="s">
        <v>17</v>
      </c>
      <c r="D18" s="161">
        <v>0.3</v>
      </c>
      <c r="E18" s="157" t="s">
        <v>914</v>
      </c>
      <c r="F18" s="161">
        <v>0.6</v>
      </c>
    </row>
    <row r="19" spans="2:28" x14ac:dyDescent="0.2">
      <c r="B19" s="158" t="s">
        <v>903</v>
      </c>
      <c r="C19" s="157" t="s">
        <v>17</v>
      </c>
      <c r="D19" s="161">
        <v>0.6</v>
      </c>
      <c r="E19" s="157" t="s">
        <v>914</v>
      </c>
      <c r="F19" s="161">
        <v>0.91</v>
      </c>
      <c r="O19" s="162">
        <f>(P24-P19)/2</f>
        <v>1.95</v>
      </c>
      <c r="P19" s="162">
        <f>pierfooting_length_trapezoidal</f>
        <v>8.1</v>
      </c>
      <c r="Q19" s="158">
        <f>O19</f>
        <v>1.95</v>
      </c>
    </row>
    <row r="20" spans="2:28" x14ac:dyDescent="0.2">
      <c r="AA20" s="158">
        <f>pierfooting_height_trapezoidal</f>
        <v>1.5</v>
      </c>
    </row>
    <row r="21" spans="2:28" x14ac:dyDescent="0.2">
      <c r="N21" s="158">
        <f>pierfooting_height_trapezoidal</f>
        <v>1.5</v>
      </c>
    </row>
    <row r="22" spans="2:28" x14ac:dyDescent="0.2">
      <c r="AA22" s="158">
        <f>pierfooting_height_rect</f>
        <v>1</v>
      </c>
    </row>
    <row r="23" spans="2:28" x14ac:dyDescent="0.2">
      <c r="N23" s="158">
        <f>pierfooting_height_rect</f>
        <v>1</v>
      </c>
    </row>
    <row r="24" spans="2:28" x14ac:dyDescent="0.2">
      <c r="P24" s="162">
        <f>pierfooting_length_rect</f>
        <v>12</v>
      </c>
      <c r="Y24" s="158">
        <f>pierfooting_width_rect</f>
        <v>12</v>
      </c>
      <c r="AB24" s="162">
        <f>pierstem_diameter</f>
        <v>2.5</v>
      </c>
    </row>
    <row r="31" spans="2:28" x14ac:dyDescent="0.2">
      <c r="V31" s="162">
        <f>pierfooting_width_rect</f>
        <v>12</v>
      </c>
    </row>
    <row r="32" spans="2:28" x14ac:dyDescent="0.2">
      <c r="U32" s="162">
        <f>V31/2</f>
        <v>6</v>
      </c>
      <c r="W32" s="158">
        <f>U32</f>
        <v>6</v>
      </c>
    </row>
    <row r="34" spans="19:22" x14ac:dyDescent="0.2">
      <c r="V34" s="162">
        <f>P6</f>
        <v>3.06</v>
      </c>
    </row>
    <row r="35" spans="19:22" x14ac:dyDescent="0.2">
      <c r="S35" s="158">
        <f>O19</f>
        <v>1.95</v>
      </c>
      <c r="V35" s="162">
        <f>P5</f>
        <v>4.2</v>
      </c>
    </row>
    <row r="42" spans="19:22" x14ac:dyDescent="0.2">
      <c r="S42" s="158">
        <f>pierfooting_width_trapezoidal</f>
        <v>8.1</v>
      </c>
      <c r="T42" s="162">
        <f>Y5</f>
        <v>3.4</v>
      </c>
      <c r="U42" s="162">
        <f>Y4</f>
        <v>9.1999999999999993</v>
      </c>
      <c r="V42" s="162">
        <f>piercap_width_trapezoidal</f>
        <v>2.5</v>
      </c>
    </row>
    <row r="49" spans="19:19" x14ac:dyDescent="0.2">
      <c r="S49" s="158">
        <f>Q19</f>
        <v>1.95</v>
      </c>
    </row>
  </sheetData>
  <mergeCells count="1">
    <mergeCell ref="D1:F1"/>
  </mergeCells>
  <pageMargins left="0.7" right="0.7" top="0.75" bottom="0.75" header="0.3" footer="0.3"/>
  <pageSetup orientation="portrait" r:id="rId1"/>
  <drawing r:id="rId2"/>
  <legacyDrawing r:id="rId3"/>
  <oleObjects>
    <mc:AlternateContent xmlns:mc="http://schemas.openxmlformats.org/markup-compatibility/2006">
      <mc:Choice Requires="x14">
        <oleObject progId="AutoCAD.Drawing.22" shapeId="46081" r:id="rId4">
          <objectPr defaultSize="0" autoPict="0" r:id="rId5">
            <anchor moveWithCells="1">
              <from>
                <xdr:col>9</xdr:col>
                <xdr:colOff>552450</xdr:colOff>
                <xdr:row>2</xdr:row>
                <xdr:rowOff>38100</xdr:rowOff>
              </from>
              <to>
                <xdr:col>20</xdr:col>
                <xdr:colOff>247650</xdr:colOff>
                <xdr:row>26</xdr:row>
                <xdr:rowOff>47625</xdr:rowOff>
              </to>
            </anchor>
          </objectPr>
        </oleObject>
      </mc:Choice>
      <mc:Fallback>
        <oleObject progId="AutoCAD.Drawing.22" shapeId="46081" r:id="rId4"/>
      </mc:Fallback>
    </mc:AlternateContent>
    <mc:AlternateContent xmlns:mc="http://schemas.openxmlformats.org/markup-compatibility/2006">
      <mc:Choice Requires="x14">
        <oleObject progId="AutoCAD.Drawing.22" shapeId="46082" r:id="rId6">
          <objectPr defaultSize="0" autoPict="0" r:id="rId7">
            <anchor moveWithCells="1">
              <from>
                <xdr:col>19</xdr:col>
                <xdr:colOff>419100</xdr:colOff>
                <xdr:row>3</xdr:row>
                <xdr:rowOff>57150</xdr:rowOff>
              </from>
              <to>
                <xdr:col>31</xdr:col>
                <xdr:colOff>257175</xdr:colOff>
                <xdr:row>26</xdr:row>
                <xdr:rowOff>57150</xdr:rowOff>
              </to>
            </anchor>
          </objectPr>
        </oleObject>
      </mc:Choice>
      <mc:Fallback>
        <oleObject progId="AutoCAD.Drawing.22" shapeId="46082" r:id="rId6"/>
      </mc:Fallback>
    </mc:AlternateContent>
    <mc:AlternateContent xmlns:mc="http://schemas.openxmlformats.org/markup-compatibility/2006">
      <mc:Choice Requires="x14">
        <oleObject progId="AutoCAD.Drawing.22" shapeId="46083" r:id="rId8">
          <objectPr defaultSize="0" autoPict="0" r:id="rId9">
            <anchor moveWithCells="1">
              <from>
                <xdr:col>14</xdr:col>
                <xdr:colOff>95250</xdr:colOff>
                <xdr:row>30</xdr:row>
                <xdr:rowOff>133350</xdr:rowOff>
              </from>
              <to>
                <xdr:col>28</xdr:col>
                <xdr:colOff>438150</xdr:colOff>
                <xdr:row>51</xdr:row>
                <xdr:rowOff>133350</xdr:rowOff>
              </to>
            </anchor>
          </objectPr>
        </oleObject>
      </mc:Choice>
      <mc:Fallback>
        <oleObject progId="AutoCAD.Drawing.22" shapeId="46083" r:id="rId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73"/>
  <sheetViews>
    <sheetView workbookViewId="0"/>
  </sheetViews>
  <sheetFormatPr defaultColWidth="8.85546875" defaultRowHeight="12.75" x14ac:dyDescent="0.2"/>
  <cols>
    <col min="1" max="1" width="12.28515625" style="155" bestFit="1" customWidth="1"/>
    <col min="2" max="2" width="18.5703125" style="158" bestFit="1" customWidth="1"/>
    <col min="3" max="3" width="4.5703125" style="157" bestFit="1" customWidth="1"/>
    <col min="4" max="4" width="10.140625" style="157" bestFit="1" customWidth="1"/>
    <col min="5" max="5" width="3.7109375" style="157" customWidth="1"/>
    <col min="6" max="6" width="8.140625" style="157" bestFit="1" customWidth="1"/>
    <col min="7" max="7" width="11.28515625" style="157" bestFit="1" customWidth="1"/>
    <col min="8" max="8" width="6.7109375" style="158" customWidth="1"/>
    <col min="9" max="16384" width="8.85546875" style="158"/>
  </cols>
  <sheetData>
    <row r="1" spans="1:35" x14ac:dyDescent="0.2">
      <c r="B1" s="156" t="s">
        <v>950</v>
      </c>
      <c r="C1" s="156" t="s">
        <v>7</v>
      </c>
      <c r="D1" s="912" t="s">
        <v>891</v>
      </c>
      <c r="E1" s="912"/>
      <c r="F1" s="912"/>
    </row>
    <row r="2" spans="1:35" x14ac:dyDescent="0.2">
      <c r="B2" s="158" t="s">
        <v>1016</v>
      </c>
      <c r="D2" s="371">
        <v>2</v>
      </c>
      <c r="E2" s="168"/>
      <c r="F2" s="168"/>
      <c r="G2" s="168"/>
      <c r="H2" s="169"/>
    </row>
    <row r="3" spans="1:35" x14ac:dyDescent="0.2">
      <c r="A3" s="159" t="s">
        <v>85</v>
      </c>
      <c r="B3" s="163" t="s">
        <v>183</v>
      </c>
      <c r="C3" s="156"/>
      <c r="D3" s="170"/>
      <c r="E3" s="170"/>
      <c r="F3" s="168"/>
      <c r="G3" s="168"/>
      <c r="H3" s="169"/>
    </row>
    <row r="4" spans="1:35" x14ac:dyDescent="0.2">
      <c r="A4" s="159"/>
      <c r="B4" s="158" t="s">
        <v>1017</v>
      </c>
      <c r="C4" s="156"/>
      <c r="D4" s="372" t="s">
        <v>1084</v>
      </c>
      <c r="E4" s="170"/>
      <c r="F4" s="168"/>
      <c r="G4" s="168"/>
      <c r="H4" s="169"/>
    </row>
    <row r="5" spans="1:35" x14ac:dyDescent="0.2">
      <c r="B5" s="158" t="s">
        <v>917</v>
      </c>
      <c r="C5" s="157" t="s">
        <v>17</v>
      </c>
      <c r="D5" s="373">
        <v>4.3</v>
      </c>
      <c r="E5" s="162" t="str">
        <f>IF($D$4="rectangular","","and")</f>
        <v>and</v>
      </c>
      <c r="F5" s="372">
        <v>2.5</v>
      </c>
      <c r="G5" s="168"/>
      <c r="H5" s="169"/>
    </row>
    <row r="6" spans="1:35" x14ac:dyDescent="0.2">
      <c r="B6" s="158" t="s">
        <v>1018</v>
      </c>
      <c r="C6" s="157" t="s">
        <v>17</v>
      </c>
      <c r="D6" s="373">
        <v>2.2000000000000002</v>
      </c>
      <c r="E6" s="162"/>
      <c r="F6" s="171"/>
      <c r="G6" s="168"/>
      <c r="H6" s="169"/>
    </row>
    <row r="7" spans="1:35" x14ac:dyDescent="0.2">
      <c r="B7" s="158" t="s">
        <v>918</v>
      </c>
      <c r="C7" s="157" t="s">
        <v>17</v>
      </c>
      <c r="D7" s="373">
        <v>2.5</v>
      </c>
      <c r="E7" s="162" t="str">
        <f>IF($D$4="rectangular","","and")</f>
        <v>and</v>
      </c>
      <c r="F7" s="372">
        <v>2.5</v>
      </c>
      <c r="G7" s="168"/>
      <c r="H7" s="169"/>
      <c r="R7" s="158">
        <f>length_wingwall</f>
        <v>3.5</v>
      </c>
      <c r="S7" s="158">
        <f>thickness_backwall</f>
        <v>0.3</v>
      </c>
    </row>
    <row r="8" spans="1:35" x14ac:dyDescent="0.2">
      <c r="B8" s="158" t="s">
        <v>897</v>
      </c>
      <c r="C8" s="157" t="s">
        <v>17</v>
      </c>
      <c r="D8" s="373">
        <f>SUM(D5:D7)</f>
        <v>9</v>
      </c>
      <c r="E8" s="162" t="str">
        <f>IF($D$4="rectangular","","and")</f>
        <v>and</v>
      </c>
      <c r="F8" s="372">
        <f>IF($D$4="rectangular","",SUM(F5:F7,abutment_stem_base))</f>
        <v>7.2</v>
      </c>
      <c r="G8" s="168"/>
      <c r="H8" s="169"/>
      <c r="R8" s="162">
        <f>thickness_deck</f>
        <v>0.25</v>
      </c>
      <c r="AD8" s="158">
        <f>thickness_deck</f>
        <v>0.25</v>
      </c>
    </row>
    <row r="9" spans="1:35" x14ac:dyDescent="0.2">
      <c r="B9" s="158" t="s">
        <v>899</v>
      </c>
      <c r="C9" s="157" t="s">
        <v>17</v>
      </c>
      <c r="D9" s="373">
        <v>11.6</v>
      </c>
      <c r="E9" s="162" t="str">
        <f>IF($D$4="rectangular","","and")</f>
        <v>and</v>
      </c>
      <c r="F9" s="372">
        <v>11.6</v>
      </c>
      <c r="G9" s="168"/>
      <c r="H9" s="169"/>
      <c r="R9" s="162">
        <f>height_slabseat_I</f>
        <v>0.25</v>
      </c>
    </row>
    <row r="10" spans="1:35" x14ac:dyDescent="0.2">
      <c r="B10" s="158" t="s">
        <v>903</v>
      </c>
      <c r="C10" s="157" t="s">
        <v>17</v>
      </c>
      <c r="D10" s="373">
        <v>1</v>
      </c>
      <c r="E10" s="162" t="str">
        <f>IF($D$4="rectangular","","and")</f>
        <v>and</v>
      </c>
      <c r="F10" s="372">
        <v>0.75</v>
      </c>
      <c r="G10" s="168"/>
      <c r="H10" s="169"/>
      <c r="R10" s="162">
        <f>height_slabseat_II-height_slabseat_I</f>
        <v>0.25</v>
      </c>
    </row>
    <row r="11" spans="1:35" x14ac:dyDescent="0.2">
      <c r="A11" s="159" t="s">
        <v>321</v>
      </c>
      <c r="B11" s="163" t="s">
        <v>174</v>
      </c>
      <c r="D11" s="168"/>
      <c r="E11" s="168"/>
      <c r="F11" s="168"/>
      <c r="G11" s="168"/>
      <c r="H11" s="169"/>
      <c r="U11" s="162">
        <f>height_backwall</f>
        <v>2.8</v>
      </c>
      <c r="AG11" s="162">
        <f>centraldistance_MG</f>
        <v>3.4</v>
      </c>
    </row>
    <row r="12" spans="1:35" x14ac:dyDescent="0.2">
      <c r="B12" s="158" t="s">
        <v>1019</v>
      </c>
      <c r="C12" s="157" t="s">
        <v>17</v>
      </c>
      <c r="D12" s="373">
        <v>0.3</v>
      </c>
      <c r="E12" s="168"/>
      <c r="F12" s="168"/>
      <c r="G12" s="168"/>
      <c r="H12" s="169"/>
      <c r="J12" s="158" t="s">
        <v>1020</v>
      </c>
      <c r="R12" s="162">
        <f>U11+T15-R9-R8-R10</f>
        <v>2.5499999999999998</v>
      </c>
      <c r="T12" s="162">
        <f>length_abutmentcap_I</f>
        <v>1.3</v>
      </c>
      <c r="AD12" s="158">
        <f>U11-AD8</f>
        <v>2.5499999999999998</v>
      </c>
    </row>
    <row r="13" spans="1:35" x14ac:dyDescent="0.2">
      <c r="B13" s="158" t="s">
        <v>1021</v>
      </c>
      <c r="C13" s="157" t="s">
        <v>17</v>
      </c>
      <c r="D13" s="168">
        <f>D6</f>
        <v>2.2000000000000002</v>
      </c>
      <c r="E13" s="168"/>
      <c r="F13" s="168"/>
      <c r="G13" s="168"/>
      <c r="H13" s="169"/>
      <c r="J13" s="158">
        <f>D16/(D13-D14)</f>
        <v>7.4160000000000004</v>
      </c>
    </row>
    <row r="14" spans="1:35" x14ac:dyDescent="0.2">
      <c r="B14" s="158" t="s">
        <v>898</v>
      </c>
      <c r="C14" s="157" t="s">
        <v>17</v>
      </c>
      <c r="D14" s="373">
        <v>1.31</v>
      </c>
      <c r="E14" s="168" t="s">
        <v>1022</v>
      </c>
      <c r="F14" s="373">
        <v>1.57</v>
      </c>
      <c r="G14" s="168"/>
      <c r="H14" s="169"/>
      <c r="AH14" s="162">
        <f>height_seismicstopper_I</f>
        <v>0.7</v>
      </c>
      <c r="AI14" s="162">
        <f>height_seismicstopper_II</f>
        <v>1</v>
      </c>
    </row>
    <row r="15" spans="1:35" x14ac:dyDescent="0.2">
      <c r="B15" s="158" t="s">
        <v>899</v>
      </c>
      <c r="C15" s="157" t="s">
        <v>17</v>
      </c>
      <c r="D15" s="168">
        <f>abutment_width_I-2*D12</f>
        <v>11</v>
      </c>
      <c r="E15" s="168"/>
      <c r="F15" s="168"/>
      <c r="G15" s="168"/>
      <c r="H15" s="169"/>
      <c r="S15" s="158">
        <f>abutment_neck_II</f>
        <v>1.57</v>
      </c>
      <c r="T15" s="155">
        <f>height_abutmentcap</f>
        <v>0.5</v>
      </c>
      <c r="AD15" s="158">
        <f>T15</f>
        <v>0.5</v>
      </c>
    </row>
    <row r="16" spans="1:35" x14ac:dyDescent="0.2">
      <c r="B16" s="158" t="s">
        <v>900</v>
      </c>
      <c r="C16" s="157" t="s">
        <v>17</v>
      </c>
      <c r="D16" s="373">
        <v>6.6</v>
      </c>
      <c r="E16" s="168"/>
      <c r="F16" s="168"/>
      <c r="G16" s="168"/>
      <c r="H16" s="169"/>
      <c r="R16" s="158">
        <f>hunch_abutment_neckII</f>
        <v>0.3</v>
      </c>
      <c r="U16" s="162">
        <f>abutment_neck_I</f>
        <v>1.31</v>
      </c>
      <c r="AH16" s="158">
        <f>width_seismicstopper_II</f>
        <v>1</v>
      </c>
    </row>
    <row r="17" spans="1:35" x14ac:dyDescent="0.2">
      <c r="B17" s="158" t="s">
        <v>901</v>
      </c>
      <c r="C17" s="157" t="s">
        <v>17</v>
      </c>
      <c r="D17" s="168">
        <f>SQRT(D16^2+(D13-D14)^2)</f>
        <v>6.66</v>
      </c>
      <c r="E17" s="168" t="s">
        <v>902</v>
      </c>
      <c r="F17" s="168">
        <f>D18*SQRT(1+1/J13^2)</f>
        <v>0.30299999999999999</v>
      </c>
      <c r="G17" s="168"/>
      <c r="H17" s="169"/>
    </row>
    <row r="18" spans="1:35" x14ac:dyDescent="0.2">
      <c r="B18" s="158" t="s">
        <v>1023</v>
      </c>
      <c r="C18" s="157" t="s">
        <v>17</v>
      </c>
      <c r="D18" s="373">
        <v>0.3</v>
      </c>
      <c r="E18" s="168" t="s">
        <v>892</v>
      </c>
      <c r="F18" s="373">
        <v>0.3</v>
      </c>
      <c r="G18" s="168" t="s">
        <v>1024</v>
      </c>
      <c r="H18" s="169"/>
    </row>
    <row r="19" spans="1:35" x14ac:dyDescent="0.2">
      <c r="A19" s="159" t="s">
        <v>896</v>
      </c>
      <c r="B19" s="163" t="s">
        <v>1025</v>
      </c>
      <c r="D19" s="168"/>
      <c r="E19" s="168"/>
      <c r="F19" s="168"/>
      <c r="G19" s="168"/>
      <c r="H19" s="169"/>
      <c r="Q19" s="158">
        <f>SUM(R29,R28,R22,R16,R12,R8:R10)</f>
        <v>11.95</v>
      </c>
    </row>
    <row r="20" spans="1:35" x14ac:dyDescent="0.2">
      <c r="B20" s="158" t="s">
        <v>897</v>
      </c>
      <c r="C20" s="157" t="s">
        <v>17</v>
      </c>
      <c r="D20" s="373">
        <v>1.3</v>
      </c>
      <c r="E20" s="168" t="s">
        <v>902</v>
      </c>
      <c r="F20" s="168">
        <f>D24</f>
        <v>0.3</v>
      </c>
      <c r="G20" s="168"/>
      <c r="H20" s="169"/>
    </row>
    <row r="21" spans="1:35" x14ac:dyDescent="0.2">
      <c r="B21" s="158" t="s">
        <v>899</v>
      </c>
      <c r="C21" s="157" t="s">
        <v>17</v>
      </c>
      <c r="D21" s="168">
        <f>D15</f>
        <v>11</v>
      </c>
      <c r="E21" s="168"/>
      <c r="F21" s="168"/>
      <c r="G21" s="168"/>
      <c r="H21" s="169"/>
    </row>
    <row r="22" spans="1:35" x14ac:dyDescent="0.2">
      <c r="B22" s="158" t="s">
        <v>903</v>
      </c>
      <c r="C22" s="157" t="s">
        <v>17</v>
      </c>
      <c r="D22" s="373">
        <v>0.5</v>
      </c>
      <c r="E22" s="168"/>
      <c r="F22" s="168"/>
      <c r="G22" s="168"/>
      <c r="H22" s="169"/>
      <c r="R22" s="162">
        <f>height_abutment</f>
        <v>6.6</v>
      </c>
      <c r="AD22" s="158">
        <f>R22+R16</f>
        <v>6.9</v>
      </c>
    </row>
    <row r="23" spans="1:35" x14ac:dyDescent="0.2">
      <c r="A23" s="159" t="s">
        <v>904</v>
      </c>
      <c r="B23" s="163" t="s">
        <v>905</v>
      </c>
      <c r="D23" s="168"/>
      <c r="E23" s="168"/>
      <c r="F23" s="168"/>
      <c r="G23" s="168"/>
      <c r="H23" s="169"/>
    </row>
    <row r="24" spans="1:35" x14ac:dyDescent="0.2">
      <c r="B24" s="158" t="s">
        <v>906</v>
      </c>
      <c r="C24" s="157" t="s">
        <v>17</v>
      </c>
      <c r="D24" s="373">
        <v>0.3</v>
      </c>
      <c r="E24" s="168"/>
      <c r="F24" s="168"/>
      <c r="G24" s="168"/>
      <c r="H24" s="169"/>
    </row>
    <row r="25" spans="1:35" x14ac:dyDescent="0.2">
      <c r="B25" s="158" t="s">
        <v>899</v>
      </c>
      <c r="C25" s="157" t="s">
        <v>17</v>
      </c>
      <c r="D25" s="168">
        <f>D15</f>
        <v>11</v>
      </c>
      <c r="E25" s="168"/>
      <c r="F25" s="168"/>
      <c r="G25" s="168"/>
      <c r="H25" s="169"/>
    </row>
    <row r="26" spans="1:35" x14ac:dyDescent="0.2">
      <c r="B26" s="158" t="s">
        <v>903</v>
      </c>
      <c r="C26" s="157" t="s">
        <v>17</v>
      </c>
      <c r="D26" s="373">
        <v>2.8</v>
      </c>
      <c r="E26" s="168"/>
      <c r="F26" s="168"/>
      <c r="G26" s="168"/>
      <c r="H26" s="169"/>
    </row>
    <row r="27" spans="1:35" x14ac:dyDescent="0.2">
      <c r="A27" s="159" t="s">
        <v>907</v>
      </c>
      <c r="B27" s="163" t="s">
        <v>1026</v>
      </c>
      <c r="D27" s="168"/>
      <c r="E27" s="168"/>
      <c r="F27" s="168"/>
      <c r="G27" s="168"/>
      <c r="H27" s="169"/>
      <c r="S27" s="158">
        <f>abutment_heel_II</f>
        <v>2.5</v>
      </c>
      <c r="T27" s="158">
        <f>abutment_toe_II</f>
        <v>2.5</v>
      </c>
      <c r="AD27" s="158">
        <f>D12</f>
        <v>0.3</v>
      </c>
      <c r="AG27" s="162">
        <f>width_abutment</f>
        <v>11</v>
      </c>
      <c r="AI27" s="162">
        <f>AD27</f>
        <v>0.3</v>
      </c>
    </row>
    <row r="28" spans="1:35" x14ac:dyDescent="0.2">
      <c r="B28" s="158" t="s">
        <v>906</v>
      </c>
      <c r="C28" s="157" t="s">
        <v>17</v>
      </c>
      <c r="D28" s="373">
        <v>0.25</v>
      </c>
      <c r="E28" s="168"/>
      <c r="F28" s="168"/>
      <c r="G28" s="168"/>
      <c r="H28" s="169"/>
      <c r="R28" s="162">
        <f>abutment_footingheight_II</f>
        <v>0.75</v>
      </c>
    </row>
    <row r="29" spans="1:35" x14ac:dyDescent="0.2">
      <c r="B29" s="158" t="s">
        <v>899</v>
      </c>
      <c r="C29" s="157" t="s">
        <v>17</v>
      </c>
      <c r="D29" s="168">
        <f>D15</f>
        <v>11</v>
      </c>
      <c r="E29" s="168"/>
      <c r="F29" s="168"/>
      <c r="G29" s="168"/>
      <c r="H29" s="169"/>
      <c r="R29" s="162">
        <f>abutment_footingheight_I</f>
        <v>1</v>
      </c>
    </row>
    <row r="30" spans="1:35" x14ac:dyDescent="0.2">
      <c r="B30" s="158" t="s">
        <v>903</v>
      </c>
      <c r="C30" s="157" t="s">
        <v>17</v>
      </c>
      <c r="D30" s="373">
        <v>0.25</v>
      </c>
      <c r="E30" s="168" t="s">
        <v>1022</v>
      </c>
      <c r="F30" s="373">
        <v>0.5</v>
      </c>
      <c r="G30" s="168"/>
      <c r="H30" s="169"/>
      <c r="AD30" s="158">
        <f>SUM(R29,R28)</f>
        <v>1.75</v>
      </c>
    </row>
    <row r="31" spans="1:35" x14ac:dyDescent="0.2">
      <c r="A31" s="159" t="s">
        <v>908</v>
      </c>
      <c r="B31" s="163" t="s">
        <v>1027</v>
      </c>
      <c r="D31" s="168"/>
      <c r="E31" s="168"/>
      <c r="F31" s="168"/>
      <c r="G31" s="168"/>
      <c r="H31" s="169"/>
    </row>
    <row r="32" spans="1:35" x14ac:dyDescent="0.2">
      <c r="B32" s="158" t="s">
        <v>909</v>
      </c>
      <c r="D32" s="370">
        <f>number_MG</f>
        <v>3</v>
      </c>
      <c r="E32" s="168"/>
      <c r="F32" s="168"/>
      <c r="G32" s="168"/>
      <c r="H32" s="169"/>
      <c r="S32" s="162">
        <f>abutment_heel_I</f>
        <v>4.3</v>
      </c>
      <c r="T32" s="162">
        <f>abutment_stem_base</f>
        <v>2.2000000000000002</v>
      </c>
      <c r="U32" s="162">
        <f>abutment_toe_I</f>
        <v>2.5</v>
      </c>
      <c r="AG32" s="162">
        <f>abutment_width_I</f>
        <v>11.6</v>
      </c>
    </row>
    <row r="33" spans="1:20" x14ac:dyDescent="0.2">
      <c r="B33" s="158" t="s">
        <v>895</v>
      </c>
      <c r="C33" s="157" t="s">
        <v>17</v>
      </c>
      <c r="D33" s="373">
        <v>0.8</v>
      </c>
      <c r="E33" s="168" t="s">
        <v>892</v>
      </c>
      <c r="F33" s="373">
        <v>0.8</v>
      </c>
      <c r="G33" s="168" t="s">
        <v>892</v>
      </c>
      <c r="H33" s="373">
        <v>0.17499999999999999</v>
      </c>
      <c r="T33" s="162">
        <f>length_abutment_footing_I</f>
        <v>9</v>
      </c>
    </row>
    <row r="34" spans="1:20" x14ac:dyDescent="0.2">
      <c r="A34" s="159" t="s">
        <v>911</v>
      </c>
      <c r="B34" s="163" t="s">
        <v>247</v>
      </c>
      <c r="D34" s="168"/>
      <c r="E34" s="168"/>
      <c r="F34" s="168"/>
      <c r="G34" s="168"/>
      <c r="H34" s="169"/>
    </row>
    <row r="35" spans="1:20" x14ac:dyDescent="0.2">
      <c r="B35" s="158" t="s">
        <v>909</v>
      </c>
      <c r="D35" s="371">
        <v>2</v>
      </c>
      <c r="E35" s="168"/>
      <c r="F35" s="168"/>
      <c r="G35" s="168"/>
      <c r="H35" s="169"/>
    </row>
    <row r="36" spans="1:20" x14ac:dyDescent="0.2">
      <c r="B36" s="158" t="s">
        <v>897</v>
      </c>
      <c r="C36" s="157" t="s">
        <v>17</v>
      </c>
      <c r="D36" s="168">
        <f>D20</f>
        <v>1.3</v>
      </c>
      <c r="E36" s="168"/>
      <c r="F36" s="168"/>
      <c r="G36" s="168"/>
      <c r="H36" s="169"/>
    </row>
    <row r="37" spans="1:20" x14ac:dyDescent="0.2">
      <c r="B37" s="158" t="s">
        <v>899</v>
      </c>
      <c r="C37" s="157" t="s">
        <v>17</v>
      </c>
      <c r="D37" s="373">
        <v>0.7</v>
      </c>
      <c r="E37" s="168" t="s">
        <v>1022</v>
      </c>
      <c r="F37" s="373">
        <v>1</v>
      </c>
      <c r="G37" s="168"/>
      <c r="H37" s="169"/>
    </row>
    <row r="38" spans="1:20" x14ac:dyDescent="0.2">
      <c r="B38" s="158" t="s">
        <v>903</v>
      </c>
      <c r="C38" s="157" t="s">
        <v>17</v>
      </c>
      <c r="D38" s="373">
        <v>0.7</v>
      </c>
      <c r="E38" s="168" t="s">
        <v>1022</v>
      </c>
      <c r="F38" s="373">
        <v>1</v>
      </c>
      <c r="G38" s="168"/>
      <c r="H38" s="169"/>
    </row>
    <row r="39" spans="1:20" x14ac:dyDescent="0.2">
      <c r="A39" s="159" t="s">
        <v>1028</v>
      </c>
      <c r="B39" s="163" t="s">
        <v>912</v>
      </c>
      <c r="D39" s="168"/>
      <c r="E39" s="168"/>
      <c r="F39" s="168"/>
      <c r="G39" s="168"/>
      <c r="H39" s="169"/>
    </row>
    <row r="40" spans="1:20" x14ac:dyDescent="0.2">
      <c r="B40" s="158" t="s">
        <v>1029</v>
      </c>
      <c r="D40" s="371">
        <v>2</v>
      </c>
      <c r="E40" s="168"/>
      <c r="F40" s="168"/>
      <c r="G40" s="168"/>
      <c r="H40" s="169"/>
    </row>
    <row r="41" spans="1:20" x14ac:dyDescent="0.2">
      <c r="B41" s="158" t="s">
        <v>906</v>
      </c>
      <c r="C41" s="157" t="s">
        <v>17</v>
      </c>
      <c r="D41" s="373">
        <v>0.3</v>
      </c>
      <c r="E41" s="168"/>
      <c r="F41" s="168"/>
      <c r="G41" s="168"/>
      <c r="H41" s="169"/>
    </row>
    <row r="42" spans="1:20" x14ac:dyDescent="0.2">
      <c r="B42" s="158" t="s">
        <v>897</v>
      </c>
      <c r="C42" s="157" t="s">
        <v>17</v>
      </c>
      <c r="D42" s="373">
        <v>3.5</v>
      </c>
      <c r="E42" s="168"/>
      <c r="F42" s="168"/>
      <c r="G42" s="168"/>
      <c r="H42" s="169"/>
    </row>
    <row r="43" spans="1:20" x14ac:dyDescent="0.2">
      <c r="B43" s="158" t="s">
        <v>903</v>
      </c>
      <c r="C43" s="157" t="s">
        <v>17</v>
      </c>
      <c r="D43" s="373">
        <v>1.7</v>
      </c>
      <c r="E43" s="168" t="s">
        <v>1022</v>
      </c>
      <c r="F43" s="373">
        <f>1+2.2</f>
        <v>3.2</v>
      </c>
      <c r="G43" s="168"/>
      <c r="H43" s="169"/>
    </row>
    <row r="44" spans="1:20" x14ac:dyDescent="0.2">
      <c r="B44" s="158" t="s">
        <v>267</v>
      </c>
      <c r="C44" s="157" t="s">
        <v>17</v>
      </c>
      <c r="D44" s="161">
        <v>0.3</v>
      </c>
      <c r="E44" s="157" t="s">
        <v>892</v>
      </c>
      <c r="F44" s="161">
        <v>0.3</v>
      </c>
    </row>
    <row r="59" spans="24:27" x14ac:dyDescent="0.2">
      <c r="X59" s="162">
        <f>abutment_heel_I</f>
        <v>4.3</v>
      </c>
    </row>
    <row r="61" spans="24:27" x14ac:dyDescent="0.2">
      <c r="Z61" s="158">
        <f>width_abutment</f>
        <v>11</v>
      </c>
    </row>
    <row r="63" spans="24:27" x14ac:dyDescent="0.2">
      <c r="Z63" s="158">
        <f>thickness_backwall</f>
        <v>0.3</v>
      </c>
    </row>
    <row r="64" spans="24:27" x14ac:dyDescent="0.2">
      <c r="AA64" s="158">
        <f>pedestal_length</f>
        <v>0.8</v>
      </c>
    </row>
    <row r="65" spans="23:28" x14ac:dyDescent="0.2">
      <c r="W65" s="162">
        <f>length_abutment_footing_I</f>
        <v>9</v>
      </c>
    </row>
    <row r="66" spans="23:28" x14ac:dyDescent="0.2">
      <c r="X66" s="162">
        <f>abutment_stem_base</f>
        <v>2.2000000000000002</v>
      </c>
    </row>
    <row r="67" spans="23:28" x14ac:dyDescent="0.2">
      <c r="AB67" s="158">
        <f>pedestal_width</f>
        <v>0.8</v>
      </c>
    </row>
    <row r="68" spans="23:28" x14ac:dyDescent="0.2">
      <c r="Y68" s="162">
        <f>D12</f>
        <v>0.3</v>
      </c>
    </row>
    <row r="70" spans="23:28" x14ac:dyDescent="0.2">
      <c r="X70" s="162">
        <f>abutment_toe_I</f>
        <v>2.5</v>
      </c>
    </row>
    <row r="73" spans="23:28" x14ac:dyDescent="0.2">
      <c r="Z73" s="158">
        <f>abutment_width_I</f>
        <v>11.6</v>
      </c>
    </row>
  </sheetData>
  <mergeCells count="1">
    <mergeCell ref="D1:F1"/>
  </mergeCells>
  <conditionalFormatting sqref="F5:F11 R28">
    <cfRule type="expression" dxfId="0" priority="1">
      <formula>$D$4="rectangular"</formula>
    </cfRule>
  </conditionalFormatting>
  <dataValidations count="1">
    <dataValidation type="list" allowBlank="1" showInputMessage="1" showErrorMessage="1" sqref="D4 H4" xr:uid="{00000000-0002-0000-0200-000000000000}">
      <formula1>"rectangular, trapezoidal"</formula1>
    </dataValidation>
  </dataValidations>
  <pageMargins left="0.7" right="0.7" top="0.75" bottom="0.75" header="0.3" footer="0.3"/>
  <pageSetup orientation="portrait" r:id="rId1"/>
  <drawing r:id="rId2"/>
  <legacyDrawing r:id="rId3"/>
  <oleObjects>
    <mc:AlternateContent xmlns:mc="http://schemas.openxmlformats.org/markup-compatibility/2006">
      <mc:Choice Requires="x14">
        <oleObject progId="AutoCAD.Drawing.22" shapeId="47106" r:id="rId4">
          <objectPr defaultSize="0" autoPict="0" r:id="rId5">
            <anchor moveWithCells="1">
              <from>
                <xdr:col>24</xdr:col>
                <xdr:colOff>495300</xdr:colOff>
                <xdr:row>6</xdr:row>
                <xdr:rowOff>57150</xdr:rowOff>
              </from>
              <to>
                <xdr:col>39</xdr:col>
                <xdr:colOff>447675</xdr:colOff>
                <xdr:row>35</xdr:row>
                <xdr:rowOff>47625</xdr:rowOff>
              </to>
            </anchor>
          </objectPr>
        </oleObject>
      </mc:Choice>
      <mc:Fallback>
        <oleObject progId="AutoCAD.Drawing.22" shapeId="47106" r:id="rId4"/>
      </mc:Fallback>
    </mc:AlternateContent>
    <mc:AlternateContent xmlns:mc="http://schemas.openxmlformats.org/markup-compatibility/2006">
      <mc:Choice Requires="x14">
        <oleObject progId="AutoCAD.Drawing.22" shapeId="47107" r:id="rId6">
          <objectPr defaultSize="0" autoPict="0" r:id="rId7">
            <anchor moveWithCells="1">
              <from>
                <xdr:col>17</xdr:col>
                <xdr:colOff>561975</xdr:colOff>
                <xdr:row>52</xdr:row>
                <xdr:rowOff>47625</xdr:rowOff>
              </from>
              <to>
                <xdr:col>34</xdr:col>
                <xdr:colOff>561975</xdr:colOff>
                <xdr:row>76</xdr:row>
                <xdr:rowOff>85725</xdr:rowOff>
              </to>
            </anchor>
          </objectPr>
        </oleObject>
      </mc:Choice>
      <mc:Fallback>
        <oleObject progId="AutoCAD.Drawing.22" shapeId="47107" r:id="rId6"/>
      </mc:Fallback>
    </mc:AlternateContent>
    <mc:AlternateContent xmlns:mc="http://schemas.openxmlformats.org/markup-compatibility/2006">
      <mc:Choice Requires="x14">
        <oleObject progId="AutoCAD.Drawing.22" shapeId="47105" r:id="rId8">
          <objectPr defaultSize="0" autoPict="0" r:id="rId9">
            <anchor moveWithCells="1">
              <from>
                <xdr:col>11</xdr:col>
                <xdr:colOff>342900</xdr:colOff>
                <xdr:row>4</xdr:row>
                <xdr:rowOff>85725</xdr:rowOff>
              </from>
              <to>
                <xdr:col>26</xdr:col>
                <xdr:colOff>133350</xdr:colOff>
                <xdr:row>35</xdr:row>
                <xdr:rowOff>57150</xdr:rowOff>
              </to>
            </anchor>
          </objectPr>
        </oleObject>
      </mc:Choice>
      <mc:Fallback>
        <oleObject progId="AutoCAD.Drawing.22" shapeId="47105"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7:J57"/>
  <sheetViews>
    <sheetView topLeftCell="A4" workbookViewId="0"/>
  </sheetViews>
  <sheetFormatPr defaultColWidth="8.85546875" defaultRowHeight="12.75" x14ac:dyDescent="0.2"/>
  <cols>
    <col min="1" max="3" width="8.85546875" style="12"/>
    <col min="4" max="4" width="5.85546875" style="12" customWidth="1"/>
    <col min="5" max="5" width="7.5703125" style="12" customWidth="1"/>
    <col min="6" max="16384" width="8.85546875" style="12"/>
  </cols>
  <sheetData>
    <row r="7" spans="1:10" ht="15.75" x14ac:dyDescent="0.2">
      <c r="A7" s="913" t="s">
        <v>1153</v>
      </c>
      <c r="B7" s="913"/>
      <c r="C7" s="913"/>
      <c r="D7" s="913"/>
      <c r="E7" s="913"/>
      <c r="F7" s="913"/>
      <c r="G7" s="913"/>
      <c r="H7" s="913"/>
      <c r="I7" s="913"/>
      <c r="J7" s="913"/>
    </row>
    <row r="8" spans="1:10" ht="22.9" customHeight="1" x14ac:dyDescent="0.2">
      <c r="A8" s="914" t="s">
        <v>1223</v>
      </c>
      <c r="B8" s="914"/>
      <c r="C8" s="914"/>
      <c r="D8" s="914"/>
      <c r="E8" s="914"/>
      <c r="F8" s="914"/>
      <c r="G8" s="914"/>
      <c r="H8" s="914"/>
      <c r="I8" s="914"/>
      <c r="J8" s="914"/>
    </row>
    <row r="9" spans="1:10" ht="23.25" x14ac:dyDescent="0.2">
      <c r="A9" s="915" t="s">
        <v>344</v>
      </c>
      <c r="B9" s="915"/>
      <c r="C9" s="915"/>
      <c r="D9" s="915"/>
      <c r="E9" s="915"/>
      <c r="F9" s="915"/>
      <c r="G9" s="915"/>
      <c r="H9" s="915"/>
      <c r="I9" s="915"/>
      <c r="J9" s="915"/>
    </row>
    <row r="10" spans="1:10" ht="27" x14ac:dyDescent="0.2">
      <c r="A10" s="918" t="s">
        <v>1154</v>
      </c>
      <c r="B10" s="918"/>
      <c r="C10" s="918"/>
      <c r="D10" s="918"/>
      <c r="E10" s="918"/>
      <c r="F10" s="918"/>
      <c r="G10" s="918"/>
      <c r="H10" s="918"/>
      <c r="I10" s="918"/>
      <c r="J10" s="918"/>
    </row>
    <row r="11" spans="1:10" ht="17.45" customHeight="1" x14ac:dyDescent="0.2">
      <c r="A11" s="916" t="str">
        <f>Summary!A5</f>
        <v>Babarmahal, Kathmandu</v>
      </c>
      <c r="B11" s="916"/>
      <c r="C11" s="916"/>
      <c r="D11" s="916"/>
      <c r="E11" s="916"/>
      <c r="F11" s="916"/>
      <c r="G11" s="916"/>
      <c r="H11" s="916"/>
      <c r="I11" s="916"/>
      <c r="J11" s="916"/>
    </row>
    <row r="12" spans="1:10" x14ac:dyDescent="0.2">
      <c r="A12" s="3"/>
      <c r="B12" s="3"/>
      <c r="C12" s="3"/>
      <c r="D12" s="3"/>
      <c r="E12" s="3"/>
      <c r="F12" s="3"/>
      <c r="G12" s="3"/>
      <c r="H12" s="3"/>
      <c r="I12" s="3"/>
    </row>
    <row r="13" spans="1:10" x14ac:dyDescent="0.2">
      <c r="A13" s="3"/>
      <c r="B13" s="3"/>
      <c r="C13" s="3"/>
      <c r="D13" s="3"/>
      <c r="E13" s="3"/>
      <c r="F13" s="3"/>
      <c r="G13" s="3"/>
      <c r="H13" s="3"/>
      <c r="I13" s="3"/>
    </row>
    <row r="14" spans="1:10" ht="38.25" customHeight="1" x14ac:dyDescent="0.2">
      <c r="A14" s="3"/>
      <c r="B14" s="3"/>
      <c r="C14" s="3"/>
      <c r="D14" s="3"/>
      <c r="E14" s="3"/>
      <c r="F14" s="3"/>
      <c r="G14" s="3"/>
      <c r="H14" s="3"/>
      <c r="I14" s="3"/>
    </row>
    <row r="15" spans="1:10" ht="57" customHeight="1" x14ac:dyDescent="0.2">
      <c r="A15" s="919" t="s">
        <v>1155</v>
      </c>
      <c r="B15" s="919"/>
      <c r="C15" s="919"/>
      <c r="D15" s="919"/>
      <c r="E15" s="919"/>
      <c r="F15" s="919"/>
      <c r="G15" s="919"/>
      <c r="H15" s="919"/>
      <c r="I15" s="919"/>
      <c r="J15" s="919"/>
    </row>
    <row r="16" spans="1:10" x14ac:dyDescent="0.2">
      <c r="A16" s="3"/>
      <c r="B16" s="3"/>
      <c r="C16" s="3"/>
      <c r="D16" s="3"/>
      <c r="E16" s="3"/>
      <c r="F16" s="3"/>
      <c r="G16" s="3"/>
      <c r="H16" s="3"/>
      <c r="I16" s="3"/>
    </row>
    <row r="17" spans="1:10" ht="18.75" x14ac:dyDescent="0.2">
      <c r="A17" s="920" t="s">
        <v>1156</v>
      </c>
      <c r="B17" s="920"/>
      <c r="C17" s="920"/>
      <c r="D17" s="920"/>
      <c r="E17" s="920"/>
      <c r="F17" s="920"/>
      <c r="G17" s="920"/>
      <c r="H17" s="920"/>
      <c r="I17" s="920"/>
      <c r="J17" s="920"/>
    </row>
    <row r="18" spans="1:10" x14ac:dyDescent="0.2">
      <c r="A18" s="3"/>
      <c r="B18" s="3"/>
      <c r="C18" s="3"/>
      <c r="D18" s="3"/>
      <c r="E18" s="3"/>
      <c r="F18" s="3"/>
      <c r="G18" s="3"/>
      <c r="H18" s="3"/>
      <c r="I18" s="3"/>
    </row>
    <row r="19" spans="1:10" x14ac:dyDescent="0.2">
      <c r="A19" s="3"/>
      <c r="B19" s="3"/>
      <c r="C19" s="3"/>
      <c r="D19" s="3"/>
      <c r="E19" s="3"/>
      <c r="F19" s="3"/>
      <c r="G19" s="3"/>
      <c r="H19" s="3"/>
      <c r="I19" s="3"/>
    </row>
    <row r="20" spans="1:10" x14ac:dyDescent="0.2">
      <c r="A20" s="3"/>
      <c r="B20" s="3"/>
      <c r="C20" s="3"/>
      <c r="D20" s="3"/>
      <c r="E20" s="3"/>
      <c r="F20" s="3"/>
      <c r="G20" s="3"/>
      <c r="H20" s="3"/>
      <c r="I20" s="3"/>
    </row>
    <row r="21" spans="1:10" ht="39.75" customHeight="1" x14ac:dyDescent="0.2">
      <c r="A21" s="3"/>
      <c r="B21" s="3"/>
      <c r="C21" s="3"/>
      <c r="D21" s="3"/>
      <c r="E21" s="3"/>
      <c r="F21" s="3"/>
      <c r="G21" s="3"/>
      <c r="H21" s="3"/>
      <c r="I21" s="3"/>
    </row>
    <row r="22" spans="1:10" ht="22.5" x14ac:dyDescent="0.2">
      <c r="A22" s="921" t="s">
        <v>1162</v>
      </c>
      <c r="B22" s="921"/>
      <c r="C22" s="921"/>
      <c r="D22" s="921"/>
      <c r="E22" s="921"/>
      <c r="F22" s="921"/>
      <c r="G22" s="921"/>
      <c r="H22" s="921"/>
      <c r="I22" s="921"/>
      <c r="J22" s="921"/>
    </row>
    <row r="23" spans="1:10" ht="22.5" x14ac:dyDescent="0.2">
      <c r="A23" s="921" t="s">
        <v>1157</v>
      </c>
      <c r="B23" s="921"/>
      <c r="C23" s="921"/>
      <c r="D23" s="921"/>
      <c r="E23" s="921"/>
      <c r="F23" s="921"/>
      <c r="G23" s="921"/>
      <c r="H23" s="921"/>
      <c r="I23" s="921"/>
      <c r="J23" s="921"/>
    </row>
    <row r="24" spans="1:10" ht="22.5" x14ac:dyDescent="0.2">
      <c r="A24" s="921" t="s">
        <v>1241</v>
      </c>
      <c r="B24" s="921"/>
      <c r="C24" s="921"/>
      <c r="D24" s="921"/>
      <c r="E24" s="921"/>
      <c r="F24" s="921"/>
      <c r="G24" s="921"/>
      <c r="H24" s="921"/>
      <c r="I24" s="921"/>
      <c r="J24" s="921"/>
    </row>
    <row r="25" spans="1:10" ht="22.5" x14ac:dyDescent="0.2">
      <c r="A25" s="921" t="s">
        <v>1240</v>
      </c>
      <c r="B25" s="921"/>
      <c r="C25" s="921"/>
      <c r="D25" s="921"/>
      <c r="E25" s="921"/>
      <c r="F25" s="921"/>
      <c r="G25" s="921"/>
      <c r="H25" s="921"/>
      <c r="I25" s="921"/>
      <c r="J25" s="921"/>
    </row>
    <row r="26" spans="1:10" x14ac:dyDescent="0.2">
      <c r="A26" s="3"/>
      <c r="B26" s="3"/>
      <c r="C26" s="3"/>
      <c r="D26" s="3"/>
      <c r="E26" s="3"/>
      <c r="F26" s="3"/>
      <c r="G26" s="3"/>
      <c r="H26" s="3"/>
      <c r="I26" s="3"/>
    </row>
    <row r="27" spans="1:10" ht="23.25" customHeight="1" x14ac:dyDescent="0.2">
      <c r="A27" s="3"/>
      <c r="B27" s="3"/>
      <c r="C27" s="3"/>
      <c r="D27" s="3"/>
      <c r="E27" s="3"/>
      <c r="F27" s="3"/>
      <c r="G27" s="3"/>
      <c r="H27" s="3"/>
      <c r="I27" s="3"/>
    </row>
    <row r="28" spans="1:10" ht="18.75" x14ac:dyDescent="0.2">
      <c r="A28" s="922" t="s">
        <v>1158</v>
      </c>
      <c r="B28" s="922"/>
      <c r="C28" s="922"/>
      <c r="D28" s="922"/>
      <c r="E28" s="922"/>
      <c r="F28" s="922"/>
      <c r="G28" s="922"/>
      <c r="H28" s="922"/>
      <c r="I28" s="922"/>
      <c r="J28" s="922"/>
    </row>
    <row r="29" spans="1:10" x14ac:dyDescent="0.2">
      <c r="A29" s="3"/>
      <c r="B29" s="3"/>
      <c r="C29" s="3"/>
      <c r="D29" s="3"/>
      <c r="E29" s="3"/>
      <c r="F29" s="3"/>
      <c r="G29" s="3"/>
      <c r="H29" s="3"/>
      <c r="I29" s="3"/>
    </row>
    <row r="30" spans="1:10" x14ac:dyDescent="0.2">
      <c r="A30" s="3"/>
      <c r="B30" s="3"/>
      <c r="C30" s="3"/>
      <c r="D30" s="3"/>
      <c r="E30" s="3"/>
      <c r="F30" s="3"/>
      <c r="G30" s="3"/>
      <c r="H30" s="3"/>
      <c r="I30" s="3"/>
    </row>
    <row r="31" spans="1:10" ht="38.25" customHeight="1" x14ac:dyDescent="0.2">
      <c r="A31" s="3"/>
      <c r="B31" s="3"/>
      <c r="C31" s="3"/>
      <c r="D31" s="3"/>
      <c r="E31" s="3"/>
      <c r="F31" s="3"/>
      <c r="G31" s="3"/>
      <c r="H31" s="3"/>
      <c r="I31" s="3"/>
    </row>
    <row r="32" spans="1:10" ht="20.25" x14ac:dyDescent="0.2">
      <c r="A32" s="917" t="s">
        <v>1159</v>
      </c>
      <c r="B32" s="917"/>
      <c r="C32" s="917"/>
      <c r="D32" s="917"/>
      <c r="E32" s="917"/>
      <c r="F32" s="917"/>
      <c r="G32" s="917"/>
      <c r="H32" s="917"/>
      <c r="I32" s="917"/>
      <c r="J32" s="917"/>
    </row>
    <row r="33" spans="1:10" ht="42" customHeight="1" x14ac:dyDescent="0.2">
      <c r="A33" s="923" t="s">
        <v>1160</v>
      </c>
      <c r="B33" s="923"/>
      <c r="C33" s="923"/>
      <c r="D33" s="923"/>
      <c r="E33" s="923"/>
      <c r="F33" s="923"/>
      <c r="G33" s="923"/>
      <c r="H33" s="923"/>
      <c r="I33" s="923"/>
      <c r="J33" s="923"/>
    </row>
    <row r="34" spans="1:10" ht="20.25" x14ac:dyDescent="0.2">
      <c r="A34" s="926" t="s">
        <v>1161</v>
      </c>
      <c r="B34" s="926"/>
      <c r="C34" s="926"/>
      <c r="D34" s="926"/>
      <c r="E34" s="926"/>
      <c r="F34" s="926"/>
      <c r="G34" s="926"/>
      <c r="H34" s="926"/>
      <c r="I34" s="926"/>
      <c r="J34" s="926"/>
    </row>
    <row r="35" spans="1:10" ht="15.75" x14ac:dyDescent="0.2">
      <c r="A35" s="925"/>
      <c r="B35" s="925"/>
      <c r="C35" s="925"/>
      <c r="D35" s="925"/>
      <c r="E35" s="925"/>
      <c r="F35" s="925"/>
      <c r="G35" s="925"/>
      <c r="H35" s="925"/>
      <c r="I35" s="925"/>
      <c r="J35" s="925"/>
    </row>
    <row r="36" spans="1:10" ht="20.25" x14ac:dyDescent="0.2">
      <c r="A36" s="924"/>
      <c r="B36" s="924"/>
      <c r="C36" s="924"/>
      <c r="D36" s="924"/>
      <c r="E36" s="924"/>
      <c r="F36" s="924"/>
      <c r="G36" s="924"/>
      <c r="H36" s="924"/>
      <c r="I36" s="924"/>
    </row>
    <row r="37" spans="1:10" x14ac:dyDescent="0.2">
      <c r="A37" s="3"/>
      <c r="B37" s="3"/>
      <c r="C37" s="3"/>
      <c r="D37" s="3"/>
      <c r="E37" s="3"/>
      <c r="F37" s="3"/>
      <c r="G37" s="3"/>
      <c r="H37" s="3"/>
      <c r="I37" s="3"/>
    </row>
    <row r="38" spans="1:10" x14ac:dyDescent="0.2">
      <c r="A38" s="3"/>
      <c r="B38" s="3"/>
      <c r="C38" s="3"/>
      <c r="D38" s="3"/>
      <c r="E38" s="3"/>
      <c r="F38" s="3"/>
      <c r="G38" s="3"/>
      <c r="H38" s="3"/>
      <c r="I38" s="3"/>
    </row>
    <row r="39" spans="1:10" x14ac:dyDescent="0.2">
      <c r="A39" s="3"/>
      <c r="B39" s="3"/>
      <c r="C39" s="3"/>
      <c r="D39" s="3"/>
      <c r="E39" s="3"/>
      <c r="F39" s="3"/>
      <c r="G39" s="3"/>
      <c r="H39" s="3"/>
      <c r="I39" s="3"/>
    </row>
    <row r="40" spans="1:10" x14ac:dyDescent="0.2">
      <c r="A40" s="3"/>
      <c r="B40" s="3"/>
      <c r="C40" s="3"/>
      <c r="D40" s="3"/>
      <c r="E40" s="3"/>
      <c r="F40" s="3"/>
      <c r="G40" s="3"/>
      <c r="H40" s="3"/>
      <c r="I40" s="3"/>
    </row>
    <row r="41" spans="1:10" x14ac:dyDescent="0.2">
      <c r="A41" s="3"/>
      <c r="B41" s="3"/>
      <c r="C41" s="3"/>
      <c r="D41" s="3"/>
      <c r="E41" s="3"/>
      <c r="F41" s="3"/>
      <c r="G41" s="3"/>
      <c r="H41" s="3"/>
      <c r="I41" s="3"/>
    </row>
    <row r="42" spans="1:10" x14ac:dyDescent="0.2">
      <c r="A42" s="3"/>
      <c r="B42" s="3"/>
      <c r="C42" s="3"/>
      <c r="D42" s="3"/>
      <c r="E42" s="3"/>
      <c r="F42" s="3"/>
      <c r="G42" s="3"/>
      <c r="H42" s="3"/>
      <c r="I42" s="3"/>
    </row>
    <row r="43" spans="1:10" x14ac:dyDescent="0.2">
      <c r="A43" s="3"/>
      <c r="B43" s="3"/>
      <c r="C43" s="3"/>
      <c r="D43" s="3"/>
      <c r="E43" s="3"/>
      <c r="F43" s="3"/>
      <c r="G43" s="3"/>
      <c r="H43" s="3"/>
      <c r="I43" s="3"/>
    </row>
    <row r="44" spans="1:10" x14ac:dyDescent="0.2">
      <c r="A44" s="3"/>
      <c r="B44" s="3"/>
      <c r="C44" s="3"/>
      <c r="D44" s="3"/>
      <c r="E44" s="3"/>
      <c r="F44" s="3"/>
      <c r="G44" s="3"/>
      <c r="H44" s="3"/>
      <c r="I44" s="3"/>
    </row>
    <row r="45" spans="1:10" x14ac:dyDescent="0.2">
      <c r="A45" s="3"/>
      <c r="B45" s="3"/>
      <c r="C45" s="3"/>
      <c r="D45" s="3"/>
      <c r="E45" s="3"/>
      <c r="F45" s="3"/>
      <c r="G45" s="3"/>
      <c r="H45" s="3"/>
      <c r="I45" s="3"/>
    </row>
    <row r="46" spans="1:10" x14ac:dyDescent="0.2">
      <c r="A46" s="3"/>
      <c r="B46" s="3"/>
      <c r="C46" s="3"/>
      <c r="D46" s="3"/>
      <c r="E46" s="3"/>
      <c r="F46" s="3"/>
      <c r="G46" s="3"/>
      <c r="H46" s="3"/>
      <c r="I46" s="3"/>
    </row>
    <row r="47" spans="1:10" x14ac:dyDescent="0.2">
      <c r="A47" s="3"/>
      <c r="B47" s="3"/>
      <c r="C47" s="3"/>
      <c r="D47" s="3"/>
      <c r="E47" s="3"/>
      <c r="F47" s="3"/>
      <c r="G47" s="3"/>
      <c r="H47" s="3"/>
      <c r="I47" s="3"/>
    </row>
    <row r="48" spans="1:10" x14ac:dyDescent="0.2">
      <c r="A48" s="3"/>
      <c r="B48" s="3"/>
      <c r="C48" s="3"/>
      <c r="D48" s="3"/>
      <c r="E48" s="3"/>
      <c r="F48" s="3"/>
      <c r="G48" s="3"/>
      <c r="H48" s="3"/>
      <c r="I48" s="3"/>
    </row>
    <row r="49" spans="1:9" x14ac:dyDescent="0.2">
      <c r="A49" s="3"/>
      <c r="B49" s="3"/>
      <c r="C49" s="3"/>
      <c r="D49" s="3"/>
      <c r="E49" s="3"/>
      <c r="F49" s="3"/>
      <c r="G49" s="3"/>
      <c r="H49" s="3"/>
      <c r="I49" s="3"/>
    </row>
    <row r="50" spans="1:9" x14ac:dyDescent="0.2">
      <c r="A50" s="3"/>
      <c r="B50" s="3"/>
      <c r="C50" s="3"/>
      <c r="D50" s="3"/>
      <c r="E50" s="3"/>
      <c r="F50" s="3"/>
      <c r="G50" s="3"/>
      <c r="H50" s="3"/>
      <c r="I50" s="3"/>
    </row>
    <row r="51" spans="1:9" x14ac:dyDescent="0.2">
      <c r="A51" s="3"/>
      <c r="B51" s="3"/>
      <c r="C51" s="3"/>
      <c r="D51" s="3"/>
      <c r="E51" s="3"/>
      <c r="F51" s="3"/>
      <c r="G51" s="3"/>
      <c r="H51" s="3"/>
      <c r="I51" s="3"/>
    </row>
    <row r="52" spans="1:9" x14ac:dyDescent="0.2">
      <c r="A52" s="3"/>
      <c r="B52" s="3"/>
      <c r="C52" s="3"/>
      <c r="D52" s="3"/>
      <c r="E52" s="3"/>
      <c r="F52" s="3"/>
      <c r="G52" s="3"/>
      <c r="H52" s="3"/>
      <c r="I52" s="3"/>
    </row>
    <row r="53" spans="1:9" x14ac:dyDescent="0.2">
      <c r="A53" s="3"/>
      <c r="B53" s="3"/>
      <c r="C53" s="3"/>
      <c r="D53" s="3"/>
      <c r="E53" s="3"/>
      <c r="F53" s="3"/>
      <c r="G53" s="3"/>
      <c r="H53" s="3"/>
      <c r="I53" s="3"/>
    </row>
    <row r="54" spans="1:9" x14ac:dyDescent="0.2">
      <c r="A54" s="3"/>
      <c r="B54" s="3"/>
      <c r="C54" s="3"/>
      <c r="D54" s="3"/>
      <c r="E54" s="3"/>
      <c r="F54" s="3"/>
      <c r="G54" s="3"/>
      <c r="H54" s="3"/>
      <c r="I54" s="3"/>
    </row>
    <row r="55" spans="1:9" x14ac:dyDescent="0.2">
      <c r="A55" s="3"/>
      <c r="B55" s="3"/>
      <c r="C55" s="3"/>
      <c r="D55" s="3"/>
      <c r="E55" s="3"/>
      <c r="F55" s="3"/>
      <c r="G55" s="3"/>
      <c r="H55" s="3"/>
      <c r="I55" s="3"/>
    </row>
    <row r="56" spans="1:9" x14ac:dyDescent="0.2">
      <c r="A56" s="3"/>
      <c r="B56" s="3"/>
      <c r="C56" s="3"/>
      <c r="D56" s="3"/>
      <c r="E56" s="3"/>
      <c r="F56" s="3"/>
      <c r="G56" s="3"/>
      <c r="H56" s="3"/>
      <c r="I56" s="3"/>
    </row>
    <row r="57" spans="1:9" ht="20.25" x14ac:dyDescent="0.2">
      <c r="A57" s="3"/>
      <c r="B57" s="3"/>
      <c r="C57" s="3"/>
      <c r="D57" s="3"/>
      <c r="E57" s="13"/>
      <c r="F57" s="14"/>
      <c r="G57" s="3"/>
      <c r="H57" s="3"/>
      <c r="I57" s="3"/>
    </row>
  </sheetData>
  <mergeCells count="17">
    <mergeCell ref="A33:J33"/>
    <mergeCell ref="A36:I36"/>
    <mergeCell ref="A35:J35"/>
    <mergeCell ref="A34:J34"/>
    <mergeCell ref="A7:J7"/>
    <mergeCell ref="A8:J8"/>
    <mergeCell ref="A9:J9"/>
    <mergeCell ref="A11:J11"/>
    <mergeCell ref="A32:J32"/>
    <mergeCell ref="A10:J10"/>
    <mergeCell ref="A15:J15"/>
    <mergeCell ref="A17:J17"/>
    <mergeCell ref="A22:J22"/>
    <mergeCell ref="A23:J23"/>
    <mergeCell ref="A24:J24"/>
    <mergeCell ref="A28:J28"/>
    <mergeCell ref="A25:J25"/>
  </mergeCells>
  <pageMargins left="1.1599999999999999" right="0.33"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33"/>
  <sheetViews>
    <sheetView topLeftCell="A7" workbookViewId="0">
      <selection activeCell="C15" sqref="C15"/>
    </sheetView>
  </sheetViews>
  <sheetFormatPr defaultColWidth="9.140625" defaultRowHeight="12.75" x14ac:dyDescent="0.2"/>
  <cols>
    <col min="1" max="1" width="6" style="173" customWidth="1"/>
    <col min="2" max="2" width="57.42578125" style="173" customWidth="1"/>
    <col min="3" max="3" width="25.5703125" style="173" customWidth="1"/>
    <col min="4" max="4" width="13.42578125" style="173" customWidth="1"/>
    <col min="5" max="5" width="11.140625" style="173" bestFit="1" customWidth="1"/>
    <col min="6" max="6" width="13.7109375" style="173" bestFit="1" customWidth="1"/>
    <col min="7" max="7" width="11.5703125" style="173" bestFit="1" customWidth="1"/>
    <col min="8" max="16384" width="9.140625" style="173"/>
  </cols>
  <sheetData>
    <row r="1" spans="1:9" s="9" customFormat="1" ht="15.75" x14ac:dyDescent="0.2">
      <c r="A1" s="931" t="s">
        <v>1153</v>
      </c>
      <c r="B1" s="931"/>
      <c r="C1" s="931"/>
      <c r="D1" s="10"/>
      <c r="E1" s="10"/>
      <c r="F1" s="10"/>
      <c r="G1" s="10"/>
      <c r="H1" s="10"/>
      <c r="I1" s="10"/>
    </row>
    <row r="2" spans="1:9" s="9" customFormat="1" ht="15.75" x14ac:dyDescent="0.2">
      <c r="A2" s="931" t="str">
        <f>Cover!A8</f>
        <v>Ministry of Physical Infrastructure and Transport</v>
      </c>
      <c r="B2" s="931"/>
      <c r="C2" s="931"/>
      <c r="D2" s="10"/>
      <c r="E2" s="10"/>
      <c r="F2" s="10"/>
      <c r="G2" s="10"/>
      <c r="H2" s="10"/>
      <c r="I2" s="10"/>
    </row>
    <row r="3" spans="1:9" s="9" customFormat="1" ht="15.75" x14ac:dyDescent="0.2">
      <c r="A3" s="931" t="s">
        <v>344</v>
      </c>
      <c r="B3" s="931"/>
      <c r="C3" s="931"/>
      <c r="D3" s="10"/>
      <c r="E3" s="10"/>
      <c r="F3" s="10"/>
      <c r="G3" s="10"/>
      <c r="H3" s="10"/>
      <c r="I3" s="10"/>
    </row>
    <row r="4" spans="1:9" s="9" customFormat="1" ht="22.5" x14ac:dyDescent="0.2">
      <c r="A4" s="934" t="s">
        <v>1154</v>
      </c>
      <c r="B4" s="934"/>
      <c r="C4" s="934"/>
      <c r="D4" s="10"/>
      <c r="E4" s="10"/>
      <c r="F4" s="10"/>
      <c r="G4" s="10"/>
      <c r="H4" s="10"/>
      <c r="I4" s="10"/>
    </row>
    <row r="5" spans="1:9" ht="18.75" x14ac:dyDescent="0.2">
      <c r="A5" s="931" t="s">
        <v>1206</v>
      </c>
      <c r="B5" s="931"/>
      <c r="C5" s="931"/>
      <c r="D5" s="172"/>
    </row>
    <row r="6" spans="1:9" ht="18.75" x14ac:dyDescent="0.2">
      <c r="A6" s="935" t="s">
        <v>1219</v>
      </c>
      <c r="B6" s="935"/>
      <c r="C6" s="935"/>
      <c r="D6" s="172"/>
    </row>
    <row r="7" spans="1:9" ht="21" x14ac:dyDescent="0.2">
      <c r="A7" s="176" t="s">
        <v>1242</v>
      </c>
      <c r="B7" s="176"/>
      <c r="D7" s="177"/>
    </row>
    <row r="8" spans="1:9" ht="21.75" thickBot="1" x14ac:dyDescent="0.25">
      <c r="A8" s="936" t="s">
        <v>1243</v>
      </c>
      <c r="B8" s="936"/>
      <c r="C8" s="936"/>
      <c r="D8" s="177"/>
    </row>
    <row r="9" spans="1:9" ht="30.75" customHeight="1" thickBot="1" x14ac:dyDescent="0.25">
      <c r="A9" s="594" t="s">
        <v>112</v>
      </c>
      <c r="B9" s="595" t="s">
        <v>27</v>
      </c>
      <c r="C9" s="596" t="s">
        <v>113</v>
      </c>
    </row>
    <row r="10" spans="1:9" ht="24" customHeight="1" x14ac:dyDescent="0.2">
      <c r="A10" s="178">
        <v>1</v>
      </c>
      <c r="B10" s="179" t="s">
        <v>114</v>
      </c>
      <c r="C10" s="180">
        <f>'Bill of quantities'!I20</f>
        <v>4906273</v>
      </c>
    </row>
    <row r="11" spans="1:9" ht="24.75" customHeight="1" x14ac:dyDescent="0.2">
      <c r="A11" s="181">
        <v>2</v>
      </c>
      <c r="B11" s="182" t="s">
        <v>320</v>
      </c>
      <c r="C11" s="183">
        <f>'Bill of quantities'!I35</f>
        <v>47266568.829999998</v>
      </c>
    </row>
    <row r="12" spans="1:9" ht="24.75" customHeight="1" x14ac:dyDescent="0.2">
      <c r="A12" s="181">
        <v>3</v>
      </c>
      <c r="B12" s="182" t="s">
        <v>322</v>
      </c>
      <c r="C12" s="183">
        <f>'Bill of quantities'!I44</f>
        <v>9161865.3499999996</v>
      </c>
    </row>
    <row r="13" spans="1:9" ht="24" customHeight="1" x14ac:dyDescent="0.2">
      <c r="A13" s="181">
        <v>4</v>
      </c>
      <c r="B13" s="182" t="s">
        <v>87</v>
      </c>
      <c r="C13" s="183">
        <f>'Bill of quantities'!I60</f>
        <v>31454551.59</v>
      </c>
    </row>
    <row r="14" spans="1:9" ht="22.5" customHeight="1" x14ac:dyDescent="0.2">
      <c r="A14" s="181">
        <v>5</v>
      </c>
      <c r="B14" s="182" t="s">
        <v>326</v>
      </c>
      <c r="C14" s="183">
        <f>'Bill of quantities'!I73</f>
        <v>9739429.2300000004</v>
      </c>
    </row>
    <row r="15" spans="1:9" ht="22.5" customHeight="1" x14ac:dyDescent="0.2">
      <c r="A15" s="181">
        <v>6</v>
      </c>
      <c r="B15" s="182" t="s">
        <v>1030</v>
      </c>
      <c r="C15" s="183">
        <f>'Bill of quantities'!I87</f>
        <v>13474122.34</v>
      </c>
      <c r="F15" s="184"/>
    </row>
    <row r="16" spans="1:9" ht="22.5" customHeight="1" x14ac:dyDescent="0.2">
      <c r="A16" s="181">
        <v>7</v>
      </c>
      <c r="B16" s="182" t="s">
        <v>117</v>
      </c>
      <c r="C16" s="11">
        <f>'Bill of quantities'!I91</f>
        <v>3299.44</v>
      </c>
      <c r="F16" s="184"/>
    </row>
    <row r="17" spans="1:7" ht="28.5" customHeight="1" x14ac:dyDescent="0.2">
      <c r="A17" s="927" t="s">
        <v>1130</v>
      </c>
      <c r="B17" s="928"/>
      <c r="C17" s="185">
        <f>SUM(C11:C13)</f>
        <v>87882985.769999996</v>
      </c>
      <c r="F17" s="184"/>
      <c r="G17" s="184"/>
    </row>
    <row r="18" spans="1:7" ht="28.5" customHeight="1" x14ac:dyDescent="0.2">
      <c r="A18" s="927" t="s">
        <v>1131</v>
      </c>
      <c r="B18" s="928"/>
      <c r="C18" s="185">
        <f>SUM(C10:C16)</f>
        <v>116006109.78</v>
      </c>
      <c r="F18" s="184"/>
      <c r="G18" s="184"/>
    </row>
    <row r="19" spans="1:7" ht="28.5" customHeight="1" x14ac:dyDescent="0.2">
      <c r="A19" s="932" t="s">
        <v>1132</v>
      </c>
      <c r="B19" s="933"/>
      <c r="C19" s="185">
        <f>'Bill of quantities'!I94</f>
        <v>5800305.4900000002</v>
      </c>
      <c r="F19" s="184"/>
      <c r="G19" s="184"/>
    </row>
    <row r="20" spans="1:7" ht="28.5" customHeight="1" x14ac:dyDescent="0.2">
      <c r="A20" s="932" t="s">
        <v>1133</v>
      </c>
      <c r="B20" s="933"/>
      <c r="C20" s="185">
        <f>'Bill of quantities'!I95</f>
        <v>11600610.98</v>
      </c>
      <c r="F20" s="184"/>
      <c r="G20" s="184"/>
    </row>
    <row r="21" spans="1:7" ht="28.5" customHeight="1" x14ac:dyDescent="0.2">
      <c r="A21" s="932" t="s">
        <v>1134</v>
      </c>
      <c r="B21" s="933"/>
      <c r="C21" s="185">
        <f>'Bill of quantities'!I96</f>
        <v>4640244.3899999997</v>
      </c>
      <c r="F21" s="184"/>
      <c r="G21" s="184"/>
    </row>
    <row r="22" spans="1:7" ht="28.5" customHeight="1" x14ac:dyDescent="0.2">
      <c r="A22" s="927" t="s">
        <v>119</v>
      </c>
      <c r="B22" s="928"/>
      <c r="C22" s="185">
        <f>'Bill of quantities'!I97</f>
        <v>17946145.18</v>
      </c>
    </row>
    <row r="23" spans="1:7" ht="28.5" customHeight="1" thickBot="1" x14ac:dyDescent="0.25">
      <c r="A23" s="929" t="s">
        <v>120</v>
      </c>
      <c r="B23" s="930"/>
      <c r="C23" s="186">
        <f>'Bill of quantities'!I98</f>
        <v>155993415.81999999</v>
      </c>
      <c r="D23" s="184"/>
      <c r="E23" s="184"/>
      <c r="F23" s="184"/>
    </row>
    <row r="24" spans="1:7" hidden="1" x14ac:dyDescent="0.2">
      <c r="A24" s="175" t="s">
        <v>179</v>
      </c>
    </row>
    <row r="25" spans="1:7" ht="13.5" hidden="1" thickBot="1" x14ac:dyDescent="0.25">
      <c r="A25" s="187" t="s">
        <v>112</v>
      </c>
      <c r="B25" s="188" t="s">
        <v>27</v>
      </c>
      <c r="C25" s="189" t="s">
        <v>113</v>
      </c>
    </row>
    <row r="26" spans="1:7" ht="24" hidden="1" customHeight="1" x14ac:dyDescent="0.2">
      <c r="A26" s="178">
        <v>1</v>
      </c>
      <c r="B26" s="179" t="s">
        <v>114</v>
      </c>
      <c r="C26" s="180">
        <v>0</v>
      </c>
    </row>
    <row r="27" spans="1:7" ht="24.75" hidden="1" customHeight="1" x14ac:dyDescent="0.2">
      <c r="A27" s="181">
        <v>2</v>
      </c>
      <c r="B27" s="182" t="s">
        <v>115</v>
      </c>
      <c r="C27" s="183" t="e">
        <f>#REF!</f>
        <v>#REF!</v>
      </c>
    </row>
    <row r="28" spans="1:7" ht="24" hidden="1" customHeight="1" x14ac:dyDescent="0.2">
      <c r="A28" s="181">
        <v>3</v>
      </c>
      <c r="B28" s="182" t="s">
        <v>87</v>
      </c>
      <c r="C28" s="183" t="e">
        <f>#REF!</f>
        <v>#REF!</v>
      </c>
    </row>
    <row r="29" spans="1:7" ht="22.5" hidden="1" customHeight="1" x14ac:dyDescent="0.2">
      <c r="A29" s="181">
        <v>4</v>
      </c>
      <c r="B29" s="182" t="s">
        <v>116</v>
      </c>
      <c r="C29" s="183" t="e">
        <f>#REF!</f>
        <v>#REF!</v>
      </c>
    </row>
    <row r="30" spans="1:7" ht="22.5" hidden="1" customHeight="1" x14ac:dyDescent="0.2">
      <c r="A30" s="190">
        <v>5</v>
      </c>
      <c r="B30" s="182" t="s">
        <v>117</v>
      </c>
      <c r="C30" s="11" t="e">
        <f>#REF!</f>
        <v>#REF!</v>
      </c>
    </row>
    <row r="31" spans="1:7" ht="23.25" hidden="1" customHeight="1" x14ac:dyDescent="0.2">
      <c r="A31" s="191"/>
      <c r="B31" s="192" t="s">
        <v>118</v>
      </c>
      <c r="C31" s="193" t="e">
        <f>SUM(C26:C30)</f>
        <v>#REF!</v>
      </c>
      <c r="F31" s="184"/>
      <c r="G31" s="184"/>
    </row>
    <row r="32" spans="1:7" ht="19.5" hidden="1" customHeight="1" thickBot="1" x14ac:dyDescent="0.25">
      <c r="A32" s="194"/>
      <c r="B32" s="195" t="s">
        <v>180</v>
      </c>
      <c r="C32" s="186" t="e">
        <f>C23+C31</f>
        <v>#REF!</v>
      </c>
      <c r="D32" s="184" t="e">
        <f>C32/21.2</f>
        <v>#REF!</v>
      </c>
      <c r="E32" s="184" t="e">
        <f>C32/35</f>
        <v>#REF!</v>
      </c>
      <c r="F32" s="184"/>
    </row>
    <row r="33" spans="3:4" x14ac:dyDescent="0.2">
      <c r="C33" s="196"/>
      <c r="D33" s="184"/>
    </row>
  </sheetData>
  <mergeCells count="14">
    <mergeCell ref="A22:B22"/>
    <mergeCell ref="A23:B23"/>
    <mergeCell ref="A1:C1"/>
    <mergeCell ref="A2:C2"/>
    <mergeCell ref="A3:C3"/>
    <mergeCell ref="A5:C5"/>
    <mergeCell ref="A17:B17"/>
    <mergeCell ref="A18:B18"/>
    <mergeCell ref="A19:B19"/>
    <mergeCell ref="A20:B20"/>
    <mergeCell ref="A21:B21"/>
    <mergeCell ref="A4:C4"/>
    <mergeCell ref="A6:C6"/>
    <mergeCell ref="A8:C8"/>
  </mergeCells>
  <printOptions horizontalCentered="1"/>
  <pageMargins left="0.7" right="0.7" top="0.75" bottom="0.75" header="0.3" footer="0.3"/>
  <pageSetup paperSize="9" orientation="portrait" r:id="rId1"/>
  <cellWatches>
    <cellWatch r="C23"/>
  </cellWatch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FD103"/>
  <sheetViews>
    <sheetView view="pageBreakPreview" topLeftCell="C81" zoomScale="80" zoomScaleNormal="100" zoomScaleSheetLayoutView="80" workbookViewId="0">
      <selection activeCell="I98" sqref="I98"/>
    </sheetView>
  </sheetViews>
  <sheetFormatPr defaultColWidth="11.7109375" defaultRowHeight="12.75" x14ac:dyDescent="0.2"/>
  <cols>
    <col min="1" max="1" width="5.42578125" style="253" customWidth="1"/>
    <col min="2" max="2" width="6.140625" style="133" customWidth="1"/>
    <col min="3" max="3" width="3.140625" style="253" bestFit="1" customWidth="1"/>
    <col min="4" max="4" width="67.5703125" style="508" customWidth="1"/>
    <col min="5" max="5" width="7" style="254" customWidth="1"/>
    <col min="6" max="6" width="11.28515625" style="133" bestFit="1" customWidth="1"/>
    <col min="7" max="7" width="15.5703125" style="255" customWidth="1"/>
    <col min="8" max="8" width="16.5703125" style="133" hidden="1" customWidth="1"/>
    <col min="9" max="9" width="15.5703125" style="133" bestFit="1" customWidth="1"/>
    <col min="10" max="10" width="14.85546875" style="133" customWidth="1"/>
    <col min="11" max="11" width="16.28515625" style="133" customWidth="1"/>
    <col min="12" max="12" width="18.7109375" style="133" customWidth="1"/>
    <col min="13" max="16384" width="11.7109375" style="133"/>
  </cols>
  <sheetData>
    <row r="1" spans="1:16384" s="9" customFormat="1" ht="15.75" x14ac:dyDescent="0.2">
      <c r="A1" s="931" t="str">
        <f>Summary!A1</f>
        <v>Government of Nepal</v>
      </c>
      <c r="B1" s="931"/>
      <c r="C1" s="931"/>
      <c r="D1" s="931"/>
      <c r="E1" s="931"/>
      <c r="F1" s="931"/>
      <c r="G1" s="931"/>
      <c r="H1" s="931"/>
      <c r="I1" s="931"/>
      <c r="J1" s="931"/>
    </row>
    <row r="2" spans="1:16384" s="9" customFormat="1" ht="15.75" x14ac:dyDescent="0.2">
      <c r="A2" s="931" t="str">
        <f>Summary!A2</f>
        <v>Ministry of Physical Infrastructure and Transport</v>
      </c>
      <c r="B2" s="931"/>
      <c r="C2" s="931"/>
      <c r="D2" s="931"/>
      <c r="E2" s="931"/>
      <c r="F2" s="931"/>
      <c r="G2" s="931"/>
      <c r="H2" s="931"/>
      <c r="I2" s="931"/>
      <c r="J2" s="931"/>
      <c r="K2" s="10"/>
      <c r="L2" s="10"/>
      <c r="M2" s="10"/>
      <c r="N2" s="10"/>
      <c r="O2" s="10"/>
      <c r="P2" s="10"/>
      <c r="Q2" s="10"/>
      <c r="R2" s="10"/>
      <c r="S2" s="946"/>
      <c r="T2" s="946"/>
      <c r="U2" s="946"/>
      <c r="V2" s="946"/>
      <c r="W2" s="946"/>
      <c r="X2" s="946"/>
      <c r="Y2" s="946"/>
      <c r="Z2" s="946"/>
      <c r="AA2" s="946"/>
      <c r="AB2" s="946"/>
      <c r="AC2" s="946"/>
      <c r="AD2" s="946"/>
      <c r="AE2" s="946"/>
      <c r="AF2" s="946"/>
      <c r="AG2" s="946"/>
      <c r="AH2" s="946"/>
      <c r="AI2" s="946"/>
      <c r="AJ2" s="946"/>
      <c r="AK2" s="946"/>
      <c r="AL2" s="946"/>
      <c r="AM2" s="946"/>
      <c r="AN2" s="946"/>
      <c r="AO2" s="946"/>
      <c r="AP2" s="946"/>
      <c r="AQ2" s="946"/>
      <c r="AR2" s="946"/>
      <c r="AS2" s="946"/>
      <c r="AT2" s="946"/>
      <c r="AU2" s="946"/>
      <c r="AV2" s="946"/>
      <c r="AW2" s="946"/>
      <c r="AX2" s="946"/>
      <c r="AY2" s="946"/>
      <c r="AZ2" s="946"/>
      <c r="BA2" s="946"/>
      <c r="BB2" s="946"/>
      <c r="BC2" s="946"/>
      <c r="BD2" s="946"/>
      <c r="BE2" s="946"/>
      <c r="BF2" s="946"/>
      <c r="BG2" s="946"/>
      <c r="BH2" s="946"/>
      <c r="BI2" s="946"/>
      <c r="BJ2" s="946"/>
      <c r="BK2" s="946"/>
      <c r="BL2" s="946"/>
      <c r="BM2" s="946"/>
      <c r="BN2" s="946"/>
      <c r="BO2" s="946"/>
      <c r="BP2" s="946"/>
      <c r="BQ2" s="946"/>
      <c r="BR2" s="946"/>
      <c r="BS2" s="946"/>
      <c r="BT2" s="946"/>
      <c r="BU2" s="946"/>
      <c r="BV2" s="946"/>
      <c r="BW2" s="946"/>
      <c r="BX2" s="946"/>
      <c r="BY2" s="946"/>
      <c r="BZ2" s="946"/>
      <c r="CA2" s="946"/>
      <c r="CB2" s="946"/>
      <c r="CC2" s="946"/>
      <c r="CD2" s="946"/>
      <c r="CE2" s="946"/>
      <c r="CF2" s="946"/>
      <c r="CG2" s="946"/>
      <c r="CH2" s="946"/>
      <c r="CI2" s="946"/>
      <c r="CJ2" s="946"/>
      <c r="CK2" s="946"/>
      <c r="CL2" s="946"/>
      <c r="CM2" s="946"/>
      <c r="CN2" s="946"/>
      <c r="CO2" s="946"/>
      <c r="CP2" s="946"/>
      <c r="CQ2" s="946"/>
      <c r="CR2" s="946"/>
      <c r="CS2" s="946"/>
      <c r="CT2" s="946"/>
      <c r="CU2" s="946"/>
      <c r="CV2" s="946"/>
      <c r="CW2" s="946"/>
      <c r="CX2" s="946"/>
      <c r="CY2" s="946"/>
      <c r="CZ2" s="946"/>
      <c r="DA2" s="946"/>
      <c r="DB2" s="946"/>
      <c r="DC2" s="946"/>
      <c r="DD2" s="946"/>
      <c r="DE2" s="946"/>
      <c r="DF2" s="946"/>
      <c r="DG2" s="946"/>
      <c r="DH2" s="946"/>
      <c r="DI2" s="946"/>
      <c r="DJ2" s="946"/>
      <c r="DK2" s="946"/>
      <c r="DL2" s="946"/>
      <c r="DM2" s="946"/>
      <c r="DN2" s="946"/>
      <c r="DO2" s="946"/>
      <c r="DP2" s="946"/>
      <c r="DQ2" s="946"/>
      <c r="DR2" s="946"/>
      <c r="DS2" s="946"/>
      <c r="DT2" s="946"/>
      <c r="DU2" s="946"/>
      <c r="DV2" s="946"/>
      <c r="DW2" s="946"/>
      <c r="DX2" s="946"/>
      <c r="DY2" s="946"/>
      <c r="DZ2" s="946"/>
      <c r="EA2" s="946"/>
      <c r="EB2" s="946"/>
      <c r="EC2" s="946"/>
      <c r="ED2" s="946"/>
      <c r="EE2" s="946"/>
      <c r="EF2" s="946"/>
      <c r="EG2" s="946"/>
      <c r="EH2" s="946"/>
      <c r="EI2" s="946"/>
      <c r="EJ2" s="946"/>
      <c r="EK2" s="946"/>
      <c r="EL2" s="946"/>
      <c r="EM2" s="946"/>
      <c r="EN2" s="946"/>
      <c r="EO2" s="946"/>
      <c r="EP2" s="946"/>
      <c r="EQ2" s="946"/>
      <c r="ER2" s="946"/>
      <c r="ES2" s="946"/>
      <c r="ET2" s="946"/>
      <c r="EU2" s="946"/>
      <c r="EV2" s="946"/>
      <c r="EW2" s="946"/>
      <c r="EX2" s="946"/>
      <c r="EY2" s="946"/>
      <c r="EZ2" s="946"/>
      <c r="FA2" s="946"/>
      <c r="FB2" s="946"/>
      <c r="FC2" s="946"/>
      <c r="FD2" s="946"/>
      <c r="FE2" s="946"/>
      <c r="FF2" s="946"/>
      <c r="FG2" s="946"/>
      <c r="FH2" s="946"/>
      <c r="FI2" s="946"/>
      <c r="FJ2" s="946"/>
      <c r="FK2" s="946"/>
      <c r="FL2" s="946"/>
      <c r="FM2" s="946"/>
      <c r="FN2" s="946"/>
      <c r="FO2" s="946"/>
      <c r="FP2" s="946"/>
      <c r="FQ2" s="946"/>
      <c r="FR2" s="946"/>
      <c r="FS2" s="946"/>
      <c r="FT2" s="946"/>
      <c r="FU2" s="946"/>
      <c r="FV2" s="946"/>
      <c r="FW2" s="946"/>
      <c r="FX2" s="946"/>
      <c r="FY2" s="946"/>
      <c r="FZ2" s="946"/>
      <c r="GA2" s="946"/>
      <c r="GB2" s="946"/>
      <c r="GC2" s="946"/>
      <c r="GD2" s="946"/>
      <c r="GE2" s="946"/>
      <c r="GF2" s="946"/>
      <c r="GG2" s="946"/>
      <c r="GH2" s="946"/>
      <c r="GI2" s="946"/>
      <c r="GJ2" s="946"/>
      <c r="GK2" s="946"/>
      <c r="GL2" s="946"/>
      <c r="GM2" s="946"/>
      <c r="GN2" s="946"/>
      <c r="GO2" s="946"/>
      <c r="GP2" s="946"/>
      <c r="GQ2" s="946"/>
      <c r="GR2" s="946"/>
      <c r="GS2" s="946"/>
      <c r="GT2" s="946"/>
      <c r="GU2" s="946"/>
      <c r="GV2" s="946"/>
      <c r="GW2" s="946"/>
      <c r="GX2" s="946"/>
      <c r="GY2" s="946"/>
      <c r="GZ2" s="946"/>
      <c r="HA2" s="946"/>
      <c r="HB2" s="946"/>
      <c r="HC2" s="946"/>
      <c r="HD2" s="946"/>
      <c r="HE2" s="946"/>
      <c r="HF2" s="946"/>
      <c r="HG2" s="946"/>
      <c r="HH2" s="946"/>
      <c r="HI2" s="946"/>
      <c r="HJ2" s="946"/>
      <c r="HK2" s="946"/>
      <c r="HL2" s="946"/>
      <c r="HM2" s="946"/>
      <c r="HN2" s="946"/>
      <c r="HO2" s="946"/>
      <c r="HP2" s="946"/>
      <c r="HQ2" s="946"/>
      <c r="HR2" s="946"/>
      <c r="HS2" s="946"/>
      <c r="HT2" s="946"/>
      <c r="HU2" s="946"/>
      <c r="HV2" s="946"/>
      <c r="HW2" s="946"/>
      <c r="HX2" s="946"/>
      <c r="HY2" s="946"/>
      <c r="HZ2" s="946"/>
      <c r="IA2" s="946"/>
      <c r="IB2" s="946"/>
      <c r="IC2" s="946"/>
      <c r="ID2" s="946"/>
      <c r="IE2" s="946"/>
      <c r="IF2" s="946"/>
      <c r="IG2" s="946"/>
      <c r="IH2" s="946"/>
      <c r="II2" s="946"/>
      <c r="IJ2" s="946"/>
      <c r="IK2" s="946"/>
      <c r="IL2" s="946"/>
      <c r="IM2" s="946"/>
      <c r="IN2" s="946"/>
      <c r="IO2" s="946"/>
      <c r="IP2" s="946"/>
      <c r="IQ2" s="946"/>
      <c r="IR2" s="946"/>
      <c r="IS2" s="946"/>
      <c r="IT2" s="946"/>
      <c r="IU2" s="946"/>
      <c r="IV2" s="946"/>
      <c r="IW2" s="946"/>
      <c r="IX2" s="946"/>
      <c r="IY2" s="946"/>
      <c r="IZ2" s="946"/>
      <c r="JA2" s="946"/>
      <c r="JB2" s="946"/>
      <c r="JC2" s="946"/>
      <c r="JD2" s="946"/>
      <c r="JE2" s="946"/>
      <c r="JF2" s="946"/>
      <c r="JG2" s="946"/>
      <c r="JH2" s="946"/>
      <c r="JI2" s="946"/>
      <c r="JJ2" s="946"/>
      <c r="JK2" s="946"/>
      <c r="JL2" s="946"/>
      <c r="JM2" s="946"/>
      <c r="JN2" s="946"/>
      <c r="JO2" s="946"/>
      <c r="JP2" s="946"/>
      <c r="JQ2" s="946"/>
      <c r="JR2" s="946"/>
      <c r="JS2" s="946"/>
      <c r="JT2" s="946"/>
      <c r="JU2" s="946"/>
      <c r="JV2" s="946"/>
      <c r="JW2" s="946"/>
      <c r="JX2" s="946"/>
      <c r="JY2" s="946"/>
      <c r="JZ2" s="946"/>
      <c r="KA2" s="946"/>
      <c r="KB2" s="946"/>
      <c r="KC2" s="946"/>
      <c r="KD2" s="946"/>
      <c r="KE2" s="946"/>
      <c r="KF2" s="946"/>
      <c r="KG2" s="946"/>
      <c r="KH2" s="946"/>
      <c r="KI2" s="946"/>
      <c r="KJ2" s="946"/>
      <c r="KK2" s="946"/>
      <c r="KL2" s="946"/>
      <c r="KM2" s="946"/>
      <c r="KN2" s="946"/>
      <c r="KO2" s="946"/>
      <c r="KP2" s="946"/>
      <c r="KQ2" s="946"/>
      <c r="KR2" s="946"/>
      <c r="KS2" s="946"/>
      <c r="KT2" s="946"/>
      <c r="KU2" s="946"/>
      <c r="KV2" s="946"/>
      <c r="KW2" s="946"/>
      <c r="KX2" s="946"/>
      <c r="KY2" s="946"/>
      <c r="KZ2" s="946"/>
      <c r="LA2" s="946"/>
      <c r="LB2" s="946"/>
      <c r="LC2" s="946"/>
      <c r="LD2" s="946"/>
      <c r="LE2" s="946"/>
      <c r="LF2" s="946"/>
      <c r="LG2" s="946"/>
      <c r="LH2" s="946"/>
      <c r="LI2" s="946"/>
      <c r="LJ2" s="946"/>
      <c r="LK2" s="946"/>
      <c r="LL2" s="946"/>
      <c r="LM2" s="946"/>
      <c r="LN2" s="946"/>
      <c r="LO2" s="946"/>
      <c r="LP2" s="946"/>
      <c r="LQ2" s="946"/>
      <c r="LR2" s="946"/>
      <c r="LS2" s="946"/>
      <c r="LT2" s="946"/>
      <c r="LU2" s="946"/>
      <c r="LV2" s="946"/>
      <c r="LW2" s="946"/>
      <c r="LX2" s="946"/>
      <c r="LY2" s="946"/>
      <c r="LZ2" s="946"/>
      <c r="MA2" s="946"/>
      <c r="MB2" s="946"/>
      <c r="MC2" s="946"/>
      <c r="MD2" s="946"/>
      <c r="ME2" s="946"/>
      <c r="MF2" s="946"/>
      <c r="MG2" s="946"/>
      <c r="MH2" s="946"/>
      <c r="MI2" s="946"/>
      <c r="MJ2" s="946"/>
      <c r="MK2" s="946"/>
      <c r="ML2" s="946"/>
      <c r="MM2" s="946"/>
      <c r="MN2" s="946"/>
      <c r="MO2" s="946"/>
      <c r="MP2" s="946"/>
      <c r="MQ2" s="946"/>
      <c r="MR2" s="946"/>
      <c r="MS2" s="946"/>
      <c r="MT2" s="946"/>
      <c r="MU2" s="946"/>
      <c r="MV2" s="946"/>
      <c r="MW2" s="946"/>
      <c r="MX2" s="946"/>
      <c r="MY2" s="946"/>
      <c r="MZ2" s="946"/>
      <c r="NA2" s="946"/>
      <c r="NB2" s="946"/>
      <c r="NC2" s="946"/>
      <c r="ND2" s="946"/>
      <c r="NE2" s="946"/>
      <c r="NF2" s="946"/>
      <c r="NG2" s="946"/>
      <c r="NH2" s="946"/>
      <c r="NI2" s="946"/>
      <c r="NJ2" s="946"/>
      <c r="NK2" s="946"/>
      <c r="NL2" s="946"/>
      <c r="NM2" s="946"/>
      <c r="NN2" s="946"/>
      <c r="NO2" s="946"/>
      <c r="NP2" s="946"/>
      <c r="NQ2" s="946"/>
      <c r="NR2" s="946"/>
      <c r="NS2" s="946"/>
      <c r="NT2" s="946"/>
      <c r="NU2" s="946"/>
      <c r="NV2" s="946"/>
      <c r="NW2" s="946"/>
      <c r="NX2" s="946"/>
      <c r="NY2" s="946"/>
      <c r="NZ2" s="946"/>
      <c r="OA2" s="946"/>
      <c r="OB2" s="946"/>
      <c r="OC2" s="946"/>
      <c r="OD2" s="946"/>
      <c r="OE2" s="946"/>
      <c r="OF2" s="946"/>
      <c r="OG2" s="946"/>
      <c r="OH2" s="946"/>
      <c r="OI2" s="946"/>
      <c r="OJ2" s="946"/>
      <c r="OK2" s="946"/>
      <c r="OL2" s="946"/>
      <c r="OM2" s="946"/>
      <c r="ON2" s="946"/>
      <c r="OO2" s="946"/>
      <c r="OP2" s="946"/>
      <c r="OQ2" s="946"/>
      <c r="OR2" s="946"/>
      <c r="OS2" s="946"/>
      <c r="OT2" s="946"/>
      <c r="OU2" s="946"/>
      <c r="OV2" s="946"/>
      <c r="OW2" s="946"/>
      <c r="OX2" s="946"/>
      <c r="OY2" s="946"/>
      <c r="OZ2" s="946"/>
      <c r="PA2" s="946"/>
      <c r="PB2" s="946"/>
      <c r="PC2" s="946"/>
      <c r="PD2" s="946"/>
      <c r="PE2" s="946"/>
      <c r="PF2" s="946"/>
      <c r="PG2" s="946"/>
      <c r="PH2" s="946"/>
      <c r="PI2" s="946"/>
      <c r="PJ2" s="946"/>
      <c r="PK2" s="946"/>
      <c r="PL2" s="946"/>
      <c r="PM2" s="946"/>
      <c r="PN2" s="946"/>
      <c r="PO2" s="946"/>
      <c r="PP2" s="946"/>
      <c r="PQ2" s="946"/>
      <c r="PR2" s="946"/>
      <c r="PS2" s="946"/>
      <c r="PT2" s="946"/>
      <c r="PU2" s="946"/>
      <c r="PV2" s="946"/>
      <c r="PW2" s="946"/>
      <c r="PX2" s="946"/>
      <c r="PY2" s="946"/>
      <c r="PZ2" s="946"/>
      <c r="QA2" s="946"/>
      <c r="QB2" s="946"/>
      <c r="QC2" s="946"/>
      <c r="QD2" s="946"/>
      <c r="QE2" s="946"/>
      <c r="QF2" s="946"/>
      <c r="QG2" s="946"/>
      <c r="QH2" s="946"/>
      <c r="QI2" s="946"/>
      <c r="QJ2" s="946"/>
      <c r="QK2" s="946"/>
      <c r="QL2" s="946"/>
      <c r="QM2" s="946"/>
      <c r="QN2" s="946"/>
      <c r="QO2" s="946"/>
      <c r="QP2" s="946"/>
      <c r="QQ2" s="946"/>
      <c r="QR2" s="946"/>
      <c r="QS2" s="946"/>
      <c r="QT2" s="946"/>
      <c r="QU2" s="946"/>
      <c r="QV2" s="946"/>
      <c r="QW2" s="946"/>
      <c r="QX2" s="946"/>
      <c r="QY2" s="946"/>
      <c r="QZ2" s="946"/>
      <c r="RA2" s="946"/>
      <c r="RB2" s="946"/>
      <c r="RC2" s="946"/>
      <c r="RD2" s="946"/>
      <c r="RE2" s="946"/>
      <c r="RF2" s="946"/>
      <c r="RG2" s="946"/>
      <c r="RH2" s="946"/>
      <c r="RI2" s="946"/>
      <c r="RJ2" s="946"/>
      <c r="RK2" s="946"/>
      <c r="RL2" s="946"/>
      <c r="RM2" s="946"/>
      <c r="RN2" s="946"/>
      <c r="RO2" s="946"/>
      <c r="RP2" s="946"/>
      <c r="RQ2" s="946"/>
      <c r="RR2" s="946"/>
      <c r="RS2" s="946"/>
      <c r="RT2" s="946"/>
      <c r="RU2" s="946"/>
      <c r="RV2" s="946"/>
      <c r="RW2" s="946"/>
      <c r="RX2" s="946"/>
      <c r="RY2" s="946"/>
      <c r="RZ2" s="946"/>
      <c r="SA2" s="946"/>
      <c r="SB2" s="946"/>
      <c r="SC2" s="946"/>
      <c r="SD2" s="946"/>
      <c r="SE2" s="946"/>
      <c r="SF2" s="946"/>
      <c r="SG2" s="946"/>
      <c r="SH2" s="946"/>
      <c r="SI2" s="946"/>
      <c r="SJ2" s="946"/>
      <c r="SK2" s="946"/>
      <c r="SL2" s="946"/>
      <c r="SM2" s="946"/>
      <c r="SN2" s="946"/>
      <c r="SO2" s="946"/>
      <c r="SP2" s="946"/>
      <c r="SQ2" s="946"/>
      <c r="SR2" s="946"/>
      <c r="SS2" s="946"/>
      <c r="ST2" s="946"/>
      <c r="SU2" s="946"/>
      <c r="SV2" s="946"/>
      <c r="SW2" s="946"/>
      <c r="SX2" s="946"/>
      <c r="SY2" s="946"/>
      <c r="SZ2" s="946"/>
      <c r="TA2" s="946"/>
      <c r="TB2" s="946"/>
      <c r="TC2" s="946"/>
      <c r="TD2" s="946"/>
      <c r="TE2" s="946"/>
      <c r="TF2" s="946"/>
      <c r="TG2" s="946"/>
      <c r="TH2" s="946"/>
      <c r="TI2" s="946"/>
      <c r="TJ2" s="946"/>
      <c r="TK2" s="946"/>
      <c r="TL2" s="946"/>
      <c r="TM2" s="946"/>
      <c r="TN2" s="946"/>
      <c r="TO2" s="946"/>
      <c r="TP2" s="946"/>
      <c r="TQ2" s="946"/>
      <c r="TR2" s="946"/>
      <c r="TS2" s="946"/>
      <c r="TT2" s="946"/>
      <c r="TU2" s="946"/>
      <c r="TV2" s="946"/>
      <c r="TW2" s="946"/>
      <c r="TX2" s="946"/>
      <c r="TY2" s="946"/>
      <c r="TZ2" s="946"/>
      <c r="UA2" s="946"/>
      <c r="UB2" s="946"/>
      <c r="UC2" s="946"/>
      <c r="UD2" s="946"/>
      <c r="UE2" s="946"/>
      <c r="UF2" s="946"/>
      <c r="UG2" s="946"/>
      <c r="UH2" s="946"/>
      <c r="UI2" s="946"/>
      <c r="UJ2" s="946"/>
      <c r="UK2" s="946"/>
      <c r="UL2" s="946"/>
      <c r="UM2" s="946"/>
      <c r="UN2" s="946"/>
      <c r="UO2" s="946"/>
      <c r="UP2" s="946"/>
      <c r="UQ2" s="946"/>
      <c r="UR2" s="946"/>
      <c r="US2" s="946"/>
      <c r="UT2" s="946"/>
      <c r="UU2" s="946"/>
      <c r="UV2" s="946"/>
      <c r="UW2" s="946"/>
      <c r="UX2" s="946"/>
      <c r="UY2" s="946"/>
      <c r="UZ2" s="946"/>
      <c r="VA2" s="946"/>
      <c r="VB2" s="946"/>
      <c r="VC2" s="946"/>
      <c r="VD2" s="946"/>
      <c r="VE2" s="946"/>
      <c r="VF2" s="946"/>
      <c r="VG2" s="946"/>
      <c r="VH2" s="946"/>
      <c r="VI2" s="946"/>
      <c r="VJ2" s="946"/>
      <c r="VK2" s="946"/>
      <c r="VL2" s="946"/>
      <c r="VM2" s="946"/>
      <c r="VN2" s="946"/>
      <c r="VO2" s="946"/>
      <c r="VP2" s="946"/>
      <c r="VQ2" s="946"/>
      <c r="VR2" s="946"/>
      <c r="VS2" s="946"/>
      <c r="VT2" s="946"/>
      <c r="VU2" s="946"/>
      <c r="VV2" s="946"/>
      <c r="VW2" s="946"/>
      <c r="VX2" s="946"/>
      <c r="VY2" s="946"/>
      <c r="VZ2" s="946"/>
      <c r="WA2" s="946"/>
      <c r="WB2" s="946"/>
      <c r="WC2" s="946"/>
      <c r="WD2" s="946"/>
      <c r="WE2" s="946"/>
      <c r="WF2" s="946"/>
      <c r="WG2" s="946"/>
      <c r="WH2" s="946"/>
      <c r="WI2" s="946"/>
      <c r="WJ2" s="946"/>
      <c r="WK2" s="946"/>
      <c r="WL2" s="946"/>
      <c r="WM2" s="946"/>
      <c r="WN2" s="946"/>
      <c r="WO2" s="946"/>
      <c r="WP2" s="946"/>
      <c r="WQ2" s="946"/>
      <c r="WR2" s="946"/>
      <c r="WS2" s="946"/>
      <c r="WT2" s="946"/>
      <c r="WU2" s="946"/>
      <c r="WV2" s="946"/>
      <c r="WW2" s="946"/>
      <c r="WX2" s="946"/>
      <c r="WY2" s="946"/>
      <c r="WZ2" s="946"/>
      <c r="XA2" s="946"/>
      <c r="XB2" s="946"/>
      <c r="XC2" s="946"/>
      <c r="XD2" s="946"/>
      <c r="XE2" s="946"/>
      <c r="XF2" s="946"/>
      <c r="XG2" s="946"/>
      <c r="XH2" s="946"/>
      <c r="XI2" s="946"/>
      <c r="XJ2" s="946"/>
      <c r="XK2" s="946"/>
      <c r="XL2" s="946"/>
      <c r="XM2" s="946"/>
      <c r="XN2" s="946"/>
      <c r="XO2" s="946"/>
      <c r="XP2" s="946"/>
      <c r="XQ2" s="946"/>
      <c r="XR2" s="946"/>
      <c r="XS2" s="946"/>
      <c r="XT2" s="946"/>
      <c r="XU2" s="946"/>
      <c r="XV2" s="946"/>
      <c r="XW2" s="946"/>
      <c r="XX2" s="946"/>
      <c r="XY2" s="946"/>
      <c r="XZ2" s="946"/>
      <c r="YA2" s="946"/>
      <c r="YB2" s="946"/>
      <c r="YC2" s="946"/>
      <c r="YD2" s="946"/>
      <c r="YE2" s="946"/>
      <c r="YF2" s="946"/>
      <c r="YG2" s="946"/>
      <c r="YH2" s="946"/>
      <c r="YI2" s="946"/>
      <c r="YJ2" s="946"/>
      <c r="YK2" s="946"/>
      <c r="YL2" s="946"/>
      <c r="YM2" s="946"/>
      <c r="YN2" s="946"/>
      <c r="YO2" s="946"/>
      <c r="YP2" s="946"/>
      <c r="YQ2" s="946"/>
      <c r="YR2" s="946"/>
      <c r="YS2" s="946"/>
      <c r="YT2" s="946"/>
      <c r="YU2" s="946"/>
      <c r="YV2" s="946"/>
      <c r="YW2" s="946"/>
      <c r="YX2" s="946"/>
      <c r="YY2" s="946"/>
      <c r="YZ2" s="946"/>
      <c r="ZA2" s="946"/>
      <c r="ZB2" s="946"/>
      <c r="ZC2" s="946"/>
      <c r="ZD2" s="946"/>
      <c r="ZE2" s="946"/>
      <c r="ZF2" s="946"/>
      <c r="ZG2" s="946"/>
      <c r="ZH2" s="946"/>
      <c r="ZI2" s="946"/>
      <c r="ZJ2" s="946"/>
      <c r="ZK2" s="946"/>
      <c r="ZL2" s="946"/>
      <c r="ZM2" s="946"/>
      <c r="ZN2" s="946"/>
      <c r="ZO2" s="946"/>
      <c r="ZP2" s="946"/>
      <c r="ZQ2" s="946"/>
      <c r="ZR2" s="946"/>
      <c r="ZS2" s="946"/>
      <c r="ZT2" s="946"/>
      <c r="ZU2" s="946"/>
      <c r="ZV2" s="946"/>
      <c r="ZW2" s="946"/>
      <c r="ZX2" s="946"/>
      <c r="ZY2" s="946"/>
      <c r="ZZ2" s="946"/>
      <c r="AAA2" s="946"/>
      <c r="AAB2" s="946"/>
      <c r="AAC2" s="946"/>
      <c r="AAD2" s="946"/>
      <c r="AAE2" s="946"/>
      <c r="AAF2" s="946"/>
      <c r="AAG2" s="946"/>
      <c r="AAH2" s="946"/>
      <c r="AAI2" s="946"/>
      <c r="AAJ2" s="946"/>
      <c r="AAK2" s="946"/>
      <c r="AAL2" s="946"/>
      <c r="AAM2" s="946"/>
      <c r="AAN2" s="946"/>
      <c r="AAO2" s="946"/>
      <c r="AAP2" s="946"/>
      <c r="AAQ2" s="946"/>
      <c r="AAR2" s="946"/>
      <c r="AAS2" s="946"/>
      <c r="AAT2" s="946"/>
      <c r="AAU2" s="946"/>
      <c r="AAV2" s="946"/>
      <c r="AAW2" s="946"/>
      <c r="AAX2" s="946"/>
      <c r="AAY2" s="946"/>
      <c r="AAZ2" s="946"/>
      <c r="ABA2" s="946"/>
      <c r="ABB2" s="946"/>
      <c r="ABC2" s="946"/>
      <c r="ABD2" s="946"/>
      <c r="ABE2" s="946"/>
      <c r="ABF2" s="946"/>
      <c r="ABG2" s="946"/>
      <c r="ABH2" s="946"/>
      <c r="ABI2" s="946"/>
      <c r="ABJ2" s="946"/>
      <c r="ABK2" s="946"/>
      <c r="ABL2" s="946"/>
      <c r="ABM2" s="946"/>
      <c r="ABN2" s="946"/>
      <c r="ABO2" s="946"/>
      <c r="ABP2" s="946"/>
      <c r="ABQ2" s="946"/>
      <c r="ABR2" s="946"/>
      <c r="ABS2" s="946"/>
      <c r="ABT2" s="946"/>
      <c r="ABU2" s="946"/>
      <c r="ABV2" s="946"/>
      <c r="ABW2" s="946"/>
      <c r="ABX2" s="946"/>
      <c r="ABY2" s="946"/>
      <c r="ABZ2" s="946"/>
      <c r="ACA2" s="946"/>
      <c r="ACB2" s="946"/>
      <c r="ACC2" s="946"/>
      <c r="ACD2" s="946"/>
      <c r="ACE2" s="946"/>
      <c r="ACF2" s="946"/>
      <c r="ACG2" s="946"/>
      <c r="ACH2" s="946"/>
      <c r="ACI2" s="946"/>
      <c r="ACJ2" s="946"/>
      <c r="ACK2" s="946"/>
      <c r="ACL2" s="946"/>
      <c r="ACM2" s="946"/>
      <c r="ACN2" s="946"/>
      <c r="ACO2" s="946"/>
      <c r="ACP2" s="946"/>
      <c r="ACQ2" s="946"/>
      <c r="ACR2" s="946"/>
      <c r="ACS2" s="946"/>
      <c r="ACT2" s="946"/>
      <c r="ACU2" s="946"/>
      <c r="ACV2" s="946"/>
      <c r="ACW2" s="946"/>
      <c r="ACX2" s="946"/>
      <c r="ACY2" s="946"/>
      <c r="ACZ2" s="946"/>
      <c r="ADA2" s="946"/>
      <c r="ADB2" s="946"/>
      <c r="ADC2" s="946"/>
      <c r="ADD2" s="946"/>
      <c r="ADE2" s="946"/>
      <c r="ADF2" s="946"/>
      <c r="ADG2" s="946"/>
      <c r="ADH2" s="946"/>
      <c r="ADI2" s="946"/>
      <c r="ADJ2" s="946"/>
      <c r="ADK2" s="946"/>
      <c r="ADL2" s="946"/>
      <c r="ADM2" s="946"/>
      <c r="ADN2" s="946"/>
      <c r="ADO2" s="946"/>
      <c r="ADP2" s="946"/>
      <c r="ADQ2" s="946"/>
      <c r="ADR2" s="946"/>
      <c r="ADS2" s="946"/>
      <c r="ADT2" s="946"/>
      <c r="ADU2" s="946"/>
      <c r="ADV2" s="946"/>
      <c r="ADW2" s="946"/>
      <c r="ADX2" s="946"/>
      <c r="ADY2" s="946"/>
      <c r="ADZ2" s="946"/>
      <c r="AEA2" s="946"/>
      <c r="AEB2" s="946"/>
      <c r="AEC2" s="946"/>
      <c r="AED2" s="946"/>
      <c r="AEE2" s="946"/>
      <c r="AEF2" s="946"/>
      <c r="AEG2" s="946"/>
      <c r="AEH2" s="946"/>
      <c r="AEI2" s="946"/>
      <c r="AEJ2" s="946"/>
      <c r="AEK2" s="946"/>
      <c r="AEL2" s="946"/>
      <c r="AEM2" s="946"/>
      <c r="AEN2" s="946"/>
      <c r="AEO2" s="946"/>
      <c r="AEP2" s="946"/>
      <c r="AEQ2" s="946"/>
      <c r="AER2" s="946"/>
      <c r="AES2" s="946"/>
      <c r="AET2" s="946"/>
      <c r="AEU2" s="946"/>
      <c r="AEV2" s="946"/>
      <c r="AEW2" s="946"/>
      <c r="AEX2" s="946"/>
      <c r="AEY2" s="946"/>
      <c r="AEZ2" s="946"/>
      <c r="AFA2" s="946"/>
      <c r="AFB2" s="946"/>
      <c r="AFC2" s="946"/>
      <c r="AFD2" s="946"/>
      <c r="AFE2" s="946"/>
      <c r="AFF2" s="946"/>
      <c r="AFG2" s="946"/>
      <c r="AFH2" s="946"/>
      <c r="AFI2" s="946"/>
      <c r="AFJ2" s="946"/>
      <c r="AFK2" s="946"/>
      <c r="AFL2" s="946"/>
      <c r="AFM2" s="946"/>
      <c r="AFN2" s="946"/>
      <c r="AFO2" s="946"/>
      <c r="AFP2" s="946"/>
      <c r="AFQ2" s="946"/>
      <c r="AFR2" s="946"/>
      <c r="AFS2" s="946"/>
      <c r="AFT2" s="946"/>
      <c r="AFU2" s="946"/>
      <c r="AFV2" s="946"/>
      <c r="AFW2" s="946"/>
      <c r="AFX2" s="946"/>
      <c r="AFY2" s="946"/>
      <c r="AFZ2" s="946"/>
      <c r="AGA2" s="946"/>
      <c r="AGB2" s="946"/>
      <c r="AGC2" s="946"/>
      <c r="AGD2" s="946"/>
      <c r="AGE2" s="946"/>
      <c r="AGF2" s="946"/>
      <c r="AGG2" s="946"/>
      <c r="AGH2" s="946"/>
      <c r="AGI2" s="946"/>
      <c r="AGJ2" s="946"/>
      <c r="AGK2" s="946"/>
      <c r="AGL2" s="946"/>
      <c r="AGM2" s="946"/>
      <c r="AGN2" s="946"/>
      <c r="AGO2" s="946"/>
      <c r="AGP2" s="946"/>
      <c r="AGQ2" s="946"/>
      <c r="AGR2" s="946"/>
      <c r="AGS2" s="946"/>
      <c r="AGT2" s="946"/>
      <c r="AGU2" s="946"/>
      <c r="AGV2" s="946"/>
      <c r="AGW2" s="946"/>
      <c r="AGX2" s="946"/>
      <c r="AGY2" s="946"/>
      <c r="AGZ2" s="946"/>
      <c r="AHA2" s="946"/>
      <c r="AHB2" s="946"/>
      <c r="AHC2" s="946"/>
      <c r="AHD2" s="946"/>
      <c r="AHE2" s="946"/>
      <c r="AHF2" s="946"/>
      <c r="AHG2" s="946"/>
      <c r="AHH2" s="946"/>
      <c r="AHI2" s="946"/>
      <c r="AHJ2" s="946"/>
      <c r="AHK2" s="946"/>
      <c r="AHL2" s="946"/>
      <c r="AHM2" s="946"/>
      <c r="AHN2" s="946"/>
      <c r="AHO2" s="946"/>
      <c r="AHP2" s="946"/>
      <c r="AHQ2" s="946"/>
      <c r="AHR2" s="946"/>
      <c r="AHS2" s="946"/>
      <c r="AHT2" s="946"/>
      <c r="AHU2" s="946"/>
      <c r="AHV2" s="946"/>
      <c r="AHW2" s="946"/>
      <c r="AHX2" s="946"/>
      <c r="AHY2" s="946"/>
      <c r="AHZ2" s="946"/>
      <c r="AIA2" s="946"/>
      <c r="AIB2" s="946"/>
      <c r="AIC2" s="946"/>
      <c r="AID2" s="946"/>
      <c r="AIE2" s="946"/>
      <c r="AIF2" s="946"/>
      <c r="AIG2" s="946"/>
      <c r="AIH2" s="946"/>
      <c r="AII2" s="946"/>
      <c r="AIJ2" s="946"/>
      <c r="AIK2" s="946"/>
      <c r="AIL2" s="946"/>
      <c r="AIM2" s="946"/>
      <c r="AIN2" s="946"/>
      <c r="AIO2" s="946"/>
      <c r="AIP2" s="946"/>
      <c r="AIQ2" s="946"/>
      <c r="AIR2" s="946"/>
      <c r="AIS2" s="946"/>
      <c r="AIT2" s="946"/>
      <c r="AIU2" s="946"/>
      <c r="AIV2" s="946"/>
      <c r="AIW2" s="946"/>
      <c r="AIX2" s="946"/>
      <c r="AIY2" s="946"/>
      <c r="AIZ2" s="946"/>
      <c r="AJA2" s="946"/>
      <c r="AJB2" s="946"/>
      <c r="AJC2" s="946"/>
      <c r="AJD2" s="946"/>
      <c r="AJE2" s="946"/>
      <c r="AJF2" s="946"/>
      <c r="AJG2" s="946"/>
      <c r="AJH2" s="946"/>
      <c r="AJI2" s="946"/>
      <c r="AJJ2" s="946"/>
      <c r="AJK2" s="946"/>
      <c r="AJL2" s="946"/>
      <c r="AJM2" s="946"/>
      <c r="AJN2" s="946"/>
      <c r="AJO2" s="946"/>
      <c r="AJP2" s="946"/>
      <c r="AJQ2" s="946"/>
      <c r="AJR2" s="946"/>
      <c r="AJS2" s="946"/>
      <c r="AJT2" s="946"/>
      <c r="AJU2" s="946"/>
      <c r="AJV2" s="946"/>
      <c r="AJW2" s="946"/>
      <c r="AJX2" s="946"/>
      <c r="AJY2" s="946"/>
      <c r="AJZ2" s="946"/>
      <c r="AKA2" s="946"/>
      <c r="AKB2" s="946"/>
      <c r="AKC2" s="946"/>
      <c r="AKD2" s="946"/>
      <c r="AKE2" s="946"/>
      <c r="AKF2" s="946"/>
      <c r="AKG2" s="946"/>
      <c r="AKH2" s="946"/>
      <c r="AKI2" s="946"/>
      <c r="AKJ2" s="946"/>
      <c r="AKK2" s="946"/>
      <c r="AKL2" s="946"/>
      <c r="AKM2" s="946"/>
      <c r="AKN2" s="946"/>
      <c r="AKO2" s="946"/>
      <c r="AKP2" s="946"/>
      <c r="AKQ2" s="946"/>
      <c r="AKR2" s="946"/>
      <c r="AKS2" s="946"/>
      <c r="AKT2" s="946"/>
      <c r="AKU2" s="946"/>
      <c r="AKV2" s="946"/>
      <c r="AKW2" s="946"/>
      <c r="AKX2" s="946"/>
      <c r="AKY2" s="946"/>
      <c r="AKZ2" s="946"/>
      <c r="ALA2" s="946"/>
      <c r="ALB2" s="946"/>
      <c r="ALC2" s="946"/>
      <c r="ALD2" s="946"/>
      <c r="ALE2" s="946"/>
      <c r="ALF2" s="946"/>
      <c r="ALG2" s="946"/>
      <c r="ALH2" s="946"/>
      <c r="ALI2" s="946"/>
      <c r="ALJ2" s="946"/>
      <c r="ALK2" s="946"/>
      <c r="ALL2" s="946"/>
      <c r="ALM2" s="946"/>
      <c r="ALN2" s="946"/>
      <c r="ALO2" s="946"/>
      <c r="ALP2" s="946"/>
      <c r="ALQ2" s="946"/>
      <c r="ALR2" s="946"/>
      <c r="ALS2" s="946"/>
      <c r="ALT2" s="946"/>
      <c r="ALU2" s="946"/>
      <c r="ALV2" s="946"/>
      <c r="ALW2" s="946"/>
      <c r="ALX2" s="946"/>
      <c r="ALY2" s="946"/>
      <c r="ALZ2" s="946"/>
      <c r="AMA2" s="946"/>
      <c r="AMB2" s="946"/>
      <c r="AMC2" s="946"/>
      <c r="AMD2" s="946"/>
      <c r="AME2" s="946"/>
      <c r="AMF2" s="946"/>
      <c r="AMG2" s="946"/>
      <c r="AMH2" s="946"/>
      <c r="AMI2" s="946"/>
      <c r="AMJ2" s="946"/>
      <c r="AMK2" s="946"/>
      <c r="AML2" s="946"/>
      <c r="AMM2" s="946"/>
      <c r="AMN2" s="946"/>
      <c r="AMO2" s="946"/>
      <c r="AMP2" s="946"/>
      <c r="AMQ2" s="946"/>
      <c r="AMR2" s="946"/>
      <c r="AMS2" s="946"/>
      <c r="AMT2" s="946"/>
      <c r="AMU2" s="946"/>
      <c r="AMV2" s="946"/>
      <c r="AMW2" s="946"/>
      <c r="AMX2" s="946"/>
      <c r="AMY2" s="946"/>
      <c r="AMZ2" s="946"/>
      <c r="ANA2" s="946"/>
      <c r="ANB2" s="946"/>
      <c r="ANC2" s="946"/>
      <c r="AND2" s="946"/>
      <c r="ANE2" s="946"/>
      <c r="ANF2" s="946"/>
      <c r="ANG2" s="946"/>
      <c r="ANH2" s="946"/>
      <c r="ANI2" s="946"/>
      <c r="ANJ2" s="946"/>
      <c r="ANK2" s="946"/>
      <c r="ANL2" s="946"/>
      <c r="ANM2" s="946"/>
      <c r="ANN2" s="946"/>
      <c r="ANO2" s="946"/>
      <c r="ANP2" s="946"/>
      <c r="ANQ2" s="946"/>
      <c r="ANR2" s="946"/>
      <c r="ANS2" s="946"/>
      <c r="ANT2" s="946"/>
      <c r="ANU2" s="946"/>
      <c r="ANV2" s="946"/>
      <c r="ANW2" s="946"/>
      <c r="ANX2" s="946"/>
      <c r="ANY2" s="946"/>
      <c r="ANZ2" s="946"/>
      <c r="AOA2" s="946"/>
      <c r="AOB2" s="946"/>
      <c r="AOC2" s="946"/>
      <c r="AOD2" s="946"/>
      <c r="AOE2" s="946"/>
      <c r="AOF2" s="946"/>
      <c r="AOG2" s="946"/>
      <c r="AOH2" s="946"/>
      <c r="AOI2" s="946"/>
      <c r="AOJ2" s="946"/>
      <c r="AOK2" s="946"/>
      <c r="AOL2" s="946"/>
      <c r="AOM2" s="946"/>
      <c r="AON2" s="946"/>
      <c r="AOO2" s="946"/>
      <c r="AOP2" s="946"/>
      <c r="AOQ2" s="946"/>
      <c r="AOR2" s="946"/>
      <c r="AOS2" s="946"/>
      <c r="AOT2" s="946"/>
      <c r="AOU2" s="946"/>
      <c r="AOV2" s="946"/>
      <c r="AOW2" s="946"/>
      <c r="AOX2" s="946"/>
      <c r="AOY2" s="946"/>
      <c r="AOZ2" s="946"/>
      <c r="APA2" s="946"/>
      <c r="APB2" s="946"/>
      <c r="APC2" s="946"/>
      <c r="APD2" s="946"/>
      <c r="APE2" s="946"/>
      <c r="APF2" s="946"/>
      <c r="APG2" s="946"/>
      <c r="APH2" s="946"/>
      <c r="API2" s="946"/>
      <c r="APJ2" s="946"/>
      <c r="APK2" s="946"/>
      <c r="APL2" s="946"/>
      <c r="APM2" s="946"/>
      <c r="APN2" s="946"/>
      <c r="APO2" s="946"/>
      <c r="APP2" s="946"/>
      <c r="APQ2" s="946"/>
      <c r="APR2" s="946"/>
      <c r="APS2" s="946"/>
      <c r="APT2" s="946"/>
      <c r="APU2" s="946"/>
      <c r="APV2" s="946"/>
      <c r="APW2" s="946"/>
      <c r="APX2" s="946"/>
      <c r="APY2" s="946"/>
      <c r="APZ2" s="946"/>
      <c r="AQA2" s="946"/>
      <c r="AQB2" s="946"/>
      <c r="AQC2" s="946"/>
      <c r="AQD2" s="946"/>
      <c r="AQE2" s="946"/>
      <c r="AQF2" s="946"/>
      <c r="AQG2" s="946"/>
      <c r="AQH2" s="946"/>
      <c r="AQI2" s="946"/>
      <c r="AQJ2" s="946"/>
      <c r="AQK2" s="946"/>
      <c r="AQL2" s="946"/>
      <c r="AQM2" s="946"/>
      <c r="AQN2" s="946"/>
      <c r="AQO2" s="946"/>
      <c r="AQP2" s="946"/>
      <c r="AQQ2" s="946"/>
      <c r="AQR2" s="946"/>
      <c r="AQS2" s="946"/>
      <c r="AQT2" s="946"/>
      <c r="AQU2" s="946"/>
      <c r="AQV2" s="946"/>
      <c r="AQW2" s="946"/>
      <c r="AQX2" s="946"/>
      <c r="AQY2" s="946"/>
      <c r="AQZ2" s="946"/>
      <c r="ARA2" s="946"/>
      <c r="ARB2" s="946"/>
      <c r="ARC2" s="946"/>
      <c r="ARD2" s="946"/>
      <c r="ARE2" s="946"/>
      <c r="ARF2" s="946"/>
      <c r="ARG2" s="946"/>
      <c r="ARH2" s="946"/>
      <c r="ARI2" s="946"/>
      <c r="ARJ2" s="946"/>
      <c r="ARK2" s="946"/>
      <c r="ARL2" s="946"/>
      <c r="ARM2" s="946"/>
      <c r="ARN2" s="946"/>
      <c r="ARO2" s="946"/>
      <c r="ARP2" s="946"/>
      <c r="ARQ2" s="946"/>
      <c r="ARR2" s="946"/>
      <c r="ARS2" s="946"/>
      <c r="ART2" s="946"/>
      <c r="ARU2" s="946"/>
      <c r="ARV2" s="946"/>
      <c r="ARW2" s="946"/>
      <c r="ARX2" s="946"/>
      <c r="ARY2" s="946"/>
      <c r="ARZ2" s="946"/>
      <c r="ASA2" s="946"/>
      <c r="ASB2" s="946"/>
      <c r="ASC2" s="946"/>
      <c r="ASD2" s="946"/>
      <c r="ASE2" s="946"/>
      <c r="ASF2" s="946"/>
      <c r="ASG2" s="946"/>
      <c r="ASH2" s="946"/>
      <c r="ASI2" s="946"/>
      <c r="ASJ2" s="946"/>
      <c r="ASK2" s="946"/>
      <c r="ASL2" s="946"/>
      <c r="ASM2" s="946"/>
      <c r="ASN2" s="946"/>
      <c r="ASO2" s="946"/>
      <c r="ASP2" s="946"/>
      <c r="ASQ2" s="946"/>
      <c r="ASR2" s="946"/>
      <c r="ASS2" s="946"/>
      <c r="AST2" s="946"/>
      <c r="ASU2" s="946"/>
      <c r="ASV2" s="946"/>
      <c r="ASW2" s="946"/>
      <c r="ASX2" s="946"/>
      <c r="ASY2" s="946"/>
      <c r="ASZ2" s="946"/>
      <c r="ATA2" s="946"/>
      <c r="ATB2" s="946"/>
      <c r="ATC2" s="946"/>
      <c r="ATD2" s="946"/>
      <c r="ATE2" s="946"/>
      <c r="ATF2" s="946"/>
      <c r="ATG2" s="946"/>
      <c r="ATH2" s="946"/>
      <c r="ATI2" s="946"/>
      <c r="ATJ2" s="946"/>
      <c r="ATK2" s="946"/>
      <c r="ATL2" s="946"/>
      <c r="ATM2" s="946"/>
      <c r="ATN2" s="946"/>
      <c r="ATO2" s="946"/>
      <c r="ATP2" s="946"/>
      <c r="ATQ2" s="946"/>
      <c r="ATR2" s="946"/>
      <c r="ATS2" s="946"/>
      <c r="ATT2" s="946"/>
      <c r="ATU2" s="946"/>
      <c r="ATV2" s="946"/>
      <c r="ATW2" s="946"/>
      <c r="ATX2" s="946"/>
      <c r="ATY2" s="946"/>
      <c r="ATZ2" s="946"/>
      <c r="AUA2" s="946"/>
      <c r="AUB2" s="946"/>
      <c r="AUC2" s="946"/>
      <c r="AUD2" s="946"/>
      <c r="AUE2" s="946"/>
      <c r="AUF2" s="946"/>
      <c r="AUG2" s="946"/>
      <c r="AUH2" s="946"/>
      <c r="AUI2" s="946"/>
      <c r="AUJ2" s="946"/>
      <c r="AUK2" s="946"/>
      <c r="AUL2" s="946"/>
      <c r="AUM2" s="946"/>
      <c r="AUN2" s="946"/>
      <c r="AUO2" s="946"/>
      <c r="AUP2" s="946"/>
      <c r="AUQ2" s="946"/>
      <c r="AUR2" s="946"/>
      <c r="AUS2" s="946"/>
      <c r="AUT2" s="946"/>
      <c r="AUU2" s="946"/>
      <c r="AUV2" s="946"/>
      <c r="AUW2" s="946"/>
      <c r="AUX2" s="946"/>
      <c r="AUY2" s="946"/>
      <c r="AUZ2" s="946"/>
      <c r="AVA2" s="946"/>
      <c r="AVB2" s="946"/>
      <c r="AVC2" s="946"/>
      <c r="AVD2" s="946"/>
      <c r="AVE2" s="946"/>
      <c r="AVF2" s="946"/>
      <c r="AVG2" s="946"/>
      <c r="AVH2" s="946"/>
      <c r="AVI2" s="946"/>
      <c r="AVJ2" s="946"/>
      <c r="AVK2" s="946"/>
      <c r="AVL2" s="946"/>
      <c r="AVM2" s="946"/>
      <c r="AVN2" s="946"/>
      <c r="AVO2" s="946"/>
      <c r="AVP2" s="946"/>
      <c r="AVQ2" s="946"/>
      <c r="AVR2" s="946"/>
      <c r="AVS2" s="946"/>
      <c r="AVT2" s="946"/>
      <c r="AVU2" s="946"/>
      <c r="AVV2" s="946"/>
      <c r="AVW2" s="946"/>
      <c r="AVX2" s="946"/>
      <c r="AVY2" s="946"/>
      <c r="AVZ2" s="946"/>
      <c r="AWA2" s="946"/>
      <c r="AWB2" s="946"/>
      <c r="AWC2" s="946"/>
      <c r="AWD2" s="946"/>
      <c r="AWE2" s="946"/>
      <c r="AWF2" s="946"/>
      <c r="AWG2" s="946"/>
      <c r="AWH2" s="946"/>
      <c r="AWI2" s="946"/>
      <c r="AWJ2" s="946"/>
      <c r="AWK2" s="946"/>
      <c r="AWL2" s="946"/>
      <c r="AWM2" s="946"/>
      <c r="AWN2" s="946"/>
      <c r="AWO2" s="946"/>
      <c r="AWP2" s="946"/>
      <c r="AWQ2" s="946"/>
      <c r="AWR2" s="946"/>
      <c r="AWS2" s="946"/>
      <c r="AWT2" s="946"/>
      <c r="AWU2" s="946"/>
      <c r="AWV2" s="946"/>
      <c r="AWW2" s="946"/>
      <c r="AWX2" s="946"/>
      <c r="AWY2" s="946"/>
      <c r="AWZ2" s="946"/>
      <c r="AXA2" s="946"/>
      <c r="AXB2" s="946"/>
      <c r="AXC2" s="946"/>
      <c r="AXD2" s="946"/>
      <c r="AXE2" s="946"/>
      <c r="AXF2" s="946"/>
      <c r="AXG2" s="946"/>
      <c r="AXH2" s="946"/>
      <c r="AXI2" s="946"/>
      <c r="AXJ2" s="946"/>
      <c r="AXK2" s="946"/>
      <c r="AXL2" s="946"/>
      <c r="AXM2" s="946"/>
      <c r="AXN2" s="946"/>
      <c r="AXO2" s="946"/>
      <c r="AXP2" s="946"/>
      <c r="AXQ2" s="946"/>
      <c r="AXR2" s="946"/>
      <c r="AXS2" s="946"/>
      <c r="AXT2" s="946"/>
      <c r="AXU2" s="946"/>
      <c r="AXV2" s="946"/>
      <c r="AXW2" s="946"/>
      <c r="AXX2" s="946"/>
      <c r="AXY2" s="946"/>
      <c r="AXZ2" s="946"/>
      <c r="AYA2" s="946"/>
      <c r="AYB2" s="946"/>
      <c r="AYC2" s="946"/>
      <c r="AYD2" s="946"/>
      <c r="AYE2" s="946"/>
      <c r="AYF2" s="946"/>
      <c r="AYG2" s="946"/>
      <c r="AYH2" s="946"/>
      <c r="AYI2" s="946"/>
      <c r="AYJ2" s="946"/>
      <c r="AYK2" s="946"/>
      <c r="AYL2" s="946"/>
      <c r="AYM2" s="946"/>
      <c r="AYN2" s="946"/>
      <c r="AYO2" s="946"/>
      <c r="AYP2" s="946"/>
      <c r="AYQ2" s="946"/>
      <c r="AYR2" s="946"/>
      <c r="AYS2" s="946"/>
      <c r="AYT2" s="946"/>
      <c r="AYU2" s="946"/>
      <c r="AYV2" s="946"/>
      <c r="AYW2" s="946"/>
      <c r="AYX2" s="946"/>
      <c r="AYY2" s="946"/>
      <c r="AYZ2" s="946"/>
      <c r="AZA2" s="946"/>
      <c r="AZB2" s="946"/>
      <c r="AZC2" s="946"/>
      <c r="AZD2" s="946"/>
      <c r="AZE2" s="946"/>
      <c r="AZF2" s="946"/>
      <c r="AZG2" s="946"/>
      <c r="AZH2" s="946"/>
      <c r="AZI2" s="946"/>
      <c r="AZJ2" s="946"/>
      <c r="AZK2" s="946"/>
      <c r="AZL2" s="946"/>
      <c r="AZM2" s="946"/>
      <c r="AZN2" s="946"/>
      <c r="AZO2" s="946"/>
      <c r="AZP2" s="946"/>
      <c r="AZQ2" s="946"/>
      <c r="AZR2" s="946"/>
      <c r="AZS2" s="946"/>
      <c r="AZT2" s="946"/>
      <c r="AZU2" s="946"/>
      <c r="AZV2" s="946"/>
      <c r="AZW2" s="946"/>
      <c r="AZX2" s="946"/>
      <c r="AZY2" s="946"/>
      <c r="AZZ2" s="946"/>
      <c r="BAA2" s="946"/>
      <c r="BAB2" s="946"/>
      <c r="BAC2" s="946"/>
      <c r="BAD2" s="946"/>
      <c r="BAE2" s="946"/>
      <c r="BAF2" s="946"/>
      <c r="BAG2" s="946"/>
      <c r="BAH2" s="946"/>
      <c r="BAI2" s="946"/>
      <c r="BAJ2" s="946"/>
      <c r="BAK2" s="946"/>
      <c r="BAL2" s="946"/>
      <c r="BAM2" s="946"/>
      <c r="BAN2" s="946"/>
      <c r="BAO2" s="946"/>
      <c r="BAP2" s="946"/>
      <c r="BAQ2" s="946"/>
      <c r="BAR2" s="946"/>
      <c r="BAS2" s="946"/>
      <c r="BAT2" s="946"/>
      <c r="BAU2" s="946"/>
      <c r="BAV2" s="946"/>
      <c r="BAW2" s="946"/>
      <c r="BAX2" s="946"/>
      <c r="BAY2" s="946"/>
      <c r="BAZ2" s="946"/>
      <c r="BBA2" s="946"/>
      <c r="BBB2" s="946"/>
      <c r="BBC2" s="946"/>
      <c r="BBD2" s="946"/>
      <c r="BBE2" s="946"/>
      <c r="BBF2" s="946"/>
      <c r="BBG2" s="946"/>
      <c r="BBH2" s="946"/>
      <c r="BBI2" s="946"/>
      <c r="BBJ2" s="946"/>
      <c r="BBK2" s="946"/>
      <c r="BBL2" s="946"/>
      <c r="BBM2" s="946"/>
      <c r="BBN2" s="946"/>
      <c r="BBO2" s="946"/>
      <c r="BBP2" s="946"/>
      <c r="BBQ2" s="946"/>
      <c r="BBR2" s="946"/>
      <c r="BBS2" s="946"/>
      <c r="BBT2" s="946"/>
      <c r="BBU2" s="946"/>
      <c r="BBV2" s="946"/>
      <c r="BBW2" s="946"/>
      <c r="BBX2" s="946"/>
      <c r="BBY2" s="946"/>
      <c r="BBZ2" s="946"/>
      <c r="BCA2" s="946"/>
      <c r="BCB2" s="946"/>
      <c r="BCC2" s="946"/>
      <c r="BCD2" s="946"/>
      <c r="BCE2" s="946"/>
      <c r="BCF2" s="946"/>
      <c r="BCG2" s="946"/>
      <c r="BCH2" s="946"/>
      <c r="BCI2" s="946"/>
      <c r="BCJ2" s="946"/>
      <c r="BCK2" s="946"/>
      <c r="BCL2" s="946"/>
      <c r="BCM2" s="946"/>
      <c r="BCN2" s="946"/>
      <c r="BCO2" s="946"/>
      <c r="BCP2" s="946"/>
      <c r="BCQ2" s="946"/>
      <c r="BCR2" s="946"/>
      <c r="BCS2" s="946"/>
      <c r="BCT2" s="946"/>
      <c r="BCU2" s="946"/>
      <c r="BCV2" s="946"/>
      <c r="BCW2" s="946"/>
      <c r="BCX2" s="946"/>
      <c r="BCY2" s="946"/>
      <c r="BCZ2" s="946"/>
      <c r="BDA2" s="946"/>
      <c r="BDB2" s="946"/>
      <c r="BDC2" s="946"/>
      <c r="BDD2" s="946"/>
      <c r="BDE2" s="946"/>
      <c r="BDF2" s="946"/>
      <c r="BDG2" s="946"/>
      <c r="BDH2" s="946"/>
      <c r="BDI2" s="946"/>
      <c r="BDJ2" s="946"/>
      <c r="BDK2" s="946"/>
      <c r="BDL2" s="946"/>
      <c r="BDM2" s="946"/>
      <c r="BDN2" s="946"/>
      <c r="BDO2" s="946"/>
      <c r="BDP2" s="946"/>
      <c r="BDQ2" s="946"/>
      <c r="BDR2" s="946"/>
      <c r="BDS2" s="946"/>
      <c r="BDT2" s="946"/>
      <c r="BDU2" s="946"/>
      <c r="BDV2" s="946"/>
      <c r="BDW2" s="946"/>
      <c r="BDX2" s="946"/>
      <c r="BDY2" s="946"/>
      <c r="BDZ2" s="946"/>
      <c r="BEA2" s="946"/>
      <c r="BEB2" s="946"/>
      <c r="BEC2" s="946"/>
      <c r="BED2" s="946"/>
      <c r="BEE2" s="946"/>
      <c r="BEF2" s="946"/>
      <c r="BEG2" s="946"/>
      <c r="BEH2" s="946"/>
      <c r="BEI2" s="946"/>
      <c r="BEJ2" s="946"/>
      <c r="BEK2" s="946"/>
      <c r="BEL2" s="946"/>
      <c r="BEM2" s="946"/>
      <c r="BEN2" s="946"/>
      <c r="BEO2" s="946"/>
      <c r="BEP2" s="946"/>
      <c r="BEQ2" s="946"/>
      <c r="BER2" s="946"/>
      <c r="BES2" s="946"/>
      <c r="BET2" s="946"/>
      <c r="BEU2" s="946"/>
      <c r="BEV2" s="946"/>
      <c r="BEW2" s="946"/>
      <c r="BEX2" s="946"/>
      <c r="BEY2" s="946"/>
      <c r="BEZ2" s="946"/>
      <c r="BFA2" s="946"/>
      <c r="BFB2" s="946"/>
      <c r="BFC2" s="946"/>
      <c r="BFD2" s="946"/>
      <c r="BFE2" s="946"/>
      <c r="BFF2" s="946"/>
      <c r="BFG2" s="946"/>
      <c r="BFH2" s="946"/>
      <c r="BFI2" s="946"/>
      <c r="BFJ2" s="946"/>
      <c r="BFK2" s="946"/>
      <c r="BFL2" s="946"/>
      <c r="BFM2" s="946"/>
      <c r="BFN2" s="946"/>
      <c r="BFO2" s="946"/>
      <c r="BFP2" s="946"/>
      <c r="BFQ2" s="946"/>
      <c r="BFR2" s="946"/>
      <c r="BFS2" s="946"/>
      <c r="BFT2" s="946"/>
      <c r="BFU2" s="946"/>
      <c r="BFV2" s="946"/>
      <c r="BFW2" s="946"/>
      <c r="BFX2" s="946"/>
      <c r="BFY2" s="946"/>
      <c r="BFZ2" s="946"/>
      <c r="BGA2" s="946"/>
      <c r="BGB2" s="946"/>
      <c r="BGC2" s="946"/>
      <c r="BGD2" s="946"/>
      <c r="BGE2" s="946"/>
      <c r="BGF2" s="946"/>
      <c r="BGG2" s="946"/>
      <c r="BGH2" s="946"/>
      <c r="BGI2" s="946"/>
      <c r="BGJ2" s="946"/>
      <c r="BGK2" s="946"/>
      <c r="BGL2" s="946"/>
      <c r="BGM2" s="946"/>
      <c r="BGN2" s="946"/>
      <c r="BGO2" s="946"/>
      <c r="BGP2" s="946"/>
      <c r="BGQ2" s="946"/>
      <c r="BGR2" s="946"/>
      <c r="BGS2" s="946"/>
      <c r="BGT2" s="946"/>
      <c r="BGU2" s="946"/>
      <c r="BGV2" s="946"/>
      <c r="BGW2" s="946"/>
      <c r="BGX2" s="946"/>
      <c r="BGY2" s="946"/>
      <c r="BGZ2" s="946"/>
      <c r="BHA2" s="946"/>
      <c r="BHB2" s="946"/>
      <c r="BHC2" s="946"/>
      <c r="BHD2" s="946"/>
      <c r="BHE2" s="946"/>
      <c r="BHF2" s="946"/>
      <c r="BHG2" s="946"/>
      <c r="BHH2" s="946"/>
      <c r="BHI2" s="946"/>
      <c r="BHJ2" s="946"/>
      <c r="BHK2" s="946"/>
      <c r="BHL2" s="946"/>
      <c r="BHM2" s="946"/>
      <c r="BHN2" s="946"/>
      <c r="BHO2" s="946"/>
      <c r="BHP2" s="946"/>
      <c r="BHQ2" s="946"/>
      <c r="BHR2" s="946"/>
      <c r="BHS2" s="946"/>
      <c r="BHT2" s="946"/>
      <c r="BHU2" s="946"/>
      <c r="BHV2" s="946"/>
      <c r="BHW2" s="946"/>
      <c r="BHX2" s="946"/>
      <c r="BHY2" s="946"/>
      <c r="BHZ2" s="946"/>
      <c r="BIA2" s="946"/>
      <c r="BIB2" s="946"/>
      <c r="BIC2" s="946"/>
      <c r="BID2" s="946"/>
      <c r="BIE2" s="946"/>
      <c r="BIF2" s="946"/>
      <c r="BIG2" s="946"/>
      <c r="BIH2" s="946"/>
      <c r="BII2" s="946"/>
      <c r="BIJ2" s="946"/>
      <c r="BIK2" s="946"/>
      <c r="BIL2" s="946"/>
      <c r="BIM2" s="946"/>
      <c r="BIN2" s="946"/>
      <c r="BIO2" s="946"/>
      <c r="BIP2" s="946"/>
      <c r="BIQ2" s="946"/>
      <c r="BIR2" s="946"/>
      <c r="BIS2" s="946"/>
      <c r="BIT2" s="946"/>
      <c r="BIU2" s="946"/>
      <c r="BIV2" s="946"/>
      <c r="BIW2" s="946"/>
      <c r="BIX2" s="946"/>
      <c r="BIY2" s="946"/>
      <c r="BIZ2" s="946"/>
      <c r="BJA2" s="946"/>
      <c r="BJB2" s="946"/>
      <c r="BJC2" s="946"/>
      <c r="BJD2" s="946"/>
      <c r="BJE2" s="946"/>
      <c r="BJF2" s="946"/>
      <c r="BJG2" s="946"/>
      <c r="BJH2" s="946"/>
      <c r="BJI2" s="946"/>
      <c r="BJJ2" s="946"/>
      <c r="BJK2" s="946"/>
      <c r="BJL2" s="946"/>
      <c r="BJM2" s="946"/>
      <c r="BJN2" s="946"/>
      <c r="BJO2" s="946"/>
      <c r="BJP2" s="946"/>
      <c r="BJQ2" s="946"/>
      <c r="BJR2" s="946"/>
      <c r="BJS2" s="946"/>
      <c r="BJT2" s="946"/>
      <c r="BJU2" s="946"/>
      <c r="BJV2" s="946"/>
      <c r="BJW2" s="946"/>
      <c r="BJX2" s="946"/>
      <c r="BJY2" s="946"/>
      <c r="BJZ2" s="946"/>
      <c r="BKA2" s="946"/>
      <c r="BKB2" s="946"/>
      <c r="BKC2" s="946"/>
      <c r="BKD2" s="946"/>
      <c r="BKE2" s="946"/>
      <c r="BKF2" s="946"/>
      <c r="BKG2" s="946"/>
      <c r="BKH2" s="946"/>
      <c r="BKI2" s="946"/>
      <c r="BKJ2" s="946"/>
      <c r="BKK2" s="946"/>
      <c r="BKL2" s="946"/>
      <c r="BKM2" s="946"/>
      <c r="BKN2" s="946"/>
      <c r="BKO2" s="946"/>
      <c r="BKP2" s="946"/>
      <c r="BKQ2" s="946"/>
      <c r="BKR2" s="946"/>
      <c r="BKS2" s="946"/>
      <c r="BKT2" s="946"/>
      <c r="BKU2" s="946"/>
      <c r="BKV2" s="946"/>
      <c r="BKW2" s="946"/>
      <c r="BKX2" s="946"/>
      <c r="BKY2" s="946"/>
      <c r="BKZ2" s="946"/>
      <c r="BLA2" s="946"/>
      <c r="BLB2" s="946"/>
      <c r="BLC2" s="946"/>
      <c r="BLD2" s="946"/>
      <c r="BLE2" s="946"/>
      <c r="BLF2" s="946"/>
      <c r="BLG2" s="946"/>
      <c r="BLH2" s="946"/>
      <c r="BLI2" s="946"/>
      <c r="BLJ2" s="946"/>
      <c r="BLK2" s="946"/>
      <c r="BLL2" s="946"/>
      <c r="BLM2" s="946"/>
      <c r="BLN2" s="946"/>
      <c r="BLO2" s="946"/>
      <c r="BLP2" s="946"/>
      <c r="BLQ2" s="946"/>
      <c r="BLR2" s="946"/>
      <c r="BLS2" s="946"/>
      <c r="BLT2" s="946"/>
      <c r="BLU2" s="946"/>
      <c r="BLV2" s="946"/>
      <c r="BLW2" s="946"/>
      <c r="BLX2" s="946"/>
      <c r="BLY2" s="946"/>
      <c r="BLZ2" s="946"/>
      <c r="BMA2" s="946"/>
      <c r="BMB2" s="946"/>
      <c r="BMC2" s="946"/>
      <c r="BMD2" s="946"/>
      <c r="BME2" s="946"/>
      <c r="BMF2" s="946"/>
      <c r="BMG2" s="946"/>
      <c r="BMH2" s="946"/>
      <c r="BMI2" s="946"/>
      <c r="BMJ2" s="946"/>
      <c r="BMK2" s="946"/>
      <c r="BML2" s="946"/>
      <c r="BMM2" s="946"/>
      <c r="BMN2" s="946"/>
      <c r="BMO2" s="946"/>
      <c r="BMP2" s="946"/>
      <c r="BMQ2" s="946"/>
      <c r="BMR2" s="946"/>
      <c r="BMS2" s="946"/>
      <c r="BMT2" s="946"/>
      <c r="BMU2" s="946"/>
      <c r="BMV2" s="946"/>
      <c r="BMW2" s="946"/>
      <c r="BMX2" s="946"/>
      <c r="BMY2" s="946"/>
      <c r="BMZ2" s="946"/>
      <c r="BNA2" s="946"/>
      <c r="BNB2" s="946"/>
      <c r="BNC2" s="946"/>
      <c r="BND2" s="946"/>
      <c r="BNE2" s="946"/>
      <c r="BNF2" s="946"/>
      <c r="BNG2" s="946"/>
      <c r="BNH2" s="946"/>
      <c r="BNI2" s="946"/>
      <c r="BNJ2" s="946"/>
      <c r="BNK2" s="946"/>
      <c r="BNL2" s="946"/>
      <c r="BNM2" s="946"/>
      <c r="BNN2" s="946"/>
      <c r="BNO2" s="946"/>
      <c r="BNP2" s="946"/>
      <c r="BNQ2" s="946"/>
      <c r="BNR2" s="946"/>
      <c r="BNS2" s="946"/>
      <c r="BNT2" s="946"/>
      <c r="BNU2" s="946"/>
      <c r="BNV2" s="946"/>
      <c r="BNW2" s="946"/>
      <c r="BNX2" s="946"/>
      <c r="BNY2" s="946"/>
      <c r="BNZ2" s="946"/>
      <c r="BOA2" s="946"/>
      <c r="BOB2" s="946"/>
      <c r="BOC2" s="946"/>
      <c r="BOD2" s="946"/>
      <c r="BOE2" s="946"/>
      <c r="BOF2" s="946"/>
      <c r="BOG2" s="946"/>
      <c r="BOH2" s="946"/>
      <c r="BOI2" s="946"/>
      <c r="BOJ2" s="946"/>
      <c r="BOK2" s="946"/>
      <c r="BOL2" s="946"/>
      <c r="BOM2" s="946"/>
      <c r="BON2" s="946"/>
      <c r="BOO2" s="946"/>
      <c r="BOP2" s="946"/>
      <c r="BOQ2" s="946"/>
      <c r="BOR2" s="946"/>
      <c r="BOS2" s="946"/>
      <c r="BOT2" s="946"/>
      <c r="BOU2" s="946"/>
      <c r="BOV2" s="946"/>
      <c r="BOW2" s="946"/>
      <c r="BOX2" s="946"/>
      <c r="BOY2" s="946"/>
      <c r="BOZ2" s="946"/>
      <c r="BPA2" s="946"/>
      <c r="BPB2" s="946"/>
      <c r="BPC2" s="946"/>
      <c r="BPD2" s="946"/>
      <c r="BPE2" s="946"/>
      <c r="BPF2" s="946"/>
      <c r="BPG2" s="946"/>
      <c r="BPH2" s="946"/>
      <c r="BPI2" s="946"/>
      <c r="BPJ2" s="946"/>
      <c r="BPK2" s="946"/>
      <c r="BPL2" s="946"/>
      <c r="BPM2" s="946"/>
      <c r="BPN2" s="946"/>
      <c r="BPO2" s="946"/>
      <c r="BPP2" s="946"/>
      <c r="BPQ2" s="946"/>
      <c r="BPR2" s="946"/>
      <c r="BPS2" s="946"/>
      <c r="BPT2" s="946"/>
      <c r="BPU2" s="946"/>
      <c r="BPV2" s="946"/>
      <c r="BPW2" s="946"/>
      <c r="BPX2" s="946"/>
      <c r="BPY2" s="946"/>
      <c r="BPZ2" s="946"/>
      <c r="BQA2" s="946"/>
      <c r="BQB2" s="946"/>
      <c r="BQC2" s="946"/>
      <c r="BQD2" s="946"/>
      <c r="BQE2" s="946"/>
      <c r="BQF2" s="946"/>
      <c r="BQG2" s="946"/>
      <c r="BQH2" s="946"/>
      <c r="BQI2" s="946"/>
      <c r="BQJ2" s="946"/>
      <c r="BQK2" s="946"/>
      <c r="BQL2" s="946"/>
      <c r="BQM2" s="946"/>
      <c r="BQN2" s="946"/>
      <c r="BQO2" s="946"/>
      <c r="BQP2" s="946"/>
      <c r="BQQ2" s="946"/>
      <c r="BQR2" s="946"/>
      <c r="BQS2" s="946"/>
      <c r="BQT2" s="946"/>
      <c r="BQU2" s="946"/>
      <c r="BQV2" s="946"/>
      <c r="BQW2" s="946"/>
      <c r="BQX2" s="946"/>
      <c r="BQY2" s="946"/>
      <c r="BQZ2" s="946"/>
      <c r="BRA2" s="946"/>
      <c r="BRB2" s="946"/>
      <c r="BRC2" s="946"/>
      <c r="BRD2" s="946"/>
      <c r="BRE2" s="946"/>
      <c r="BRF2" s="946"/>
      <c r="BRG2" s="946"/>
      <c r="BRH2" s="946"/>
      <c r="BRI2" s="946"/>
      <c r="BRJ2" s="946"/>
      <c r="BRK2" s="946"/>
      <c r="BRL2" s="946"/>
      <c r="BRM2" s="946"/>
      <c r="BRN2" s="946"/>
      <c r="BRO2" s="946"/>
      <c r="BRP2" s="946"/>
      <c r="BRQ2" s="946"/>
      <c r="BRR2" s="946"/>
      <c r="BRS2" s="946"/>
      <c r="BRT2" s="946"/>
      <c r="BRU2" s="946"/>
      <c r="BRV2" s="946"/>
      <c r="BRW2" s="946"/>
      <c r="BRX2" s="946"/>
      <c r="BRY2" s="946"/>
      <c r="BRZ2" s="946"/>
      <c r="BSA2" s="946"/>
      <c r="BSB2" s="946"/>
      <c r="BSC2" s="946"/>
      <c r="BSD2" s="946"/>
      <c r="BSE2" s="946"/>
      <c r="BSF2" s="946"/>
      <c r="BSG2" s="946"/>
      <c r="BSH2" s="946"/>
      <c r="BSI2" s="946"/>
      <c r="BSJ2" s="946"/>
      <c r="BSK2" s="946"/>
      <c r="BSL2" s="946"/>
      <c r="BSM2" s="946"/>
      <c r="BSN2" s="946"/>
      <c r="BSO2" s="946"/>
      <c r="BSP2" s="946"/>
      <c r="BSQ2" s="946"/>
      <c r="BSR2" s="946"/>
      <c r="BSS2" s="946"/>
      <c r="BST2" s="946"/>
      <c r="BSU2" s="946"/>
      <c r="BSV2" s="946"/>
      <c r="BSW2" s="946"/>
      <c r="BSX2" s="946"/>
      <c r="BSY2" s="946"/>
      <c r="BSZ2" s="946"/>
      <c r="BTA2" s="946"/>
      <c r="BTB2" s="946"/>
      <c r="BTC2" s="946"/>
      <c r="BTD2" s="946"/>
      <c r="BTE2" s="946"/>
      <c r="BTF2" s="946"/>
      <c r="BTG2" s="946"/>
      <c r="BTH2" s="946"/>
      <c r="BTI2" s="946"/>
      <c r="BTJ2" s="946"/>
      <c r="BTK2" s="946"/>
      <c r="BTL2" s="946"/>
      <c r="BTM2" s="946"/>
      <c r="BTN2" s="946"/>
      <c r="BTO2" s="946"/>
      <c r="BTP2" s="946"/>
      <c r="BTQ2" s="946"/>
      <c r="BTR2" s="946"/>
      <c r="BTS2" s="946"/>
      <c r="BTT2" s="946"/>
      <c r="BTU2" s="946"/>
      <c r="BTV2" s="946"/>
      <c r="BTW2" s="946"/>
      <c r="BTX2" s="946"/>
      <c r="BTY2" s="946"/>
      <c r="BTZ2" s="946"/>
      <c r="BUA2" s="946"/>
      <c r="BUB2" s="946"/>
      <c r="BUC2" s="946"/>
      <c r="BUD2" s="946"/>
      <c r="BUE2" s="946"/>
      <c r="BUF2" s="946"/>
      <c r="BUG2" s="946"/>
      <c r="BUH2" s="946"/>
      <c r="BUI2" s="946"/>
      <c r="BUJ2" s="946"/>
      <c r="BUK2" s="946"/>
      <c r="BUL2" s="946"/>
      <c r="BUM2" s="946"/>
      <c r="BUN2" s="946"/>
      <c r="BUO2" s="946"/>
      <c r="BUP2" s="946"/>
      <c r="BUQ2" s="946"/>
      <c r="BUR2" s="946"/>
      <c r="BUS2" s="946"/>
      <c r="BUT2" s="946"/>
      <c r="BUU2" s="946"/>
      <c r="BUV2" s="946"/>
      <c r="BUW2" s="946"/>
      <c r="BUX2" s="946"/>
      <c r="BUY2" s="946"/>
      <c r="BUZ2" s="946"/>
      <c r="BVA2" s="946"/>
      <c r="BVB2" s="946"/>
      <c r="BVC2" s="946"/>
      <c r="BVD2" s="946"/>
      <c r="BVE2" s="946"/>
      <c r="BVF2" s="946"/>
      <c r="BVG2" s="946"/>
      <c r="BVH2" s="946"/>
      <c r="BVI2" s="946"/>
      <c r="BVJ2" s="946"/>
      <c r="BVK2" s="946"/>
      <c r="BVL2" s="946"/>
      <c r="BVM2" s="946"/>
      <c r="BVN2" s="946"/>
      <c r="BVO2" s="946"/>
      <c r="BVP2" s="946"/>
      <c r="BVQ2" s="946"/>
      <c r="BVR2" s="946"/>
      <c r="BVS2" s="946"/>
      <c r="BVT2" s="946"/>
      <c r="BVU2" s="946"/>
      <c r="BVV2" s="946"/>
      <c r="BVW2" s="946"/>
      <c r="BVX2" s="946"/>
      <c r="BVY2" s="946"/>
      <c r="BVZ2" s="946"/>
      <c r="BWA2" s="946"/>
      <c r="BWB2" s="946"/>
      <c r="BWC2" s="946"/>
      <c r="BWD2" s="946"/>
      <c r="BWE2" s="946"/>
      <c r="BWF2" s="946"/>
      <c r="BWG2" s="946"/>
      <c r="BWH2" s="946"/>
      <c r="BWI2" s="946"/>
      <c r="BWJ2" s="946"/>
      <c r="BWK2" s="946"/>
      <c r="BWL2" s="946"/>
      <c r="BWM2" s="946"/>
      <c r="BWN2" s="946"/>
      <c r="BWO2" s="946"/>
      <c r="BWP2" s="946"/>
      <c r="BWQ2" s="946"/>
      <c r="BWR2" s="946"/>
      <c r="BWS2" s="946"/>
      <c r="BWT2" s="946"/>
      <c r="BWU2" s="946"/>
      <c r="BWV2" s="946"/>
      <c r="BWW2" s="946"/>
      <c r="BWX2" s="946"/>
      <c r="BWY2" s="946"/>
      <c r="BWZ2" s="946"/>
      <c r="BXA2" s="946"/>
      <c r="BXB2" s="946"/>
      <c r="BXC2" s="946"/>
      <c r="BXD2" s="946"/>
      <c r="BXE2" s="946"/>
      <c r="BXF2" s="946"/>
      <c r="BXG2" s="946"/>
      <c r="BXH2" s="946"/>
      <c r="BXI2" s="946"/>
      <c r="BXJ2" s="946"/>
      <c r="BXK2" s="946"/>
      <c r="BXL2" s="946"/>
      <c r="BXM2" s="946"/>
      <c r="BXN2" s="946"/>
      <c r="BXO2" s="946"/>
      <c r="BXP2" s="946"/>
      <c r="BXQ2" s="946"/>
      <c r="BXR2" s="946"/>
      <c r="BXS2" s="946"/>
      <c r="BXT2" s="946"/>
      <c r="BXU2" s="946"/>
      <c r="BXV2" s="946"/>
      <c r="BXW2" s="946"/>
      <c r="BXX2" s="946"/>
      <c r="BXY2" s="946"/>
      <c r="BXZ2" s="946"/>
      <c r="BYA2" s="946"/>
      <c r="BYB2" s="946"/>
      <c r="BYC2" s="946"/>
      <c r="BYD2" s="946"/>
      <c r="BYE2" s="946"/>
      <c r="BYF2" s="946"/>
      <c r="BYG2" s="946"/>
      <c r="BYH2" s="946"/>
      <c r="BYI2" s="946"/>
      <c r="BYJ2" s="946"/>
      <c r="BYK2" s="946"/>
      <c r="BYL2" s="946"/>
      <c r="BYM2" s="946"/>
      <c r="BYN2" s="946"/>
      <c r="BYO2" s="946"/>
      <c r="BYP2" s="946"/>
      <c r="BYQ2" s="946"/>
      <c r="BYR2" s="946"/>
      <c r="BYS2" s="946"/>
      <c r="BYT2" s="946"/>
      <c r="BYU2" s="946"/>
      <c r="BYV2" s="946"/>
      <c r="BYW2" s="946"/>
      <c r="BYX2" s="946"/>
      <c r="BYY2" s="946"/>
      <c r="BYZ2" s="946"/>
      <c r="BZA2" s="946"/>
      <c r="BZB2" s="946"/>
      <c r="BZC2" s="946"/>
      <c r="BZD2" s="946"/>
      <c r="BZE2" s="946"/>
      <c r="BZF2" s="946"/>
      <c r="BZG2" s="946"/>
      <c r="BZH2" s="946"/>
      <c r="BZI2" s="946"/>
      <c r="BZJ2" s="946"/>
      <c r="BZK2" s="946"/>
      <c r="BZL2" s="946"/>
      <c r="BZM2" s="946"/>
      <c r="BZN2" s="946"/>
      <c r="BZO2" s="946"/>
      <c r="BZP2" s="946"/>
      <c r="BZQ2" s="946"/>
      <c r="BZR2" s="946"/>
      <c r="BZS2" s="946"/>
      <c r="BZT2" s="946"/>
      <c r="BZU2" s="946"/>
      <c r="BZV2" s="946"/>
      <c r="BZW2" s="946"/>
      <c r="BZX2" s="946"/>
      <c r="BZY2" s="946"/>
      <c r="BZZ2" s="946"/>
      <c r="CAA2" s="946"/>
      <c r="CAB2" s="946"/>
      <c r="CAC2" s="946"/>
      <c r="CAD2" s="946"/>
      <c r="CAE2" s="946"/>
      <c r="CAF2" s="946"/>
      <c r="CAG2" s="946"/>
      <c r="CAH2" s="946"/>
      <c r="CAI2" s="946"/>
      <c r="CAJ2" s="946"/>
      <c r="CAK2" s="946"/>
      <c r="CAL2" s="946"/>
      <c r="CAM2" s="946"/>
      <c r="CAN2" s="946"/>
      <c r="CAO2" s="946"/>
      <c r="CAP2" s="946"/>
      <c r="CAQ2" s="946"/>
      <c r="CAR2" s="946"/>
      <c r="CAS2" s="946"/>
      <c r="CAT2" s="946"/>
      <c r="CAU2" s="946"/>
      <c r="CAV2" s="946"/>
      <c r="CAW2" s="946"/>
      <c r="CAX2" s="946"/>
      <c r="CAY2" s="946"/>
      <c r="CAZ2" s="946"/>
      <c r="CBA2" s="946"/>
      <c r="CBB2" s="946"/>
      <c r="CBC2" s="946"/>
      <c r="CBD2" s="946"/>
      <c r="CBE2" s="946"/>
      <c r="CBF2" s="946"/>
      <c r="CBG2" s="946"/>
      <c r="CBH2" s="946"/>
      <c r="CBI2" s="946"/>
      <c r="CBJ2" s="946"/>
      <c r="CBK2" s="946"/>
      <c r="CBL2" s="946"/>
      <c r="CBM2" s="946"/>
      <c r="CBN2" s="946"/>
      <c r="CBO2" s="946"/>
      <c r="CBP2" s="946"/>
      <c r="CBQ2" s="946"/>
      <c r="CBR2" s="946"/>
      <c r="CBS2" s="946"/>
      <c r="CBT2" s="946"/>
      <c r="CBU2" s="946"/>
      <c r="CBV2" s="946"/>
      <c r="CBW2" s="946"/>
      <c r="CBX2" s="946"/>
      <c r="CBY2" s="946"/>
      <c r="CBZ2" s="946"/>
      <c r="CCA2" s="946"/>
      <c r="CCB2" s="946"/>
      <c r="CCC2" s="946"/>
      <c r="CCD2" s="946"/>
      <c r="CCE2" s="946"/>
      <c r="CCF2" s="946"/>
      <c r="CCG2" s="946"/>
      <c r="CCH2" s="946"/>
      <c r="CCI2" s="946"/>
      <c r="CCJ2" s="946"/>
      <c r="CCK2" s="946"/>
      <c r="CCL2" s="946"/>
      <c r="CCM2" s="946"/>
      <c r="CCN2" s="946"/>
      <c r="CCO2" s="946"/>
      <c r="CCP2" s="946"/>
      <c r="CCQ2" s="946"/>
      <c r="CCR2" s="946"/>
      <c r="CCS2" s="946"/>
      <c r="CCT2" s="946"/>
      <c r="CCU2" s="946"/>
      <c r="CCV2" s="946"/>
      <c r="CCW2" s="946"/>
      <c r="CCX2" s="946"/>
      <c r="CCY2" s="946"/>
      <c r="CCZ2" s="946"/>
      <c r="CDA2" s="946"/>
      <c r="CDB2" s="946"/>
      <c r="CDC2" s="946"/>
      <c r="CDD2" s="946"/>
      <c r="CDE2" s="946"/>
      <c r="CDF2" s="946"/>
      <c r="CDG2" s="946"/>
      <c r="CDH2" s="946"/>
      <c r="CDI2" s="946"/>
      <c r="CDJ2" s="946"/>
      <c r="CDK2" s="946"/>
      <c r="CDL2" s="946"/>
      <c r="CDM2" s="946"/>
      <c r="CDN2" s="946"/>
      <c r="CDO2" s="946"/>
      <c r="CDP2" s="946"/>
      <c r="CDQ2" s="946"/>
      <c r="CDR2" s="946"/>
      <c r="CDS2" s="946"/>
      <c r="CDT2" s="946"/>
      <c r="CDU2" s="946"/>
      <c r="CDV2" s="946"/>
      <c r="CDW2" s="946"/>
      <c r="CDX2" s="946"/>
      <c r="CDY2" s="946"/>
      <c r="CDZ2" s="946"/>
      <c r="CEA2" s="946"/>
      <c r="CEB2" s="946"/>
      <c r="CEC2" s="946"/>
      <c r="CED2" s="946"/>
      <c r="CEE2" s="946"/>
      <c r="CEF2" s="946"/>
      <c r="CEG2" s="946"/>
      <c r="CEH2" s="946"/>
      <c r="CEI2" s="946"/>
      <c r="CEJ2" s="946"/>
      <c r="CEK2" s="946"/>
      <c r="CEL2" s="946"/>
      <c r="CEM2" s="946"/>
      <c r="CEN2" s="946"/>
      <c r="CEO2" s="946"/>
      <c r="CEP2" s="946"/>
      <c r="CEQ2" s="946"/>
      <c r="CER2" s="946"/>
      <c r="CES2" s="946"/>
      <c r="CET2" s="946"/>
      <c r="CEU2" s="946"/>
      <c r="CEV2" s="946"/>
      <c r="CEW2" s="946"/>
      <c r="CEX2" s="946"/>
      <c r="CEY2" s="946"/>
      <c r="CEZ2" s="946"/>
      <c r="CFA2" s="946"/>
      <c r="CFB2" s="946"/>
      <c r="CFC2" s="946"/>
      <c r="CFD2" s="946"/>
      <c r="CFE2" s="946"/>
      <c r="CFF2" s="946"/>
      <c r="CFG2" s="946"/>
      <c r="CFH2" s="946"/>
      <c r="CFI2" s="946"/>
      <c r="CFJ2" s="946"/>
      <c r="CFK2" s="946"/>
      <c r="CFL2" s="946"/>
      <c r="CFM2" s="946"/>
      <c r="CFN2" s="946"/>
      <c r="CFO2" s="946"/>
      <c r="CFP2" s="946"/>
      <c r="CFQ2" s="946"/>
      <c r="CFR2" s="946"/>
      <c r="CFS2" s="946"/>
      <c r="CFT2" s="946"/>
      <c r="CFU2" s="946"/>
      <c r="CFV2" s="946"/>
      <c r="CFW2" s="946"/>
      <c r="CFX2" s="946"/>
      <c r="CFY2" s="946"/>
      <c r="CFZ2" s="946"/>
      <c r="CGA2" s="946"/>
      <c r="CGB2" s="946"/>
      <c r="CGC2" s="946"/>
      <c r="CGD2" s="946"/>
      <c r="CGE2" s="946"/>
      <c r="CGF2" s="946"/>
      <c r="CGG2" s="946"/>
      <c r="CGH2" s="946"/>
      <c r="CGI2" s="946"/>
      <c r="CGJ2" s="946"/>
      <c r="CGK2" s="946"/>
      <c r="CGL2" s="946"/>
      <c r="CGM2" s="946"/>
      <c r="CGN2" s="946"/>
      <c r="CGO2" s="946"/>
      <c r="CGP2" s="946"/>
      <c r="CGQ2" s="946"/>
      <c r="CGR2" s="946"/>
      <c r="CGS2" s="946"/>
      <c r="CGT2" s="946"/>
      <c r="CGU2" s="946"/>
      <c r="CGV2" s="946"/>
      <c r="CGW2" s="946"/>
      <c r="CGX2" s="946"/>
      <c r="CGY2" s="946"/>
      <c r="CGZ2" s="946"/>
      <c r="CHA2" s="946"/>
      <c r="CHB2" s="946"/>
      <c r="CHC2" s="946"/>
      <c r="CHD2" s="946"/>
      <c r="CHE2" s="946"/>
      <c r="CHF2" s="946"/>
      <c r="CHG2" s="946"/>
      <c r="CHH2" s="946"/>
      <c r="CHI2" s="946"/>
      <c r="CHJ2" s="946"/>
      <c r="CHK2" s="946"/>
      <c r="CHL2" s="946"/>
      <c r="CHM2" s="946"/>
      <c r="CHN2" s="946"/>
      <c r="CHO2" s="946"/>
      <c r="CHP2" s="946"/>
      <c r="CHQ2" s="946"/>
      <c r="CHR2" s="946"/>
      <c r="CHS2" s="946"/>
      <c r="CHT2" s="946"/>
      <c r="CHU2" s="946"/>
      <c r="CHV2" s="946"/>
      <c r="CHW2" s="946"/>
      <c r="CHX2" s="946"/>
      <c r="CHY2" s="946"/>
      <c r="CHZ2" s="946"/>
      <c r="CIA2" s="946"/>
      <c r="CIB2" s="946"/>
      <c r="CIC2" s="946"/>
      <c r="CID2" s="946"/>
      <c r="CIE2" s="946"/>
      <c r="CIF2" s="946"/>
      <c r="CIG2" s="946"/>
      <c r="CIH2" s="946"/>
      <c r="CII2" s="946"/>
      <c r="CIJ2" s="946"/>
      <c r="CIK2" s="946"/>
      <c r="CIL2" s="946"/>
      <c r="CIM2" s="946"/>
      <c r="CIN2" s="946"/>
      <c r="CIO2" s="946"/>
      <c r="CIP2" s="946"/>
      <c r="CIQ2" s="946"/>
      <c r="CIR2" s="946"/>
      <c r="CIS2" s="946"/>
      <c r="CIT2" s="946"/>
      <c r="CIU2" s="946"/>
      <c r="CIV2" s="946"/>
      <c r="CIW2" s="946"/>
      <c r="CIX2" s="946"/>
      <c r="CIY2" s="946"/>
      <c r="CIZ2" s="946"/>
      <c r="CJA2" s="946"/>
      <c r="CJB2" s="946"/>
      <c r="CJC2" s="946"/>
      <c r="CJD2" s="946"/>
      <c r="CJE2" s="946"/>
      <c r="CJF2" s="946"/>
      <c r="CJG2" s="946"/>
      <c r="CJH2" s="946"/>
      <c r="CJI2" s="946"/>
      <c r="CJJ2" s="946"/>
      <c r="CJK2" s="946"/>
      <c r="CJL2" s="946"/>
      <c r="CJM2" s="946"/>
      <c r="CJN2" s="946"/>
      <c r="CJO2" s="946"/>
      <c r="CJP2" s="946"/>
      <c r="CJQ2" s="946"/>
      <c r="CJR2" s="946"/>
      <c r="CJS2" s="946"/>
      <c r="CJT2" s="946"/>
      <c r="CJU2" s="946"/>
      <c r="CJV2" s="946"/>
      <c r="CJW2" s="946"/>
      <c r="CJX2" s="946"/>
      <c r="CJY2" s="946"/>
      <c r="CJZ2" s="946"/>
      <c r="CKA2" s="946"/>
      <c r="CKB2" s="946"/>
      <c r="CKC2" s="946"/>
      <c r="CKD2" s="946"/>
      <c r="CKE2" s="946"/>
      <c r="CKF2" s="946"/>
      <c r="CKG2" s="946"/>
      <c r="CKH2" s="946"/>
      <c r="CKI2" s="946"/>
      <c r="CKJ2" s="946"/>
      <c r="CKK2" s="946"/>
      <c r="CKL2" s="946"/>
      <c r="CKM2" s="946"/>
      <c r="CKN2" s="946"/>
      <c r="CKO2" s="946"/>
      <c r="CKP2" s="946"/>
      <c r="CKQ2" s="946"/>
      <c r="CKR2" s="946"/>
      <c r="CKS2" s="946"/>
      <c r="CKT2" s="946"/>
      <c r="CKU2" s="946"/>
      <c r="CKV2" s="946"/>
      <c r="CKW2" s="946"/>
      <c r="CKX2" s="946"/>
      <c r="CKY2" s="946"/>
      <c r="CKZ2" s="946"/>
      <c r="CLA2" s="946"/>
      <c r="CLB2" s="946"/>
      <c r="CLC2" s="946"/>
      <c r="CLD2" s="946"/>
      <c r="CLE2" s="946"/>
      <c r="CLF2" s="946"/>
      <c r="CLG2" s="946"/>
      <c r="CLH2" s="946"/>
      <c r="CLI2" s="946"/>
      <c r="CLJ2" s="946"/>
      <c r="CLK2" s="946"/>
      <c r="CLL2" s="946"/>
      <c r="CLM2" s="946"/>
      <c r="CLN2" s="946"/>
      <c r="CLO2" s="946"/>
      <c r="CLP2" s="946"/>
      <c r="CLQ2" s="946"/>
      <c r="CLR2" s="946"/>
      <c r="CLS2" s="946"/>
      <c r="CLT2" s="946"/>
      <c r="CLU2" s="946"/>
      <c r="CLV2" s="946"/>
      <c r="CLW2" s="946"/>
      <c r="CLX2" s="946"/>
      <c r="CLY2" s="946"/>
      <c r="CLZ2" s="946"/>
      <c r="CMA2" s="946"/>
      <c r="CMB2" s="946"/>
      <c r="CMC2" s="946"/>
      <c r="CMD2" s="946"/>
      <c r="CME2" s="946"/>
      <c r="CMF2" s="946"/>
      <c r="CMG2" s="946"/>
      <c r="CMH2" s="946"/>
      <c r="CMI2" s="946"/>
      <c r="CMJ2" s="946"/>
      <c r="CMK2" s="946"/>
      <c r="CML2" s="946"/>
      <c r="CMM2" s="946"/>
      <c r="CMN2" s="946"/>
      <c r="CMO2" s="946"/>
      <c r="CMP2" s="946"/>
      <c r="CMQ2" s="946"/>
      <c r="CMR2" s="946"/>
      <c r="CMS2" s="946"/>
      <c r="CMT2" s="946"/>
      <c r="CMU2" s="946"/>
      <c r="CMV2" s="946"/>
      <c r="CMW2" s="946"/>
      <c r="CMX2" s="946"/>
      <c r="CMY2" s="946"/>
      <c r="CMZ2" s="946"/>
      <c r="CNA2" s="946"/>
      <c r="CNB2" s="946"/>
      <c r="CNC2" s="946"/>
      <c r="CND2" s="946"/>
      <c r="CNE2" s="946"/>
      <c r="CNF2" s="946"/>
      <c r="CNG2" s="946"/>
      <c r="CNH2" s="946"/>
      <c r="CNI2" s="946"/>
      <c r="CNJ2" s="946"/>
      <c r="CNK2" s="946"/>
      <c r="CNL2" s="946"/>
      <c r="CNM2" s="946"/>
      <c r="CNN2" s="946"/>
      <c r="CNO2" s="946"/>
      <c r="CNP2" s="946"/>
      <c r="CNQ2" s="946"/>
      <c r="CNR2" s="946"/>
      <c r="CNS2" s="946"/>
      <c r="CNT2" s="946"/>
      <c r="CNU2" s="946"/>
      <c r="CNV2" s="946"/>
      <c r="CNW2" s="946"/>
      <c r="CNX2" s="946"/>
      <c r="CNY2" s="946"/>
      <c r="CNZ2" s="946"/>
      <c r="COA2" s="946"/>
      <c r="COB2" s="946"/>
      <c r="COC2" s="946"/>
      <c r="COD2" s="946"/>
      <c r="COE2" s="946"/>
      <c r="COF2" s="946"/>
      <c r="COG2" s="946"/>
      <c r="COH2" s="946"/>
      <c r="COI2" s="946"/>
      <c r="COJ2" s="946"/>
      <c r="COK2" s="946"/>
      <c r="COL2" s="946"/>
      <c r="COM2" s="946"/>
      <c r="CON2" s="946"/>
      <c r="COO2" s="946"/>
      <c r="COP2" s="946"/>
      <c r="COQ2" s="946"/>
      <c r="COR2" s="946"/>
      <c r="COS2" s="946"/>
      <c r="COT2" s="946"/>
      <c r="COU2" s="946"/>
      <c r="COV2" s="946"/>
      <c r="COW2" s="946"/>
      <c r="COX2" s="946"/>
      <c r="COY2" s="946"/>
      <c r="COZ2" s="946"/>
      <c r="CPA2" s="946"/>
      <c r="CPB2" s="946"/>
      <c r="CPC2" s="946"/>
      <c r="CPD2" s="946"/>
      <c r="CPE2" s="946"/>
      <c r="CPF2" s="946"/>
      <c r="CPG2" s="946"/>
      <c r="CPH2" s="946"/>
      <c r="CPI2" s="946"/>
      <c r="CPJ2" s="946"/>
      <c r="CPK2" s="946"/>
      <c r="CPL2" s="946"/>
      <c r="CPM2" s="946"/>
      <c r="CPN2" s="946"/>
      <c r="CPO2" s="946"/>
      <c r="CPP2" s="946"/>
      <c r="CPQ2" s="946"/>
      <c r="CPR2" s="946"/>
      <c r="CPS2" s="946"/>
      <c r="CPT2" s="946"/>
      <c r="CPU2" s="946"/>
      <c r="CPV2" s="946"/>
      <c r="CPW2" s="946"/>
      <c r="CPX2" s="946"/>
      <c r="CPY2" s="946"/>
      <c r="CPZ2" s="946"/>
      <c r="CQA2" s="946"/>
      <c r="CQB2" s="946"/>
      <c r="CQC2" s="946"/>
      <c r="CQD2" s="946"/>
      <c r="CQE2" s="946"/>
      <c r="CQF2" s="946"/>
      <c r="CQG2" s="946"/>
      <c r="CQH2" s="946"/>
      <c r="CQI2" s="946"/>
      <c r="CQJ2" s="946"/>
      <c r="CQK2" s="946"/>
      <c r="CQL2" s="946"/>
      <c r="CQM2" s="946"/>
      <c r="CQN2" s="946"/>
      <c r="CQO2" s="946"/>
      <c r="CQP2" s="946"/>
      <c r="CQQ2" s="946"/>
      <c r="CQR2" s="946"/>
      <c r="CQS2" s="946"/>
      <c r="CQT2" s="946"/>
      <c r="CQU2" s="946"/>
      <c r="CQV2" s="946"/>
      <c r="CQW2" s="946"/>
      <c r="CQX2" s="946"/>
      <c r="CQY2" s="946"/>
      <c r="CQZ2" s="946"/>
      <c r="CRA2" s="946"/>
      <c r="CRB2" s="946"/>
      <c r="CRC2" s="946"/>
      <c r="CRD2" s="946"/>
      <c r="CRE2" s="946"/>
      <c r="CRF2" s="946"/>
      <c r="CRG2" s="946"/>
      <c r="CRH2" s="946"/>
      <c r="CRI2" s="946"/>
      <c r="CRJ2" s="946"/>
      <c r="CRK2" s="946"/>
      <c r="CRL2" s="946"/>
      <c r="CRM2" s="946"/>
      <c r="CRN2" s="946"/>
      <c r="CRO2" s="946"/>
      <c r="CRP2" s="946"/>
      <c r="CRQ2" s="946"/>
      <c r="CRR2" s="946"/>
      <c r="CRS2" s="946"/>
      <c r="CRT2" s="946"/>
      <c r="CRU2" s="946"/>
      <c r="CRV2" s="946"/>
      <c r="CRW2" s="946"/>
      <c r="CRX2" s="946"/>
      <c r="CRY2" s="946"/>
      <c r="CRZ2" s="946"/>
      <c r="CSA2" s="946"/>
      <c r="CSB2" s="946"/>
      <c r="CSC2" s="946"/>
      <c r="CSD2" s="946"/>
      <c r="CSE2" s="946"/>
      <c r="CSF2" s="946"/>
      <c r="CSG2" s="946"/>
      <c r="CSH2" s="946"/>
      <c r="CSI2" s="946"/>
      <c r="CSJ2" s="946"/>
      <c r="CSK2" s="946"/>
      <c r="CSL2" s="946"/>
      <c r="CSM2" s="946"/>
      <c r="CSN2" s="946"/>
      <c r="CSO2" s="946"/>
      <c r="CSP2" s="946"/>
      <c r="CSQ2" s="946"/>
      <c r="CSR2" s="946"/>
      <c r="CSS2" s="946"/>
      <c r="CST2" s="946"/>
      <c r="CSU2" s="946"/>
      <c r="CSV2" s="946"/>
      <c r="CSW2" s="946"/>
      <c r="CSX2" s="946"/>
      <c r="CSY2" s="946"/>
      <c r="CSZ2" s="946"/>
      <c r="CTA2" s="946"/>
      <c r="CTB2" s="946"/>
      <c r="CTC2" s="946"/>
      <c r="CTD2" s="946"/>
      <c r="CTE2" s="946"/>
      <c r="CTF2" s="946"/>
      <c r="CTG2" s="946"/>
      <c r="CTH2" s="946"/>
      <c r="CTI2" s="946"/>
      <c r="CTJ2" s="946"/>
      <c r="CTK2" s="946"/>
      <c r="CTL2" s="946"/>
      <c r="CTM2" s="946"/>
      <c r="CTN2" s="946"/>
      <c r="CTO2" s="946"/>
      <c r="CTP2" s="946"/>
      <c r="CTQ2" s="946"/>
      <c r="CTR2" s="946"/>
      <c r="CTS2" s="946"/>
      <c r="CTT2" s="946"/>
      <c r="CTU2" s="946"/>
      <c r="CTV2" s="946"/>
      <c r="CTW2" s="946"/>
      <c r="CTX2" s="946"/>
      <c r="CTY2" s="946"/>
      <c r="CTZ2" s="946"/>
      <c r="CUA2" s="946"/>
      <c r="CUB2" s="946"/>
      <c r="CUC2" s="946"/>
      <c r="CUD2" s="946"/>
      <c r="CUE2" s="946"/>
      <c r="CUF2" s="946"/>
      <c r="CUG2" s="946"/>
      <c r="CUH2" s="946"/>
      <c r="CUI2" s="946"/>
      <c r="CUJ2" s="946"/>
      <c r="CUK2" s="946"/>
      <c r="CUL2" s="946"/>
      <c r="CUM2" s="946"/>
      <c r="CUN2" s="946"/>
      <c r="CUO2" s="946"/>
      <c r="CUP2" s="946"/>
      <c r="CUQ2" s="946"/>
      <c r="CUR2" s="946"/>
      <c r="CUS2" s="946"/>
      <c r="CUT2" s="946"/>
      <c r="CUU2" s="946"/>
      <c r="CUV2" s="946"/>
      <c r="CUW2" s="946"/>
      <c r="CUX2" s="946"/>
      <c r="CUY2" s="946"/>
      <c r="CUZ2" s="946"/>
      <c r="CVA2" s="946"/>
      <c r="CVB2" s="946"/>
      <c r="CVC2" s="946"/>
      <c r="CVD2" s="946"/>
      <c r="CVE2" s="946"/>
      <c r="CVF2" s="946"/>
      <c r="CVG2" s="946"/>
      <c r="CVH2" s="946"/>
      <c r="CVI2" s="946"/>
      <c r="CVJ2" s="946"/>
      <c r="CVK2" s="946"/>
      <c r="CVL2" s="946"/>
      <c r="CVM2" s="946"/>
      <c r="CVN2" s="946"/>
      <c r="CVO2" s="946"/>
      <c r="CVP2" s="946"/>
      <c r="CVQ2" s="946"/>
      <c r="CVR2" s="946"/>
      <c r="CVS2" s="946"/>
      <c r="CVT2" s="946"/>
      <c r="CVU2" s="946"/>
      <c r="CVV2" s="946"/>
      <c r="CVW2" s="946"/>
      <c r="CVX2" s="946"/>
      <c r="CVY2" s="946"/>
      <c r="CVZ2" s="946"/>
      <c r="CWA2" s="946"/>
      <c r="CWB2" s="946"/>
      <c r="CWC2" s="946"/>
      <c r="CWD2" s="946"/>
      <c r="CWE2" s="946"/>
      <c r="CWF2" s="946"/>
      <c r="CWG2" s="946"/>
      <c r="CWH2" s="946"/>
      <c r="CWI2" s="946"/>
      <c r="CWJ2" s="946"/>
      <c r="CWK2" s="946"/>
      <c r="CWL2" s="946"/>
      <c r="CWM2" s="946"/>
      <c r="CWN2" s="946"/>
      <c r="CWO2" s="946"/>
      <c r="CWP2" s="946"/>
      <c r="CWQ2" s="946"/>
      <c r="CWR2" s="946"/>
      <c r="CWS2" s="946"/>
      <c r="CWT2" s="946"/>
      <c r="CWU2" s="946"/>
      <c r="CWV2" s="946"/>
      <c r="CWW2" s="946"/>
      <c r="CWX2" s="946"/>
      <c r="CWY2" s="946"/>
      <c r="CWZ2" s="946"/>
      <c r="CXA2" s="946"/>
      <c r="CXB2" s="946"/>
      <c r="CXC2" s="946"/>
      <c r="CXD2" s="946"/>
      <c r="CXE2" s="946"/>
      <c r="CXF2" s="946"/>
      <c r="CXG2" s="946"/>
      <c r="CXH2" s="946"/>
      <c r="CXI2" s="946"/>
      <c r="CXJ2" s="946"/>
      <c r="CXK2" s="946"/>
      <c r="CXL2" s="946"/>
      <c r="CXM2" s="946"/>
      <c r="CXN2" s="946"/>
      <c r="CXO2" s="946"/>
      <c r="CXP2" s="946"/>
      <c r="CXQ2" s="946"/>
      <c r="CXR2" s="946"/>
      <c r="CXS2" s="946"/>
      <c r="CXT2" s="946"/>
      <c r="CXU2" s="946"/>
      <c r="CXV2" s="946"/>
      <c r="CXW2" s="946"/>
      <c r="CXX2" s="946"/>
      <c r="CXY2" s="946"/>
      <c r="CXZ2" s="946"/>
      <c r="CYA2" s="946"/>
      <c r="CYB2" s="946"/>
      <c r="CYC2" s="946"/>
      <c r="CYD2" s="946"/>
      <c r="CYE2" s="946"/>
      <c r="CYF2" s="946"/>
      <c r="CYG2" s="946"/>
      <c r="CYH2" s="946"/>
      <c r="CYI2" s="946"/>
      <c r="CYJ2" s="946"/>
      <c r="CYK2" s="946"/>
      <c r="CYL2" s="946"/>
      <c r="CYM2" s="946"/>
      <c r="CYN2" s="946"/>
      <c r="CYO2" s="946"/>
      <c r="CYP2" s="946"/>
      <c r="CYQ2" s="946"/>
      <c r="CYR2" s="946"/>
      <c r="CYS2" s="946"/>
      <c r="CYT2" s="946"/>
      <c r="CYU2" s="946"/>
      <c r="CYV2" s="946"/>
      <c r="CYW2" s="946"/>
      <c r="CYX2" s="946"/>
      <c r="CYY2" s="946"/>
      <c r="CYZ2" s="946"/>
      <c r="CZA2" s="946"/>
      <c r="CZB2" s="946"/>
      <c r="CZC2" s="946"/>
      <c r="CZD2" s="946"/>
      <c r="CZE2" s="946"/>
      <c r="CZF2" s="946"/>
      <c r="CZG2" s="946"/>
      <c r="CZH2" s="946"/>
      <c r="CZI2" s="946"/>
      <c r="CZJ2" s="946"/>
      <c r="CZK2" s="946"/>
      <c r="CZL2" s="946"/>
      <c r="CZM2" s="946"/>
      <c r="CZN2" s="946"/>
      <c r="CZO2" s="946"/>
      <c r="CZP2" s="946"/>
      <c r="CZQ2" s="946"/>
      <c r="CZR2" s="946"/>
      <c r="CZS2" s="946"/>
      <c r="CZT2" s="946"/>
      <c r="CZU2" s="946"/>
      <c r="CZV2" s="946"/>
      <c r="CZW2" s="946"/>
      <c r="CZX2" s="946"/>
      <c r="CZY2" s="946"/>
      <c r="CZZ2" s="946"/>
      <c r="DAA2" s="946"/>
      <c r="DAB2" s="946"/>
      <c r="DAC2" s="946"/>
      <c r="DAD2" s="946"/>
      <c r="DAE2" s="946"/>
      <c r="DAF2" s="946"/>
      <c r="DAG2" s="946"/>
      <c r="DAH2" s="946"/>
      <c r="DAI2" s="946"/>
      <c r="DAJ2" s="946"/>
      <c r="DAK2" s="946"/>
      <c r="DAL2" s="946"/>
      <c r="DAM2" s="946"/>
      <c r="DAN2" s="946"/>
      <c r="DAO2" s="946"/>
      <c r="DAP2" s="946"/>
      <c r="DAQ2" s="946"/>
      <c r="DAR2" s="946"/>
      <c r="DAS2" s="946"/>
      <c r="DAT2" s="946"/>
      <c r="DAU2" s="946"/>
      <c r="DAV2" s="946"/>
      <c r="DAW2" s="946"/>
      <c r="DAX2" s="946"/>
      <c r="DAY2" s="946"/>
      <c r="DAZ2" s="946"/>
      <c r="DBA2" s="946"/>
      <c r="DBB2" s="946"/>
      <c r="DBC2" s="946"/>
      <c r="DBD2" s="946"/>
      <c r="DBE2" s="946"/>
      <c r="DBF2" s="946"/>
      <c r="DBG2" s="946"/>
      <c r="DBH2" s="946"/>
      <c r="DBI2" s="946"/>
      <c r="DBJ2" s="946"/>
      <c r="DBK2" s="946"/>
      <c r="DBL2" s="946"/>
      <c r="DBM2" s="946"/>
      <c r="DBN2" s="946"/>
      <c r="DBO2" s="946"/>
      <c r="DBP2" s="946"/>
      <c r="DBQ2" s="946"/>
      <c r="DBR2" s="946"/>
      <c r="DBS2" s="946"/>
      <c r="DBT2" s="946"/>
      <c r="DBU2" s="946"/>
      <c r="DBV2" s="946"/>
      <c r="DBW2" s="946"/>
      <c r="DBX2" s="946"/>
      <c r="DBY2" s="946"/>
      <c r="DBZ2" s="946"/>
      <c r="DCA2" s="946"/>
      <c r="DCB2" s="946"/>
      <c r="DCC2" s="946"/>
      <c r="DCD2" s="946"/>
      <c r="DCE2" s="946"/>
      <c r="DCF2" s="946"/>
      <c r="DCG2" s="946"/>
      <c r="DCH2" s="946"/>
      <c r="DCI2" s="946"/>
      <c r="DCJ2" s="946"/>
      <c r="DCK2" s="946"/>
      <c r="DCL2" s="946"/>
      <c r="DCM2" s="946"/>
      <c r="DCN2" s="946"/>
      <c r="DCO2" s="946"/>
      <c r="DCP2" s="946"/>
      <c r="DCQ2" s="946"/>
      <c r="DCR2" s="946"/>
      <c r="DCS2" s="946"/>
      <c r="DCT2" s="946"/>
      <c r="DCU2" s="946"/>
      <c r="DCV2" s="946"/>
      <c r="DCW2" s="946"/>
      <c r="DCX2" s="946"/>
      <c r="DCY2" s="946"/>
      <c r="DCZ2" s="946"/>
      <c r="DDA2" s="946"/>
      <c r="DDB2" s="946"/>
      <c r="DDC2" s="946"/>
      <c r="DDD2" s="946"/>
      <c r="DDE2" s="946"/>
      <c r="DDF2" s="946"/>
      <c r="DDG2" s="946"/>
      <c r="DDH2" s="946"/>
      <c r="DDI2" s="946"/>
      <c r="DDJ2" s="946"/>
      <c r="DDK2" s="946"/>
      <c r="DDL2" s="946"/>
      <c r="DDM2" s="946"/>
      <c r="DDN2" s="946"/>
      <c r="DDO2" s="946"/>
      <c r="DDP2" s="946"/>
      <c r="DDQ2" s="946"/>
      <c r="DDR2" s="946"/>
      <c r="DDS2" s="946"/>
      <c r="DDT2" s="946"/>
      <c r="DDU2" s="946"/>
      <c r="DDV2" s="946"/>
      <c r="DDW2" s="946"/>
      <c r="DDX2" s="946"/>
      <c r="DDY2" s="946"/>
      <c r="DDZ2" s="946"/>
      <c r="DEA2" s="946"/>
      <c r="DEB2" s="946"/>
      <c r="DEC2" s="946"/>
      <c r="DED2" s="946"/>
      <c r="DEE2" s="946"/>
      <c r="DEF2" s="946"/>
      <c r="DEG2" s="946"/>
      <c r="DEH2" s="946"/>
      <c r="DEI2" s="946"/>
      <c r="DEJ2" s="946"/>
      <c r="DEK2" s="946"/>
      <c r="DEL2" s="946"/>
      <c r="DEM2" s="946"/>
      <c r="DEN2" s="946"/>
      <c r="DEO2" s="946"/>
      <c r="DEP2" s="946"/>
      <c r="DEQ2" s="946"/>
      <c r="DER2" s="946"/>
      <c r="DES2" s="946"/>
      <c r="DET2" s="946"/>
      <c r="DEU2" s="946"/>
      <c r="DEV2" s="946"/>
      <c r="DEW2" s="946"/>
      <c r="DEX2" s="946"/>
      <c r="DEY2" s="946"/>
      <c r="DEZ2" s="946"/>
      <c r="DFA2" s="946"/>
      <c r="DFB2" s="946"/>
      <c r="DFC2" s="946"/>
      <c r="DFD2" s="946"/>
      <c r="DFE2" s="946"/>
      <c r="DFF2" s="946"/>
      <c r="DFG2" s="946"/>
      <c r="DFH2" s="946"/>
      <c r="DFI2" s="946"/>
      <c r="DFJ2" s="946"/>
      <c r="DFK2" s="946"/>
      <c r="DFL2" s="946"/>
      <c r="DFM2" s="946"/>
      <c r="DFN2" s="946"/>
      <c r="DFO2" s="946"/>
      <c r="DFP2" s="946"/>
      <c r="DFQ2" s="946"/>
      <c r="DFR2" s="946"/>
      <c r="DFS2" s="946"/>
      <c r="DFT2" s="946"/>
      <c r="DFU2" s="946"/>
      <c r="DFV2" s="946"/>
      <c r="DFW2" s="946"/>
      <c r="DFX2" s="946"/>
      <c r="DFY2" s="946"/>
      <c r="DFZ2" s="946"/>
      <c r="DGA2" s="946"/>
      <c r="DGB2" s="946"/>
      <c r="DGC2" s="946"/>
      <c r="DGD2" s="946"/>
      <c r="DGE2" s="946"/>
      <c r="DGF2" s="946"/>
      <c r="DGG2" s="946"/>
      <c r="DGH2" s="946"/>
      <c r="DGI2" s="946"/>
      <c r="DGJ2" s="946"/>
      <c r="DGK2" s="946"/>
      <c r="DGL2" s="946"/>
      <c r="DGM2" s="946"/>
      <c r="DGN2" s="946"/>
      <c r="DGO2" s="946"/>
      <c r="DGP2" s="946"/>
      <c r="DGQ2" s="946"/>
      <c r="DGR2" s="946"/>
      <c r="DGS2" s="946"/>
      <c r="DGT2" s="946"/>
      <c r="DGU2" s="946"/>
      <c r="DGV2" s="946"/>
      <c r="DGW2" s="946"/>
      <c r="DGX2" s="946"/>
      <c r="DGY2" s="946"/>
      <c r="DGZ2" s="946"/>
      <c r="DHA2" s="946"/>
      <c r="DHB2" s="946"/>
      <c r="DHC2" s="946"/>
      <c r="DHD2" s="946"/>
      <c r="DHE2" s="946"/>
      <c r="DHF2" s="946"/>
      <c r="DHG2" s="946"/>
      <c r="DHH2" s="946"/>
      <c r="DHI2" s="946"/>
      <c r="DHJ2" s="946"/>
      <c r="DHK2" s="946"/>
      <c r="DHL2" s="946"/>
      <c r="DHM2" s="946"/>
      <c r="DHN2" s="946"/>
      <c r="DHO2" s="946"/>
      <c r="DHP2" s="946"/>
      <c r="DHQ2" s="946"/>
      <c r="DHR2" s="946"/>
      <c r="DHS2" s="946"/>
      <c r="DHT2" s="946"/>
      <c r="DHU2" s="946"/>
      <c r="DHV2" s="946"/>
      <c r="DHW2" s="946"/>
      <c r="DHX2" s="946"/>
      <c r="DHY2" s="946"/>
      <c r="DHZ2" s="946"/>
      <c r="DIA2" s="946"/>
      <c r="DIB2" s="946"/>
      <c r="DIC2" s="946"/>
      <c r="DID2" s="946"/>
      <c r="DIE2" s="946"/>
      <c r="DIF2" s="946"/>
      <c r="DIG2" s="946"/>
      <c r="DIH2" s="946"/>
      <c r="DII2" s="946"/>
      <c r="DIJ2" s="946"/>
      <c r="DIK2" s="946"/>
      <c r="DIL2" s="946"/>
      <c r="DIM2" s="946"/>
      <c r="DIN2" s="946"/>
      <c r="DIO2" s="946"/>
      <c r="DIP2" s="946"/>
      <c r="DIQ2" s="946"/>
      <c r="DIR2" s="946"/>
      <c r="DIS2" s="946"/>
      <c r="DIT2" s="946"/>
      <c r="DIU2" s="946"/>
      <c r="DIV2" s="946"/>
      <c r="DIW2" s="946"/>
      <c r="DIX2" s="946"/>
      <c r="DIY2" s="946"/>
      <c r="DIZ2" s="946"/>
      <c r="DJA2" s="946"/>
      <c r="DJB2" s="946"/>
      <c r="DJC2" s="946"/>
      <c r="DJD2" s="946"/>
      <c r="DJE2" s="946"/>
      <c r="DJF2" s="946"/>
      <c r="DJG2" s="946"/>
      <c r="DJH2" s="946"/>
      <c r="DJI2" s="946"/>
      <c r="DJJ2" s="946"/>
      <c r="DJK2" s="946"/>
      <c r="DJL2" s="946"/>
      <c r="DJM2" s="946"/>
      <c r="DJN2" s="946"/>
      <c r="DJO2" s="946"/>
      <c r="DJP2" s="946"/>
      <c r="DJQ2" s="946"/>
      <c r="DJR2" s="946"/>
      <c r="DJS2" s="946"/>
      <c r="DJT2" s="946"/>
      <c r="DJU2" s="946"/>
      <c r="DJV2" s="946"/>
      <c r="DJW2" s="946"/>
      <c r="DJX2" s="946"/>
      <c r="DJY2" s="946"/>
      <c r="DJZ2" s="946"/>
      <c r="DKA2" s="946"/>
      <c r="DKB2" s="946"/>
      <c r="DKC2" s="946"/>
      <c r="DKD2" s="946"/>
      <c r="DKE2" s="946"/>
      <c r="DKF2" s="946"/>
      <c r="DKG2" s="946"/>
      <c r="DKH2" s="946"/>
      <c r="DKI2" s="946"/>
      <c r="DKJ2" s="946"/>
      <c r="DKK2" s="946"/>
      <c r="DKL2" s="946"/>
      <c r="DKM2" s="946"/>
      <c r="DKN2" s="946"/>
      <c r="DKO2" s="946"/>
      <c r="DKP2" s="946"/>
      <c r="DKQ2" s="946"/>
      <c r="DKR2" s="946"/>
      <c r="DKS2" s="946"/>
      <c r="DKT2" s="946"/>
      <c r="DKU2" s="946"/>
      <c r="DKV2" s="946"/>
      <c r="DKW2" s="946"/>
      <c r="DKX2" s="946"/>
      <c r="DKY2" s="946"/>
      <c r="DKZ2" s="946"/>
      <c r="DLA2" s="946"/>
      <c r="DLB2" s="946"/>
      <c r="DLC2" s="946"/>
      <c r="DLD2" s="946"/>
      <c r="DLE2" s="946"/>
      <c r="DLF2" s="946"/>
      <c r="DLG2" s="946"/>
      <c r="DLH2" s="946"/>
      <c r="DLI2" s="946"/>
      <c r="DLJ2" s="946"/>
      <c r="DLK2" s="946"/>
      <c r="DLL2" s="946"/>
      <c r="DLM2" s="946"/>
      <c r="DLN2" s="946"/>
      <c r="DLO2" s="946"/>
      <c r="DLP2" s="946"/>
      <c r="DLQ2" s="946"/>
      <c r="DLR2" s="946"/>
      <c r="DLS2" s="946"/>
      <c r="DLT2" s="946"/>
      <c r="DLU2" s="946"/>
      <c r="DLV2" s="946"/>
      <c r="DLW2" s="946"/>
      <c r="DLX2" s="946"/>
      <c r="DLY2" s="946"/>
      <c r="DLZ2" s="946"/>
      <c r="DMA2" s="946"/>
      <c r="DMB2" s="946"/>
      <c r="DMC2" s="946"/>
      <c r="DMD2" s="946"/>
      <c r="DME2" s="946"/>
      <c r="DMF2" s="946"/>
      <c r="DMG2" s="946"/>
      <c r="DMH2" s="946"/>
      <c r="DMI2" s="946"/>
      <c r="DMJ2" s="946"/>
      <c r="DMK2" s="946"/>
      <c r="DML2" s="946"/>
      <c r="DMM2" s="946"/>
      <c r="DMN2" s="946"/>
      <c r="DMO2" s="946"/>
      <c r="DMP2" s="946"/>
      <c r="DMQ2" s="946"/>
      <c r="DMR2" s="946"/>
      <c r="DMS2" s="946"/>
      <c r="DMT2" s="946"/>
      <c r="DMU2" s="946"/>
      <c r="DMV2" s="946"/>
      <c r="DMW2" s="946"/>
      <c r="DMX2" s="946"/>
      <c r="DMY2" s="946"/>
      <c r="DMZ2" s="946"/>
      <c r="DNA2" s="946"/>
      <c r="DNB2" s="946"/>
      <c r="DNC2" s="946"/>
      <c r="DND2" s="946"/>
      <c r="DNE2" s="946"/>
      <c r="DNF2" s="946"/>
      <c r="DNG2" s="946"/>
      <c r="DNH2" s="946"/>
      <c r="DNI2" s="946"/>
      <c r="DNJ2" s="946"/>
      <c r="DNK2" s="946"/>
      <c r="DNL2" s="946"/>
      <c r="DNM2" s="946"/>
      <c r="DNN2" s="946"/>
      <c r="DNO2" s="946"/>
      <c r="DNP2" s="946"/>
      <c r="DNQ2" s="946"/>
      <c r="DNR2" s="946"/>
      <c r="DNS2" s="946"/>
      <c r="DNT2" s="946"/>
      <c r="DNU2" s="946"/>
      <c r="DNV2" s="946"/>
      <c r="DNW2" s="946"/>
      <c r="DNX2" s="946"/>
      <c r="DNY2" s="946"/>
      <c r="DNZ2" s="946"/>
      <c r="DOA2" s="946"/>
      <c r="DOB2" s="946"/>
      <c r="DOC2" s="946"/>
      <c r="DOD2" s="946"/>
      <c r="DOE2" s="946"/>
      <c r="DOF2" s="946"/>
      <c r="DOG2" s="946"/>
      <c r="DOH2" s="946"/>
      <c r="DOI2" s="946"/>
      <c r="DOJ2" s="946"/>
      <c r="DOK2" s="946"/>
      <c r="DOL2" s="946"/>
      <c r="DOM2" s="946"/>
      <c r="DON2" s="946"/>
      <c r="DOO2" s="946"/>
      <c r="DOP2" s="946"/>
      <c r="DOQ2" s="946"/>
      <c r="DOR2" s="946"/>
      <c r="DOS2" s="946"/>
      <c r="DOT2" s="946"/>
      <c r="DOU2" s="946"/>
      <c r="DOV2" s="946"/>
      <c r="DOW2" s="946"/>
      <c r="DOX2" s="946"/>
      <c r="DOY2" s="946"/>
      <c r="DOZ2" s="946"/>
      <c r="DPA2" s="946"/>
      <c r="DPB2" s="946"/>
      <c r="DPC2" s="946"/>
      <c r="DPD2" s="946"/>
      <c r="DPE2" s="946"/>
      <c r="DPF2" s="946"/>
      <c r="DPG2" s="946"/>
      <c r="DPH2" s="946"/>
      <c r="DPI2" s="946"/>
      <c r="DPJ2" s="946"/>
      <c r="DPK2" s="946"/>
      <c r="DPL2" s="946"/>
      <c r="DPM2" s="946"/>
      <c r="DPN2" s="946"/>
      <c r="DPO2" s="946"/>
      <c r="DPP2" s="946"/>
      <c r="DPQ2" s="946"/>
      <c r="DPR2" s="946"/>
      <c r="DPS2" s="946"/>
      <c r="DPT2" s="946"/>
      <c r="DPU2" s="946"/>
      <c r="DPV2" s="946"/>
      <c r="DPW2" s="946"/>
      <c r="DPX2" s="946"/>
      <c r="DPY2" s="946"/>
      <c r="DPZ2" s="946"/>
      <c r="DQA2" s="946"/>
      <c r="DQB2" s="946"/>
      <c r="DQC2" s="946"/>
      <c r="DQD2" s="946"/>
      <c r="DQE2" s="946"/>
      <c r="DQF2" s="946"/>
      <c r="DQG2" s="946"/>
      <c r="DQH2" s="946"/>
      <c r="DQI2" s="946"/>
      <c r="DQJ2" s="946"/>
      <c r="DQK2" s="946"/>
      <c r="DQL2" s="946"/>
      <c r="DQM2" s="946"/>
      <c r="DQN2" s="946"/>
      <c r="DQO2" s="946"/>
      <c r="DQP2" s="946"/>
      <c r="DQQ2" s="946"/>
      <c r="DQR2" s="946"/>
      <c r="DQS2" s="946"/>
      <c r="DQT2" s="946"/>
      <c r="DQU2" s="946"/>
      <c r="DQV2" s="946"/>
      <c r="DQW2" s="946"/>
      <c r="DQX2" s="946"/>
      <c r="DQY2" s="946"/>
      <c r="DQZ2" s="946"/>
      <c r="DRA2" s="946"/>
      <c r="DRB2" s="946"/>
      <c r="DRC2" s="946"/>
      <c r="DRD2" s="946"/>
      <c r="DRE2" s="946"/>
      <c r="DRF2" s="946"/>
      <c r="DRG2" s="946"/>
      <c r="DRH2" s="946"/>
      <c r="DRI2" s="946"/>
      <c r="DRJ2" s="946"/>
      <c r="DRK2" s="946"/>
      <c r="DRL2" s="946"/>
      <c r="DRM2" s="946"/>
      <c r="DRN2" s="946"/>
      <c r="DRO2" s="946"/>
      <c r="DRP2" s="946"/>
      <c r="DRQ2" s="946"/>
      <c r="DRR2" s="946"/>
      <c r="DRS2" s="946"/>
      <c r="DRT2" s="946"/>
      <c r="DRU2" s="946"/>
      <c r="DRV2" s="946"/>
      <c r="DRW2" s="946"/>
      <c r="DRX2" s="946"/>
      <c r="DRY2" s="946"/>
      <c r="DRZ2" s="946"/>
      <c r="DSA2" s="946"/>
      <c r="DSB2" s="946"/>
      <c r="DSC2" s="946"/>
      <c r="DSD2" s="946"/>
      <c r="DSE2" s="946"/>
      <c r="DSF2" s="946"/>
      <c r="DSG2" s="946"/>
      <c r="DSH2" s="946"/>
      <c r="DSI2" s="946"/>
      <c r="DSJ2" s="946"/>
      <c r="DSK2" s="946"/>
      <c r="DSL2" s="946"/>
      <c r="DSM2" s="946"/>
      <c r="DSN2" s="946"/>
      <c r="DSO2" s="946"/>
      <c r="DSP2" s="946"/>
      <c r="DSQ2" s="946"/>
      <c r="DSR2" s="946"/>
      <c r="DSS2" s="946"/>
      <c r="DST2" s="946"/>
      <c r="DSU2" s="946"/>
      <c r="DSV2" s="946"/>
      <c r="DSW2" s="946"/>
      <c r="DSX2" s="946"/>
      <c r="DSY2" s="946"/>
      <c r="DSZ2" s="946"/>
      <c r="DTA2" s="946"/>
      <c r="DTB2" s="946"/>
      <c r="DTC2" s="946"/>
      <c r="DTD2" s="946"/>
      <c r="DTE2" s="946"/>
      <c r="DTF2" s="946"/>
      <c r="DTG2" s="946"/>
      <c r="DTH2" s="946"/>
      <c r="DTI2" s="946"/>
      <c r="DTJ2" s="946"/>
      <c r="DTK2" s="946"/>
      <c r="DTL2" s="946"/>
      <c r="DTM2" s="946"/>
      <c r="DTN2" s="946"/>
      <c r="DTO2" s="946"/>
      <c r="DTP2" s="946"/>
      <c r="DTQ2" s="946"/>
      <c r="DTR2" s="946"/>
      <c r="DTS2" s="946"/>
      <c r="DTT2" s="946"/>
      <c r="DTU2" s="946"/>
      <c r="DTV2" s="946"/>
      <c r="DTW2" s="946"/>
      <c r="DTX2" s="946"/>
      <c r="DTY2" s="946"/>
      <c r="DTZ2" s="946"/>
      <c r="DUA2" s="946"/>
      <c r="DUB2" s="946"/>
      <c r="DUC2" s="946"/>
      <c r="DUD2" s="946"/>
      <c r="DUE2" s="946"/>
      <c r="DUF2" s="946"/>
      <c r="DUG2" s="946"/>
      <c r="DUH2" s="946"/>
      <c r="DUI2" s="946"/>
      <c r="DUJ2" s="946"/>
      <c r="DUK2" s="946"/>
      <c r="DUL2" s="946"/>
      <c r="DUM2" s="946"/>
      <c r="DUN2" s="946"/>
      <c r="DUO2" s="946"/>
      <c r="DUP2" s="946"/>
      <c r="DUQ2" s="946"/>
      <c r="DUR2" s="946"/>
      <c r="DUS2" s="946"/>
      <c r="DUT2" s="946"/>
      <c r="DUU2" s="946"/>
      <c r="DUV2" s="946"/>
      <c r="DUW2" s="946"/>
      <c r="DUX2" s="946"/>
      <c r="DUY2" s="946"/>
      <c r="DUZ2" s="946"/>
      <c r="DVA2" s="946"/>
      <c r="DVB2" s="946"/>
      <c r="DVC2" s="946"/>
      <c r="DVD2" s="946"/>
      <c r="DVE2" s="946"/>
      <c r="DVF2" s="946"/>
      <c r="DVG2" s="946"/>
      <c r="DVH2" s="946"/>
      <c r="DVI2" s="946"/>
      <c r="DVJ2" s="946"/>
      <c r="DVK2" s="946"/>
      <c r="DVL2" s="946"/>
      <c r="DVM2" s="946"/>
      <c r="DVN2" s="946"/>
      <c r="DVO2" s="946"/>
      <c r="DVP2" s="946"/>
      <c r="DVQ2" s="946"/>
      <c r="DVR2" s="946"/>
      <c r="DVS2" s="946"/>
      <c r="DVT2" s="946"/>
      <c r="DVU2" s="946"/>
      <c r="DVV2" s="946"/>
      <c r="DVW2" s="946"/>
      <c r="DVX2" s="946"/>
      <c r="DVY2" s="946"/>
      <c r="DVZ2" s="946"/>
      <c r="DWA2" s="946"/>
      <c r="DWB2" s="946"/>
      <c r="DWC2" s="946"/>
      <c r="DWD2" s="946"/>
      <c r="DWE2" s="946"/>
      <c r="DWF2" s="946"/>
      <c r="DWG2" s="946"/>
      <c r="DWH2" s="946"/>
      <c r="DWI2" s="946"/>
      <c r="DWJ2" s="946"/>
      <c r="DWK2" s="946"/>
      <c r="DWL2" s="946"/>
      <c r="DWM2" s="946"/>
      <c r="DWN2" s="946"/>
      <c r="DWO2" s="946"/>
      <c r="DWP2" s="946"/>
      <c r="DWQ2" s="946"/>
      <c r="DWR2" s="946"/>
      <c r="DWS2" s="946"/>
      <c r="DWT2" s="946"/>
      <c r="DWU2" s="946"/>
      <c r="DWV2" s="946"/>
      <c r="DWW2" s="946"/>
      <c r="DWX2" s="946"/>
      <c r="DWY2" s="946"/>
      <c r="DWZ2" s="946"/>
      <c r="DXA2" s="946"/>
      <c r="DXB2" s="946"/>
      <c r="DXC2" s="946"/>
      <c r="DXD2" s="946"/>
      <c r="DXE2" s="946"/>
      <c r="DXF2" s="946"/>
      <c r="DXG2" s="946"/>
      <c r="DXH2" s="946"/>
      <c r="DXI2" s="946"/>
      <c r="DXJ2" s="946"/>
      <c r="DXK2" s="946"/>
      <c r="DXL2" s="946"/>
      <c r="DXM2" s="946"/>
      <c r="DXN2" s="946"/>
      <c r="DXO2" s="946"/>
      <c r="DXP2" s="946"/>
      <c r="DXQ2" s="946"/>
      <c r="DXR2" s="946"/>
      <c r="DXS2" s="946"/>
      <c r="DXT2" s="946"/>
      <c r="DXU2" s="946"/>
      <c r="DXV2" s="946"/>
      <c r="DXW2" s="946"/>
      <c r="DXX2" s="946"/>
      <c r="DXY2" s="946"/>
      <c r="DXZ2" s="946"/>
      <c r="DYA2" s="946"/>
      <c r="DYB2" s="946"/>
      <c r="DYC2" s="946"/>
      <c r="DYD2" s="946"/>
      <c r="DYE2" s="946"/>
      <c r="DYF2" s="946"/>
      <c r="DYG2" s="946"/>
      <c r="DYH2" s="946"/>
      <c r="DYI2" s="946"/>
      <c r="DYJ2" s="946"/>
      <c r="DYK2" s="946"/>
      <c r="DYL2" s="946"/>
      <c r="DYM2" s="946"/>
      <c r="DYN2" s="946"/>
      <c r="DYO2" s="946"/>
      <c r="DYP2" s="946"/>
      <c r="DYQ2" s="946"/>
      <c r="DYR2" s="946"/>
      <c r="DYS2" s="946"/>
      <c r="DYT2" s="946"/>
      <c r="DYU2" s="946"/>
      <c r="DYV2" s="946"/>
      <c r="DYW2" s="946"/>
      <c r="DYX2" s="946"/>
      <c r="DYY2" s="946"/>
      <c r="DYZ2" s="946"/>
      <c r="DZA2" s="946"/>
      <c r="DZB2" s="946"/>
      <c r="DZC2" s="946"/>
      <c r="DZD2" s="946"/>
      <c r="DZE2" s="946"/>
      <c r="DZF2" s="946"/>
      <c r="DZG2" s="946"/>
      <c r="DZH2" s="946"/>
      <c r="DZI2" s="946"/>
      <c r="DZJ2" s="946"/>
      <c r="DZK2" s="946"/>
      <c r="DZL2" s="946"/>
      <c r="DZM2" s="946"/>
      <c r="DZN2" s="946"/>
      <c r="DZO2" s="946"/>
      <c r="DZP2" s="946"/>
      <c r="DZQ2" s="946"/>
      <c r="DZR2" s="946"/>
      <c r="DZS2" s="946"/>
      <c r="DZT2" s="946"/>
      <c r="DZU2" s="946"/>
      <c r="DZV2" s="946"/>
      <c r="DZW2" s="946"/>
      <c r="DZX2" s="946"/>
      <c r="DZY2" s="946"/>
      <c r="DZZ2" s="946"/>
      <c r="EAA2" s="946"/>
      <c r="EAB2" s="946"/>
      <c r="EAC2" s="946"/>
      <c r="EAD2" s="946"/>
      <c r="EAE2" s="946"/>
      <c r="EAF2" s="946"/>
      <c r="EAG2" s="946"/>
      <c r="EAH2" s="946"/>
      <c r="EAI2" s="946"/>
      <c r="EAJ2" s="946"/>
      <c r="EAK2" s="946"/>
      <c r="EAL2" s="946"/>
      <c r="EAM2" s="946"/>
      <c r="EAN2" s="946"/>
      <c r="EAO2" s="946"/>
      <c r="EAP2" s="946"/>
      <c r="EAQ2" s="946"/>
      <c r="EAR2" s="946"/>
      <c r="EAS2" s="946"/>
      <c r="EAT2" s="946"/>
      <c r="EAU2" s="946"/>
      <c r="EAV2" s="946"/>
      <c r="EAW2" s="946"/>
      <c r="EAX2" s="946"/>
      <c r="EAY2" s="946"/>
      <c r="EAZ2" s="946"/>
      <c r="EBA2" s="946"/>
      <c r="EBB2" s="946"/>
      <c r="EBC2" s="946"/>
      <c r="EBD2" s="946"/>
      <c r="EBE2" s="946"/>
      <c r="EBF2" s="946"/>
      <c r="EBG2" s="946"/>
      <c r="EBH2" s="946"/>
      <c r="EBI2" s="946"/>
      <c r="EBJ2" s="946"/>
      <c r="EBK2" s="946"/>
      <c r="EBL2" s="946"/>
      <c r="EBM2" s="946"/>
      <c r="EBN2" s="946"/>
      <c r="EBO2" s="946"/>
      <c r="EBP2" s="946"/>
      <c r="EBQ2" s="946"/>
      <c r="EBR2" s="946"/>
      <c r="EBS2" s="946"/>
      <c r="EBT2" s="946"/>
      <c r="EBU2" s="946"/>
      <c r="EBV2" s="946"/>
      <c r="EBW2" s="946"/>
      <c r="EBX2" s="946"/>
      <c r="EBY2" s="946"/>
      <c r="EBZ2" s="946"/>
      <c r="ECA2" s="946"/>
      <c r="ECB2" s="946"/>
      <c r="ECC2" s="946"/>
      <c r="ECD2" s="946"/>
      <c r="ECE2" s="946"/>
      <c r="ECF2" s="946"/>
      <c r="ECG2" s="946"/>
      <c r="ECH2" s="946"/>
      <c r="ECI2" s="946"/>
      <c r="ECJ2" s="946"/>
      <c r="ECK2" s="946"/>
      <c r="ECL2" s="946"/>
      <c r="ECM2" s="946"/>
      <c r="ECN2" s="946"/>
      <c r="ECO2" s="946"/>
      <c r="ECP2" s="946"/>
      <c r="ECQ2" s="946"/>
      <c r="ECR2" s="946"/>
      <c r="ECS2" s="946"/>
      <c r="ECT2" s="946"/>
      <c r="ECU2" s="946"/>
      <c r="ECV2" s="946"/>
      <c r="ECW2" s="946"/>
      <c r="ECX2" s="946"/>
      <c r="ECY2" s="946"/>
      <c r="ECZ2" s="946"/>
      <c r="EDA2" s="946"/>
      <c r="EDB2" s="946"/>
      <c r="EDC2" s="946"/>
      <c r="EDD2" s="946"/>
      <c r="EDE2" s="946"/>
      <c r="EDF2" s="946"/>
      <c r="EDG2" s="946"/>
      <c r="EDH2" s="946"/>
      <c r="EDI2" s="946"/>
      <c r="EDJ2" s="946"/>
      <c r="EDK2" s="946"/>
      <c r="EDL2" s="946"/>
      <c r="EDM2" s="946"/>
      <c r="EDN2" s="946"/>
      <c r="EDO2" s="946"/>
      <c r="EDP2" s="946"/>
      <c r="EDQ2" s="946"/>
      <c r="EDR2" s="946"/>
      <c r="EDS2" s="946"/>
      <c r="EDT2" s="946"/>
      <c r="EDU2" s="946"/>
      <c r="EDV2" s="946"/>
      <c r="EDW2" s="946"/>
      <c r="EDX2" s="946"/>
      <c r="EDY2" s="946"/>
      <c r="EDZ2" s="946"/>
      <c r="EEA2" s="946"/>
      <c r="EEB2" s="946"/>
      <c r="EEC2" s="946"/>
      <c r="EED2" s="946"/>
      <c r="EEE2" s="946"/>
      <c r="EEF2" s="946"/>
      <c r="EEG2" s="946"/>
      <c r="EEH2" s="946"/>
      <c r="EEI2" s="946"/>
      <c r="EEJ2" s="946"/>
      <c r="EEK2" s="946"/>
      <c r="EEL2" s="946"/>
      <c r="EEM2" s="946"/>
      <c r="EEN2" s="946"/>
      <c r="EEO2" s="946"/>
      <c r="EEP2" s="946"/>
      <c r="EEQ2" s="946"/>
      <c r="EER2" s="946"/>
      <c r="EES2" s="946"/>
      <c r="EET2" s="946"/>
      <c r="EEU2" s="946"/>
      <c r="EEV2" s="946"/>
      <c r="EEW2" s="946"/>
      <c r="EEX2" s="946"/>
      <c r="EEY2" s="946"/>
      <c r="EEZ2" s="946"/>
      <c r="EFA2" s="946"/>
      <c r="EFB2" s="946"/>
      <c r="EFC2" s="946"/>
      <c r="EFD2" s="946"/>
      <c r="EFE2" s="946"/>
      <c r="EFF2" s="946"/>
      <c r="EFG2" s="946"/>
      <c r="EFH2" s="946"/>
      <c r="EFI2" s="946"/>
      <c r="EFJ2" s="946"/>
      <c r="EFK2" s="946"/>
      <c r="EFL2" s="946"/>
      <c r="EFM2" s="946"/>
      <c r="EFN2" s="946"/>
      <c r="EFO2" s="946"/>
      <c r="EFP2" s="946"/>
      <c r="EFQ2" s="946"/>
      <c r="EFR2" s="946"/>
      <c r="EFS2" s="946"/>
      <c r="EFT2" s="946"/>
      <c r="EFU2" s="946"/>
      <c r="EFV2" s="946"/>
      <c r="EFW2" s="946"/>
      <c r="EFX2" s="946"/>
      <c r="EFY2" s="946"/>
      <c r="EFZ2" s="946"/>
      <c r="EGA2" s="946"/>
      <c r="EGB2" s="946"/>
      <c r="EGC2" s="946"/>
      <c r="EGD2" s="946"/>
      <c r="EGE2" s="946"/>
      <c r="EGF2" s="946"/>
      <c r="EGG2" s="946"/>
      <c r="EGH2" s="946"/>
      <c r="EGI2" s="946"/>
      <c r="EGJ2" s="946"/>
      <c r="EGK2" s="946"/>
      <c r="EGL2" s="946"/>
      <c r="EGM2" s="946"/>
      <c r="EGN2" s="946"/>
      <c r="EGO2" s="946"/>
      <c r="EGP2" s="946"/>
      <c r="EGQ2" s="946"/>
      <c r="EGR2" s="946"/>
      <c r="EGS2" s="946"/>
      <c r="EGT2" s="946"/>
      <c r="EGU2" s="946"/>
      <c r="EGV2" s="946"/>
      <c r="EGW2" s="946"/>
      <c r="EGX2" s="946"/>
      <c r="EGY2" s="946"/>
      <c r="EGZ2" s="946"/>
      <c r="EHA2" s="946"/>
      <c r="EHB2" s="946"/>
      <c r="EHC2" s="946"/>
      <c r="EHD2" s="946"/>
      <c r="EHE2" s="946"/>
      <c r="EHF2" s="946"/>
      <c r="EHG2" s="946"/>
      <c r="EHH2" s="946"/>
      <c r="EHI2" s="946"/>
      <c r="EHJ2" s="946"/>
      <c r="EHK2" s="946"/>
      <c r="EHL2" s="946"/>
      <c r="EHM2" s="946"/>
      <c r="EHN2" s="946"/>
      <c r="EHO2" s="946"/>
      <c r="EHP2" s="946"/>
      <c r="EHQ2" s="946"/>
      <c r="EHR2" s="946"/>
      <c r="EHS2" s="946"/>
      <c r="EHT2" s="946"/>
      <c r="EHU2" s="946"/>
      <c r="EHV2" s="946"/>
      <c r="EHW2" s="946"/>
      <c r="EHX2" s="946"/>
      <c r="EHY2" s="946"/>
      <c r="EHZ2" s="946"/>
      <c r="EIA2" s="946"/>
      <c r="EIB2" s="946"/>
      <c r="EIC2" s="946"/>
      <c r="EID2" s="946"/>
      <c r="EIE2" s="946"/>
      <c r="EIF2" s="946"/>
      <c r="EIG2" s="946"/>
      <c r="EIH2" s="946"/>
      <c r="EII2" s="946"/>
      <c r="EIJ2" s="946"/>
      <c r="EIK2" s="946"/>
      <c r="EIL2" s="946"/>
      <c r="EIM2" s="946"/>
      <c r="EIN2" s="946"/>
      <c r="EIO2" s="946"/>
      <c r="EIP2" s="946"/>
      <c r="EIQ2" s="946"/>
      <c r="EIR2" s="946"/>
      <c r="EIS2" s="946"/>
      <c r="EIT2" s="946"/>
      <c r="EIU2" s="946"/>
      <c r="EIV2" s="946"/>
      <c r="EIW2" s="946"/>
      <c r="EIX2" s="946"/>
      <c r="EIY2" s="946"/>
      <c r="EIZ2" s="946"/>
      <c r="EJA2" s="946"/>
      <c r="EJB2" s="946"/>
      <c r="EJC2" s="946"/>
      <c r="EJD2" s="946"/>
      <c r="EJE2" s="946"/>
      <c r="EJF2" s="946"/>
      <c r="EJG2" s="946"/>
      <c r="EJH2" s="946"/>
      <c r="EJI2" s="946"/>
      <c r="EJJ2" s="946"/>
      <c r="EJK2" s="946"/>
      <c r="EJL2" s="946"/>
      <c r="EJM2" s="946"/>
      <c r="EJN2" s="946"/>
      <c r="EJO2" s="946"/>
      <c r="EJP2" s="946"/>
      <c r="EJQ2" s="946"/>
      <c r="EJR2" s="946"/>
      <c r="EJS2" s="946"/>
      <c r="EJT2" s="946"/>
      <c r="EJU2" s="946"/>
      <c r="EJV2" s="946"/>
      <c r="EJW2" s="946"/>
      <c r="EJX2" s="946"/>
      <c r="EJY2" s="946"/>
      <c r="EJZ2" s="946"/>
      <c r="EKA2" s="946"/>
      <c r="EKB2" s="946"/>
      <c r="EKC2" s="946"/>
      <c r="EKD2" s="946"/>
      <c r="EKE2" s="946"/>
      <c r="EKF2" s="946"/>
      <c r="EKG2" s="946"/>
      <c r="EKH2" s="946"/>
      <c r="EKI2" s="946"/>
      <c r="EKJ2" s="946"/>
      <c r="EKK2" s="946"/>
      <c r="EKL2" s="946"/>
      <c r="EKM2" s="946"/>
      <c r="EKN2" s="946"/>
      <c r="EKO2" s="946"/>
      <c r="EKP2" s="946"/>
      <c r="EKQ2" s="946"/>
      <c r="EKR2" s="946"/>
      <c r="EKS2" s="946"/>
      <c r="EKT2" s="946"/>
      <c r="EKU2" s="946"/>
      <c r="EKV2" s="946"/>
      <c r="EKW2" s="946"/>
      <c r="EKX2" s="946"/>
      <c r="EKY2" s="946"/>
      <c r="EKZ2" s="946"/>
      <c r="ELA2" s="946"/>
      <c r="ELB2" s="946"/>
      <c r="ELC2" s="946"/>
      <c r="ELD2" s="946"/>
      <c r="ELE2" s="946"/>
      <c r="ELF2" s="946"/>
      <c r="ELG2" s="946"/>
      <c r="ELH2" s="946"/>
      <c r="ELI2" s="946"/>
      <c r="ELJ2" s="946"/>
      <c r="ELK2" s="946"/>
      <c r="ELL2" s="946"/>
      <c r="ELM2" s="946"/>
      <c r="ELN2" s="946"/>
      <c r="ELO2" s="946"/>
      <c r="ELP2" s="946"/>
      <c r="ELQ2" s="946"/>
      <c r="ELR2" s="946"/>
      <c r="ELS2" s="946"/>
      <c r="ELT2" s="946"/>
      <c r="ELU2" s="946"/>
      <c r="ELV2" s="946"/>
      <c r="ELW2" s="946"/>
      <c r="ELX2" s="946"/>
      <c r="ELY2" s="946"/>
      <c r="ELZ2" s="946"/>
      <c r="EMA2" s="946"/>
      <c r="EMB2" s="946"/>
      <c r="EMC2" s="946"/>
      <c r="EMD2" s="946"/>
      <c r="EME2" s="946"/>
      <c r="EMF2" s="946"/>
      <c r="EMG2" s="946"/>
      <c r="EMH2" s="946"/>
      <c r="EMI2" s="946"/>
      <c r="EMJ2" s="946"/>
      <c r="EMK2" s="946"/>
      <c r="EML2" s="946"/>
      <c r="EMM2" s="946"/>
      <c r="EMN2" s="946"/>
      <c r="EMO2" s="946"/>
      <c r="EMP2" s="946"/>
      <c r="EMQ2" s="946"/>
      <c r="EMR2" s="946"/>
      <c r="EMS2" s="946"/>
      <c r="EMT2" s="946"/>
      <c r="EMU2" s="946"/>
      <c r="EMV2" s="946"/>
      <c r="EMW2" s="946"/>
      <c r="EMX2" s="946"/>
      <c r="EMY2" s="946"/>
      <c r="EMZ2" s="946"/>
      <c r="ENA2" s="946"/>
      <c r="ENB2" s="946"/>
      <c r="ENC2" s="946"/>
      <c r="END2" s="946"/>
      <c r="ENE2" s="946"/>
      <c r="ENF2" s="946"/>
      <c r="ENG2" s="946"/>
      <c r="ENH2" s="946"/>
      <c r="ENI2" s="946"/>
      <c r="ENJ2" s="946"/>
      <c r="ENK2" s="946"/>
      <c r="ENL2" s="946"/>
      <c r="ENM2" s="946"/>
      <c r="ENN2" s="946"/>
      <c r="ENO2" s="946"/>
      <c r="ENP2" s="946"/>
      <c r="ENQ2" s="946"/>
      <c r="ENR2" s="946"/>
      <c r="ENS2" s="946"/>
      <c r="ENT2" s="946"/>
      <c r="ENU2" s="946"/>
      <c r="ENV2" s="946"/>
      <c r="ENW2" s="946"/>
      <c r="ENX2" s="946"/>
      <c r="ENY2" s="946"/>
      <c r="ENZ2" s="946"/>
      <c r="EOA2" s="946"/>
      <c r="EOB2" s="946"/>
      <c r="EOC2" s="946"/>
      <c r="EOD2" s="946"/>
      <c r="EOE2" s="946"/>
      <c r="EOF2" s="946"/>
      <c r="EOG2" s="946"/>
      <c r="EOH2" s="946"/>
      <c r="EOI2" s="946"/>
      <c r="EOJ2" s="946"/>
      <c r="EOK2" s="946"/>
      <c r="EOL2" s="946"/>
      <c r="EOM2" s="946"/>
      <c r="EON2" s="946"/>
      <c r="EOO2" s="946"/>
      <c r="EOP2" s="946"/>
      <c r="EOQ2" s="946"/>
      <c r="EOR2" s="946"/>
      <c r="EOS2" s="946"/>
      <c r="EOT2" s="946"/>
      <c r="EOU2" s="946"/>
      <c r="EOV2" s="946"/>
      <c r="EOW2" s="946"/>
      <c r="EOX2" s="946"/>
      <c r="EOY2" s="946"/>
      <c r="EOZ2" s="946"/>
      <c r="EPA2" s="946"/>
      <c r="EPB2" s="946"/>
      <c r="EPC2" s="946"/>
      <c r="EPD2" s="946"/>
      <c r="EPE2" s="946"/>
      <c r="EPF2" s="946"/>
      <c r="EPG2" s="946"/>
      <c r="EPH2" s="946"/>
      <c r="EPI2" s="946"/>
      <c r="EPJ2" s="946"/>
      <c r="EPK2" s="946"/>
      <c r="EPL2" s="946"/>
      <c r="EPM2" s="946"/>
      <c r="EPN2" s="946"/>
      <c r="EPO2" s="946"/>
      <c r="EPP2" s="946"/>
      <c r="EPQ2" s="946"/>
      <c r="EPR2" s="946"/>
      <c r="EPS2" s="946"/>
      <c r="EPT2" s="946"/>
      <c r="EPU2" s="946"/>
      <c r="EPV2" s="946"/>
      <c r="EPW2" s="946"/>
      <c r="EPX2" s="946"/>
      <c r="EPY2" s="946"/>
      <c r="EPZ2" s="946"/>
      <c r="EQA2" s="946"/>
      <c r="EQB2" s="946"/>
      <c r="EQC2" s="946"/>
      <c r="EQD2" s="946"/>
      <c r="EQE2" s="946"/>
      <c r="EQF2" s="946"/>
      <c r="EQG2" s="946"/>
      <c r="EQH2" s="946"/>
      <c r="EQI2" s="946"/>
      <c r="EQJ2" s="946"/>
      <c r="EQK2" s="946"/>
      <c r="EQL2" s="946"/>
      <c r="EQM2" s="946"/>
      <c r="EQN2" s="946"/>
      <c r="EQO2" s="946"/>
      <c r="EQP2" s="946"/>
      <c r="EQQ2" s="946"/>
      <c r="EQR2" s="946"/>
      <c r="EQS2" s="946"/>
      <c r="EQT2" s="946"/>
      <c r="EQU2" s="946"/>
      <c r="EQV2" s="946"/>
      <c r="EQW2" s="946"/>
      <c r="EQX2" s="946"/>
      <c r="EQY2" s="946"/>
      <c r="EQZ2" s="946"/>
      <c r="ERA2" s="946"/>
      <c r="ERB2" s="946"/>
      <c r="ERC2" s="946"/>
      <c r="ERD2" s="946"/>
      <c r="ERE2" s="946"/>
      <c r="ERF2" s="946"/>
      <c r="ERG2" s="946"/>
      <c r="ERH2" s="946"/>
      <c r="ERI2" s="946"/>
      <c r="ERJ2" s="946"/>
      <c r="ERK2" s="946"/>
      <c r="ERL2" s="946"/>
      <c r="ERM2" s="946"/>
      <c r="ERN2" s="946"/>
      <c r="ERO2" s="946"/>
      <c r="ERP2" s="946"/>
      <c r="ERQ2" s="946"/>
      <c r="ERR2" s="946"/>
      <c r="ERS2" s="946"/>
      <c r="ERT2" s="946"/>
      <c r="ERU2" s="946"/>
      <c r="ERV2" s="946"/>
      <c r="ERW2" s="946"/>
      <c r="ERX2" s="946"/>
      <c r="ERY2" s="946"/>
      <c r="ERZ2" s="946"/>
      <c r="ESA2" s="946"/>
      <c r="ESB2" s="946"/>
      <c r="ESC2" s="946"/>
      <c r="ESD2" s="946"/>
      <c r="ESE2" s="946"/>
      <c r="ESF2" s="946"/>
      <c r="ESG2" s="946"/>
      <c r="ESH2" s="946"/>
      <c r="ESI2" s="946"/>
      <c r="ESJ2" s="946"/>
      <c r="ESK2" s="946"/>
      <c r="ESL2" s="946"/>
      <c r="ESM2" s="946"/>
      <c r="ESN2" s="946"/>
      <c r="ESO2" s="946"/>
      <c r="ESP2" s="946"/>
      <c r="ESQ2" s="946"/>
      <c r="ESR2" s="946"/>
      <c r="ESS2" s="946"/>
      <c r="EST2" s="946"/>
      <c r="ESU2" s="946"/>
      <c r="ESV2" s="946"/>
      <c r="ESW2" s="946"/>
      <c r="ESX2" s="946"/>
      <c r="ESY2" s="946"/>
      <c r="ESZ2" s="946"/>
      <c r="ETA2" s="946"/>
      <c r="ETB2" s="946"/>
      <c r="ETC2" s="946"/>
      <c r="ETD2" s="946"/>
      <c r="ETE2" s="946"/>
      <c r="ETF2" s="946"/>
      <c r="ETG2" s="946"/>
      <c r="ETH2" s="946"/>
      <c r="ETI2" s="946"/>
      <c r="ETJ2" s="946"/>
      <c r="ETK2" s="946"/>
      <c r="ETL2" s="946"/>
      <c r="ETM2" s="946"/>
      <c r="ETN2" s="946"/>
      <c r="ETO2" s="946"/>
      <c r="ETP2" s="946"/>
      <c r="ETQ2" s="946"/>
      <c r="ETR2" s="946"/>
      <c r="ETS2" s="946"/>
      <c r="ETT2" s="946"/>
      <c r="ETU2" s="946"/>
      <c r="ETV2" s="946"/>
      <c r="ETW2" s="946"/>
      <c r="ETX2" s="946"/>
      <c r="ETY2" s="946"/>
      <c r="ETZ2" s="946"/>
      <c r="EUA2" s="946"/>
      <c r="EUB2" s="946"/>
      <c r="EUC2" s="946"/>
      <c r="EUD2" s="946"/>
      <c r="EUE2" s="946"/>
      <c r="EUF2" s="946"/>
      <c r="EUG2" s="946"/>
      <c r="EUH2" s="946"/>
      <c r="EUI2" s="946"/>
      <c r="EUJ2" s="946"/>
      <c r="EUK2" s="946"/>
      <c r="EUL2" s="946"/>
      <c r="EUM2" s="946"/>
      <c r="EUN2" s="946"/>
      <c r="EUO2" s="946"/>
      <c r="EUP2" s="946"/>
      <c r="EUQ2" s="946"/>
      <c r="EUR2" s="946"/>
      <c r="EUS2" s="946"/>
      <c r="EUT2" s="946"/>
      <c r="EUU2" s="946"/>
      <c r="EUV2" s="946"/>
      <c r="EUW2" s="946"/>
      <c r="EUX2" s="946"/>
      <c r="EUY2" s="946"/>
      <c r="EUZ2" s="946"/>
      <c r="EVA2" s="946"/>
      <c r="EVB2" s="946"/>
      <c r="EVC2" s="946"/>
      <c r="EVD2" s="946"/>
      <c r="EVE2" s="946"/>
      <c r="EVF2" s="946"/>
      <c r="EVG2" s="946"/>
      <c r="EVH2" s="946"/>
      <c r="EVI2" s="946"/>
      <c r="EVJ2" s="946"/>
      <c r="EVK2" s="946"/>
      <c r="EVL2" s="946"/>
      <c r="EVM2" s="946"/>
      <c r="EVN2" s="946"/>
      <c r="EVO2" s="946"/>
      <c r="EVP2" s="946"/>
      <c r="EVQ2" s="946"/>
      <c r="EVR2" s="946"/>
      <c r="EVS2" s="946"/>
      <c r="EVT2" s="946"/>
      <c r="EVU2" s="946"/>
      <c r="EVV2" s="946"/>
      <c r="EVW2" s="946"/>
      <c r="EVX2" s="946"/>
      <c r="EVY2" s="946"/>
      <c r="EVZ2" s="946"/>
      <c r="EWA2" s="946"/>
      <c r="EWB2" s="946"/>
      <c r="EWC2" s="946"/>
      <c r="EWD2" s="946"/>
      <c r="EWE2" s="946"/>
      <c r="EWF2" s="946"/>
      <c r="EWG2" s="946"/>
      <c r="EWH2" s="946"/>
      <c r="EWI2" s="946"/>
      <c r="EWJ2" s="946"/>
      <c r="EWK2" s="946"/>
      <c r="EWL2" s="946"/>
      <c r="EWM2" s="946"/>
      <c r="EWN2" s="946"/>
      <c r="EWO2" s="946"/>
      <c r="EWP2" s="946"/>
      <c r="EWQ2" s="946"/>
      <c r="EWR2" s="946"/>
      <c r="EWS2" s="946"/>
      <c r="EWT2" s="946"/>
      <c r="EWU2" s="946"/>
      <c r="EWV2" s="946"/>
      <c r="EWW2" s="946"/>
      <c r="EWX2" s="946"/>
      <c r="EWY2" s="946"/>
      <c r="EWZ2" s="946"/>
      <c r="EXA2" s="946"/>
      <c r="EXB2" s="946"/>
      <c r="EXC2" s="946"/>
      <c r="EXD2" s="946"/>
      <c r="EXE2" s="946"/>
      <c r="EXF2" s="946"/>
      <c r="EXG2" s="946"/>
      <c r="EXH2" s="946"/>
      <c r="EXI2" s="946"/>
      <c r="EXJ2" s="946"/>
      <c r="EXK2" s="946"/>
      <c r="EXL2" s="946"/>
      <c r="EXM2" s="946"/>
      <c r="EXN2" s="946"/>
      <c r="EXO2" s="946"/>
      <c r="EXP2" s="946"/>
      <c r="EXQ2" s="946"/>
      <c r="EXR2" s="946"/>
      <c r="EXS2" s="946"/>
      <c r="EXT2" s="946"/>
      <c r="EXU2" s="946"/>
      <c r="EXV2" s="946"/>
      <c r="EXW2" s="946"/>
      <c r="EXX2" s="946"/>
      <c r="EXY2" s="946"/>
      <c r="EXZ2" s="946"/>
      <c r="EYA2" s="946"/>
      <c r="EYB2" s="946"/>
      <c r="EYC2" s="946"/>
      <c r="EYD2" s="946"/>
      <c r="EYE2" s="946"/>
      <c r="EYF2" s="946"/>
      <c r="EYG2" s="946"/>
      <c r="EYH2" s="946"/>
      <c r="EYI2" s="946"/>
      <c r="EYJ2" s="946"/>
      <c r="EYK2" s="946"/>
      <c r="EYL2" s="946"/>
      <c r="EYM2" s="946"/>
      <c r="EYN2" s="946"/>
      <c r="EYO2" s="946"/>
      <c r="EYP2" s="946"/>
      <c r="EYQ2" s="946"/>
      <c r="EYR2" s="946"/>
      <c r="EYS2" s="946"/>
      <c r="EYT2" s="946"/>
      <c r="EYU2" s="946"/>
      <c r="EYV2" s="946"/>
      <c r="EYW2" s="946"/>
      <c r="EYX2" s="946"/>
      <c r="EYY2" s="946"/>
      <c r="EYZ2" s="946"/>
      <c r="EZA2" s="946"/>
      <c r="EZB2" s="946"/>
      <c r="EZC2" s="946"/>
      <c r="EZD2" s="946"/>
      <c r="EZE2" s="946"/>
      <c r="EZF2" s="946"/>
      <c r="EZG2" s="946"/>
      <c r="EZH2" s="946"/>
      <c r="EZI2" s="946"/>
      <c r="EZJ2" s="946"/>
      <c r="EZK2" s="946"/>
      <c r="EZL2" s="946"/>
      <c r="EZM2" s="946"/>
      <c r="EZN2" s="946"/>
      <c r="EZO2" s="946"/>
      <c r="EZP2" s="946"/>
      <c r="EZQ2" s="946"/>
      <c r="EZR2" s="946"/>
      <c r="EZS2" s="946"/>
      <c r="EZT2" s="946"/>
      <c r="EZU2" s="946"/>
      <c r="EZV2" s="946"/>
      <c r="EZW2" s="946"/>
      <c r="EZX2" s="946"/>
      <c r="EZY2" s="946"/>
      <c r="EZZ2" s="946"/>
      <c r="FAA2" s="946"/>
      <c r="FAB2" s="946"/>
      <c r="FAC2" s="946"/>
      <c r="FAD2" s="946"/>
      <c r="FAE2" s="946"/>
      <c r="FAF2" s="946"/>
      <c r="FAG2" s="946"/>
      <c r="FAH2" s="946"/>
      <c r="FAI2" s="946"/>
      <c r="FAJ2" s="946"/>
      <c r="FAK2" s="946"/>
      <c r="FAL2" s="946"/>
      <c r="FAM2" s="946"/>
      <c r="FAN2" s="946"/>
      <c r="FAO2" s="946"/>
      <c r="FAP2" s="946"/>
      <c r="FAQ2" s="946"/>
      <c r="FAR2" s="946"/>
      <c r="FAS2" s="946"/>
      <c r="FAT2" s="946"/>
      <c r="FAU2" s="946"/>
      <c r="FAV2" s="946"/>
      <c r="FAW2" s="946"/>
      <c r="FAX2" s="946"/>
      <c r="FAY2" s="946"/>
      <c r="FAZ2" s="946"/>
      <c r="FBA2" s="946"/>
      <c r="FBB2" s="946"/>
      <c r="FBC2" s="946"/>
      <c r="FBD2" s="946"/>
      <c r="FBE2" s="946"/>
      <c r="FBF2" s="946"/>
      <c r="FBG2" s="946"/>
      <c r="FBH2" s="946"/>
      <c r="FBI2" s="946"/>
      <c r="FBJ2" s="946"/>
      <c r="FBK2" s="946"/>
      <c r="FBL2" s="946"/>
      <c r="FBM2" s="946"/>
      <c r="FBN2" s="946"/>
      <c r="FBO2" s="946"/>
      <c r="FBP2" s="946"/>
      <c r="FBQ2" s="946"/>
      <c r="FBR2" s="946"/>
      <c r="FBS2" s="946"/>
      <c r="FBT2" s="946"/>
      <c r="FBU2" s="946"/>
      <c r="FBV2" s="946"/>
      <c r="FBW2" s="946"/>
      <c r="FBX2" s="946"/>
      <c r="FBY2" s="946"/>
      <c r="FBZ2" s="946"/>
      <c r="FCA2" s="946"/>
      <c r="FCB2" s="946"/>
      <c r="FCC2" s="946"/>
      <c r="FCD2" s="946"/>
      <c r="FCE2" s="946"/>
      <c r="FCF2" s="946"/>
      <c r="FCG2" s="946"/>
      <c r="FCH2" s="946"/>
      <c r="FCI2" s="946"/>
      <c r="FCJ2" s="946"/>
      <c r="FCK2" s="946"/>
      <c r="FCL2" s="946"/>
      <c r="FCM2" s="946"/>
      <c r="FCN2" s="946"/>
      <c r="FCO2" s="946"/>
      <c r="FCP2" s="946"/>
      <c r="FCQ2" s="946"/>
      <c r="FCR2" s="946"/>
      <c r="FCS2" s="946"/>
      <c r="FCT2" s="946"/>
      <c r="FCU2" s="946"/>
      <c r="FCV2" s="946"/>
      <c r="FCW2" s="946"/>
      <c r="FCX2" s="946"/>
      <c r="FCY2" s="946"/>
      <c r="FCZ2" s="946"/>
      <c r="FDA2" s="946"/>
      <c r="FDB2" s="946"/>
      <c r="FDC2" s="946"/>
      <c r="FDD2" s="946"/>
      <c r="FDE2" s="946"/>
      <c r="FDF2" s="946"/>
      <c r="FDG2" s="946"/>
      <c r="FDH2" s="946"/>
      <c r="FDI2" s="946"/>
      <c r="FDJ2" s="946"/>
      <c r="FDK2" s="946"/>
      <c r="FDL2" s="946"/>
      <c r="FDM2" s="946"/>
      <c r="FDN2" s="946"/>
      <c r="FDO2" s="946"/>
      <c r="FDP2" s="946"/>
      <c r="FDQ2" s="946"/>
      <c r="FDR2" s="946"/>
      <c r="FDS2" s="946"/>
      <c r="FDT2" s="946"/>
      <c r="FDU2" s="946"/>
      <c r="FDV2" s="946"/>
      <c r="FDW2" s="946"/>
      <c r="FDX2" s="946"/>
      <c r="FDY2" s="946"/>
      <c r="FDZ2" s="946"/>
      <c r="FEA2" s="946"/>
      <c r="FEB2" s="946"/>
      <c r="FEC2" s="946"/>
      <c r="FED2" s="946"/>
      <c r="FEE2" s="946"/>
      <c r="FEF2" s="946"/>
      <c r="FEG2" s="946"/>
      <c r="FEH2" s="946"/>
      <c r="FEI2" s="946"/>
      <c r="FEJ2" s="946"/>
      <c r="FEK2" s="946"/>
      <c r="FEL2" s="946"/>
      <c r="FEM2" s="946"/>
      <c r="FEN2" s="946"/>
      <c r="FEO2" s="946"/>
      <c r="FEP2" s="946"/>
      <c r="FEQ2" s="946"/>
      <c r="FER2" s="946"/>
      <c r="FES2" s="946"/>
      <c r="FET2" s="946"/>
      <c r="FEU2" s="946"/>
      <c r="FEV2" s="946"/>
      <c r="FEW2" s="946"/>
      <c r="FEX2" s="946"/>
      <c r="FEY2" s="946"/>
      <c r="FEZ2" s="946"/>
      <c r="FFA2" s="946"/>
      <c r="FFB2" s="946"/>
      <c r="FFC2" s="946"/>
      <c r="FFD2" s="946"/>
      <c r="FFE2" s="946"/>
      <c r="FFF2" s="946"/>
      <c r="FFG2" s="946"/>
      <c r="FFH2" s="946"/>
      <c r="FFI2" s="946"/>
      <c r="FFJ2" s="946"/>
      <c r="FFK2" s="946"/>
      <c r="FFL2" s="946"/>
      <c r="FFM2" s="946"/>
      <c r="FFN2" s="946"/>
      <c r="FFO2" s="946"/>
      <c r="FFP2" s="946"/>
      <c r="FFQ2" s="946"/>
      <c r="FFR2" s="946"/>
      <c r="FFS2" s="946"/>
      <c r="FFT2" s="946"/>
      <c r="FFU2" s="946"/>
      <c r="FFV2" s="946"/>
      <c r="FFW2" s="946"/>
      <c r="FFX2" s="946"/>
      <c r="FFY2" s="946"/>
      <c r="FFZ2" s="946"/>
      <c r="FGA2" s="946"/>
      <c r="FGB2" s="946"/>
      <c r="FGC2" s="946"/>
      <c r="FGD2" s="946"/>
      <c r="FGE2" s="946"/>
      <c r="FGF2" s="946"/>
      <c r="FGG2" s="946"/>
      <c r="FGH2" s="946"/>
      <c r="FGI2" s="946"/>
      <c r="FGJ2" s="946"/>
      <c r="FGK2" s="946"/>
      <c r="FGL2" s="946"/>
      <c r="FGM2" s="946"/>
      <c r="FGN2" s="946"/>
      <c r="FGO2" s="946"/>
      <c r="FGP2" s="946"/>
      <c r="FGQ2" s="946"/>
      <c r="FGR2" s="946"/>
      <c r="FGS2" s="946"/>
      <c r="FGT2" s="946"/>
      <c r="FGU2" s="946"/>
      <c r="FGV2" s="946"/>
      <c r="FGW2" s="946"/>
      <c r="FGX2" s="946"/>
      <c r="FGY2" s="946"/>
      <c r="FGZ2" s="946"/>
      <c r="FHA2" s="946"/>
      <c r="FHB2" s="946"/>
      <c r="FHC2" s="946"/>
      <c r="FHD2" s="946"/>
      <c r="FHE2" s="946"/>
      <c r="FHF2" s="946"/>
      <c r="FHG2" s="946"/>
      <c r="FHH2" s="946"/>
      <c r="FHI2" s="946"/>
      <c r="FHJ2" s="946"/>
      <c r="FHK2" s="946"/>
      <c r="FHL2" s="946"/>
      <c r="FHM2" s="946"/>
      <c r="FHN2" s="946"/>
      <c r="FHO2" s="946"/>
      <c r="FHP2" s="946"/>
      <c r="FHQ2" s="946"/>
      <c r="FHR2" s="946"/>
      <c r="FHS2" s="946"/>
      <c r="FHT2" s="946"/>
      <c r="FHU2" s="946"/>
      <c r="FHV2" s="946"/>
      <c r="FHW2" s="946"/>
      <c r="FHX2" s="946"/>
      <c r="FHY2" s="946"/>
      <c r="FHZ2" s="946"/>
      <c r="FIA2" s="946"/>
      <c r="FIB2" s="946"/>
      <c r="FIC2" s="946"/>
      <c r="FID2" s="946"/>
      <c r="FIE2" s="946"/>
      <c r="FIF2" s="946"/>
      <c r="FIG2" s="946"/>
      <c r="FIH2" s="946"/>
      <c r="FII2" s="946"/>
      <c r="FIJ2" s="946"/>
      <c r="FIK2" s="946"/>
      <c r="FIL2" s="946"/>
      <c r="FIM2" s="946"/>
      <c r="FIN2" s="946"/>
      <c r="FIO2" s="946"/>
      <c r="FIP2" s="946"/>
      <c r="FIQ2" s="946"/>
      <c r="FIR2" s="946"/>
      <c r="FIS2" s="946"/>
      <c r="FIT2" s="946"/>
      <c r="FIU2" s="946"/>
      <c r="FIV2" s="946"/>
      <c r="FIW2" s="946"/>
      <c r="FIX2" s="946"/>
      <c r="FIY2" s="946"/>
      <c r="FIZ2" s="946"/>
      <c r="FJA2" s="946"/>
      <c r="FJB2" s="946"/>
      <c r="FJC2" s="946"/>
      <c r="FJD2" s="946"/>
      <c r="FJE2" s="946"/>
      <c r="FJF2" s="946"/>
      <c r="FJG2" s="946"/>
      <c r="FJH2" s="946"/>
      <c r="FJI2" s="946"/>
      <c r="FJJ2" s="946"/>
      <c r="FJK2" s="946"/>
      <c r="FJL2" s="946"/>
      <c r="FJM2" s="946"/>
      <c r="FJN2" s="946"/>
      <c r="FJO2" s="946"/>
      <c r="FJP2" s="946"/>
      <c r="FJQ2" s="946"/>
      <c r="FJR2" s="946"/>
      <c r="FJS2" s="946"/>
      <c r="FJT2" s="946"/>
      <c r="FJU2" s="946"/>
      <c r="FJV2" s="946"/>
      <c r="FJW2" s="946"/>
      <c r="FJX2" s="946"/>
      <c r="FJY2" s="946"/>
      <c r="FJZ2" s="946"/>
      <c r="FKA2" s="946"/>
      <c r="FKB2" s="946"/>
      <c r="FKC2" s="946"/>
      <c r="FKD2" s="946"/>
      <c r="FKE2" s="946"/>
      <c r="FKF2" s="946"/>
      <c r="FKG2" s="946"/>
      <c r="FKH2" s="946"/>
      <c r="FKI2" s="946"/>
      <c r="FKJ2" s="946"/>
      <c r="FKK2" s="946"/>
      <c r="FKL2" s="946"/>
      <c r="FKM2" s="946"/>
      <c r="FKN2" s="946"/>
      <c r="FKO2" s="946"/>
      <c r="FKP2" s="946"/>
      <c r="FKQ2" s="946"/>
      <c r="FKR2" s="946"/>
      <c r="FKS2" s="946"/>
      <c r="FKT2" s="946"/>
      <c r="FKU2" s="946"/>
      <c r="FKV2" s="946"/>
      <c r="FKW2" s="946"/>
      <c r="FKX2" s="946"/>
      <c r="FKY2" s="946"/>
      <c r="FKZ2" s="946"/>
      <c r="FLA2" s="946"/>
      <c r="FLB2" s="946"/>
      <c r="FLC2" s="946"/>
      <c r="FLD2" s="946"/>
      <c r="FLE2" s="946"/>
      <c r="FLF2" s="946"/>
      <c r="FLG2" s="946"/>
      <c r="FLH2" s="946"/>
      <c r="FLI2" s="946"/>
      <c r="FLJ2" s="946"/>
      <c r="FLK2" s="946"/>
      <c r="FLL2" s="946"/>
      <c r="FLM2" s="946"/>
      <c r="FLN2" s="946"/>
      <c r="FLO2" s="946"/>
      <c r="FLP2" s="946"/>
      <c r="FLQ2" s="946"/>
      <c r="FLR2" s="946"/>
      <c r="FLS2" s="946"/>
      <c r="FLT2" s="946"/>
      <c r="FLU2" s="946"/>
      <c r="FLV2" s="946"/>
      <c r="FLW2" s="946"/>
      <c r="FLX2" s="946"/>
      <c r="FLY2" s="946"/>
      <c r="FLZ2" s="946"/>
      <c r="FMA2" s="946"/>
      <c r="FMB2" s="946"/>
      <c r="FMC2" s="946"/>
      <c r="FMD2" s="946"/>
      <c r="FME2" s="946"/>
      <c r="FMF2" s="946"/>
      <c r="FMG2" s="946"/>
      <c r="FMH2" s="946"/>
      <c r="FMI2" s="946"/>
      <c r="FMJ2" s="946"/>
      <c r="FMK2" s="946"/>
      <c r="FML2" s="946"/>
      <c r="FMM2" s="946"/>
      <c r="FMN2" s="946"/>
      <c r="FMO2" s="946"/>
      <c r="FMP2" s="946"/>
      <c r="FMQ2" s="946"/>
      <c r="FMR2" s="946"/>
      <c r="FMS2" s="946"/>
      <c r="FMT2" s="946"/>
      <c r="FMU2" s="946"/>
      <c r="FMV2" s="946"/>
      <c r="FMW2" s="946"/>
      <c r="FMX2" s="946"/>
      <c r="FMY2" s="946"/>
      <c r="FMZ2" s="946"/>
      <c r="FNA2" s="946"/>
      <c r="FNB2" s="946"/>
      <c r="FNC2" s="946"/>
      <c r="FND2" s="946"/>
      <c r="FNE2" s="946"/>
      <c r="FNF2" s="946"/>
      <c r="FNG2" s="946"/>
      <c r="FNH2" s="946"/>
      <c r="FNI2" s="946"/>
      <c r="FNJ2" s="946"/>
      <c r="FNK2" s="946"/>
      <c r="FNL2" s="946"/>
      <c r="FNM2" s="946"/>
      <c r="FNN2" s="946"/>
      <c r="FNO2" s="946"/>
      <c r="FNP2" s="946"/>
      <c r="FNQ2" s="946"/>
      <c r="FNR2" s="946"/>
      <c r="FNS2" s="946"/>
      <c r="FNT2" s="946"/>
      <c r="FNU2" s="946"/>
      <c r="FNV2" s="946"/>
      <c r="FNW2" s="946"/>
      <c r="FNX2" s="946"/>
      <c r="FNY2" s="946"/>
      <c r="FNZ2" s="946"/>
      <c r="FOA2" s="946"/>
      <c r="FOB2" s="946"/>
      <c r="FOC2" s="946"/>
      <c r="FOD2" s="946"/>
      <c r="FOE2" s="946"/>
      <c r="FOF2" s="946"/>
      <c r="FOG2" s="946"/>
      <c r="FOH2" s="946"/>
      <c r="FOI2" s="946"/>
      <c r="FOJ2" s="946"/>
      <c r="FOK2" s="946"/>
      <c r="FOL2" s="946"/>
      <c r="FOM2" s="946"/>
      <c r="FON2" s="946"/>
      <c r="FOO2" s="946"/>
      <c r="FOP2" s="946"/>
      <c r="FOQ2" s="946"/>
      <c r="FOR2" s="946"/>
      <c r="FOS2" s="946"/>
      <c r="FOT2" s="946"/>
      <c r="FOU2" s="946"/>
      <c r="FOV2" s="946"/>
      <c r="FOW2" s="946"/>
      <c r="FOX2" s="946"/>
      <c r="FOY2" s="946"/>
      <c r="FOZ2" s="946"/>
      <c r="FPA2" s="946"/>
      <c r="FPB2" s="946"/>
      <c r="FPC2" s="946"/>
      <c r="FPD2" s="946"/>
      <c r="FPE2" s="946"/>
      <c r="FPF2" s="946"/>
      <c r="FPG2" s="946"/>
      <c r="FPH2" s="946"/>
      <c r="FPI2" s="946"/>
      <c r="FPJ2" s="946"/>
      <c r="FPK2" s="946"/>
      <c r="FPL2" s="946"/>
      <c r="FPM2" s="946"/>
      <c r="FPN2" s="946"/>
      <c r="FPO2" s="946"/>
      <c r="FPP2" s="946"/>
      <c r="FPQ2" s="946"/>
      <c r="FPR2" s="946"/>
      <c r="FPS2" s="946"/>
      <c r="FPT2" s="946"/>
      <c r="FPU2" s="946"/>
      <c r="FPV2" s="946"/>
      <c r="FPW2" s="946"/>
      <c r="FPX2" s="946"/>
      <c r="FPY2" s="946"/>
      <c r="FPZ2" s="946"/>
      <c r="FQA2" s="946"/>
      <c r="FQB2" s="946"/>
      <c r="FQC2" s="946"/>
      <c r="FQD2" s="946"/>
      <c r="FQE2" s="946"/>
      <c r="FQF2" s="946"/>
      <c r="FQG2" s="946"/>
      <c r="FQH2" s="946"/>
      <c r="FQI2" s="946"/>
      <c r="FQJ2" s="946"/>
      <c r="FQK2" s="946"/>
      <c r="FQL2" s="946"/>
      <c r="FQM2" s="946"/>
      <c r="FQN2" s="946"/>
      <c r="FQO2" s="946"/>
      <c r="FQP2" s="946"/>
      <c r="FQQ2" s="946"/>
      <c r="FQR2" s="946"/>
      <c r="FQS2" s="946"/>
      <c r="FQT2" s="946"/>
      <c r="FQU2" s="946"/>
      <c r="FQV2" s="946"/>
      <c r="FQW2" s="946"/>
      <c r="FQX2" s="946"/>
      <c r="FQY2" s="946"/>
      <c r="FQZ2" s="946"/>
      <c r="FRA2" s="946"/>
      <c r="FRB2" s="946"/>
      <c r="FRC2" s="946"/>
      <c r="FRD2" s="946"/>
      <c r="FRE2" s="946"/>
      <c r="FRF2" s="946"/>
      <c r="FRG2" s="946"/>
      <c r="FRH2" s="946"/>
      <c r="FRI2" s="946"/>
      <c r="FRJ2" s="946"/>
      <c r="FRK2" s="946"/>
      <c r="FRL2" s="946"/>
      <c r="FRM2" s="946"/>
      <c r="FRN2" s="946"/>
      <c r="FRO2" s="946"/>
      <c r="FRP2" s="946"/>
      <c r="FRQ2" s="946"/>
      <c r="FRR2" s="946"/>
      <c r="FRS2" s="946"/>
      <c r="FRT2" s="946"/>
      <c r="FRU2" s="946"/>
      <c r="FRV2" s="946"/>
      <c r="FRW2" s="946"/>
      <c r="FRX2" s="946"/>
      <c r="FRY2" s="946"/>
      <c r="FRZ2" s="946"/>
      <c r="FSA2" s="946"/>
      <c r="FSB2" s="946"/>
      <c r="FSC2" s="946"/>
      <c r="FSD2" s="946"/>
      <c r="FSE2" s="946"/>
      <c r="FSF2" s="946"/>
      <c r="FSG2" s="946"/>
      <c r="FSH2" s="946"/>
      <c r="FSI2" s="946"/>
      <c r="FSJ2" s="946"/>
      <c r="FSK2" s="946"/>
      <c r="FSL2" s="946"/>
      <c r="FSM2" s="946"/>
      <c r="FSN2" s="946"/>
      <c r="FSO2" s="946"/>
      <c r="FSP2" s="946"/>
      <c r="FSQ2" s="946"/>
      <c r="FSR2" s="946"/>
      <c r="FSS2" s="946"/>
      <c r="FST2" s="946"/>
      <c r="FSU2" s="946"/>
      <c r="FSV2" s="946"/>
      <c r="FSW2" s="946"/>
      <c r="FSX2" s="946"/>
      <c r="FSY2" s="946"/>
      <c r="FSZ2" s="946"/>
      <c r="FTA2" s="946"/>
      <c r="FTB2" s="946"/>
      <c r="FTC2" s="946"/>
      <c r="FTD2" s="946"/>
      <c r="FTE2" s="946"/>
      <c r="FTF2" s="946"/>
      <c r="FTG2" s="946"/>
      <c r="FTH2" s="946"/>
      <c r="FTI2" s="946"/>
      <c r="FTJ2" s="946"/>
      <c r="FTK2" s="946"/>
      <c r="FTL2" s="946"/>
      <c r="FTM2" s="946"/>
      <c r="FTN2" s="946"/>
      <c r="FTO2" s="946"/>
      <c r="FTP2" s="946"/>
      <c r="FTQ2" s="946"/>
      <c r="FTR2" s="946"/>
      <c r="FTS2" s="946"/>
      <c r="FTT2" s="946"/>
      <c r="FTU2" s="946"/>
      <c r="FTV2" s="946"/>
      <c r="FTW2" s="946"/>
      <c r="FTX2" s="946"/>
      <c r="FTY2" s="946"/>
      <c r="FTZ2" s="946"/>
      <c r="FUA2" s="946"/>
      <c r="FUB2" s="946"/>
      <c r="FUC2" s="946"/>
      <c r="FUD2" s="946"/>
      <c r="FUE2" s="946"/>
      <c r="FUF2" s="946"/>
      <c r="FUG2" s="946"/>
      <c r="FUH2" s="946"/>
      <c r="FUI2" s="946"/>
      <c r="FUJ2" s="946"/>
      <c r="FUK2" s="946"/>
      <c r="FUL2" s="946"/>
      <c r="FUM2" s="946"/>
      <c r="FUN2" s="946"/>
      <c r="FUO2" s="946"/>
      <c r="FUP2" s="946"/>
      <c r="FUQ2" s="946"/>
      <c r="FUR2" s="946"/>
      <c r="FUS2" s="946"/>
      <c r="FUT2" s="946"/>
      <c r="FUU2" s="946"/>
      <c r="FUV2" s="946"/>
      <c r="FUW2" s="946"/>
      <c r="FUX2" s="946"/>
      <c r="FUY2" s="946"/>
      <c r="FUZ2" s="946"/>
      <c r="FVA2" s="946"/>
      <c r="FVB2" s="946"/>
      <c r="FVC2" s="946"/>
      <c r="FVD2" s="946"/>
      <c r="FVE2" s="946"/>
      <c r="FVF2" s="946"/>
      <c r="FVG2" s="946"/>
      <c r="FVH2" s="946"/>
      <c r="FVI2" s="946"/>
      <c r="FVJ2" s="946"/>
      <c r="FVK2" s="946"/>
      <c r="FVL2" s="946"/>
      <c r="FVM2" s="946"/>
      <c r="FVN2" s="946"/>
      <c r="FVO2" s="946"/>
      <c r="FVP2" s="946"/>
      <c r="FVQ2" s="946"/>
      <c r="FVR2" s="946"/>
      <c r="FVS2" s="946"/>
      <c r="FVT2" s="946"/>
      <c r="FVU2" s="946"/>
      <c r="FVV2" s="946"/>
      <c r="FVW2" s="946"/>
      <c r="FVX2" s="946"/>
      <c r="FVY2" s="946"/>
      <c r="FVZ2" s="946"/>
      <c r="FWA2" s="946"/>
      <c r="FWB2" s="946"/>
      <c r="FWC2" s="946"/>
      <c r="FWD2" s="946"/>
      <c r="FWE2" s="946"/>
      <c r="FWF2" s="946"/>
      <c r="FWG2" s="946"/>
      <c r="FWH2" s="946"/>
      <c r="FWI2" s="946"/>
      <c r="FWJ2" s="946"/>
      <c r="FWK2" s="946"/>
      <c r="FWL2" s="946"/>
      <c r="FWM2" s="946"/>
      <c r="FWN2" s="946"/>
      <c r="FWO2" s="946"/>
      <c r="FWP2" s="946"/>
      <c r="FWQ2" s="946"/>
      <c r="FWR2" s="946"/>
      <c r="FWS2" s="946"/>
      <c r="FWT2" s="946"/>
      <c r="FWU2" s="946"/>
      <c r="FWV2" s="946"/>
      <c r="FWW2" s="946"/>
      <c r="FWX2" s="946"/>
      <c r="FWY2" s="946"/>
      <c r="FWZ2" s="946"/>
      <c r="FXA2" s="946"/>
      <c r="FXB2" s="946"/>
      <c r="FXC2" s="946"/>
      <c r="FXD2" s="946"/>
      <c r="FXE2" s="946"/>
      <c r="FXF2" s="946"/>
      <c r="FXG2" s="946"/>
      <c r="FXH2" s="946"/>
      <c r="FXI2" s="946"/>
      <c r="FXJ2" s="946"/>
      <c r="FXK2" s="946"/>
      <c r="FXL2" s="946"/>
      <c r="FXM2" s="946"/>
      <c r="FXN2" s="946"/>
      <c r="FXO2" s="946"/>
      <c r="FXP2" s="946"/>
      <c r="FXQ2" s="946"/>
      <c r="FXR2" s="946"/>
      <c r="FXS2" s="946"/>
      <c r="FXT2" s="946"/>
      <c r="FXU2" s="946"/>
      <c r="FXV2" s="946"/>
      <c r="FXW2" s="946"/>
      <c r="FXX2" s="946"/>
      <c r="FXY2" s="946"/>
      <c r="FXZ2" s="946"/>
      <c r="FYA2" s="946"/>
      <c r="FYB2" s="946"/>
      <c r="FYC2" s="946"/>
      <c r="FYD2" s="946"/>
      <c r="FYE2" s="946"/>
      <c r="FYF2" s="946"/>
      <c r="FYG2" s="946"/>
      <c r="FYH2" s="946"/>
      <c r="FYI2" s="946"/>
      <c r="FYJ2" s="946"/>
      <c r="FYK2" s="946"/>
      <c r="FYL2" s="946"/>
      <c r="FYM2" s="946"/>
      <c r="FYN2" s="946"/>
      <c r="FYO2" s="946"/>
      <c r="FYP2" s="946"/>
      <c r="FYQ2" s="946"/>
      <c r="FYR2" s="946"/>
      <c r="FYS2" s="946"/>
      <c r="FYT2" s="946"/>
      <c r="FYU2" s="946"/>
      <c r="FYV2" s="946"/>
      <c r="FYW2" s="946"/>
      <c r="FYX2" s="946"/>
      <c r="FYY2" s="946"/>
      <c r="FYZ2" s="946"/>
      <c r="FZA2" s="946"/>
      <c r="FZB2" s="946"/>
      <c r="FZC2" s="946"/>
      <c r="FZD2" s="946"/>
      <c r="FZE2" s="946"/>
      <c r="FZF2" s="946"/>
      <c r="FZG2" s="946"/>
      <c r="FZH2" s="946"/>
      <c r="FZI2" s="946"/>
      <c r="FZJ2" s="946"/>
      <c r="FZK2" s="946"/>
      <c r="FZL2" s="946"/>
      <c r="FZM2" s="946"/>
      <c r="FZN2" s="946"/>
      <c r="FZO2" s="946"/>
      <c r="FZP2" s="946"/>
      <c r="FZQ2" s="946"/>
      <c r="FZR2" s="946"/>
      <c r="FZS2" s="946"/>
      <c r="FZT2" s="946"/>
      <c r="FZU2" s="946"/>
      <c r="FZV2" s="946"/>
      <c r="FZW2" s="946"/>
      <c r="FZX2" s="946"/>
      <c r="FZY2" s="946"/>
      <c r="FZZ2" s="946"/>
      <c r="GAA2" s="946"/>
      <c r="GAB2" s="946"/>
      <c r="GAC2" s="946"/>
      <c r="GAD2" s="946"/>
      <c r="GAE2" s="946"/>
      <c r="GAF2" s="946"/>
      <c r="GAG2" s="946"/>
      <c r="GAH2" s="946"/>
      <c r="GAI2" s="946"/>
      <c r="GAJ2" s="946"/>
      <c r="GAK2" s="946"/>
      <c r="GAL2" s="946"/>
      <c r="GAM2" s="946"/>
      <c r="GAN2" s="946"/>
      <c r="GAO2" s="946"/>
      <c r="GAP2" s="946"/>
      <c r="GAQ2" s="946"/>
      <c r="GAR2" s="946"/>
      <c r="GAS2" s="946"/>
      <c r="GAT2" s="946"/>
      <c r="GAU2" s="946"/>
      <c r="GAV2" s="946"/>
      <c r="GAW2" s="946"/>
      <c r="GAX2" s="946"/>
      <c r="GAY2" s="946"/>
      <c r="GAZ2" s="946"/>
      <c r="GBA2" s="946"/>
      <c r="GBB2" s="946"/>
      <c r="GBC2" s="946"/>
      <c r="GBD2" s="946"/>
      <c r="GBE2" s="946"/>
      <c r="GBF2" s="946"/>
      <c r="GBG2" s="946"/>
      <c r="GBH2" s="946"/>
      <c r="GBI2" s="946"/>
      <c r="GBJ2" s="946"/>
      <c r="GBK2" s="946"/>
      <c r="GBL2" s="946"/>
      <c r="GBM2" s="946"/>
      <c r="GBN2" s="946"/>
      <c r="GBO2" s="946"/>
      <c r="GBP2" s="946"/>
      <c r="GBQ2" s="946"/>
      <c r="GBR2" s="946"/>
      <c r="GBS2" s="946"/>
      <c r="GBT2" s="946"/>
      <c r="GBU2" s="946"/>
      <c r="GBV2" s="946"/>
      <c r="GBW2" s="946"/>
      <c r="GBX2" s="946"/>
      <c r="GBY2" s="946"/>
      <c r="GBZ2" s="946"/>
      <c r="GCA2" s="946"/>
      <c r="GCB2" s="946"/>
      <c r="GCC2" s="946"/>
      <c r="GCD2" s="946"/>
      <c r="GCE2" s="946"/>
      <c r="GCF2" s="946"/>
      <c r="GCG2" s="946"/>
      <c r="GCH2" s="946"/>
      <c r="GCI2" s="946"/>
      <c r="GCJ2" s="946"/>
      <c r="GCK2" s="946"/>
      <c r="GCL2" s="946"/>
      <c r="GCM2" s="946"/>
      <c r="GCN2" s="946"/>
      <c r="GCO2" s="946"/>
      <c r="GCP2" s="946"/>
      <c r="GCQ2" s="946"/>
      <c r="GCR2" s="946"/>
      <c r="GCS2" s="946"/>
      <c r="GCT2" s="946"/>
      <c r="GCU2" s="946"/>
      <c r="GCV2" s="946"/>
      <c r="GCW2" s="946"/>
      <c r="GCX2" s="946"/>
      <c r="GCY2" s="946"/>
      <c r="GCZ2" s="946"/>
      <c r="GDA2" s="946"/>
      <c r="GDB2" s="946"/>
      <c r="GDC2" s="946"/>
      <c r="GDD2" s="946"/>
      <c r="GDE2" s="946"/>
      <c r="GDF2" s="946"/>
      <c r="GDG2" s="946"/>
      <c r="GDH2" s="946"/>
      <c r="GDI2" s="946"/>
      <c r="GDJ2" s="946"/>
      <c r="GDK2" s="946"/>
      <c r="GDL2" s="946"/>
      <c r="GDM2" s="946"/>
      <c r="GDN2" s="946"/>
      <c r="GDO2" s="946"/>
      <c r="GDP2" s="946"/>
      <c r="GDQ2" s="946"/>
      <c r="GDR2" s="946"/>
      <c r="GDS2" s="946"/>
      <c r="GDT2" s="946"/>
      <c r="GDU2" s="946"/>
      <c r="GDV2" s="946"/>
      <c r="GDW2" s="946"/>
      <c r="GDX2" s="946"/>
      <c r="GDY2" s="946"/>
      <c r="GDZ2" s="946"/>
      <c r="GEA2" s="946"/>
      <c r="GEB2" s="946"/>
      <c r="GEC2" s="946"/>
      <c r="GED2" s="946"/>
      <c r="GEE2" s="946"/>
      <c r="GEF2" s="946"/>
      <c r="GEG2" s="946"/>
      <c r="GEH2" s="946"/>
      <c r="GEI2" s="946"/>
      <c r="GEJ2" s="946"/>
      <c r="GEK2" s="946"/>
      <c r="GEL2" s="946"/>
      <c r="GEM2" s="946"/>
      <c r="GEN2" s="946"/>
      <c r="GEO2" s="946"/>
      <c r="GEP2" s="946"/>
      <c r="GEQ2" s="946"/>
      <c r="GER2" s="946"/>
      <c r="GES2" s="946"/>
      <c r="GET2" s="946"/>
      <c r="GEU2" s="946"/>
      <c r="GEV2" s="946"/>
      <c r="GEW2" s="946"/>
      <c r="GEX2" s="946"/>
      <c r="GEY2" s="946"/>
      <c r="GEZ2" s="946"/>
      <c r="GFA2" s="946"/>
      <c r="GFB2" s="946"/>
      <c r="GFC2" s="946"/>
      <c r="GFD2" s="946"/>
      <c r="GFE2" s="946"/>
      <c r="GFF2" s="946"/>
      <c r="GFG2" s="946"/>
      <c r="GFH2" s="946"/>
      <c r="GFI2" s="946"/>
      <c r="GFJ2" s="946"/>
      <c r="GFK2" s="946"/>
      <c r="GFL2" s="946"/>
      <c r="GFM2" s="946"/>
      <c r="GFN2" s="946"/>
      <c r="GFO2" s="946"/>
      <c r="GFP2" s="946"/>
      <c r="GFQ2" s="946"/>
      <c r="GFR2" s="946"/>
      <c r="GFS2" s="946"/>
      <c r="GFT2" s="946"/>
      <c r="GFU2" s="946"/>
      <c r="GFV2" s="946"/>
      <c r="GFW2" s="946"/>
      <c r="GFX2" s="946"/>
      <c r="GFY2" s="946"/>
      <c r="GFZ2" s="946"/>
      <c r="GGA2" s="946"/>
      <c r="GGB2" s="946"/>
      <c r="GGC2" s="946"/>
      <c r="GGD2" s="946"/>
      <c r="GGE2" s="946"/>
      <c r="GGF2" s="946"/>
      <c r="GGG2" s="946"/>
      <c r="GGH2" s="946"/>
      <c r="GGI2" s="946"/>
      <c r="GGJ2" s="946"/>
      <c r="GGK2" s="946"/>
      <c r="GGL2" s="946"/>
      <c r="GGM2" s="946"/>
      <c r="GGN2" s="946"/>
      <c r="GGO2" s="946"/>
      <c r="GGP2" s="946"/>
      <c r="GGQ2" s="946"/>
      <c r="GGR2" s="946"/>
      <c r="GGS2" s="946"/>
      <c r="GGT2" s="946"/>
      <c r="GGU2" s="946"/>
      <c r="GGV2" s="946"/>
      <c r="GGW2" s="946"/>
      <c r="GGX2" s="946"/>
      <c r="GGY2" s="946"/>
      <c r="GGZ2" s="946"/>
      <c r="GHA2" s="946"/>
      <c r="GHB2" s="946"/>
      <c r="GHC2" s="946"/>
      <c r="GHD2" s="946"/>
      <c r="GHE2" s="946"/>
      <c r="GHF2" s="946"/>
      <c r="GHG2" s="946"/>
      <c r="GHH2" s="946"/>
      <c r="GHI2" s="946"/>
      <c r="GHJ2" s="946"/>
      <c r="GHK2" s="946"/>
      <c r="GHL2" s="946"/>
      <c r="GHM2" s="946"/>
      <c r="GHN2" s="946"/>
      <c r="GHO2" s="946"/>
      <c r="GHP2" s="946"/>
      <c r="GHQ2" s="946"/>
      <c r="GHR2" s="946"/>
      <c r="GHS2" s="946"/>
      <c r="GHT2" s="946"/>
      <c r="GHU2" s="946"/>
      <c r="GHV2" s="946"/>
      <c r="GHW2" s="946"/>
      <c r="GHX2" s="946"/>
      <c r="GHY2" s="946"/>
      <c r="GHZ2" s="946"/>
      <c r="GIA2" s="946"/>
      <c r="GIB2" s="946"/>
      <c r="GIC2" s="946"/>
      <c r="GID2" s="946"/>
      <c r="GIE2" s="946"/>
      <c r="GIF2" s="946"/>
      <c r="GIG2" s="946"/>
      <c r="GIH2" s="946"/>
      <c r="GII2" s="946"/>
      <c r="GIJ2" s="946"/>
      <c r="GIK2" s="946"/>
      <c r="GIL2" s="946"/>
      <c r="GIM2" s="946"/>
      <c r="GIN2" s="946"/>
      <c r="GIO2" s="946"/>
      <c r="GIP2" s="946"/>
      <c r="GIQ2" s="946"/>
      <c r="GIR2" s="946"/>
      <c r="GIS2" s="946"/>
      <c r="GIT2" s="946"/>
      <c r="GIU2" s="946"/>
      <c r="GIV2" s="946"/>
      <c r="GIW2" s="946"/>
      <c r="GIX2" s="946"/>
      <c r="GIY2" s="946"/>
      <c r="GIZ2" s="946"/>
      <c r="GJA2" s="946"/>
      <c r="GJB2" s="946"/>
      <c r="GJC2" s="946"/>
      <c r="GJD2" s="946"/>
      <c r="GJE2" s="946"/>
      <c r="GJF2" s="946"/>
      <c r="GJG2" s="946"/>
      <c r="GJH2" s="946"/>
      <c r="GJI2" s="946"/>
      <c r="GJJ2" s="946"/>
      <c r="GJK2" s="946"/>
      <c r="GJL2" s="946"/>
      <c r="GJM2" s="946"/>
      <c r="GJN2" s="946"/>
      <c r="GJO2" s="946"/>
      <c r="GJP2" s="946"/>
      <c r="GJQ2" s="946"/>
      <c r="GJR2" s="946"/>
      <c r="GJS2" s="946"/>
      <c r="GJT2" s="946"/>
      <c r="GJU2" s="946"/>
      <c r="GJV2" s="946"/>
      <c r="GJW2" s="946"/>
      <c r="GJX2" s="946"/>
      <c r="GJY2" s="946"/>
      <c r="GJZ2" s="946"/>
      <c r="GKA2" s="946"/>
      <c r="GKB2" s="946"/>
      <c r="GKC2" s="946"/>
      <c r="GKD2" s="946"/>
      <c r="GKE2" s="946"/>
      <c r="GKF2" s="946"/>
      <c r="GKG2" s="946"/>
      <c r="GKH2" s="946"/>
      <c r="GKI2" s="946"/>
      <c r="GKJ2" s="946"/>
      <c r="GKK2" s="946"/>
      <c r="GKL2" s="946"/>
      <c r="GKM2" s="946"/>
      <c r="GKN2" s="946"/>
      <c r="GKO2" s="946"/>
      <c r="GKP2" s="946"/>
      <c r="GKQ2" s="946"/>
      <c r="GKR2" s="946"/>
      <c r="GKS2" s="946"/>
      <c r="GKT2" s="946"/>
      <c r="GKU2" s="946"/>
      <c r="GKV2" s="946"/>
      <c r="GKW2" s="946"/>
      <c r="GKX2" s="946"/>
      <c r="GKY2" s="946"/>
      <c r="GKZ2" s="946"/>
      <c r="GLA2" s="946"/>
      <c r="GLB2" s="946"/>
      <c r="GLC2" s="946"/>
      <c r="GLD2" s="946"/>
      <c r="GLE2" s="946"/>
      <c r="GLF2" s="946"/>
      <c r="GLG2" s="946"/>
      <c r="GLH2" s="946"/>
      <c r="GLI2" s="946"/>
      <c r="GLJ2" s="946"/>
      <c r="GLK2" s="946"/>
      <c r="GLL2" s="946"/>
      <c r="GLM2" s="946"/>
      <c r="GLN2" s="946"/>
      <c r="GLO2" s="946"/>
      <c r="GLP2" s="946"/>
      <c r="GLQ2" s="946"/>
      <c r="GLR2" s="946"/>
      <c r="GLS2" s="946"/>
      <c r="GLT2" s="946"/>
      <c r="GLU2" s="946"/>
      <c r="GLV2" s="946"/>
      <c r="GLW2" s="946"/>
      <c r="GLX2" s="946"/>
      <c r="GLY2" s="946"/>
      <c r="GLZ2" s="946"/>
      <c r="GMA2" s="946"/>
      <c r="GMB2" s="946"/>
      <c r="GMC2" s="946"/>
      <c r="GMD2" s="946"/>
      <c r="GME2" s="946"/>
      <c r="GMF2" s="946"/>
      <c r="GMG2" s="946"/>
      <c r="GMH2" s="946"/>
      <c r="GMI2" s="946"/>
      <c r="GMJ2" s="946"/>
      <c r="GMK2" s="946"/>
      <c r="GML2" s="946"/>
      <c r="GMM2" s="946"/>
      <c r="GMN2" s="946"/>
      <c r="GMO2" s="946"/>
      <c r="GMP2" s="946"/>
      <c r="GMQ2" s="946"/>
      <c r="GMR2" s="946"/>
      <c r="GMS2" s="946"/>
      <c r="GMT2" s="946"/>
      <c r="GMU2" s="946"/>
      <c r="GMV2" s="946"/>
      <c r="GMW2" s="946"/>
      <c r="GMX2" s="946"/>
      <c r="GMY2" s="946"/>
      <c r="GMZ2" s="946"/>
      <c r="GNA2" s="946"/>
      <c r="GNB2" s="946"/>
      <c r="GNC2" s="946"/>
      <c r="GND2" s="946"/>
      <c r="GNE2" s="946"/>
      <c r="GNF2" s="946"/>
      <c r="GNG2" s="946"/>
      <c r="GNH2" s="946"/>
      <c r="GNI2" s="946"/>
      <c r="GNJ2" s="946"/>
      <c r="GNK2" s="946"/>
      <c r="GNL2" s="946"/>
      <c r="GNM2" s="946"/>
      <c r="GNN2" s="946"/>
      <c r="GNO2" s="946"/>
      <c r="GNP2" s="946"/>
      <c r="GNQ2" s="946"/>
      <c r="GNR2" s="946"/>
      <c r="GNS2" s="946"/>
      <c r="GNT2" s="946"/>
      <c r="GNU2" s="946"/>
      <c r="GNV2" s="946"/>
      <c r="GNW2" s="946"/>
      <c r="GNX2" s="946"/>
      <c r="GNY2" s="946"/>
      <c r="GNZ2" s="946"/>
      <c r="GOA2" s="946"/>
      <c r="GOB2" s="946"/>
      <c r="GOC2" s="946"/>
      <c r="GOD2" s="946"/>
      <c r="GOE2" s="946"/>
      <c r="GOF2" s="946"/>
      <c r="GOG2" s="946"/>
      <c r="GOH2" s="946"/>
      <c r="GOI2" s="946"/>
      <c r="GOJ2" s="946"/>
      <c r="GOK2" s="946"/>
      <c r="GOL2" s="946"/>
      <c r="GOM2" s="946"/>
      <c r="GON2" s="946"/>
      <c r="GOO2" s="946"/>
      <c r="GOP2" s="946"/>
      <c r="GOQ2" s="946"/>
      <c r="GOR2" s="946"/>
      <c r="GOS2" s="946"/>
      <c r="GOT2" s="946"/>
      <c r="GOU2" s="946"/>
      <c r="GOV2" s="946"/>
      <c r="GOW2" s="946"/>
      <c r="GOX2" s="946"/>
      <c r="GOY2" s="946"/>
      <c r="GOZ2" s="946"/>
      <c r="GPA2" s="946"/>
      <c r="GPB2" s="946"/>
      <c r="GPC2" s="946"/>
      <c r="GPD2" s="946"/>
      <c r="GPE2" s="946"/>
      <c r="GPF2" s="946"/>
      <c r="GPG2" s="946"/>
      <c r="GPH2" s="946"/>
      <c r="GPI2" s="946"/>
      <c r="GPJ2" s="946"/>
      <c r="GPK2" s="946"/>
      <c r="GPL2" s="946"/>
      <c r="GPM2" s="946"/>
      <c r="GPN2" s="946"/>
      <c r="GPO2" s="946"/>
      <c r="GPP2" s="946"/>
      <c r="GPQ2" s="946"/>
      <c r="GPR2" s="946"/>
      <c r="GPS2" s="946"/>
      <c r="GPT2" s="946"/>
      <c r="GPU2" s="946"/>
      <c r="GPV2" s="946"/>
      <c r="GPW2" s="946"/>
      <c r="GPX2" s="946"/>
      <c r="GPY2" s="946"/>
      <c r="GPZ2" s="946"/>
      <c r="GQA2" s="946"/>
      <c r="GQB2" s="946"/>
      <c r="GQC2" s="946"/>
      <c r="GQD2" s="946"/>
      <c r="GQE2" s="946"/>
      <c r="GQF2" s="946"/>
      <c r="GQG2" s="946"/>
      <c r="GQH2" s="946"/>
      <c r="GQI2" s="946"/>
      <c r="GQJ2" s="946"/>
      <c r="GQK2" s="946"/>
      <c r="GQL2" s="946"/>
      <c r="GQM2" s="946"/>
      <c r="GQN2" s="946"/>
      <c r="GQO2" s="946"/>
      <c r="GQP2" s="946"/>
      <c r="GQQ2" s="946"/>
      <c r="GQR2" s="946"/>
      <c r="GQS2" s="946"/>
      <c r="GQT2" s="946"/>
      <c r="GQU2" s="946"/>
      <c r="GQV2" s="946"/>
      <c r="GQW2" s="946"/>
      <c r="GQX2" s="946"/>
      <c r="GQY2" s="946"/>
      <c r="GQZ2" s="946"/>
      <c r="GRA2" s="946"/>
      <c r="GRB2" s="946"/>
      <c r="GRC2" s="946"/>
      <c r="GRD2" s="946"/>
      <c r="GRE2" s="946"/>
      <c r="GRF2" s="946"/>
      <c r="GRG2" s="946"/>
      <c r="GRH2" s="946"/>
      <c r="GRI2" s="946"/>
      <c r="GRJ2" s="946"/>
      <c r="GRK2" s="946"/>
      <c r="GRL2" s="946"/>
      <c r="GRM2" s="946"/>
      <c r="GRN2" s="946"/>
      <c r="GRO2" s="946"/>
      <c r="GRP2" s="946"/>
      <c r="GRQ2" s="946"/>
      <c r="GRR2" s="946"/>
      <c r="GRS2" s="946"/>
      <c r="GRT2" s="946"/>
      <c r="GRU2" s="946"/>
      <c r="GRV2" s="946"/>
      <c r="GRW2" s="946"/>
      <c r="GRX2" s="946"/>
      <c r="GRY2" s="946"/>
      <c r="GRZ2" s="946"/>
      <c r="GSA2" s="946"/>
      <c r="GSB2" s="946"/>
      <c r="GSC2" s="946"/>
      <c r="GSD2" s="946"/>
      <c r="GSE2" s="946"/>
      <c r="GSF2" s="946"/>
      <c r="GSG2" s="946"/>
      <c r="GSH2" s="946"/>
      <c r="GSI2" s="946"/>
      <c r="GSJ2" s="946"/>
      <c r="GSK2" s="946"/>
      <c r="GSL2" s="946"/>
      <c r="GSM2" s="946"/>
      <c r="GSN2" s="946"/>
      <c r="GSO2" s="946"/>
      <c r="GSP2" s="946"/>
      <c r="GSQ2" s="946"/>
      <c r="GSR2" s="946"/>
      <c r="GSS2" s="946"/>
      <c r="GST2" s="946"/>
      <c r="GSU2" s="946"/>
      <c r="GSV2" s="946"/>
      <c r="GSW2" s="946"/>
      <c r="GSX2" s="946"/>
      <c r="GSY2" s="946"/>
      <c r="GSZ2" s="946"/>
      <c r="GTA2" s="946"/>
      <c r="GTB2" s="946"/>
      <c r="GTC2" s="946"/>
      <c r="GTD2" s="946"/>
      <c r="GTE2" s="946"/>
      <c r="GTF2" s="946"/>
      <c r="GTG2" s="946"/>
      <c r="GTH2" s="946"/>
      <c r="GTI2" s="946"/>
      <c r="GTJ2" s="946"/>
      <c r="GTK2" s="946"/>
      <c r="GTL2" s="946"/>
      <c r="GTM2" s="946"/>
      <c r="GTN2" s="946"/>
      <c r="GTO2" s="946"/>
      <c r="GTP2" s="946"/>
      <c r="GTQ2" s="946"/>
      <c r="GTR2" s="946"/>
      <c r="GTS2" s="946"/>
      <c r="GTT2" s="946"/>
      <c r="GTU2" s="946"/>
      <c r="GTV2" s="946"/>
      <c r="GTW2" s="946"/>
      <c r="GTX2" s="946"/>
      <c r="GTY2" s="946"/>
      <c r="GTZ2" s="946"/>
      <c r="GUA2" s="946"/>
      <c r="GUB2" s="946"/>
      <c r="GUC2" s="946"/>
      <c r="GUD2" s="946"/>
      <c r="GUE2" s="946"/>
      <c r="GUF2" s="946"/>
      <c r="GUG2" s="946"/>
      <c r="GUH2" s="946"/>
      <c r="GUI2" s="946"/>
      <c r="GUJ2" s="946"/>
      <c r="GUK2" s="946"/>
      <c r="GUL2" s="946"/>
      <c r="GUM2" s="946"/>
      <c r="GUN2" s="946"/>
      <c r="GUO2" s="946"/>
      <c r="GUP2" s="946"/>
      <c r="GUQ2" s="946"/>
      <c r="GUR2" s="946"/>
      <c r="GUS2" s="946"/>
      <c r="GUT2" s="946"/>
      <c r="GUU2" s="946"/>
      <c r="GUV2" s="946"/>
      <c r="GUW2" s="946"/>
      <c r="GUX2" s="946"/>
      <c r="GUY2" s="946"/>
      <c r="GUZ2" s="946"/>
      <c r="GVA2" s="946"/>
      <c r="GVB2" s="946"/>
      <c r="GVC2" s="946"/>
      <c r="GVD2" s="946"/>
      <c r="GVE2" s="946"/>
      <c r="GVF2" s="946"/>
      <c r="GVG2" s="946"/>
      <c r="GVH2" s="946"/>
      <c r="GVI2" s="946"/>
      <c r="GVJ2" s="946"/>
      <c r="GVK2" s="946"/>
      <c r="GVL2" s="946"/>
      <c r="GVM2" s="946"/>
      <c r="GVN2" s="946"/>
      <c r="GVO2" s="946"/>
      <c r="GVP2" s="946"/>
      <c r="GVQ2" s="946"/>
      <c r="GVR2" s="946"/>
      <c r="GVS2" s="946"/>
      <c r="GVT2" s="946"/>
      <c r="GVU2" s="946"/>
      <c r="GVV2" s="946"/>
      <c r="GVW2" s="946"/>
      <c r="GVX2" s="946"/>
      <c r="GVY2" s="946"/>
      <c r="GVZ2" s="946"/>
      <c r="GWA2" s="946"/>
      <c r="GWB2" s="946"/>
      <c r="GWC2" s="946"/>
      <c r="GWD2" s="946"/>
      <c r="GWE2" s="946"/>
      <c r="GWF2" s="946"/>
      <c r="GWG2" s="946"/>
      <c r="GWH2" s="946"/>
      <c r="GWI2" s="946"/>
      <c r="GWJ2" s="946"/>
      <c r="GWK2" s="946"/>
      <c r="GWL2" s="946"/>
      <c r="GWM2" s="946"/>
      <c r="GWN2" s="946"/>
      <c r="GWO2" s="946"/>
      <c r="GWP2" s="946"/>
      <c r="GWQ2" s="946"/>
      <c r="GWR2" s="946"/>
      <c r="GWS2" s="946"/>
      <c r="GWT2" s="946"/>
      <c r="GWU2" s="946"/>
      <c r="GWV2" s="946"/>
      <c r="GWW2" s="946"/>
      <c r="GWX2" s="946"/>
      <c r="GWY2" s="946"/>
      <c r="GWZ2" s="946"/>
      <c r="GXA2" s="946"/>
      <c r="GXB2" s="946"/>
      <c r="GXC2" s="946"/>
      <c r="GXD2" s="946"/>
      <c r="GXE2" s="946"/>
      <c r="GXF2" s="946"/>
      <c r="GXG2" s="946"/>
      <c r="GXH2" s="946"/>
      <c r="GXI2" s="946"/>
      <c r="GXJ2" s="946"/>
      <c r="GXK2" s="946"/>
      <c r="GXL2" s="946"/>
      <c r="GXM2" s="946"/>
      <c r="GXN2" s="946"/>
      <c r="GXO2" s="946"/>
      <c r="GXP2" s="946"/>
      <c r="GXQ2" s="946"/>
      <c r="GXR2" s="946"/>
      <c r="GXS2" s="946"/>
      <c r="GXT2" s="946"/>
      <c r="GXU2" s="946"/>
      <c r="GXV2" s="946"/>
      <c r="GXW2" s="946"/>
      <c r="GXX2" s="946"/>
      <c r="GXY2" s="946"/>
      <c r="GXZ2" s="946"/>
      <c r="GYA2" s="946"/>
      <c r="GYB2" s="946"/>
      <c r="GYC2" s="946"/>
      <c r="GYD2" s="946"/>
      <c r="GYE2" s="946"/>
      <c r="GYF2" s="946"/>
      <c r="GYG2" s="946"/>
      <c r="GYH2" s="946"/>
      <c r="GYI2" s="946"/>
      <c r="GYJ2" s="946"/>
      <c r="GYK2" s="946"/>
      <c r="GYL2" s="946"/>
      <c r="GYM2" s="946"/>
      <c r="GYN2" s="946"/>
      <c r="GYO2" s="946"/>
      <c r="GYP2" s="946"/>
      <c r="GYQ2" s="946"/>
      <c r="GYR2" s="946"/>
      <c r="GYS2" s="946"/>
      <c r="GYT2" s="946"/>
      <c r="GYU2" s="946"/>
      <c r="GYV2" s="946"/>
      <c r="GYW2" s="946"/>
      <c r="GYX2" s="946"/>
      <c r="GYY2" s="946"/>
      <c r="GYZ2" s="946"/>
      <c r="GZA2" s="946"/>
      <c r="GZB2" s="946"/>
      <c r="GZC2" s="946"/>
      <c r="GZD2" s="946"/>
      <c r="GZE2" s="946"/>
      <c r="GZF2" s="946"/>
      <c r="GZG2" s="946"/>
      <c r="GZH2" s="946"/>
      <c r="GZI2" s="946"/>
      <c r="GZJ2" s="946"/>
      <c r="GZK2" s="946"/>
      <c r="GZL2" s="946"/>
      <c r="GZM2" s="946"/>
      <c r="GZN2" s="946"/>
      <c r="GZO2" s="946"/>
      <c r="GZP2" s="946"/>
      <c r="GZQ2" s="946"/>
      <c r="GZR2" s="946"/>
      <c r="GZS2" s="946"/>
      <c r="GZT2" s="946"/>
      <c r="GZU2" s="946"/>
      <c r="GZV2" s="946"/>
      <c r="GZW2" s="946"/>
      <c r="GZX2" s="946"/>
      <c r="GZY2" s="946"/>
      <c r="GZZ2" s="946"/>
      <c r="HAA2" s="946"/>
      <c r="HAB2" s="946"/>
      <c r="HAC2" s="946"/>
      <c r="HAD2" s="946"/>
      <c r="HAE2" s="946"/>
      <c r="HAF2" s="946"/>
      <c r="HAG2" s="946"/>
      <c r="HAH2" s="946"/>
      <c r="HAI2" s="946"/>
      <c r="HAJ2" s="946"/>
      <c r="HAK2" s="946"/>
      <c r="HAL2" s="946"/>
      <c r="HAM2" s="946"/>
      <c r="HAN2" s="946"/>
      <c r="HAO2" s="946"/>
      <c r="HAP2" s="946"/>
      <c r="HAQ2" s="946"/>
      <c r="HAR2" s="946"/>
      <c r="HAS2" s="946"/>
      <c r="HAT2" s="946"/>
      <c r="HAU2" s="946"/>
      <c r="HAV2" s="946"/>
      <c r="HAW2" s="946"/>
      <c r="HAX2" s="946"/>
      <c r="HAY2" s="946"/>
      <c r="HAZ2" s="946"/>
      <c r="HBA2" s="946"/>
      <c r="HBB2" s="946"/>
      <c r="HBC2" s="946"/>
      <c r="HBD2" s="946"/>
      <c r="HBE2" s="946"/>
      <c r="HBF2" s="946"/>
      <c r="HBG2" s="946"/>
      <c r="HBH2" s="946"/>
      <c r="HBI2" s="946"/>
      <c r="HBJ2" s="946"/>
      <c r="HBK2" s="946"/>
      <c r="HBL2" s="946"/>
      <c r="HBM2" s="946"/>
      <c r="HBN2" s="946"/>
      <c r="HBO2" s="946"/>
      <c r="HBP2" s="946"/>
      <c r="HBQ2" s="946"/>
      <c r="HBR2" s="946"/>
      <c r="HBS2" s="946"/>
      <c r="HBT2" s="946"/>
      <c r="HBU2" s="946"/>
      <c r="HBV2" s="946"/>
      <c r="HBW2" s="946"/>
      <c r="HBX2" s="946"/>
      <c r="HBY2" s="946"/>
      <c r="HBZ2" s="946"/>
      <c r="HCA2" s="946"/>
      <c r="HCB2" s="946"/>
      <c r="HCC2" s="946"/>
      <c r="HCD2" s="946"/>
      <c r="HCE2" s="946"/>
      <c r="HCF2" s="946"/>
      <c r="HCG2" s="946"/>
      <c r="HCH2" s="946"/>
      <c r="HCI2" s="946"/>
      <c r="HCJ2" s="946"/>
      <c r="HCK2" s="946"/>
      <c r="HCL2" s="946"/>
      <c r="HCM2" s="946"/>
      <c r="HCN2" s="946"/>
      <c r="HCO2" s="946"/>
      <c r="HCP2" s="946"/>
      <c r="HCQ2" s="946"/>
      <c r="HCR2" s="946"/>
      <c r="HCS2" s="946"/>
      <c r="HCT2" s="946"/>
      <c r="HCU2" s="946"/>
      <c r="HCV2" s="946"/>
      <c r="HCW2" s="946"/>
      <c r="HCX2" s="946"/>
      <c r="HCY2" s="946"/>
      <c r="HCZ2" s="946"/>
      <c r="HDA2" s="946"/>
      <c r="HDB2" s="946"/>
      <c r="HDC2" s="946"/>
      <c r="HDD2" s="946"/>
      <c r="HDE2" s="946"/>
      <c r="HDF2" s="946"/>
      <c r="HDG2" s="946"/>
      <c r="HDH2" s="946"/>
      <c r="HDI2" s="946"/>
      <c r="HDJ2" s="946"/>
      <c r="HDK2" s="946"/>
      <c r="HDL2" s="946"/>
      <c r="HDM2" s="946"/>
      <c r="HDN2" s="946"/>
      <c r="HDO2" s="946"/>
      <c r="HDP2" s="946"/>
      <c r="HDQ2" s="946"/>
      <c r="HDR2" s="946"/>
      <c r="HDS2" s="946"/>
      <c r="HDT2" s="946"/>
      <c r="HDU2" s="946"/>
      <c r="HDV2" s="946"/>
      <c r="HDW2" s="946"/>
      <c r="HDX2" s="946"/>
      <c r="HDY2" s="946"/>
      <c r="HDZ2" s="946"/>
      <c r="HEA2" s="946"/>
      <c r="HEB2" s="946"/>
      <c r="HEC2" s="946"/>
      <c r="HED2" s="946"/>
      <c r="HEE2" s="946"/>
      <c r="HEF2" s="946"/>
      <c r="HEG2" s="946"/>
      <c r="HEH2" s="946"/>
      <c r="HEI2" s="946"/>
      <c r="HEJ2" s="946"/>
      <c r="HEK2" s="946"/>
      <c r="HEL2" s="946"/>
      <c r="HEM2" s="946"/>
      <c r="HEN2" s="946"/>
      <c r="HEO2" s="946"/>
      <c r="HEP2" s="946"/>
      <c r="HEQ2" s="946"/>
      <c r="HER2" s="946"/>
      <c r="HES2" s="946"/>
      <c r="HET2" s="946"/>
      <c r="HEU2" s="946"/>
      <c r="HEV2" s="946"/>
      <c r="HEW2" s="946"/>
      <c r="HEX2" s="946"/>
      <c r="HEY2" s="946"/>
      <c r="HEZ2" s="946"/>
      <c r="HFA2" s="946"/>
      <c r="HFB2" s="946"/>
      <c r="HFC2" s="946"/>
      <c r="HFD2" s="946"/>
      <c r="HFE2" s="946"/>
      <c r="HFF2" s="946"/>
      <c r="HFG2" s="946"/>
      <c r="HFH2" s="946"/>
      <c r="HFI2" s="946"/>
      <c r="HFJ2" s="946"/>
      <c r="HFK2" s="946"/>
      <c r="HFL2" s="946"/>
      <c r="HFM2" s="946"/>
      <c r="HFN2" s="946"/>
      <c r="HFO2" s="946"/>
      <c r="HFP2" s="946"/>
      <c r="HFQ2" s="946"/>
      <c r="HFR2" s="946"/>
      <c r="HFS2" s="946"/>
      <c r="HFT2" s="946"/>
      <c r="HFU2" s="946"/>
      <c r="HFV2" s="946"/>
      <c r="HFW2" s="946"/>
      <c r="HFX2" s="946"/>
      <c r="HFY2" s="946"/>
      <c r="HFZ2" s="946"/>
      <c r="HGA2" s="946"/>
      <c r="HGB2" s="946"/>
      <c r="HGC2" s="946"/>
      <c r="HGD2" s="946"/>
      <c r="HGE2" s="946"/>
      <c r="HGF2" s="946"/>
      <c r="HGG2" s="946"/>
      <c r="HGH2" s="946"/>
      <c r="HGI2" s="946"/>
      <c r="HGJ2" s="946"/>
      <c r="HGK2" s="946"/>
      <c r="HGL2" s="946"/>
      <c r="HGM2" s="946"/>
      <c r="HGN2" s="946"/>
      <c r="HGO2" s="946"/>
      <c r="HGP2" s="946"/>
      <c r="HGQ2" s="946"/>
      <c r="HGR2" s="946"/>
      <c r="HGS2" s="946"/>
      <c r="HGT2" s="946"/>
      <c r="HGU2" s="946"/>
      <c r="HGV2" s="946"/>
      <c r="HGW2" s="946"/>
      <c r="HGX2" s="946"/>
      <c r="HGY2" s="946"/>
      <c r="HGZ2" s="946"/>
      <c r="HHA2" s="946"/>
      <c r="HHB2" s="946"/>
      <c r="HHC2" s="946"/>
      <c r="HHD2" s="946"/>
      <c r="HHE2" s="946"/>
      <c r="HHF2" s="946"/>
      <c r="HHG2" s="946"/>
      <c r="HHH2" s="946"/>
      <c r="HHI2" s="946"/>
      <c r="HHJ2" s="946"/>
      <c r="HHK2" s="946"/>
      <c r="HHL2" s="946"/>
      <c r="HHM2" s="946"/>
      <c r="HHN2" s="946"/>
      <c r="HHO2" s="946"/>
      <c r="HHP2" s="946"/>
      <c r="HHQ2" s="946"/>
      <c r="HHR2" s="946"/>
      <c r="HHS2" s="946"/>
      <c r="HHT2" s="946"/>
      <c r="HHU2" s="946"/>
      <c r="HHV2" s="946"/>
      <c r="HHW2" s="946"/>
      <c r="HHX2" s="946"/>
      <c r="HHY2" s="946"/>
      <c r="HHZ2" s="946"/>
      <c r="HIA2" s="946"/>
      <c r="HIB2" s="946"/>
      <c r="HIC2" s="946"/>
      <c r="HID2" s="946"/>
      <c r="HIE2" s="946"/>
      <c r="HIF2" s="946"/>
      <c r="HIG2" s="946"/>
      <c r="HIH2" s="946"/>
      <c r="HII2" s="946"/>
      <c r="HIJ2" s="946"/>
      <c r="HIK2" s="946"/>
      <c r="HIL2" s="946"/>
      <c r="HIM2" s="946"/>
      <c r="HIN2" s="946"/>
      <c r="HIO2" s="946"/>
      <c r="HIP2" s="946"/>
      <c r="HIQ2" s="946"/>
      <c r="HIR2" s="946"/>
      <c r="HIS2" s="946"/>
      <c r="HIT2" s="946"/>
      <c r="HIU2" s="946"/>
      <c r="HIV2" s="946"/>
      <c r="HIW2" s="946"/>
      <c r="HIX2" s="946"/>
      <c r="HIY2" s="946"/>
      <c r="HIZ2" s="946"/>
      <c r="HJA2" s="946"/>
      <c r="HJB2" s="946"/>
      <c r="HJC2" s="946"/>
      <c r="HJD2" s="946"/>
      <c r="HJE2" s="946"/>
      <c r="HJF2" s="946"/>
      <c r="HJG2" s="946"/>
      <c r="HJH2" s="946"/>
      <c r="HJI2" s="946"/>
      <c r="HJJ2" s="946"/>
      <c r="HJK2" s="946"/>
      <c r="HJL2" s="946"/>
      <c r="HJM2" s="946"/>
      <c r="HJN2" s="946"/>
      <c r="HJO2" s="946"/>
      <c r="HJP2" s="946"/>
      <c r="HJQ2" s="946"/>
      <c r="HJR2" s="946"/>
      <c r="HJS2" s="946"/>
      <c r="HJT2" s="946"/>
      <c r="HJU2" s="946"/>
      <c r="HJV2" s="946"/>
      <c r="HJW2" s="946"/>
      <c r="HJX2" s="946"/>
      <c r="HJY2" s="946"/>
      <c r="HJZ2" s="946"/>
      <c r="HKA2" s="946"/>
      <c r="HKB2" s="946"/>
      <c r="HKC2" s="946"/>
      <c r="HKD2" s="946"/>
      <c r="HKE2" s="946"/>
      <c r="HKF2" s="946"/>
      <c r="HKG2" s="946"/>
      <c r="HKH2" s="946"/>
      <c r="HKI2" s="946"/>
      <c r="HKJ2" s="946"/>
      <c r="HKK2" s="946"/>
      <c r="HKL2" s="946"/>
      <c r="HKM2" s="946"/>
      <c r="HKN2" s="946"/>
      <c r="HKO2" s="946"/>
      <c r="HKP2" s="946"/>
      <c r="HKQ2" s="946"/>
      <c r="HKR2" s="946"/>
      <c r="HKS2" s="946"/>
      <c r="HKT2" s="946"/>
      <c r="HKU2" s="946"/>
      <c r="HKV2" s="946"/>
      <c r="HKW2" s="946"/>
      <c r="HKX2" s="946"/>
      <c r="HKY2" s="946"/>
      <c r="HKZ2" s="946"/>
      <c r="HLA2" s="946"/>
      <c r="HLB2" s="946"/>
      <c r="HLC2" s="946"/>
      <c r="HLD2" s="946"/>
      <c r="HLE2" s="946"/>
      <c r="HLF2" s="946"/>
      <c r="HLG2" s="946"/>
      <c r="HLH2" s="946"/>
      <c r="HLI2" s="946"/>
      <c r="HLJ2" s="946"/>
      <c r="HLK2" s="946"/>
      <c r="HLL2" s="946"/>
      <c r="HLM2" s="946"/>
      <c r="HLN2" s="946"/>
      <c r="HLO2" s="946"/>
      <c r="HLP2" s="946"/>
      <c r="HLQ2" s="946"/>
      <c r="HLR2" s="946"/>
      <c r="HLS2" s="946"/>
      <c r="HLT2" s="946"/>
      <c r="HLU2" s="946"/>
      <c r="HLV2" s="946"/>
      <c r="HLW2" s="946"/>
      <c r="HLX2" s="946"/>
      <c r="HLY2" s="946"/>
      <c r="HLZ2" s="946"/>
      <c r="HMA2" s="946"/>
      <c r="HMB2" s="946"/>
      <c r="HMC2" s="946"/>
      <c r="HMD2" s="946"/>
      <c r="HME2" s="946"/>
      <c r="HMF2" s="946"/>
      <c r="HMG2" s="946"/>
      <c r="HMH2" s="946"/>
      <c r="HMI2" s="946"/>
      <c r="HMJ2" s="946"/>
      <c r="HMK2" s="946"/>
      <c r="HML2" s="946"/>
      <c r="HMM2" s="946"/>
      <c r="HMN2" s="946"/>
      <c r="HMO2" s="946"/>
      <c r="HMP2" s="946"/>
      <c r="HMQ2" s="946"/>
      <c r="HMR2" s="946"/>
      <c r="HMS2" s="946"/>
      <c r="HMT2" s="946"/>
      <c r="HMU2" s="946"/>
      <c r="HMV2" s="946"/>
      <c r="HMW2" s="946"/>
      <c r="HMX2" s="946"/>
      <c r="HMY2" s="946"/>
      <c r="HMZ2" s="946"/>
      <c r="HNA2" s="946"/>
      <c r="HNB2" s="946"/>
      <c r="HNC2" s="946"/>
      <c r="HND2" s="946"/>
      <c r="HNE2" s="946"/>
      <c r="HNF2" s="946"/>
      <c r="HNG2" s="946"/>
      <c r="HNH2" s="946"/>
      <c r="HNI2" s="946"/>
      <c r="HNJ2" s="946"/>
      <c r="HNK2" s="946"/>
      <c r="HNL2" s="946"/>
      <c r="HNM2" s="946"/>
      <c r="HNN2" s="946"/>
      <c r="HNO2" s="946"/>
      <c r="HNP2" s="946"/>
      <c r="HNQ2" s="946"/>
      <c r="HNR2" s="946"/>
      <c r="HNS2" s="946"/>
      <c r="HNT2" s="946"/>
      <c r="HNU2" s="946"/>
      <c r="HNV2" s="946"/>
      <c r="HNW2" s="946"/>
      <c r="HNX2" s="946"/>
      <c r="HNY2" s="946"/>
      <c r="HNZ2" s="946"/>
      <c r="HOA2" s="946"/>
      <c r="HOB2" s="946"/>
      <c r="HOC2" s="946"/>
      <c r="HOD2" s="946"/>
      <c r="HOE2" s="946"/>
      <c r="HOF2" s="946"/>
      <c r="HOG2" s="946"/>
      <c r="HOH2" s="946"/>
      <c r="HOI2" s="946"/>
      <c r="HOJ2" s="946"/>
      <c r="HOK2" s="946"/>
      <c r="HOL2" s="946"/>
      <c r="HOM2" s="946"/>
      <c r="HON2" s="946"/>
      <c r="HOO2" s="946"/>
      <c r="HOP2" s="946"/>
      <c r="HOQ2" s="946"/>
      <c r="HOR2" s="946"/>
      <c r="HOS2" s="946"/>
      <c r="HOT2" s="946"/>
      <c r="HOU2" s="946"/>
      <c r="HOV2" s="946"/>
      <c r="HOW2" s="946"/>
      <c r="HOX2" s="946"/>
      <c r="HOY2" s="946"/>
      <c r="HOZ2" s="946"/>
      <c r="HPA2" s="946"/>
      <c r="HPB2" s="946"/>
      <c r="HPC2" s="946"/>
      <c r="HPD2" s="946"/>
      <c r="HPE2" s="946"/>
      <c r="HPF2" s="946"/>
      <c r="HPG2" s="946"/>
      <c r="HPH2" s="946"/>
      <c r="HPI2" s="946"/>
      <c r="HPJ2" s="946"/>
      <c r="HPK2" s="946"/>
      <c r="HPL2" s="946"/>
      <c r="HPM2" s="946"/>
      <c r="HPN2" s="946"/>
      <c r="HPO2" s="946"/>
      <c r="HPP2" s="946"/>
      <c r="HPQ2" s="946"/>
      <c r="HPR2" s="946"/>
      <c r="HPS2" s="946"/>
      <c r="HPT2" s="946"/>
      <c r="HPU2" s="946"/>
      <c r="HPV2" s="946"/>
      <c r="HPW2" s="946"/>
      <c r="HPX2" s="946"/>
      <c r="HPY2" s="946"/>
      <c r="HPZ2" s="946"/>
      <c r="HQA2" s="946"/>
      <c r="HQB2" s="946"/>
      <c r="HQC2" s="946"/>
      <c r="HQD2" s="946"/>
      <c r="HQE2" s="946"/>
      <c r="HQF2" s="946"/>
      <c r="HQG2" s="946"/>
      <c r="HQH2" s="946"/>
      <c r="HQI2" s="946"/>
      <c r="HQJ2" s="946"/>
      <c r="HQK2" s="946"/>
      <c r="HQL2" s="946"/>
      <c r="HQM2" s="946"/>
      <c r="HQN2" s="946"/>
      <c r="HQO2" s="946"/>
      <c r="HQP2" s="946"/>
      <c r="HQQ2" s="946"/>
      <c r="HQR2" s="946"/>
      <c r="HQS2" s="946"/>
      <c r="HQT2" s="946"/>
      <c r="HQU2" s="946"/>
      <c r="HQV2" s="946"/>
      <c r="HQW2" s="946"/>
      <c r="HQX2" s="946"/>
      <c r="HQY2" s="946"/>
      <c r="HQZ2" s="946"/>
      <c r="HRA2" s="946"/>
      <c r="HRB2" s="946"/>
      <c r="HRC2" s="946"/>
      <c r="HRD2" s="946"/>
      <c r="HRE2" s="946"/>
      <c r="HRF2" s="946"/>
      <c r="HRG2" s="946"/>
      <c r="HRH2" s="946"/>
      <c r="HRI2" s="946"/>
      <c r="HRJ2" s="946"/>
      <c r="HRK2" s="946"/>
      <c r="HRL2" s="946"/>
      <c r="HRM2" s="946"/>
      <c r="HRN2" s="946"/>
      <c r="HRO2" s="946"/>
      <c r="HRP2" s="946"/>
      <c r="HRQ2" s="946"/>
      <c r="HRR2" s="946"/>
      <c r="HRS2" s="946"/>
      <c r="HRT2" s="946"/>
      <c r="HRU2" s="946"/>
      <c r="HRV2" s="946"/>
      <c r="HRW2" s="946"/>
      <c r="HRX2" s="946"/>
      <c r="HRY2" s="946"/>
      <c r="HRZ2" s="946"/>
      <c r="HSA2" s="946"/>
      <c r="HSB2" s="946"/>
      <c r="HSC2" s="946"/>
      <c r="HSD2" s="946"/>
      <c r="HSE2" s="946"/>
      <c r="HSF2" s="946"/>
      <c r="HSG2" s="946"/>
      <c r="HSH2" s="946"/>
      <c r="HSI2" s="946"/>
      <c r="HSJ2" s="946"/>
      <c r="HSK2" s="946"/>
      <c r="HSL2" s="946"/>
      <c r="HSM2" s="946"/>
      <c r="HSN2" s="946"/>
      <c r="HSO2" s="946"/>
      <c r="HSP2" s="946"/>
      <c r="HSQ2" s="946"/>
      <c r="HSR2" s="946"/>
      <c r="HSS2" s="946"/>
      <c r="HST2" s="946"/>
      <c r="HSU2" s="946"/>
      <c r="HSV2" s="946"/>
      <c r="HSW2" s="946"/>
      <c r="HSX2" s="946"/>
      <c r="HSY2" s="946"/>
      <c r="HSZ2" s="946"/>
      <c r="HTA2" s="946"/>
      <c r="HTB2" s="946"/>
      <c r="HTC2" s="946"/>
      <c r="HTD2" s="946"/>
      <c r="HTE2" s="946"/>
      <c r="HTF2" s="946"/>
      <c r="HTG2" s="946"/>
      <c r="HTH2" s="946"/>
      <c r="HTI2" s="946"/>
      <c r="HTJ2" s="946"/>
      <c r="HTK2" s="946"/>
      <c r="HTL2" s="946"/>
      <c r="HTM2" s="946"/>
      <c r="HTN2" s="946"/>
      <c r="HTO2" s="946"/>
      <c r="HTP2" s="946"/>
      <c r="HTQ2" s="946"/>
      <c r="HTR2" s="946"/>
      <c r="HTS2" s="946"/>
      <c r="HTT2" s="946"/>
      <c r="HTU2" s="946"/>
      <c r="HTV2" s="946"/>
      <c r="HTW2" s="946"/>
      <c r="HTX2" s="946"/>
      <c r="HTY2" s="946"/>
      <c r="HTZ2" s="946"/>
      <c r="HUA2" s="946"/>
      <c r="HUB2" s="946"/>
      <c r="HUC2" s="946"/>
      <c r="HUD2" s="946"/>
      <c r="HUE2" s="946"/>
      <c r="HUF2" s="946"/>
      <c r="HUG2" s="946"/>
      <c r="HUH2" s="946"/>
      <c r="HUI2" s="946"/>
      <c r="HUJ2" s="946"/>
      <c r="HUK2" s="946"/>
      <c r="HUL2" s="946"/>
      <c r="HUM2" s="946"/>
      <c r="HUN2" s="946"/>
      <c r="HUO2" s="946"/>
      <c r="HUP2" s="946"/>
      <c r="HUQ2" s="946"/>
      <c r="HUR2" s="946"/>
      <c r="HUS2" s="946"/>
      <c r="HUT2" s="946"/>
      <c r="HUU2" s="946"/>
      <c r="HUV2" s="946"/>
      <c r="HUW2" s="946"/>
      <c r="HUX2" s="946"/>
      <c r="HUY2" s="946"/>
      <c r="HUZ2" s="946"/>
      <c r="HVA2" s="946"/>
      <c r="HVB2" s="946"/>
      <c r="HVC2" s="946"/>
      <c r="HVD2" s="946"/>
      <c r="HVE2" s="946"/>
      <c r="HVF2" s="946"/>
      <c r="HVG2" s="946"/>
      <c r="HVH2" s="946"/>
      <c r="HVI2" s="946"/>
      <c r="HVJ2" s="946"/>
      <c r="HVK2" s="946"/>
      <c r="HVL2" s="946"/>
      <c r="HVM2" s="946"/>
      <c r="HVN2" s="946"/>
      <c r="HVO2" s="946"/>
      <c r="HVP2" s="946"/>
      <c r="HVQ2" s="946"/>
      <c r="HVR2" s="946"/>
      <c r="HVS2" s="946"/>
      <c r="HVT2" s="946"/>
      <c r="HVU2" s="946"/>
      <c r="HVV2" s="946"/>
      <c r="HVW2" s="946"/>
      <c r="HVX2" s="946"/>
      <c r="HVY2" s="946"/>
      <c r="HVZ2" s="946"/>
      <c r="HWA2" s="946"/>
      <c r="HWB2" s="946"/>
      <c r="HWC2" s="946"/>
      <c r="HWD2" s="946"/>
      <c r="HWE2" s="946"/>
      <c r="HWF2" s="946"/>
      <c r="HWG2" s="946"/>
      <c r="HWH2" s="946"/>
      <c r="HWI2" s="946"/>
      <c r="HWJ2" s="946"/>
      <c r="HWK2" s="946"/>
      <c r="HWL2" s="946"/>
      <c r="HWM2" s="946"/>
      <c r="HWN2" s="946"/>
      <c r="HWO2" s="946"/>
      <c r="HWP2" s="946"/>
      <c r="HWQ2" s="946"/>
      <c r="HWR2" s="946"/>
      <c r="HWS2" s="946"/>
      <c r="HWT2" s="946"/>
      <c r="HWU2" s="946"/>
      <c r="HWV2" s="946"/>
      <c r="HWW2" s="946"/>
      <c r="HWX2" s="946"/>
      <c r="HWY2" s="946"/>
      <c r="HWZ2" s="946"/>
      <c r="HXA2" s="946"/>
      <c r="HXB2" s="946"/>
      <c r="HXC2" s="946"/>
      <c r="HXD2" s="946"/>
      <c r="HXE2" s="946"/>
      <c r="HXF2" s="946"/>
      <c r="HXG2" s="946"/>
      <c r="HXH2" s="946"/>
      <c r="HXI2" s="946"/>
      <c r="HXJ2" s="946"/>
      <c r="HXK2" s="946"/>
      <c r="HXL2" s="946"/>
      <c r="HXM2" s="946"/>
      <c r="HXN2" s="946"/>
      <c r="HXO2" s="946"/>
      <c r="HXP2" s="946"/>
      <c r="HXQ2" s="946"/>
      <c r="HXR2" s="946"/>
      <c r="HXS2" s="946"/>
      <c r="HXT2" s="946"/>
      <c r="HXU2" s="946"/>
      <c r="HXV2" s="946"/>
      <c r="HXW2" s="946"/>
      <c r="HXX2" s="946"/>
      <c r="HXY2" s="946"/>
      <c r="HXZ2" s="946"/>
      <c r="HYA2" s="946"/>
      <c r="HYB2" s="946"/>
      <c r="HYC2" s="946"/>
      <c r="HYD2" s="946"/>
      <c r="HYE2" s="946"/>
      <c r="HYF2" s="946"/>
      <c r="HYG2" s="946"/>
      <c r="HYH2" s="946"/>
      <c r="HYI2" s="946"/>
      <c r="HYJ2" s="946"/>
      <c r="HYK2" s="946"/>
      <c r="HYL2" s="946"/>
      <c r="HYM2" s="946"/>
      <c r="HYN2" s="946"/>
      <c r="HYO2" s="946"/>
      <c r="HYP2" s="946"/>
      <c r="HYQ2" s="946"/>
      <c r="HYR2" s="946"/>
      <c r="HYS2" s="946"/>
      <c r="HYT2" s="946"/>
      <c r="HYU2" s="946"/>
      <c r="HYV2" s="946"/>
      <c r="HYW2" s="946"/>
      <c r="HYX2" s="946"/>
      <c r="HYY2" s="946"/>
      <c r="HYZ2" s="946"/>
      <c r="HZA2" s="946"/>
      <c r="HZB2" s="946"/>
      <c r="HZC2" s="946"/>
      <c r="HZD2" s="946"/>
      <c r="HZE2" s="946"/>
      <c r="HZF2" s="946"/>
      <c r="HZG2" s="946"/>
      <c r="HZH2" s="946"/>
      <c r="HZI2" s="946"/>
      <c r="HZJ2" s="946"/>
      <c r="HZK2" s="946"/>
      <c r="HZL2" s="946"/>
      <c r="HZM2" s="946"/>
      <c r="HZN2" s="946"/>
      <c r="HZO2" s="946"/>
      <c r="HZP2" s="946"/>
      <c r="HZQ2" s="946"/>
      <c r="HZR2" s="946"/>
      <c r="HZS2" s="946"/>
      <c r="HZT2" s="946"/>
      <c r="HZU2" s="946"/>
      <c r="HZV2" s="946"/>
      <c r="HZW2" s="946"/>
      <c r="HZX2" s="946"/>
      <c r="HZY2" s="946"/>
      <c r="HZZ2" s="946"/>
      <c r="IAA2" s="946"/>
      <c r="IAB2" s="946"/>
      <c r="IAC2" s="946"/>
      <c r="IAD2" s="946"/>
      <c r="IAE2" s="946"/>
      <c r="IAF2" s="946"/>
      <c r="IAG2" s="946"/>
      <c r="IAH2" s="946"/>
      <c r="IAI2" s="946"/>
      <c r="IAJ2" s="946"/>
      <c r="IAK2" s="946"/>
      <c r="IAL2" s="946"/>
      <c r="IAM2" s="946"/>
      <c r="IAN2" s="946"/>
      <c r="IAO2" s="946"/>
      <c r="IAP2" s="946"/>
      <c r="IAQ2" s="946"/>
      <c r="IAR2" s="946"/>
      <c r="IAS2" s="946"/>
      <c r="IAT2" s="946"/>
      <c r="IAU2" s="946"/>
      <c r="IAV2" s="946"/>
      <c r="IAW2" s="946"/>
      <c r="IAX2" s="946"/>
      <c r="IAY2" s="946"/>
      <c r="IAZ2" s="946"/>
      <c r="IBA2" s="946"/>
      <c r="IBB2" s="946"/>
      <c r="IBC2" s="946"/>
      <c r="IBD2" s="946"/>
      <c r="IBE2" s="946"/>
      <c r="IBF2" s="946"/>
      <c r="IBG2" s="946"/>
      <c r="IBH2" s="946"/>
      <c r="IBI2" s="946"/>
      <c r="IBJ2" s="946"/>
      <c r="IBK2" s="946"/>
      <c r="IBL2" s="946"/>
      <c r="IBM2" s="946"/>
      <c r="IBN2" s="946"/>
      <c r="IBO2" s="946"/>
      <c r="IBP2" s="946"/>
      <c r="IBQ2" s="946"/>
      <c r="IBR2" s="946"/>
      <c r="IBS2" s="946"/>
      <c r="IBT2" s="946"/>
      <c r="IBU2" s="946"/>
      <c r="IBV2" s="946"/>
      <c r="IBW2" s="946"/>
      <c r="IBX2" s="946"/>
      <c r="IBY2" s="946"/>
      <c r="IBZ2" s="946"/>
      <c r="ICA2" s="946"/>
      <c r="ICB2" s="946"/>
      <c r="ICC2" s="946"/>
      <c r="ICD2" s="946"/>
      <c r="ICE2" s="946"/>
      <c r="ICF2" s="946"/>
      <c r="ICG2" s="946"/>
      <c r="ICH2" s="946"/>
      <c r="ICI2" s="946"/>
      <c r="ICJ2" s="946"/>
      <c r="ICK2" s="946"/>
      <c r="ICL2" s="946"/>
      <c r="ICM2" s="946"/>
      <c r="ICN2" s="946"/>
      <c r="ICO2" s="946"/>
      <c r="ICP2" s="946"/>
      <c r="ICQ2" s="946"/>
      <c r="ICR2" s="946"/>
      <c r="ICS2" s="946"/>
      <c r="ICT2" s="946"/>
      <c r="ICU2" s="946"/>
      <c r="ICV2" s="946"/>
      <c r="ICW2" s="946"/>
      <c r="ICX2" s="946"/>
      <c r="ICY2" s="946"/>
      <c r="ICZ2" s="946"/>
      <c r="IDA2" s="946"/>
      <c r="IDB2" s="946"/>
      <c r="IDC2" s="946"/>
      <c r="IDD2" s="946"/>
      <c r="IDE2" s="946"/>
      <c r="IDF2" s="946"/>
      <c r="IDG2" s="946"/>
      <c r="IDH2" s="946"/>
      <c r="IDI2" s="946"/>
      <c r="IDJ2" s="946"/>
      <c r="IDK2" s="946"/>
      <c r="IDL2" s="946"/>
      <c r="IDM2" s="946"/>
      <c r="IDN2" s="946"/>
      <c r="IDO2" s="946"/>
      <c r="IDP2" s="946"/>
      <c r="IDQ2" s="946"/>
      <c r="IDR2" s="946"/>
      <c r="IDS2" s="946"/>
      <c r="IDT2" s="946"/>
      <c r="IDU2" s="946"/>
      <c r="IDV2" s="946"/>
      <c r="IDW2" s="946"/>
      <c r="IDX2" s="946"/>
      <c r="IDY2" s="946"/>
      <c r="IDZ2" s="946"/>
      <c r="IEA2" s="946"/>
      <c r="IEB2" s="946"/>
      <c r="IEC2" s="946"/>
      <c r="IED2" s="946"/>
      <c r="IEE2" s="946"/>
      <c r="IEF2" s="946"/>
      <c r="IEG2" s="946"/>
      <c r="IEH2" s="946"/>
      <c r="IEI2" s="946"/>
      <c r="IEJ2" s="946"/>
      <c r="IEK2" s="946"/>
      <c r="IEL2" s="946"/>
      <c r="IEM2" s="946"/>
      <c r="IEN2" s="946"/>
      <c r="IEO2" s="946"/>
      <c r="IEP2" s="946"/>
      <c r="IEQ2" s="946"/>
      <c r="IER2" s="946"/>
      <c r="IES2" s="946"/>
      <c r="IET2" s="946"/>
      <c r="IEU2" s="946"/>
      <c r="IEV2" s="946"/>
      <c r="IEW2" s="946"/>
      <c r="IEX2" s="946"/>
      <c r="IEY2" s="946"/>
      <c r="IEZ2" s="946"/>
      <c r="IFA2" s="946"/>
      <c r="IFB2" s="946"/>
      <c r="IFC2" s="946"/>
      <c r="IFD2" s="946"/>
      <c r="IFE2" s="946"/>
      <c r="IFF2" s="946"/>
      <c r="IFG2" s="946"/>
      <c r="IFH2" s="946"/>
      <c r="IFI2" s="946"/>
      <c r="IFJ2" s="946"/>
      <c r="IFK2" s="946"/>
      <c r="IFL2" s="946"/>
      <c r="IFM2" s="946"/>
      <c r="IFN2" s="946"/>
      <c r="IFO2" s="946"/>
      <c r="IFP2" s="946"/>
      <c r="IFQ2" s="946"/>
      <c r="IFR2" s="946"/>
      <c r="IFS2" s="946"/>
      <c r="IFT2" s="946"/>
      <c r="IFU2" s="946"/>
      <c r="IFV2" s="946"/>
      <c r="IFW2" s="946"/>
      <c r="IFX2" s="946"/>
      <c r="IFY2" s="946"/>
      <c r="IFZ2" s="946"/>
      <c r="IGA2" s="946"/>
      <c r="IGB2" s="946"/>
      <c r="IGC2" s="946"/>
      <c r="IGD2" s="946"/>
      <c r="IGE2" s="946"/>
      <c r="IGF2" s="946"/>
      <c r="IGG2" s="946"/>
      <c r="IGH2" s="946"/>
      <c r="IGI2" s="946"/>
      <c r="IGJ2" s="946"/>
      <c r="IGK2" s="946"/>
      <c r="IGL2" s="946"/>
      <c r="IGM2" s="946"/>
      <c r="IGN2" s="946"/>
      <c r="IGO2" s="946"/>
      <c r="IGP2" s="946"/>
      <c r="IGQ2" s="946"/>
      <c r="IGR2" s="946"/>
      <c r="IGS2" s="946"/>
      <c r="IGT2" s="946"/>
      <c r="IGU2" s="946"/>
      <c r="IGV2" s="946"/>
      <c r="IGW2" s="946"/>
      <c r="IGX2" s="946"/>
      <c r="IGY2" s="946"/>
      <c r="IGZ2" s="946"/>
      <c r="IHA2" s="946"/>
      <c r="IHB2" s="946"/>
      <c r="IHC2" s="946"/>
      <c r="IHD2" s="946"/>
      <c r="IHE2" s="946"/>
      <c r="IHF2" s="946"/>
      <c r="IHG2" s="946"/>
      <c r="IHH2" s="946"/>
      <c r="IHI2" s="946"/>
      <c r="IHJ2" s="946"/>
      <c r="IHK2" s="946"/>
      <c r="IHL2" s="946"/>
      <c r="IHM2" s="946"/>
      <c r="IHN2" s="946"/>
      <c r="IHO2" s="946"/>
      <c r="IHP2" s="946"/>
      <c r="IHQ2" s="946"/>
      <c r="IHR2" s="946"/>
      <c r="IHS2" s="946"/>
      <c r="IHT2" s="946"/>
      <c r="IHU2" s="946"/>
      <c r="IHV2" s="946"/>
      <c r="IHW2" s="946"/>
      <c r="IHX2" s="946"/>
      <c r="IHY2" s="946"/>
      <c r="IHZ2" s="946"/>
      <c r="IIA2" s="946"/>
      <c r="IIB2" s="946"/>
      <c r="IIC2" s="946"/>
      <c r="IID2" s="946"/>
      <c r="IIE2" s="946"/>
      <c r="IIF2" s="946"/>
      <c r="IIG2" s="946"/>
      <c r="IIH2" s="946"/>
      <c r="III2" s="946"/>
      <c r="IIJ2" s="946"/>
      <c r="IIK2" s="946"/>
      <c r="IIL2" s="946"/>
      <c r="IIM2" s="946"/>
      <c r="IIN2" s="946"/>
      <c r="IIO2" s="946"/>
      <c r="IIP2" s="946"/>
      <c r="IIQ2" s="946"/>
      <c r="IIR2" s="946"/>
      <c r="IIS2" s="946"/>
      <c r="IIT2" s="946"/>
      <c r="IIU2" s="946"/>
      <c r="IIV2" s="946"/>
      <c r="IIW2" s="946"/>
      <c r="IIX2" s="946"/>
      <c r="IIY2" s="946"/>
      <c r="IIZ2" s="946"/>
      <c r="IJA2" s="946"/>
      <c r="IJB2" s="946"/>
      <c r="IJC2" s="946"/>
      <c r="IJD2" s="946"/>
      <c r="IJE2" s="946"/>
      <c r="IJF2" s="946"/>
      <c r="IJG2" s="946"/>
      <c r="IJH2" s="946"/>
      <c r="IJI2" s="946"/>
      <c r="IJJ2" s="946"/>
      <c r="IJK2" s="946"/>
      <c r="IJL2" s="946"/>
      <c r="IJM2" s="946"/>
      <c r="IJN2" s="946"/>
      <c r="IJO2" s="946"/>
      <c r="IJP2" s="946"/>
      <c r="IJQ2" s="946"/>
      <c r="IJR2" s="946"/>
      <c r="IJS2" s="946"/>
      <c r="IJT2" s="946"/>
      <c r="IJU2" s="946"/>
      <c r="IJV2" s="946"/>
      <c r="IJW2" s="946"/>
      <c r="IJX2" s="946"/>
      <c r="IJY2" s="946"/>
      <c r="IJZ2" s="946"/>
      <c r="IKA2" s="946"/>
      <c r="IKB2" s="946"/>
      <c r="IKC2" s="946"/>
      <c r="IKD2" s="946"/>
      <c r="IKE2" s="946"/>
      <c r="IKF2" s="946"/>
      <c r="IKG2" s="946"/>
      <c r="IKH2" s="946"/>
      <c r="IKI2" s="946"/>
      <c r="IKJ2" s="946"/>
      <c r="IKK2" s="946"/>
      <c r="IKL2" s="946"/>
      <c r="IKM2" s="946"/>
      <c r="IKN2" s="946"/>
      <c r="IKO2" s="946"/>
      <c r="IKP2" s="946"/>
      <c r="IKQ2" s="946"/>
      <c r="IKR2" s="946"/>
      <c r="IKS2" s="946"/>
      <c r="IKT2" s="946"/>
      <c r="IKU2" s="946"/>
      <c r="IKV2" s="946"/>
      <c r="IKW2" s="946"/>
      <c r="IKX2" s="946"/>
      <c r="IKY2" s="946"/>
      <c r="IKZ2" s="946"/>
      <c r="ILA2" s="946"/>
      <c r="ILB2" s="946"/>
      <c r="ILC2" s="946"/>
      <c r="ILD2" s="946"/>
      <c r="ILE2" s="946"/>
      <c r="ILF2" s="946"/>
      <c r="ILG2" s="946"/>
      <c r="ILH2" s="946"/>
      <c r="ILI2" s="946"/>
      <c r="ILJ2" s="946"/>
      <c r="ILK2" s="946"/>
      <c r="ILL2" s="946"/>
      <c r="ILM2" s="946"/>
      <c r="ILN2" s="946"/>
      <c r="ILO2" s="946"/>
      <c r="ILP2" s="946"/>
      <c r="ILQ2" s="946"/>
      <c r="ILR2" s="946"/>
      <c r="ILS2" s="946"/>
      <c r="ILT2" s="946"/>
      <c r="ILU2" s="946"/>
      <c r="ILV2" s="946"/>
      <c r="ILW2" s="946"/>
      <c r="ILX2" s="946"/>
      <c r="ILY2" s="946"/>
      <c r="ILZ2" s="946"/>
      <c r="IMA2" s="946"/>
      <c r="IMB2" s="946"/>
      <c r="IMC2" s="946"/>
      <c r="IMD2" s="946"/>
      <c r="IME2" s="946"/>
      <c r="IMF2" s="946"/>
      <c r="IMG2" s="946"/>
      <c r="IMH2" s="946"/>
      <c r="IMI2" s="946"/>
      <c r="IMJ2" s="946"/>
      <c r="IMK2" s="946"/>
      <c r="IML2" s="946"/>
      <c r="IMM2" s="946"/>
      <c r="IMN2" s="946"/>
      <c r="IMO2" s="946"/>
      <c r="IMP2" s="946"/>
      <c r="IMQ2" s="946"/>
      <c r="IMR2" s="946"/>
      <c r="IMS2" s="946"/>
      <c r="IMT2" s="946"/>
      <c r="IMU2" s="946"/>
      <c r="IMV2" s="946"/>
      <c r="IMW2" s="946"/>
      <c r="IMX2" s="946"/>
      <c r="IMY2" s="946"/>
      <c r="IMZ2" s="946"/>
      <c r="INA2" s="946"/>
      <c r="INB2" s="946"/>
      <c r="INC2" s="946"/>
      <c r="IND2" s="946"/>
      <c r="INE2" s="946"/>
      <c r="INF2" s="946"/>
      <c r="ING2" s="946"/>
      <c r="INH2" s="946"/>
      <c r="INI2" s="946"/>
      <c r="INJ2" s="946"/>
      <c r="INK2" s="946"/>
      <c r="INL2" s="946"/>
      <c r="INM2" s="946"/>
      <c r="INN2" s="946"/>
      <c r="INO2" s="946"/>
      <c r="INP2" s="946"/>
      <c r="INQ2" s="946"/>
      <c r="INR2" s="946"/>
      <c r="INS2" s="946"/>
      <c r="INT2" s="946"/>
      <c r="INU2" s="946"/>
      <c r="INV2" s="946"/>
      <c r="INW2" s="946"/>
      <c r="INX2" s="946"/>
      <c r="INY2" s="946"/>
      <c r="INZ2" s="946"/>
      <c r="IOA2" s="946"/>
      <c r="IOB2" s="946"/>
      <c r="IOC2" s="946"/>
      <c r="IOD2" s="946"/>
      <c r="IOE2" s="946"/>
      <c r="IOF2" s="946"/>
      <c r="IOG2" s="946"/>
      <c r="IOH2" s="946"/>
      <c r="IOI2" s="946"/>
      <c r="IOJ2" s="946"/>
      <c r="IOK2" s="946"/>
      <c r="IOL2" s="946"/>
      <c r="IOM2" s="946"/>
      <c r="ION2" s="946"/>
      <c r="IOO2" s="946"/>
      <c r="IOP2" s="946"/>
      <c r="IOQ2" s="946"/>
      <c r="IOR2" s="946"/>
      <c r="IOS2" s="946"/>
      <c r="IOT2" s="946"/>
      <c r="IOU2" s="946"/>
      <c r="IOV2" s="946"/>
      <c r="IOW2" s="946"/>
      <c r="IOX2" s="946"/>
      <c r="IOY2" s="946"/>
      <c r="IOZ2" s="946"/>
      <c r="IPA2" s="946"/>
      <c r="IPB2" s="946"/>
      <c r="IPC2" s="946"/>
      <c r="IPD2" s="946"/>
      <c r="IPE2" s="946"/>
      <c r="IPF2" s="946"/>
      <c r="IPG2" s="946"/>
      <c r="IPH2" s="946"/>
      <c r="IPI2" s="946"/>
      <c r="IPJ2" s="946"/>
      <c r="IPK2" s="946"/>
      <c r="IPL2" s="946"/>
      <c r="IPM2" s="946"/>
      <c r="IPN2" s="946"/>
      <c r="IPO2" s="946"/>
      <c r="IPP2" s="946"/>
      <c r="IPQ2" s="946"/>
      <c r="IPR2" s="946"/>
      <c r="IPS2" s="946"/>
      <c r="IPT2" s="946"/>
      <c r="IPU2" s="946"/>
      <c r="IPV2" s="946"/>
      <c r="IPW2" s="946"/>
      <c r="IPX2" s="946"/>
      <c r="IPY2" s="946"/>
      <c r="IPZ2" s="946"/>
      <c r="IQA2" s="946"/>
      <c r="IQB2" s="946"/>
      <c r="IQC2" s="946"/>
      <c r="IQD2" s="946"/>
      <c r="IQE2" s="946"/>
      <c r="IQF2" s="946"/>
      <c r="IQG2" s="946"/>
      <c r="IQH2" s="946"/>
      <c r="IQI2" s="946"/>
      <c r="IQJ2" s="946"/>
      <c r="IQK2" s="946"/>
      <c r="IQL2" s="946"/>
      <c r="IQM2" s="946"/>
      <c r="IQN2" s="946"/>
      <c r="IQO2" s="946"/>
      <c r="IQP2" s="946"/>
      <c r="IQQ2" s="946"/>
      <c r="IQR2" s="946"/>
      <c r="IQS2" s="946"/>
      <c r="IQT2" s="946"/>
      <c r="IQU2" s="946"/>
      <c r="IQV2" s="946"/>
      <c r="IQW2" s="946"/>
      <c r="IQX2" s="946"/>
      <c r="IQY2" s="946"/>
      <c r="IQZ2" s="946"/>
      <c r="IRA2" s="946"/>
      <c r="IRB2" s="946"/>
      <c r="IRC2" s="946"/>
      <c r="IRD2" s="946"/>
      <c r="IRE2" s="946"/>
      <c r="IRF2" s="946"/>
      <c r="IRG2" s="946"/>
      <c r="IRH2" s="946"/>
      <c r="IRI2" s="946"/>
      <c r="IRJ2" s="946"/>
      <c r="IRK2" s="946"/>
      <c r="IRL2" s="946"/>
      <c r="IRM2" s="946"/>
      <c r="IRN2" s="946"/>
      <c r="IRO2" s="946"/>
      <c r="IRP2" s="946"/>
      <c r="IRQ2" s="946"/>
      <c r="IRR2" s="946"/>
      <c r="IRS2" s="946"/>
      <c r="IRT2" s="946"/>
      <c r="IRU2" s="946"/>
      <c r="IRV2" s="946"/>
      <c r="IRW2" s="946"/>
      <c r="IRX2" s="946"/>
      <c r="IRY2" s="946"/>
      <c r="IRZ2" s="946"/>
      <c r="ISA2" s="946"/>
      <c r="ISB2" s="946"/>
      <c r="ISC2" s="946"/>
      <c r="ISD2" s="946"/>
      <c r="ISE2" s="946"/>
      <c r="ISF2" s="946"/>
      <c r="ISG2" s="946"/>
      <c r="ISH2" s="946"/>
      <c r="ISI2" s="946"/>
      <c r="ISJ2" s="946"/>
      <c r="ISK2" s="946"/>
      <c r="ISL2" s="946"/>
      <c r="ISM2" s="946"/>
      <c r="ISN2" s="946"/>
      <c r="ISO2" s="946"/>
      <c r="ISP2" s="946"/>
      <c r="ISQ2" s="946"/>
      <c r="ISR2" s="946"/>
      <c r="ISS2" s="946"/>
      <c r="IST2" s="946"/>
      <c r="ISU2" s="946"/>
      <c r="ISV2" s="946"/>
      <c r="ISW2" s="946"/>
      <c r="ISX2" s="946"/>
      <c r="ISY2" s="946"/>
      <c r="ISZ2" s="946"/>
      <c r="ITA2" s="946"/>
      <c r="ITB2" s="946"/>
      <c r="ITC2" s="946"/>
      <c r="ITD2" s="946"/>
      <c r="ITE2" s="946"/>
      <c r="ITF2" s="946"/>
      <c r="ITG2" s="946"/>
      <c r="ITH2" s="946"/>
      <c r="ITI2" s="946"/>
      <c r="ITJ2" s="946"/>
      <c r="ITK2" s="946"/>
      <c r="ITL2" s="946"/>
      <c r="ITM2" s="946"/>
      <c r="ITN2" s="946"/>
      <c r="ITO2" s="946"/>
      <c r="ITP2" s="946"/>
      <c r="ITQ2" s="946"/>
      <c r="ITR2" s="946"/>
      <c r="ITS2" s="946"/>
      <c r="ITT2" s="946"/>
      <c r="ITU2" s="946"/>
      <c r="ITV2" s="946"/>
      <c r="ITW2" s="946"/>
      <c r="ITX2" s="946"/>
      <c r="ITY2" s="946"/>
      <c r="ITZ2" s="946"/>
      <c r="IUA2" s="946"/>
      <c r="IUB2" s="946"/>
      <c r="IUC2" s="946"/>
      <c r="IUD2" s="946"/>
      <c r="IUE2" s="946"/>
      <c r="IUF2" s="946"/>
      <c r="IUG2" s="946"/>
      <c r="IUH2" s="946"/>
      <c r="IUI2" s="946"/>
      <c r="IUJ2" s="946"/>
      <c r="IUK2" s="946"/>
      <c r="IUL2" s="946"/>
      <c r="IUM2" s="946"/>
      <c r="IUN2" s="946"/>
      <c r="IUO2" s="946"/>
      <c r="IUP2" s="946"/>
      <c r="IUQ2" s="946"/>
      <c r="IUR2" s="946"/>
      <c r="IUS2" s="946"/>
      <c r="IUT2" s="946"/>
      <c r="IUU2" s="946"/>
      <c r="IUV2" s="946"/>
      <c r="IUW2" s="946"/>
      <c r="IUX2" s="946"/>
      <c r="IUY2" s="946"/>
      <c r="IUZ2" s="946"/>
      <c r="IVA2" s="946"/>
      <c r="IVB2" s="946"/>
      <c r="IVC2" s="946"/>
      <c r="IVD2" s="946"/>
      <c r="IVE2" s="946"/>
      <c r="IVF2" s="946"/>
      <c r="IVG2" s="946"/>
      <c r="IVH2" s="946"/>
      <c r="IVI2" s="946"/>
      <c r="IVJ2" s="946"/>
      <c r="IVK2" s="946"/>
      <c r="IVL2" s="946"/>
      <c r="IVM2" s="946"/>
      <c r="IVN2" s="946"/>
      <c r="IVO2" s="946"/>
      <c r="IVP2" s="946"/>
      <c r="IVQ2" s="946"/>
      <c r="IVR2" s="946"/>
      <c r="IVS2" s="946"/>
      <c r="IVT2" s="946"/>
      <c r="IVU2" s="946"/>
      <c r="IVV2" s="946"/>
      <c r="IVW2" s="946"/>
      <c r="IVX2" s="946"/>
      <c r="IVY2" s="946"/>
      <c r="IVZ2" s="946"/>
      <c r="IWA2" s="946"/>
      <c r="IWB2" s="946"/>
      <c r="IWC2" s="946"/>
      <c r="IWD2" s="946"/>
      <c r="IWE2" s="946"/>
      <c r="IWF2" s="946"/>
      <c r="IWG2" s="946"/>
      <c r="IWH2" s="946"/>
      <c r="IWI2" s="946"/>
      <c r="IWJ2" s="946"/>
      <c r="IWK2" s="946"/>
      <c r="IWL2" s="946"/>
      <c r="IWM2" s="946"/>
      <c r="IWN2" s="946"/>
      <c r="IWO2" s="946"/>
      <c r="IWP2" s="946"/>
      <c r="IWQ2" s="946"/>
      <c r="IWR2" s="946"/>
      <c r="IWS2" s="946"/>
      <c r="IWT2" s="946"/>
      <c r="IWU2" s="946"/>
      <c r="IWV2" s="946"/>
      <c r="IWW2" s="946"/>
      <c r="IWX2" s="946"/>
      <c r="IWY2" s="946"/>
      <c r="IWZ2" s="946"/>
      <c r="IXA2" s="946"/>
      <c r="IXB2" s="946"/>
      <c r="IXC2" s="946"/>
      <c r="IXD2" s="946"/>
      <c r="IXE2" s="946"/>
      <c r="IXF2" s="946"/>
      <c r="IXG2" s="946"/>
      <c r="IXH2" s="946"/>
      <c r="IXI2" s="946"/>
      <c r="IXJ2" s="946"/>
      <c r="IXK2" s="946"/>
      <c r="IXL2" s="946"/>
      <c r="IXM2" s="946"/>
      <c r="IXN2" s="946"/>
      <c r="IXO2" s="946"/>
      <c r="IXP2" s="946"/>
      <c r="IXQ2" s="946"/>
      <c r="IXR2" s="946"/>
      <c r="IXS2" s="946"/>
      <c r="IXT2" s="946"/>
      <c r="IXU2" s="946"/>
      <c r="IXV2" s="946"/>
      <c r="IXW2" s="946"/>
      <c r="IXX2" s="946"/>
      <c r="IXY2" s="946"/>
      <c r="IXZ2" s="946"/>
      <c r="IYA2" s="946"/>
      <c r="IYB2" s="946"/>
      <c r="IYC2" s="946"/>
      <c r="IYD2" s="946"/>
      <c r="IYE2" s="946"/>
      <c r="IYF2" s="946"/>
      <c r="IYG2" s="946"/>
      <c r="IYH2" s="946"/>
      <c r="IYI2" s="946"/>
      <c r="IYJ2" s="946"/>
      <c r="IYK2" s="946"/>
      <c r="IYL2" s="946"/>
      <c r="IYM2" s="946"/>
      <c r="IYN2" s="946"/>
      <c r="IYO2" s="946"/>
      <c r="IYP2" s="946"/>
      <c r="IYQ2" s="946"/>
      <c r="IYR2" s="946"/>
      <c r="IYS2" s="946"/>
      <c r="IYT2" s="946"/>
      <c r="IYU2" s="946"/>
      <c r="IYV2" s="946"/>
      <c r="IYW2" s="946"/>
      <c r="IYX2" s="946"/>
      <c r="IYY2" s="946"/>
      <c r="IYZ2" s="946"/>
      <c r="IZA2" s="946"/>
      <c r="IZB2" s="946"/>
      <c r="IZC2" s="946"/>
      <c r="IZD2" s="946"/>
      <c r="IZE2" s="946"/>
      <c r="IZF2" s="946"/>
      <c r="IZG2" s="946"/>
      <c r="IZH2" s="946"/>
      <c r="IZI2" s="946"/>
      <c r="IZJ2" s="946"/>
      <c r="IZK2" s="946"/>
      <c r="IZL2" s="946"/>
      <c r="IZM2" s="946"/>
      <c r="IZN2" s="946"/>
      <c r="IZO2" s="946"/>
      <c r="IZP2" s="946"/>
      <c r="IZQ2" s="946"/>
      <c r="IZR2" s="946"/>
      <c r="IZS2" s="946"/>
      <c r="IZT2" s="946"/>
      <c r="IZU2" s="946"/>
      <c r="IZV2" s="946"/>
      <c r="IZW2" s="946"/>
      <c r="IZX2" s="946"/>
      <c r="IZY2" s="946"/>
      <c r="IZZ2" s="946"/>
      <c r="JAA2" s="946"/>
      <c r="JAB2" s="946"/>
      <c r="JAC2" s="946"/>
      <c r="JAD2" s="946"/>
      <c r="JAE2" s="946"/>
      <c r="JAF2" s="946"/>
      <c r="JAG2" s="946"/>
      <c r="JAH2" s="946"/>
      <c r="JAI2" s="946"/>
      <c r="JAJ2" s="946"/>
      <c r="JAK2" s="946"/>
      <c r="JAL2" s="946"/>
      <c r="JAM2" s="946"/>
      <c r="JAN2" s="946"/>
      <c r="JAO2" s="946"/>
      <c r="JAP2" s="946"/>
      <c r="JAQ2" s="946"/>
      <c r="JAR2" s="946"/>
      <c r="JAS2" s="946"/>
      <c r="JAT2" s="946"/>
      <c r="JAU2" s="946"/>
      <c r="JAV2" s="946"/>
      <c r="JAW2" s="946"/>
      <c r="JAX2" s="946"/>
      <c r="JAY2" s="946"/>
      <c r="JAZ2" s="946"/>
      <c r="JBA2" s="946"/>
      <c r="JBB2" s="946"/>
      <c r="JBC2" s="946"/>
      <c r="JBD2" s="946"/>
      <c r="JBE2" s="946"/>
      <c r="JBF2" s="946"/>
      <c r="JBG2" s="946"/>
      <c r="JBH2" s="946"/>
      <c r="JBI2" s="946"/>
      <c r="JBJ2" s="946"/>
      <c r="JBK2" s="946"/>
      <c r="JBL2" s="946"/>
      <c r="JBM2" s="946"/>
      <c r="JBN2" s="946"/>
      <c r="JBO2" s="946"/>
      <c r="JBP2" s="946"/>
      <c r="JBQ2" s="946"/>
      <c r="JBR2" s="946"/>
      <c r="JBS2" s="946"/>
      <c r="JBT2" s="946"/>
      <c r="JBU2" s="946"/>
      <c r="JBV2" s="946"/>
      <c r="JBW2" s="946"/>
      <c r="JBX2" s="946"/>
      <c r="JBY2" s="946"/>
      <c r="JBZ2" s="946"/>
      <c r="JCA2" s="946"/>
      <c r="JCB2" s="946"/>
      <c r="JCC2" s="946"/>
      <c r="JCD2" s="946"/>
      <c r="JCE2" s="946"/>
      <c r="JCF2" s="946"/>
      <c r="JCG2" s="946"/>
      <c r="JCH2" s="946"/>
      <c r="JCI2" s="946"/>
      <c r="JCJ2" s="946"/>
      <c r="JCK2" s="946"/>
      <c r="JCL2" s="946"/>
      <c r="JCM2" s="946"/>
      <c r="JCN2" s="946"/>
      <c r="JCO2" s="946"/>
      <c r="JCP2" s="946"/>
      <c r="JCQ2" s="946"/>
      <c r="JCR2" s="946"/>
      <c r="JCS2" s="946"/>
      <c r="JCT2" s="946"/>
      <c r="JCU2" s="946"/>
      <c r="JCV2" s="946"/>
      <c r="JCW2" s="946"/>
      <c r="JCX2" s="946"/>
      <c r="JCY2" s="946"/>
      <c r="JCZ2" s="946"/>
      <c r="JDA2" s="946"/>
      <c r="JDB2" s="946"/>
      <c r="JDC2" s="946"/>
      <c r="JDD2" s="946"/>
      <c r="JDE2" s="946"/>
      <c r="JDF2" s="946"/>
      <c r="JDG2" s="946"/>
      <c r="JDH2" s="946"/>
      <c r="JDI2" s="946"/>
      <c r="JDJ2" s="946"/>
      <c r="JDK2" s="946"/>
      <c r="JDL2" s="946"/>
      <c r="JDM2" s="946"/>
      <c r="JDN2" s="946"/>
      <c r="JDO2" s="946"/>
      <c r="JDP2" s="946"/>
      <c r="JDQ2" s="946"/>
      <c r="JDR2" s="946"/>
      <c r="JDS2" s="946"/>
      <c r="JDT2" s="946"/>
      <c r="JDU2" s="946"/>
      <c r="JDV2" s="946"/>
      <c r="JDW2" s="946"/>
      <c r="JDX2" s="946"/>
      <c r="JDY2" s="946"/>
      <c r="JDZ2" s="946"/>
      <c r="JEA2" s="946"/>
      <c r="JEB2" s="946"/>
      <c r="JEC2" s="946"/>
      <c r="JED2" s="946"/>
      <c r="JEE2" s="946"/>
      <c r="JEF2" s="946"/>
      <c r="JEG2" s="946"/>
      <c r="JEH2" s="946"/>
      <c r="JEI2" s="946"/>
      <c r="JEJ2" s="946"/>
      <c r="JEK2" s="946"/>
      <c r="JEL2" s="946"/>
      <c r="JEM2" s="946"/>
      <c r="JEN2" s="946"/>
      <c r="JEO2" s="946"/>
      <c r="JEP2" s="946"/>
      <c r="JEQ2" s="946"/>
      <c r="JER2" s="946"/>
      <c r="JES2" s="946"/>
      <c r="JET2" s="946"/>
      <c r="JEU2" s="946"/>
      <c r="JEV2" s="946"/>
      <c r="JEW2" s="946"/>
      <c r="JEX2" s="946"/>
      <c r="JEY2" s="946"/>
      <c r="JEZ2" s="946"/>
      <c r="JFA2" s="946"/>
      <c r="JFB2" s="946"/>
      <c r="JFC2" s="946"/>
      <c r="JFD2" s="946"/>
      <c r="JFE2" s="946"/>
      <c r="JFF2" s="946"/>
      <c r="JFG2" s="946"/>
      <c r="JFH2" s="946"/>
      <c r="JFI2" s="946"/>
      <c r="JFJ2" s="946"/>
      <c r="JFK2" s="946"/>
      <c r="JFL2" s="946"/>
      <c r="JFM2" s="946"/>
      <c r="JFN2" s="946"/>
      <c r="JFO2" s="946"/>
      <c r="JFP2" s="946"/>
      <c r="JFQ2" s="946"/>
      <c r="JFR2" s="946"/>
      <c r="JFS2" s="946"/>
      <c r="JFT2" s="946"/>
      <c r="JFU2" s="946"/>
      <c r="JFV2" s="946"/>
      <c r="JFW2" s="946"/>
      <c r="JFX2" s="946"/>
      <c r="JFY2" s="946"/>
      <c r="JFZ2" s="946"/>
      <c r="JGA2" s="946"/>
      <c r="JGB2" s="946"/>
      <c r="JGC2" s="946"/>
      <c r="JGD2" s="946"/>
      <c r="JGE2" s="946"/>
      <c r="JGF2" s="946"/>
      <c r="JGG2" s="946"/>
      <c r="JGH2" s="946"/>
      <c r="JGI2" s="946"/>
      <c r="JGJ2" s="946"/>
      <c r="JGK2" s="946"/>
      <c r="JGL2" s="946"/>
      <c r="JGM2" s="946"/>
      <c r="JGN2" s="946"/>
      <c r="JGO2" s="946"/>
      <c r="JGP2" s="946"/>
      <c r="JGQ2" s="946"/>
      <c r="JGR2" s="946"/>
      <c r="JGS2" s="946"/>
      <c r="JGT2" s="946"/>
      <c r="JGU2" s="946"/>
      <c r="JGV2" s="946"/>
      <c r="JGW2" s="946"/>
      <c r="JGX2" s="946"/>
      <c r="JGY2" s="946"/>
      <c r="JGZ2" s="946"/>
      <c r="JHA2" s="946"/>
      <c r="JHB2" s="946"/>
      <c r="JHC2" s="946"/>
      <c r="JHD2" s="946"/>
      <c r="JHE2" s="946"/>
      <c r="JHF2" s="946"/>
      <c r="JHG2" s="946"/>
      <c r="JHH2" s="946"/>
      <c r="JHI2" s="946"/>
      <c r="JHJ2" s="946"/>
      <c r="JHK2" s="946"/>
      <c r="JHL2" s="946"/>
      <c r="JHM2" s="946"/>
      <c r="JHN2" s="946"/>
      <c r="JHO2" s="946"/>
      <c r="JHP2" s="946"/>
      <c r="JHQ2" s="946"/>
      <c r="JHR2" s="946"/>
      <c r="JHS2" s="946"/>
      <c r="JHT2" s="946"/>
      <c r="JHU2" s="946"/>
      <c r="JHV2" s="946"/>
      <c r="JHW2" s="946"/>
      <c r="JHX2" s="946"/>
      <c r="JHY2" s="946"/>
      <c r="JHZ2" s="946"/>
      <c r="JIA2" s="946"/>
      <c r="JIB2" s="946"/>
      <c r="JIC2" s="946"/>
      <c r="JID2" s="946"/>
      <c r="JIE2" s="946"/>
      <c r="JIF2" s="946"/>
      <c r="JIG2" s="946"/>
      <c r="JIH2" s="946"/>
      <c r="JII2" s="946"/>
      <c r="JIJ2" s="946"/>
      <c r="JIK2" s="946"/>
      <c r="JIL2" s="946"/>
      <c r="JIM2" s="946"/>
      <c r="JIN2" s="946"/>
      <c r="JIO2" s="946"/>
      <c r="JIP2" s="946"/>
      <c r="JIQ2" s="946"/>
      <c r="JIR2" s="946"/>
      <c r="JIS2" s="946"/>
      <c r="JIT2" s="946"/>
      <c r="JIU2" s="946"/>
      <c r="JIV2" s="946"/>
      <c r="JIW2" s="946"/>
      <c r="JIX2" s="946"/>
      <c r="JIY2" s="946"/>
      <c r="JIZ2" s="946"/>
      <c r="JJA2" s="946"/>
      <c r="JJB2" s="946"/>
      <c r="JJC2" s="946"/>
      <c r="JJD2" s="946"/>
      <c r="JJE2" s="946"/>
      <c r="JJF2" s="946"/>
      <c r="JJG2" s="946"/>
      <c r="JJH2" s="946"/>
      <c r="JJI2" s="946"/>
      <c r="JJJ2" s="946"/>
      <c r="JJK2" s="946"/>
      <c r="JJL2" s="946"/>
      <c r="JJM2" s="946"/>
      <c r="JJN2" s="946"/>
      <c r="JJO2" s="946"/>
      <c r="JJP2" s="946"/>
      <c r="JJQ2" s="946"/>
      <c r="JJR2" s="946"/>
      <c r="JJS2" s="946"/>
      <c r="JJT2" s="946"/>
      <c r="JJU2" s="946"/>
      <c r="JJV2" s="946"/>
      <c r="JJW2" s="946"/>
      <c r="JJX2" s="946"/>
      <c r="JJY2" s="946"/>
      <c r="JJZ2" s="946"/>
      <c r="JKA2" s="946"/>
      <c r="JKB2" s="946"/>
      <c r="JKC2" s="946"/>
      <c r="JKD2" s="946"/>
      <c r="JKE2" s="946"/>
      <c r="JKF2" s="946"/>
      <c r="JKG2" s="946"/>
      <c r="JKH2" s="946"/>
      <c r="JKI2" s="946"/>
      <c r="JKJ2" s="946"/>
      <c r="JKK2" s="946"/>
      <c r="JKL2" s="946"/>
      <c r="JKM2" s="946"/>
      <c r="JKN2" s="946"/>
      <c r="JKO2" s="946"/>
      <c r="JKP2" s="946"/>
      <c r="JKQ2" s="946"/>
      <c r="JKR2" s="946"/>
      <c r="JKS2" s="946"/>
      <c r="JKT2" s="946"/>
      <c r="JKU2" s="946"/>
      <c r="JKV2" s="946"/>
      <c r="JKW2" s="946"/>
      <c r="JKX2" s="946"/>
      <c r="JKY2" s="946"/>
      <c r="JKZ2" s="946"/>
      <c r="JLA2" s="946"/>
      <c r="JLB2" s="946"/>
      <c r="JLC2" s="946"/>
      <c r="JLD2" s="946"/>
      <c r="JLE2" s="946"/>
      <c r="JLF2" s="946"/>
      <c r="JLG2" s="946"/>
      <c r="JLH2" s="946"/>
      <c r="JLI2" s="946"/>
      <c r="JLJ2" s="946"/>
      <c r="JLK2" s="946"/>
      <c r="JLL2" s="946"/>
      <c r="JLM2" s="946"/>
      <c r="JLN2" s="946"/>
      <c r="JLO2" s="946"/>
      <c r="JLP2" s="946"/>
      <c r="JLQ2" s="946"/>
      <c r="JLR2" s="946"/>
      <c r="JLS2" s="946"/>
      <c r="JLT2" s="946"/>
      <c r="JLU2" s="946"/>
      <c r="JLV2" s="946"/>
      <c r="JLW2" s="946"/>
      <c r="JLX2" s="946"/>
      <c r="JLY2" s="946"/>
      <c r="JLZ2" s="946"/>
      <c r="JMA2" s="946"/>
      <c r="JMB2" s="946"/>
      <c r="JMC2" s="946"/>
      <c r="JMD2" s="946"/>
      <c r="JME2" s="946"/>
      <c r="JMF2" s="946"/>
      <c r="JMG2" s="946"/>
      <c r="JMH2" s="946"/>
      <c r="JMI2" s="946"/>
      <c r="JMJ2" s="946"/>
      <c r="JMK2" s="946"/>
      <c r="JML2" s="946"/>
      <c r="JMM2" s="946"/>
      <c r="JMN2" s="946"/>
      <c r="JMO2" s="946"/>
      <c r="JMP2" s="946"/>
      <c r="JMQ2" s="946"/>
      <c r="JMR2" s="946"/>
      <c r="JMS2" s="946"/>
      <c r="JMT2" s="946"/>
      <c r="JMU2" s="946"/>
      <c r="JMV2" s="946"/>
      <c r="JMW2" s="946"/>
      <c r="JMX2" s="946"/>
      <c r="JMY2" s="946"/>
      <c r="JMZ2" s="946"/>
      <c r="JNA2" s="946"/>
      <c r="JNB2" s="946"/>
      <c r="JNC2" s="946"/>
      <c r="JND2" s="946"/>
      <c r="JNE2" s="946"/>
      <c r="JNF2" s="946"/>
      <c r="JNG2" s="946"/>
      <c r="JNH2" s="946"/>
      <c r="JNI2" s="946"/>
      <c r="JNJ2" s="946"/>
      <c r="JNK2" s="946"/>
      <c r="JNL2" s="946"/>
      <c r="JNM2" s="946"/>
      <c r="JNN2" s="946"/>
      <c r="JNO2" s="946"/>
      <c r="JNP2" s="946"/>
      <c r="JNQ2" s="946"/>
      <c r="JNR2" s="946"/>
      <c r="JNS2" s="946"/>
      <c r="JNT2" s="946"/>
      <c r="JNU2" s="946"/>
      <c r="JNV2" s="946"/>
      <c r="JNW2" s="946"/>
      <c r="JNX2" s="946"/>
      <c r="JNY2" s="946"/>
      <c r="JNZ2" s="946"/>
      <c r="JOA2" s="946"/>
      <c r="JOB2" s="946"/>
      <c r="JOC2" s="946"/>
      <c r="JOD2" s="946"/>
      <c r="JOE2" s="946"/>
      <c r="JOF2" s="946"/>
      <c r="JOG2" s="946"/>
      <c r="JOH2" s="946"/>
      <c r="JOI2" s="946"/>
      <c r="JOJ2" s="946"/>
      <c r="JOK2" s="946"/>
      <c r="JOL2" s="946"/>
      <c r="JOM2" s="946"/>
      <c r="JON2" s="946"/>
      <c r="JOO2" s="946"/>
      <c r="JOP2" s="946"/>
      <c r="JOQ2" s="946"/>
      <c r="JOR2" s="946"/>
      <c r="JOS2" s="946"/>
      <c r="JOT2" s="946"/>
      <c r="JOU2" s="946"/>
      <c r="JOV2" s="946"/>
      <c r="JOW2" s="946"/>
      <c r="JOX2" s="946"/>
      <c r="JOY2" s="946"/>
      <c r="JOZ2" s="946"/>
      <c r="JPA2" s="946"/>
      <c r="JPB2" s="946"/>
      <c r="JPC2" s="946"/>
      <c r="JPD2" s="946"/>
      <c r="JPE2" s="946"/>
      <c r="JPF2" s="946"/>
      <c r="JPG2" s="946"/>
      <c r="JPH2" s="946"/>
      <c r="JPI2" s="946"/>
      <c r="JPJ2" s="946"/>
      <c r="JPK2" s="946"/>
      <c r="JPL2" s="946"/>
      <c r="JPM2" s="946"/>
      <c r="JPN2" s="946"/>
      <c r="JPO2" s="946"/>
      <c r="JPP2" s="946"/>
      <c r="JPQ2" s="946"/>
      <c r="JPR2" s="946"/>
      <c r="JPS2" s="946"/>
      <c r="JPT2" s="946"/>
      <c r="JPU2" s="946"/>
      <c r="JPV2" s="946"/>
      <c r="JPW2" s="946"/>
      <c r="JPX2" s="946"/>
      <c r="JPY2" s="946"/>
      <c r="JPZ2" s="946"/>
      <c r="JQA2" s="946"/>
      <c r="JQB2" s="946"/>
      <c r="JQC2" s="946"/>
      <c r="JQD2" s="946"/>
      <c r="JQE2" s="946"/>
      <c r="JQF2" s="946"/>
      <c r="JQG2" s="946"/>
      <c r="JQH2" s="946"/>
      <c r="JQI2" s="946"/>
      <c r="JQJ2" s="946"/>
      <c r="JQK2" s="946"/>
      <c r="JQL2" s="946"/>
      <c r="JQM2" s="946"/>
      <c r="JQN2" s="946"/>
      <c r="JQO2" s="946"/>
      <c r="JQP2" s="946"/>
      <c r="JQQ2" s="946"/>
      <c r="JQR2" s="946"/>
      <c r="JQS2" s="946"/>
      <c r="JQT2" s="946"/>
      <c r="JQU2" s="946"/>
      <c r="JQV2" s="946"/>
      <c r="JQW2" s="946"/>
      <c r="JQX2" s="946"/>
      <c r="JQY2" s="946"/>
      <c r="JQZ2" s="946"/>
      <c r="JRA2" s="946"/>
      <c r="JRB2" s="946"/>
      <c r="JRC2" s="946"/>
      <c r="JRD2" s="946"/>
      <c r="JRE2" s="946"/>
      <c r="JRF2" s="946"/>
      <c r="JRG2" s="946"/>
      <c r="JRH2" s="946"/>
      <c r="JRI2" s="946"/>
      <c r="JRJ2" s="946"/>
      <c r="JRK2" s="946"/>
      <c r="JRL2" s="946"/>
      <c r="JRM2" s="946"/>
      <c r="JRN2" s="946"/>
      <c r="JRO2" s="946"/>
      <c r="JRP2" s="946"/>
      <c r="JRQ2" s="946"/>
      <c r="JRR2" s="946"/>
      <c r="JRS2" s="946"/>
      <c r="JRT2" s="946"/>
      <c r="JRU2" s="946"/>
      <c r="JRV2" s="946"/>
      <c r="JRW2" s="946"/>
      <c r="JRX2" s="946"/>
      <c r="JRY2" s="946"/>
      <c r="JRZ2" s="946"/>
      <c r="JSA2" s="946"/>
      <c r="JSB2" s="946"/>
      <c r="JSC2" s="946"/>
      <c r="JSD2" s="946"/>
      <c r="JSE2" s="946"/>
      <c r="JSF2" s="946"/>
      <c r="JSG2" s="946"/>
      <c r="JSH2" s="946"/>
      <c r="JSI2" s="946"/>
      <c r="JSJ2" s="946"/>
      <c r="JSK2" s="946"/>
      <c r="JSL2" s="946"/>
      <c r="JSM2" s="946"/>
      <c r="JSN2" s="946"/>
      <c r="JSO2" s="946"/>
      <c r="JSP2" s="946"/>
      <c r="JSQ2" s="946"/>
      <c r="JSR2" s="946"/>
      <c r="JSS2" s="946"/>
      <c r="JST2" s="946"/>
      <c r="JSU2" s="946"/>
      <c r="JSV2" s="946"/>
      <c r="JSW2" s="946"/>
      <c r="JSX2" s="946"/>
      <c r="JSY2" s="946"/>
      <c r="JSZ2" s="946"/>
      <c r="JTA2" s="946"/>
      <c r="JTB2" s="946"/>
      <c r="JTC2" s="946"/>
      <c r="JTD2" s="946"/>
      <c r="JTE2" s="946"/>
      <c r="JTF2" s="946"/>
      <c r="JTG2" s="946"/>
      <c r="JTH2" s="946"/>
      <c r="JTI2" s="946"/>
      <c r="JTJ2" s="946"/>
      <c r="JTK2" s="946"/>
      <c r="JTL2" s="946"/>
      <c r="JTM2" s="946"/>
      <c r="JTN2" s="946"/>
      <c r="JTO2" s="946"/>
      <c r="JTP2" s="946"/>
      <c r="JTQ2" s="946"/>
      <c r="JTR2" s="946"/>
      <c r="JTS2" s="946"/>
      <c r="JTT2" s="946"/>
      <c r="JTU2" s="946"/>
      <c r="JTV2" s="946"/>
      <c r="JTW2" s="946"/>
      <c r="JTX2" s="946"/>
      <c r="JTY2" s="946"/>
      <c r="JTZ2" s="946"/>
      <c r="JUA2" s="946"/>
      <c r="JUB2" s="946"/>
      <c r="JUC2" s="946"/>
      <c r="JUD2" s="946"/>
      <c r="JUE2" s="946"/>
      <c r="JUF2" s="946"/>
      <c r="JUG2" s="946"/>
      <c r="JUH2" s="946"/>
      <c r="JUI2" s="946"/>
      <c r="JUJ2" s="946"/>
      <c r="JUK2" s="946"/>
      <c r="JUL2" s="946"/>
      <c r="JUM2" s="946"/>
      <c r="JUN2" s="946"/>
      <c r="JUO2" s="946"/>
      <c r="JUP2" s="946"/>
      <c r="JUQ2" s="946"/>
      <c r="JUR2" s="946"/>
      <c r="JUS2" s="946"/>
      <c r="JUT2" s="946"/>
      <c r="JUU2" s="946"/>
      <c r="JUV2" s="946"/>
      <c r="JUW2" s="946"/>
      <c r="JUX2" s="946"/>
      <c r="JUY2" s="946"/>
      <c r="JUZ2" s="946"/>
      <c r="JVA2" s="946"/>
      <c r="JVB2" s="946"/>
      <c r="JVC2" s="946"/>
      <c r="JVD2" s="946"/>
      <c r="JVE2" s="946"/>
      <c r="JVF2" s="946"/>
      <c r="JVG2" s="946"/>
      <c r="JVH2" s="946"/>
      <c r="JVI2" s="946"/>
      <c r="JVJ2" s="946"/>
      <c r="JVK2" s="946"/>
      <c r="JVL2" s="946"/>
      <c r="JVM2" s="946"/>
      <c r="JVN2" s="946"/>
      <c r="JVO2" s="946"/>
      <c r="JVP2" s="946"/>
      <c r="JVQ2" s="946"/>
      <c r="JVR2" s="946"/>
      <c r="JVS2" s="946"/>
      <c r="JVT2" s="946"/>
      <c r="JVU2" s="946"/>
      <c r="JVV2" s="946"/>
      <c r="JVW2" s="946"/>
      <c r="JVX2" s="946"/>
      <c r="JVY2" s="946"/>
      <c r="JVZ2" s="946"/>
      <c r="JWA2" s="946"/>
      <c r="JWB2" s="946"/>
      <c r="JWC2" s="946"/>
      <c r="JWD2" s="946"/>
      <c r="JWE2" s="946"/>
      <c r="JWF2" s="946"/>
      <c r="JWG2" s="946"/>
      <c r="JWH2" s="946"/>
      <c r="JWI2" s="946"/>
      <c r="JWJ2" s="946"/>
      <c r="JWK2" s="946"/>
      <c r="JWL2" s="946"/>
      <c r="JWM2" s="946"/>
      <c r="JWN2" s="946"/>
      <c r="JWO2" s="946"/>
      <c r="JWP2" s="946"/>
      <c r="JWQ2" s="946"/>
      <c r="JWR2" s="946"/>
      <c r="JWS2" s="946"/>
      <c r="JWT2" s="946"/>
      <c r="JWU2" s="946"/>
      <c r="JWV2" s="946"/>
      <c r="JWW2" s="946"/>
      <c r="JWX2" s="946"/>
      <c r="JWY2" s="946"/>
      <c r="JWZ2" s="946"/>
      <c r="JXA2" s="946"/>
      <c r="JXB2" s="946"/>
      <c r="JXC2" s="946"/>
      <c r="JXD2" s="946"/>
      <c r="JXE2" s="946"/>
      <c r="JXF2" s="946"/>
      <c r="JXG2" s="946"/>
      <c r="JXH2" s="946"/>
      <c r="JXI2" s="946"/>
      <c r="JXJ2" s="946"/>
      <c r="JXK2" s="946"/>
      <c r="JXL2" s="946"/>
      <c r="JXM2" s="946"/>
      <c r="JXN2" s="946"/>
      <c r="JXO2" s="946"/>
      <c r="JXP2" s="946"/>
      <c r="JXQ2" s="946"/>
      <c r="JXR2" s="946"/>
      <c r="JXS2" s="946"/>
      <c r="JXT2" s="946"/>
      <c r="JXU2" s="946"/>
      <c r="JXV2" s="946"/>
      <c r="JXW2" s="946"/>
      <c r="JXX2" s="946"/>
      <c r="JXY2" s="946"/>
      <c r="JXZ2" s="946"/>
      <c r="JYA2" s="946"/>
      <c r="JYB2" s="946"/>
      <c r="JYC2" s="946"/>
      <c r="JYD2" s="946"/>
      <c r="JYE2" s="946"/>
      <c r="JYF2" s="946"/>
      <c r="JYG2" s="946"/>
      <c r="JYH2" s="946"/>
      <c r="JYI2" s="946"/>
      <c r="JYJ2" s="946"/>
      <c r="JYK2" s="946"/>
      <c r="JYL2" s="946"/>
      <c r="JYM2" s="946"/>
      <c r="JYN2" s="946"/>
      <c r="JYO2" s="946"/>
      <c r="JYP2" s="946"/>
      <c r="JYQ2" s="946"/>
      <c r="JYR2" s="946"/>
      <c r="JYS2" s="946"/>
      <c r="JYT2" s="946"/>
      <c r="JYU2" s="946"/>
      <c r="JYV2" s="946"/>
      <c r="JYW2" s="946"/>
      <c r="JYX2" s="946"/>
      <c r="JYY2" s="946"/>
      <c r="JYZ2" s="946"/>
      <c r="JZA2" s="946"/>
      <c r="JZB2" s="946"/>
      <c r="JZC2" s="946"/>
      <c r="JZD2" s="946"/>
      <c r="JZE2" s="946"/>
      <c r="JZF2" s="946"/>
      <c r="JZG2" s="946"/>
      <c r="JZH2" s="946"/>
      <c r="JZI2" s="946"/>
      <c r="JZJ2" s="946"/>
      <c r="JZK2" s="946"/>
      <c r="JZL2" s="946"/>
      <c r="JZM2" s="946"/>
      <c r="JZN2" s="946"/>
      <c r="JZO2" s="946"/>
      <c r="JZP2" s="946"/>
      <c r="JZQ2" s="946"/>
      <c r="JZR2" s="946"/>
      <c r="JZS2" s="946"/>
      <c r="JZT2" s="946"/>
      <c r="JZU2" s="946"/>
      <c r="JZV2" s="946"/>
      <c r="JZW2" s="946"/>
      <c r="JZX2" s="946"/>
      <c r="JZY2" s="946"/>
      <c r="JZZ2" s="946"/>
      <c r="KAA2" s="946"/>
      <c r="KAB2" s="946"/>
      <c r="KAC2" s="946"/>
      <c r="KAD2" s="946"/>
      <c r="KAE2" s="946"/>
      <c r="KAF2" s="946"/>
      <c r="KAG2" s="946"/>
      <c r="KAH2" s="946"/>
      <c r="KAI2" s="946"/>
      <c r="KAJ2" s="946"/>
      <c r="KAK2" s="946"/>
      <c r="KAL2" s="946"/>
      <c r="KAM2" s="946"/>
      <c r="KAN2" s="946"/>
      <c r="KAO2" s="946"/>
      <c r="KAP2" s="946"/>
      <c r="KAQ2" s="946"/>
      <c r="KAR2" s="946"/>
      <c r="KAS2" s="946"/>
      <c r="KAT2" s="946"/>
      <c r="KAU2" s="946"/>
      <c r="KAV2" s="946"/>
      <c r="KAW2" s="946"/>
      <c r="KAX2" s="946"/>
      <c r="KAY2" s="946"/>
      <c r="KAZ2" s="946"/>
      <c r="KBA2" s="946"/>
      <c r="KBB2" s="946"/>
      <c r="KBC2" s="946"/>
      <c r="KBD2" s="946"/>
      <c r="KBE2" s="946"/>
      <c r="KBF2" s="946"/>
      <c r="KBG2" s="946"/>
      <c r="KBH2" s="946"/>
      <c r="KBI2" s="946"/>
      <c r="KBJ2" s="946"/>
      <c r="KBK2" s="946"/>
      <c r="KBL2" s="946"/>
      <c r="KBM2" s="946"/>
      <c r="KBN2" s="946"/>
      <c r="KBO2" s="946"/>
      <c r="KBP2" s="946"/>
      <c r="KBQ2" s="946"/>
      <c r="KBR2" s="946"/>
      <c r="KBS2" s="946"/>
      <c r="KBT2" s="946"/>
      <c r="KBU2" s="946"/>
      <c r="KBV2" s="946"/>
      <c r="KBW2" s="946"/>
      <c r="KBX2" s="946"/>
      <c r="KBY2" s="946"/>
      <c r="KBZ2" s="946"/>
      <c r="KCA2" s="946"/>
      <c r="KCB2" s="946"/>
      <c r="KCC2" s="946"/>
      <c r="KCD2" s="946"/>
      <c r="KCE2" s="946"/>
      <c r="KCF2" s="946"/>
      <c r="KCG2" s="946"/>
      <c r="KCH2" s="946"/>
      <c r="KCI2" s="946"/>
      <c r="KCJ2" s="946"/>
      <c r="KCK2" s="946"/>
      <c r="KCL2" s="946"/>
      <c r="KCM2" s="946"/>
      <c r="KCN2" s="946"/>
      <c r="KCO2" s="946"/>
      <c r="KCP2" s="946"/>
      <c r="KCQ2" s="946"/>
      <c r="KCR2" s="946"/>
      <c r="KCS2" s="946"/>
      <c r="KCT2" s="946"/>
      <c r="KCU2" s="946"/>
      <c r="KCV2" s="946"/>
      <c r="KCW2" s="946"/>
      <c r="KCX2" s="946"/>
      <c r="KCY2" s="946"/>
      <c r="KCZ2" s="946"/>
      <c r="KDA2" s="946"/>
      <c r="KDB2" s="946"/>
      <c r="KDC2" s="946"/>
      <c r="KDD2" s="946"/>
      <c r="KDE2" s="946"/>
      <c r="KDF2" s="946"/>
      <c r="KDG2" s="946"/>
      <c r="KDH2" s="946"/>
      <c r="KDI2" s="946"/>
      <c r="KDJ2" s="946"/>
      <c r="KDK2" s="946"/>
      <c r="KDL2" s="946"/>
      <c r="KDM2" s="946"/>
      <c r="KDN2" s="946"/>
      <c r="KDO2" s="946"/>
      <c r="KDP2" s="946"/>
      <c r="KDQ2" s="946"/>
      <c r="KDR2" s="946"/>
      <c r="KDS2" s="946"/>
      <c r="KDT2" s="946"/>
      <c r="KDU2" s="946"/>
      <c r="KDV2" s="946"/>
      <c r="KDW2" s="946"/>
      <c r="KDX2" s="946"/>
      <c r="KDY2" s="946"/>
      <c r="KDZ2" s="946"/>
      <c r="KEA2" s="946"/>
      <c r="KEB2" s="946"/>
      <c r="KEC2" s="946"/>
      <c r="KED2" s="946"/>
      <c r="KEE2" s="946"/>
      <c r="KEF2" s="946"/>
      <c r="KEG2" s="946"/>
      <c r="KEH2" s="946"/>
      <c r="KEI2" s="946"/>
      <c r="KEJ2" s="946"/>
      <c r="KEK2" s="946"/>
      <c r="KEL2" s="946"/>
      <c r="KEM2" s="946"/>
      <c r="KEN2" s="946"/>
      <c r="KEO2" s="946"/>
      <c r="KEP2" s="946"/>
      <c r="KEQ2" s="946"/>
      <c r="KER2" s="946"/>
      <c r="KES2" s="946"/>
      <c r="KET2" s="946"/>
      <c r="KEU2" s="946"/>
      <c r="KEV2" s="946"/>
      <c r="KEW2" s="946"/>
      <c r="KEX2" s="946"/>
      <c r="KEY2" s="946"/>
      <c r="KEZ2" s="946"/>
      <c r="KFA2" s="946"/>
      <c r="KFB2" s="946"/>
      <c r="KFC2" s="946"/>
      <c r="KFD2" s="946"/>
      <c r="KFE2" s="946"/>
      <c r="KFF2" s="946"/>
      <c r="KFG2" s="946"/>
      <c r="KFH2" s="946"/>
      <c r="KFI2" s="946"/>
      <c r="KFJ2" s="946"/>
      <c r="KFK2" s="946"/>
      <c r="KFL2" s="946"/>
      <c r="KFM2" s="946"/>
      <c r="KFN2" s="946"/>
      <c r="KFO2" s="946"/>
      <c r="KFP2" s="946"/>
      <c r="KFQ2" s="946"/>
      <c r="KFR2" s="946"/>
      <c r="KFS2" s="946"/>
      <c r="KFT2" s="946"/>
      <c r="KFU2" s="946"/>
      <c r="KFV2" s="946"/>
      <c r="KFW2" s="946"/>
      <c r="KFX2" s="946"/>
      <c r="KFY2" s="946"/>
      <c r="KFZ2" s="946"/>
      <c r="KGA2" s="946"/>
      <c r="KGB2" s="946"/>
      <c r="KGC2" s="946"/>
      <c r="KGD2" s="946"/>
      <c r="KGE2" s="946"/>
      <c r="KGF2" s="946"/>
      <c r="KGG2" s="946"/>
      <c r="KGH2" s="946"/>
      <c r="KGI2" s="946"/>
      <c r="KGJ2" s="946"/>
      <c r="KGK2" s="946"/>
      <c r="KGL2" s="946"/>
      <c r="KGM2" s="946"/>
      <c r="KGN2" s="946"/>
      <c r="KGO2" s="946"/>
      <c r="KGP2" s="946"/>
      <c r="KGQ2" s="946"/>
      <c r="KGR2" s="946"/>
      <c r="KGS2" s="946"/>
      <c r="KGT2" s="946"/>
      <c r="KGU2" s="946"/>
      <c r="KGV2" s="946"/>
      <c r="KGW2" s="946"/>
      <c r="KGX2" s="946"/>
      <c r="KGY2" s="946"/>
      <c r="KGZ2" s="946"/>
      <c r="KHA2" s="946"/>
      <c r="KHB2" s="946"/>
      <c r="KHC2" s="946"/>
      <c r="KHD2" s="946"/>
      <c r="KHE2" s="946"/>
      <c r="KHF2" s="946"/>
      <c r="KHG2" s="946"/>
      <c r="KHH2" s="946"/>
      <c r="KHI2" s="946"/>
      <c r="KHJ2" s="946"/>
      <c r="KHK2" s="946"/>
      <c r="KHL2" s="946"/>
      <c r="KHM2" s="946"/>
      <c r="KHN2" s="946"/>
      <c r="KHO2" s="946"/>
      <c r="KHP2" s="946"/>
      <c r="KHQ2" s="946"/>
      <c r="KHR2" s="946"/>
      <c r="KHS2" s="946"/>
      <c r="KHT2" s="946"/>
      <c r="KHU2" s="946"/>
      <c r="KHV2" s="946"/>
      <c r="KHW2" s="946"/>
      <c r="KHX2" s="946"/>
      <c r="KHY2" s="946"/>
      <c r="KHZ2" s="946"/>
      <c r="KIA2" s="946"/>
      <c r="KIB2" s="946"/>
      <c r="KIC2" s="946"/>
      <c r="KID2" s="946"/>
      <c r="KIE2" s="946"/>
      <c r="KIF2" s="946"/>
      <c r="KIG2" s="946"/>
      <c r="KIH2" s="946"/>
      <c r="KII2" s="946"/>
      <c r="KIJ2" s="946"/>
      <c r="KIK2" s="946"/>
      <c r="KIL2" s="946"/>
      <c r="KIM2" s="946"/>
      <c r="KIN2" s="946"/>
      <c r="KIO2" s="946"/>
      <c r="KIP2" s="946"/>
      <c r="KIQ2" s="946"/>
      <c r="KIR2" s="946"/>
      <c r="KIS2" s="946"/>
      <c r="KIT2" s="946"/>
      <c r="KIU2" s="946"/>
      <c r="KIV2" s="946"/>
      <c r="KIW2" s="946"/>
      <c r="KIX2" s="946"/>
      <c r="KIY2" s="946"/>
      <c r="KIZ2" s="946"/>
      <c r="KJA2" s="946"/>
      <c r="KJB2" s="946"/>
      <c r="KJC2" s="946"/>
      <c r="KJD2" s="946"/>
      <c r="KJE2" s="946"/>
      <c r="KJF2" s="946"/>
      <c r="KJG2" s="946"/>
      <c r="KJH2" s="946"/>
      <c r="KJI2" s="946"/>
      <c r="KJJ2" s="946"/>
      <c r="KJK2" s="946"/>
      <c r="KJL2" s="946"/>
      <c r="KJM2" s="946"/>
      <c r="KJN2" s="946"/>
      <c r="KJO2" s="946"/>
      <c r="KJP2" s="946"/>
      <c r="KJQ2" s="946"/>
      <c r="KJR2" s="946"/>
      <c r="KJS2" s="946"/>
      <c r="KJT2" s="946"/>
      <c r="KJU2" s="946"/>
      <c r="KJV2" s="946"/>
      <c r="KJW2" s="946"/>
      <c r="KJX2" s="946"/>
      <c r="KJY2" s="946"/>
      <c r="KJZ2" s="946"/>
      <c r="KKA2" s="946"/>
      <c r="KKB2" s="946"/>
      <c r="KKC2" s="946"/>
      <c r="KKD2" s="946"/>
      <c r="KKE2" s="946"/>
      <c r="KKF2" s="946"/>
      <c r="KKG2" s="946"/>
      <c r="KKH2" s="946"/>
      <c r="KKI2" s="946"/>
      <c r="KKJ2" s="946"/>
      <c r="KKK2" s="946"/>
      <c r="KKL2" s="946"/>
      <c r="KKM2" s="946"/>
      <c r="KKN2" s="946"/>
      <c r="KKO2" s="946"/>
      <c r="KKP2" s="946"/>
      <c r="KKQ2" s="946"/>
      <c r="KKR2" s="946"/>
      <c r="KKS2" s="946"/>
      <c r="KKT2" s="946"/>
      <c r="KKU2" s="946"/>
      <c r="KKV2" s="946"/>
      <c r="KKW2" s="946"/>
      <c r="KKX2" s="946"/>
      <c r="KKY2" s="946"/>
      <c r="KKZ2" s="946"/>
      <c r="KLA2" s="946"/>
      <c r="KLB2" s="946"/>
      <c r="KLC2" s="946"/>
      <c r="KLD2" s="946"/>
      <c r="KLE2" s="946"/>
      <c r="KLF2" s="946"/>
      <c r="KLG2" s="946"/>
      <c r="KLH2" s="946"/>
      <c r="KLI2" s="946"/>
      <c r="KLJ2" s="946"/>
      <c r="KLK2" s="946"/>
      <c r="KLL2" s="946"/>
      <c r="KLM2" s="946"/>
      <c r="KLN2" s="946"/>
      <c r="KLO2" s="946"/>
      <c r="KLP2" s="946"/>
      <c r="KLQ2" s="946"/>
      <c r="KLR2" s="946"/>
      <c r="KLS2" s="946"/>
      <c r="KLT2" s="946"/>
      <c r="KLU2" s="946"/>
      <c r="KLV2" s="946"/>
      <c r="KLW2" s="946"/>
      <c r="KLX2" s="946"/>
      <c r="KLY2" s="946"/>
      <c r="KLZ2" s="946"/>
      <c r="KMA2" s="946"/>
      <c r="KMB2" s="946"/>
      <c r="KMC2" s="946"/>
      <c r="KMD2" s="946"/>
      <c r="KME2" s="946"/>
      <c r="KMF2" s="946"/>
      <c r="KMG2" s="946"/>
      <c r="KMH2" s="946"/>
      <c r="KMI2" s="946"/>
      <c r="KMJ2" s="946"/>
      <c r="KMK2" s="946"/>
      <c r="KML2" s="946"/>
      <c r="KMM2" s="946"/>
      <c r="KMN2" s="946"/>
      <c r="KMO2" s="946"/>
      <c r="KMP2" s="946"/>
      <c r="KMQ2" s="946"/>
      <c r="KMR2" s="946"/>
      <c r="KMS2" s="946"/>
      <c r="KMT2" s="946"/>
      <c r="KMU2" s="946"/>
      <c r="KMV2" s="946"/>
      <c r="KMW2" s="946"/>
      <c r="KMX2" s="946"/>
      <c r="KMY2" s="946"/>
      <c r="KMZ2" s="946"/>
      <c r="KNA2" s="946"/>
      <c r="KNB2" s="946"/>
      <c r="KNC2" s="946"/>
      <c r="KND2" s="946"/>
      <c r="KNE2" s="946"/>
      <c r="KNF2" s="946"/>
      <c r="KNG2" s="946"/>
      <c r="KNH2" s="946"/>
      <c r="KNI2" s="946"/>
      <c r="KNJ2" s="946"/>
      <c r="KNK2" s="946"/>
      <c r="KNL2" s="946"/>
      <c r="KNM2" s="946"/>
      <c r="KNN2" s="946"/>
      <c r="KNO2" s="946"/>
      <c r="KNP2" s="946"/>
      <c r="KNQ2" s="946"/>
      <c r="KNR2" s="946"/>
      <c r="KNS2" s="946"/>
      <c r="KNT2" s="946"/>
      <c r="KNU2" s="946"/>
      <c r="KNV2" s="946"/>
      <c r="KNW2" s="946"/>
      <c r="KNX2" s="946"/>
      <c r="KNY2" s="946"/>
      <c r="KNZ2" s="946"/>
      <c r="KOA2" s="946"/>
      <c r="KOB2" s="946"/>
      <c r="KOC2" s="946"/>
      <c r="KOD2" s="946"/>
      <c r="KOE2" s="946"/>
      <c r="KOF2" s="946"/>
      <c r="KOG2" s="946"/>
      <c r="KOH2" s="946"/>
      <c r="KOI2" s="946"/>
      <c r="KOJ2" s="946"/>
      <c r="KOK2" s="946"/>
      <c r="KOL2" s="946"/>
      <c r="KOM2" s="946"/>
      <c r="KON2" s="946"/>
      <c r="KOO2" s="946"/>
      <c r="KOP2" s="946"/>
      <c r="KOQ2" s="946"/>
      <c r="KOR2" s="946"/>
      <c r="KOS2" s="946"/>
      <c r="KOT2" s="946"/>
      <c r="KOU2" s="946"/>
      <c r="KOV2" s="946"/>
      <c r="KOW2" s="946"/>
      <c r="KOX2" s="946"/>
      <c r="KOY2" s="946"/>
      <c r="KOZ2" s="946"/>
      <c r="KPA2" s="946"/>
      <c r="KPB2" s="946"/>
      <c r="KPC2" s="946"/>
      <c r="KPD2" s="946"/>
      <c r="KPE2" s="946"/>
      <c r="KPF2" s="946"/>
      <c r="KPG2" s="946"/>
      <c r="KPH2" s="946"/>
      <c r="KPI2" s="946"/>
      <c r="KPJ2" s="946"/>
      <c r="KPK2" s="946"/>
      <c r="KPL2" s="946"/>
      <c r="KPM2" s="946"/>
      <c r="KPN2" s="946"/>
      <c r="KPO2" s="946"/>
      <c r="KPP2" s="946"/>
      <c r="KPQ2" s="946"/>
      <c r="KPR2" s="946"/>
      <c r="KPS2" s="946"/>
      <c r="KPT2" s="946"/>
      <c r="KPU2" s="946"/>
      <c r="KPV2" s="946"/>
      <c r="KPW2" s="946"/>
      <c r="KPX2" s="946"/>
      <c r="KPY2" s="946"/>
      <c r="KPZ2" s="946"/>
      <c r="KQA2" s="946"/>
      <c r="KQB2" s="946"/>
      <c r="KQC2" s="946"/>
      <c r="KQD2" s="946"/>
      <c r="KQE2" s="946"/>
      <c r="KQF2" s="946"/>
      <c r="KQG2" s="946"/>
      <c r="KQH2" s="946"/>
      <c r="KQI2" s="946"/>
      <c r="KQJ2" s="946"/>
      <c r="KQK2" s="946"/>
      <c r="KQL2" s="946"/>
      <c r="KQM2" s="946"/>
      <c r="KQN2" s="946"/>
      <c r="KQO2" s="946"/>
      <c r="KQP2" s="946"/>
      <c r="KQQ2" s="946"/>
      <c r="KQR2" s="946"/>
      <c r="KQS2" s="946"/>
      <c r="KQT2" s="946"/>
      <c r="KQU2" s="946"/>
      <c r="KQV2" s="946"/>
      <c r="KQW2" s="946"/>
      <c r="KQX2" s="946"/>
      <c r="KQY2" s="946"/>
      <c r="KQZ2" s="946"/>
      <c r="KRA2" s="946"/>
      <c r="KRB2" s="946"/>
      <c r="KRC2" s="946"/>
      <c r="KRD2" s="946"/>
      <c r="KRE2" s="946"/>
      <c r="KRF2" s="946"/>
      <c r="KRG2" s="946"/>
      <c r="KRH2" s="946"/>
      <c r="KRI2" s="946"/>
      <c r="KRJ2" s="946"/>
      <c r="KRK2" s="946"/>
      <c r="KRL2" s="946"/>
      <c r="KRM2" s="946"/>
      <c r="KRN2" s="946"/>
      <c r="KRO2" s="946"/>
      <c r="KRP2" s="946"/>
      <c r="KRQ2" s="946"/>
      <c r="KRR2" s="946"/>
      <c r="KRS2" s="946"/>
      <c r="KRT2" s="946"/>
      <c r="KRU2" s="946"/>
      <c r="KRV2" s="946"/>
      <c r="KRW2" s="946"/>
      <c r="KRX2" s="946"/>
      <c r="KRY2" s="946"/>
      <c r="KRZ2" s="946"/>
      <c r="KSA2" s="946"/>
      <c r="KSB2" s="946"/>
      <c r="KSC2" s="946"/>
      <c r="KSD2" s="946"/>
      <c r="KSE2" s="946"/>
      <c r="KSF2" s="946"/>
      <c r="KSG2" s="946"/>
      <c r="KSH2" s="946"/>
      <c r="KSI2" s="946"/>
      <c r="KSJ2" s="946"/>
      <c r="KSK2" s="946"/>
      <c r="KSL2" s="946"/>
      <c r="KSM2" s="946"/>
      <c r="KSN2" s="946"/>
      <c r="KSO2" s="946"/>
      <c r="KSP2" s="946"/>
      <c r="KSQ2" s="946"/>
      <c r="KSR2" s="946"/>
      <c r="KSS2" s="946"/>
      <c r="KST2" s="946"/>
      <c r="KSU2" s="946"/>
      <c r="KSV2" s="946"/>
      <c r="KSW2" s="946"/>
      <c r="KSX2" s="946"/>
      <c r="KSY2" s="946"/>
      <c r="KSZ2" s="946"/>
      <c r="KTA2" s="946"/>
      <c r="KTB2" s="946"/>
      <c r="KTC2" s="946"/>
      <c r="KTD2" s="946"/>
      <c r="KTE2" s="946"/>
      <c r="KTF2" s="946"/>
      <c r="KTG2" s="946"/>
      <c r="KTH2" s="946"/>
      <c r="KTI2" s="946"/>
      <c r="KTJ2" s="946"/>
      <c r="KTK2" s="946"/>
      <c r="KTL2" s="946"/>
      <c r="KTM2" s="946"/>
      <c r="KTN2" s="946"/>
      <c r="KTO2" s="946"/>
      <c r="KTP2" s="946"/>
      <c r="KTQ2" s="946"/>
      <c r="KTR2" s="946"/>
      <c r="KTS2" s="946"/>
      <c r="KTT2" s="946"/>
      <c r="KTU2" s="946"/>
      <c r="KTV2" s="946"/>
      <c r="KTW2" s="946"/>
      <c r="KTX2" s="946"/>
      <c r="KTY2" s="946"/>
      <c r="KTZ2" s="946"/>
      <c r="KUA2" s="946"/>
      <c r="KUB2" s="946"/>
      <c r="KUC2" s="946"/>
      <c r="KUD2" s="946"/>
      <c r="KUE2" s="946"/>
      <c r="KUF2" s="946"/>
      <c r="KUG2" s="946"/>
      <c r="KUH2" s="946"/>
      <c r="KUI2" s="946"/>
      <c r="KUJ2" s="946"/>
      <c r="KUK2" s="946"/>
      <c r="KUL2" s="946"/>
      <c r="KUM2" s="946"/>
      <c r="KUN2" s="946"/>
      <c r="KUO2" s="946"/>
      <c r="KUP2" s="946"/>
      <c r="KUQ2" s="946"/>
      <c r="KUR2" s="946"/>
      <c r="KUS2" s="946"/>
      <c r="KUT2" s="946"/>
      <c r="KUU2" s="946"/>
      <c r="KUV2" s="946"/>
      <c r="KUW2" s="946"/>
      <c r="KUX2" s="946"/>
      <c r="KUY2" s="946"/>
      <c r="KUZ2" s="946"/>
      <c r="KVA2" s="946"/>
      <c r="KVB2" s="946"/>
      <c r="KVC2" s="946"/>
      <c r="KVD2" s="946"/>
      <c r="KVE2" s="946"/>
      <c r="KVF2" s="946"/>
      <c r="KVG2" s="946"/>
      <c r="KVH2" s="946"/>
      <c r="KVI2" s="946"/>
      <c r="KVJ2" s="946"/>
      <c r="KVK2" s="946"/>
      <c r="KVL2" s="946"/>
      <c r="KVM2" s="946"/>
      <c r="KVN2" s="946"/>
      <c r="KVO2" s="946"/>
      <c r="KVP2" s="946"/>
      <c r="KVQ2" s="946"/>
      <c r="KVR2" s="946"/>
      <c r="KVS2" s="946"/>
      <c r="KVT2" s="946"/>
      <c r="KVU2" s="946"/>
      <c r="KVV2" s="946"/>
      <c r="KVW2" s="946"/>
      <c r="KVX2" s="946"/>
      <c r="KVY2" s="946"/>
      <c r="KVZ2" s="946"/>
      <c r="KWA2" s="946"/>
      <c r="KWB2" s="946"/>
      <c r="KWC2" s="946"/>
      <c r="KWD2" s="946"/>
      <c r="KWE2" s="946"/>
      <c r="KWF2" s="946"/>
      <c r="KWG2" s="946"/>
      <c r="KWH2" s="946"/>
      <c r="KWI2" s="946"/>
      <c r="KWJ2" s="946"/>
      <c r="KWK2" s="946"/>
      <c r="KWL2" s="946"/>
      <c r="KWM2" s="946"/>
      <c r="KWN2" s="946"/>
      <c r="KWO2" s="946"/>
      <c r="KWP2" s="946"/>
      <c r="KWQ2" s="946"/>
      <c r="KWR2" s="946"/>
      <c r="KWS2" s="946"/>
      <c r="KWT2" s="946"/>
      <c r="KWU2" s="946"/>
      <c r="KWV2" s="946"/>
      <c r="KWW2" s="946"/>
      <c r="KWX2" s="946"/>
      <c r="KWY2" s="946"/>
      <c r="KWZ2" s="946"/>
      <c r="KXA2" s="946"/>
      <c r="KXB2" s="946"/>
      <c r="KXC2" s="946"/>
      <c r="KXD2" s="946"/>
      <c r="KXE2" s="946"/>
      <c r="KXF2" s="946"/>
      <c r="KXG2" s="946"/>
      <c r="KXH2" s="946"/>
      <c r="KXI2" s="946"/>
      <c r="KXJ2" s="946"/>
      <c r="KXK2" s="946"/>
      <c r="KXL2" s="946"/>
      <c r="KXM2" s="946"/>
      <c r="KXN2" s="946"/>
      <c r="KXO2" s="946"/>
      <c r="KXP2" s="946"/>
      <c r="KXQ2" s="946"/>
      <c r="KXR2" s="946"/>
      <c r="KXS2" s="946"/>
      <c r="KXT2" s="946"/>
      <c r="KXU2" s="946"/>
      <c r="KXV2" s="946"/>
      <c r="KXW2" s="946"/>
      <c r="KXX2" s="946"/>
      <c r="KXY2" s="946"/>
      <c r="KXZ2" s="946"/>
      <c r="KYA2" s="946"/>
      <c r="KYB2" s="946"/>
      <c r="KYC2" s="946"/>
      <c r="KYD2" s="946"/>
      <c r="KYE2" s="946"/>
      <c r="KYF2" s="946"/>
      <c r="KYG2" s="946"/>
      <c r="KYH2" s="946"/>
      <c r="KYI2" s="946"/>
      <c r="KYJ2" s="946"/>
      <c r="KYK2" s="946"/>
      <c r="KYL2" s="946"/>
      <c r="KYM2" s="946"/>
      <c r="KYN2" s="946"/>
      <c r="KYO2" s="946"/>
      <c r="KYP2" s="946"/>
      <c r="KYQ2" s="946"/>
      <c r="KYR2" s="946"/>
      <c r="KYS2" s="946"/>
      <c r="KYT2" s="946"/>
      <c r="KYU2" s="946"/>
      <c r="KYV2" s="946"/>
      <c r="KYW2" s="946"/>
      <c r="KYX2" s="946"/>
      <c r="KYY2" s="946"/>
      <c r="KYZ2" s="946"/>
      <c r="KZA2" s="946"/>
      <c r="KZB2" s="946"/>
      <c r="KZC2" s="946"/>
      <c r="KZD2" s="946"/>
      <c r="KZE2" s="946"/>
      <c r="KZF2" s="946"/>
      <c r="KZG2" s="946"/>
      <c r="KZH2" s="946"/>
      <c r="KZI2" s="946"/>
      <c r="KZJ2" s="946"/>
      <c r="KZK2" s="946"/>
      <c r="KZL2" s="946"/>
      <c r="KZM2" s="946"/>
      <c r="KZN2" s="946"/>
      <c r="KZO2" s="946"/>
      <c r="KZP2" s="946"/>
      <c r="KZQ2" s="946"/>
      <c r="KZR2" s="946"/>
      <c r="KZS2" s="946"/>
      <c r="KZT2" s="946"/>
      <c r="KZU2" s="946"/>
      <c r="KZV2" s="946"/>
      <c r="KZW2" s="946"/>
      <c r="KZX2" s="946"/>
      <c r="KZY2" s="946"/>
      <c r="KZZ2" s="946"/>
      <c r="LAA2" s="946"/>
      <c r="LAB2" s="946"/>
      <c r="LAC2" s="946"/>
      <c r="LAD2" s="946"/>
      <c r="LAE2" s="946"/>
      <c r="LAF2" s="946"/>
      <c r="LAG2" s="946"/>
      <c r="LAH2" s="946"/>
      <c r="LAI2" s="946"/>
      <c r="LAJ2" s="946"/>
      <c r="LAK2" s="946"/>
      <c r="LAL2" s="946"/>
      <c r="LAM2" s="946"/>
      <c r="LAN2" s="946"/>
      <c r="LAO2" s="946"/>
      <c r="LAP2" s="946"/>
      <c r="LAQ2" s="946"/>
      <c r="LAR2" s="946"/>
      <c r="LAS2" s="946"/>
      <c r="LAT2" s="946"/>
      <c r="LAU2" s="946"/>
      <c r="LAV2" s="946"/>
      <c r="LAW2" s="946"/>
      <c r="LAX2" s="946"/>
      <c r="LAY2" s="946"/>
      <c r="LAZ2" s="946"/>
      <c r="LBA2" s="946"/>
      <c r="LBB2" s="946"/>
      <c r="LBC2" s="946"/>
      <c r="LBD2" s="946"/>
      <c r="LBE2" s="946"/>
      <c r="LBF2" s="946"/>
      <c r="LBG2" s="946"/>
      <c r="LBH2" s="946"/>
      <c r="LBI2" s="946"/>
      <c r="LBJ2" s="946"/>
      <c r="LBK2" s="946"/>
      <c r="LBL2" s="946"/>
      <c r="LBM2" s="946"/>
      <c r="LBN2" s="946"/>
      <c r="LBO2" s="946"/>
      <c r="LBP2" s="946"/>
      <c r="LBQ2" s="946"/>
      <c r="LBR2" s="946"/>
      <c r="LBS2" s="946"/>
      <c r="LBT2" s="946"/>
      <c r="LBU2" s="946"/>
      <c r="LBV2" s="946"/>
      <c r="LBW2" s="946"/>
      <c r="LBX2" s="946"/>
      <c r="LBY2" s="946"/>
      <c r="LBZ2" s="946"/>
      <c r="LCA2" s="946"/>
      <c r="LCB2" s="946"/>
      <c r="LCC2" s="946"/>
      <c r="LCD2" s="946"/>
      <c r="LCE2" s="946"/>
      <c r="LCF2" s="946"/>
      <c r="LCG2" s="946"/>
      <c r="LCH2" s="946"/>
      <c r="LCI2" s="946"/>
      <c r="LCJ2" s="946"/>
      <c r="LCK2" s="946"/>
      <c r="LCL2" s="946"/>
      <c r="LCM2" s="946"/>
      <c r="LCN2" s="946"/>
      <c r="LCO2" s="946"/>
      <c r="LCP2" s="946"/>
      <c r="LCQ2" s="946"/>
      <c r="LCR2" s="946"/>
      <c r="LCS2" s="946"/>
      <c r="LCT2" s="946"/>
      <c r="LCU2" s="946"/>
      <c r="LCV2" s="946"/>
      <c r="LCW2" s="946"/>
      <c r="LCX2" s="946"/>
      <c r="LCY2" s="946"/>
      <c r="LCZ2" s="946"/>
      <c r="LDA2" s="946"/>
      <c r="LDB2" s="946"/>
      <c r="LDC2" s="946"/>
      <c r="LDD2" s="946"/>
      <c r="LDE2" s="946"/>
      <c r="LDF2" s="946"/>
      <c r="LDG2" s="946"/>
      <c r="LDH2" s="946"/>
      <c r="LDI2" s="946"/>
      <c r="LDJ2" s="946"/>
      <c r="LDK2" s="946"/>
      <c r="LDL2" s="946"/>
      <c r="LDM2" s="946"/>
      <c r="LDN2" s="946"/>
      <c r="LDO2" s="946"/>
      <c r="LDP2" s="946"/>
      <c r="LDQ2" s="946"/>
      <c r="LDR2" s="946"/>
      <c r="LDS2" s="946"/>
      <c r="LDT2" s="946"/>
      <c r="LDU2" s="946"/>
      <c r="LDV2" s="946"/>
      <c r="LDW2" s="946"/>
      <c r="LDX2" s="946"/>
      <c r="LDY2" s="946"/>
      <c r="LDZ2" s="946"/>
      <c r="LEA2" s="946"/>
      <c r="LEB2" s="946"/>
      <c r="LEC2" s="946"/>
      <c r="LED2" s="946"/>
      <c r="LEE2" s="946"/>
      <c r="LEF2" s="946"/>
      <c r="LEG2" s="946"/>
      <c r="LEH2" s="946"/>
      <c r="LEI2" s="946"/>
      <c r="LEJ2" s="946"/>
      <c r="LEK2" s="946"/>
      <c r="LEL2" s="946"/>
      <c r="LEM2" s="946"/>
      <c r="LEN2" s="946"/>
      <c r="LEO2" s="946"/>
      <c r="LEP2" s="946"/>
      <c r="LEQ2" s="946"/>
      <c r="LER2" s="946"/>
      <c r="LES2" s="946"/>
      <c r="LET2" s="946"/>
      <c r="LEU2" s="946"/>
      <c r="LEV2" s="946"/>
      <c r="LEW2" s="946"/>
      <c r="LEX2" s="946"/>
      <c r="LEY2" s="946"/>
      <c r="LEZ2" s="946"/>
      <c r="LFA2" s="946"/>
      <c r="LFB2" s="946"/>
      <c r="LFC2" s="946"/>
      <c r="LFD2" s="946"/>
      <c r="LFE2" s="946"/>
      <c r="LFF2" s="946"/>
      <c r="LFG2" s="946"/>
      <c r="LFH2" s="946"/>
      <c r="LFI2" s="946"/>
      <c r="LFJ2" s="946"/>
      <c r="LFK2" s="946"/>
      <c r="LFL2" s="946"/>
      <c r="LFM2" s="946"/>
      <c r="LFN2" s="946"/>
      <c r="LFO2" s="946"/>
      <c r="LFP2" s="946"/>
      <c r="LFQ2" s="946"/>
      <c r="LFR2" s="946"/>
      <c r="LFS2" s="946"/>
      <c r="LFT2" s="946"/>
      <c r="LFU2" s="946"/>
      <c r="LFV2" s="946"/>
      <c r="LFW2" s="946"/>
      <c r="LFX2" s="946"/>
      <c r="LFY2" s="946"/>
      <c r="LFZ2" s="946"/>
      <c r="LGA2" s="946"/>
      <c r="LGB2" s="946"/>
      <c r="LGC2" s="946"/>
      <c r="LGD2" s="946"/>
      <c r="LGE2" s="946"/>
      <c r="LGF2" s="946"/>
      <c r="LGG2" s="946"/>
      <c r="LGH2" s="946"/>
      <c r="LGI2" s="946"/>
      <c r="LGJ2" s="946"/>
      <c r="LGK2" s="946"/>
      <c r="LGL2" s="946"/>
      <c r="LGM2" s="946"/>
      <c r="LGN2" s="946"/>
      <c r="LGO2" s="946"/>
      <c r="LGP2" s="946"/>
      <c r="LGQ2" s="946"/>
      <c r="LGR2" s="946"/>
      <c r="LGS2" s="946"/>
      <c r="LGT2" s="946"/>
      <c r="LGU2" s="946"/>
      <c r="LGV2" s="946"/>
      <c r="LGW2" s="946"/>
      <c r="LGX2" s="946"/>
      <c r="LGY2" s="946"/>
      <c r="LGZ2" s="946"/>
      <c r="LHA2" s="946"/>
      <c r="LHB2" s="946"/>
      <c r="LHC2" s="946"/>
      <c r="LHD2" s="946"/>
      <c r="LHE2" s="946"/>
      <c r="LHF2" s="946"/>
      <c r="LHG2" s="946"/>
      <c r="LHH2" s="946"/>
      <c r="LHI2" s="946"/>
      <c r="LHJ2" s="946"/>
      <c r="LHK2" s="946"/>
      <c r="LHL2" s="946"/>
      <c r="LHM2" s="946"/>
      <c r="LHN2" s="946"/>
      <c r="LHO2" s="946"/>
      <c r="LHP2" s="946"/>
      <c r="LHQ2" s="946"/>
      <c r="LHR2" s="946"/>
      <c r="LHS2" s="946"/>
      <c r="LHT2" s="946"/>
      <c r="LHU2" s="946"/>
      <c r="LHV2" s="946"/>
      <c r="LHW2" s="946"/>
      <c r="LHX2" s="946"/>
      <c r="LHY2" s="946"/>
      <c r="LHZ2" s="946"/>
      <c r="LIA2" s="946"/>
      <c r="LIB2" s="946"/>
      <c r="LIC2" s="946"/>
      <c r="LID2" s="946"/>
      <c r="LIE2" s="946"/>
      <c r="LIF2" s="946"/>
      <c r="LIG2" s="946"/>
      <c r="LIH2" s="946"/>
      <c r="LII2" s="946"/>
      <c r="LIJ2" s="946"/>
      <c r="LIK2" s="946"/>
      <c r="LIL2" s="946"/>
      <c r="LIM2" s="946"/>
      <c r="LIN2" s="946"/>
      <c r="LIO2" s="946"/>
      <c r="LIP2" s="946"/>
      <c r="LIQ2" s="946"/>
      <c r="LIR2" s="946"/>
      <c r="LIS2" s="946"/>
      <c r="LIT2" s="946"/>
      <c r="LIU2" s="946"/>
      <c r="LIV2" s="946"/>
      <c r="LIW2" s="946"/>
      <c r="LIX2" s="946"/>
      <c r="LIY2" s="946"/>
      <c r="LIZ2" s="946"/>
      <c r="LJA2" s="946"/>
      <c r="LJB2" s="946"/>
      <c r="LJC2" s="946"/>
      <c r="LJD2" s="946"/>
      <c r="LJE2" s="946"/>
      <c r="LJF2" s="946"/>
      <c r="LJG2" s="946"/>
      <c r="LJH2" s="946"/>
      <c r="LJI2" s="946"/>
      <c r="LJJ2" s="946"/>
      <c r="LJK2" s="946"/>
      <c r="LJL2" s="946"/>
      <c r="LJM2" s="946"/>
      <c r="LJN2" s="946"/>
      <c r="LJO2" s="946"/>
      <c r="LJP2" s="946"/>
      <c r="LJQ2" s="946"/>
      <c r="LJR2" s="946"/>
      <c r="LJS2" s="946"/>
      <c r="LJT2" s="946"/>
      <c r="LJU2" s="946"/>
      <c r="LJV2" s="946"/>
      <c r="LJW2" s="946"/>
      <c r="LJX2" s="946"/>
      <c r="LJY2" s="946"/>
      <c r="LJZ2" s="946"/>
      <c r="LKA2" s="946"/>
      <c r="LKB2" s="946"/>
      <c r="LKC2" s="946"/>
      <c r="LKD2" s="946"/>
      <c r="LKE2" s="946"/>
      <c r="LKF2" s="946"/>
      <c r="LKG2" s="946"/>
      <c r="LKH2" s="946"/>
      <c r="LKI2" s="946"/>
      <c r="LKJ2" s="946"/>
      <c r="LKK2" s="946"/>
      <c r="LKL2" s="946"/>
      <c r="LKM2" s="946"/>
      <c r="LKN2" s="946"/>
      <c r="LKO2" s="946"/>
      <c r="LKP2" s="946"/>
      <c r="LKQ2" s="946"/>
      <c r="LKR2" s="946"/>
      <c r="LKS2" s="946"/>
      <c r="LKT2" s="946"/>
      <c r="LKU2" s="946"/>
      <c r="LKV2" s="946"/>
      <c r="LKW2" s="946"/>
      <c r="LKX2" s="946"/>
      <c r="LKY2" s="946"/>
      <c r="LKZ2" s="946"/>
      <c r="LLA2" s="946"/>
      <c r="LLB2" s="946"/>
      <c r="LLC2" s="946"/>
      <c r="LLD2" s="946"/>
      <c r="LLE2" s="946"/>
      <c r="LLF2" s="946"/>
      <c r="LLG2" s="946"/>
      <c r="LLH2" s="946"/>
      <c r="LLI2" s="946"/>
      <c r="LLJ2" s="946"/>
      <c r="LLK2" s="946"/>
      <c r="LLL2" s="946"/>
      <c r="LLM2" s="946"/>
      <c r="LLN2" s="946"/>
      <c r="LLO2" s="946"/>
      <c r="LLP2" s="946"/>
      <c r="LLQ2" s="946"/>
      <c r="LLR2" s="946"/>
      <c r="LLS2" s="946"/>
      <c r="LLT2" s="946"/>
      <c r="LLU2" s="946"/>
      <c r="LLV2" s="946"/>
      <c r="LLW2" s="946"/>
      <c r="LLX2" s="946"/>
      <c r="LLY2" s="946"/>
      <c r="LLZ2" s="946"/>
      <c r="LMA2" s="946"/>
      <c r="LMB2" s="946"/>
      <c r="LMC2" s="946"/>
      <c r="LMD2" s="946"/>
      <c r="LME2" s="946"/>
      <c r="LMF2" s="946"/>
      <c r="LMG2" s="946"/>
      <c r="LMH2" s="946"/>
      <c r="LMI2" s="946"/>
      <c r="LMJ2" s="946"/>
      <c r="LMK2" s="946"/>
      <c r="LML2" s="946"/>
      <c r="LMM2" s="946"/>
      <c r="LMN2" s="946"/>
      <c r="LMO2" s="946"/>
      <c r="LMP2" s="946"/>
      <c r="LMQ2" s="946"/>
      <c r="LMR2" s="946"/>
      <c r="LMS2" s="946"/>
      <c r="LMT2" s="946"/>
      <c r="LMU2" s="946"/>
      <c r="LMV2" s="946"/>
      <c r="LMW2" s="946"/>
      <c r="LMX2" s="946"/>
      <c r="LMY2" s="946"/>
      <c r="LMZ2" s="946"/>
      <c r="LNA2" s="946"/>
      <c r="LNB2" s="946"/>
      <c r="LNC2" s="946"/>
      <c r="LND2" s="946"/>
      <c r="LNE2" s="946"/>
      <c r="LNF2" s="946"/>
      <c r="LNG2" s="946"/>
      <c r="LNH2" s="946"/>
      <c r="LNI2" s="946"/>
      <c r="LNJ2" s="946"/>
      <c r="LNK2" s="946"/>
      <c r="LNL2" s="946"/>
      <c r="LNM2" s="946"/>
      <c r="LNN2" s="946"/>
      <c r="LNO2" s="946"/>
      <c r="LNP2" s="946"/>
      <c r="LNQ2" s="946"/>
      <c r="LNR2" s="946"/>
      <c r="LNS2" s="946"/>
      <c r="LNT2" s="946"/>
      <c r="LNU2" s="946"/>
      <c r="LNV2" s="946"/>
      <c r="LNW2" s="946"/>
      <c r="LNX2" s="946"/>
      <c r="LNY2" s="946"/>
      <c r="LNZ2" s="946"/>
      <c r="LOA2" s="946"/>
      <c r="LOB2" s="946"/>
      <c r="LOC2" s="946"/>
      <c r="LOD2" s="946"/>
      <c r="LOE2" s="946"/>
      <c r="LOF2" s="946"/>
      <c r="LOG2" s="946"/>
      <c r="LOH2" s="946"/>
      <c r="LOI2" s="946"/>
      <c r="LOJ2" s="946"/>
      <c r="LOK2" s="946"/>
      <c r="LOL2" s="946"/>
      <c r="LOM2" s="946"/>
      <c r="LON2" s="946"/>
      <c r="LOO2" s="946"/>
      <c r="LOP2" s="946"/>
      <c r="LOQ2" s="946"/>
      <c r="LOR2" s="946"/>
      <c r="LOS2" s="946"/>
      <c r="LOT2" s="946"/>
      <c r="LOU2" s="946"/>
      <c r="LOV2" s="946"/>
      <c r="LOW2" s="946"/>
      <c r="LOX2" s="946"/>
      <c r="LOY2" s="946"/>
      <c r="LOZ2" s="946"/>
      <c r="LPA2" s="946"/>
      <c r="LPB2" s="946"/>
      <c r="LPC2" s="946"/>
      <c r="LPD2" s="946"/>
      <c r="LPE2" s="946"/>
      <c r="LPF2" s="946"/>
      <c r="LPG2" s="946"/>
      <c r="LPH2" s="946"/>
      <c r="LPI2" s="946"/>
      <c r="LPJ2" s="946"/>
      <c r="LPK2" s="946"/>
      <c r="LPL2" s="946"/>
      <c r="LPM2" s="946"/>
      <c r="LPN2" s="946"/>
      <c r="LPO2" s="946"/>
      <c r="LPP2" s="946"/>
      <c r="LPQ2" s="946"/>
      <c r="LPR2" s="946"/>
      <c r="LPS2" s="946"/>
      <c r="LPT2" s="946"/>
      <c r="LPU2" s="946"/>
      <c r="LPV2" s="946"/>
      <c r="LPW2" s="946"/>
      <c r="LPX2" s="946"/>
      <c r="LPY2" s="946"/>
      <c r="LPZ2" s="946"/>
      <c r="LQA2" s="946"/>
      <c r="LQB2" s="946"/>
      <c r="LQC2" s="946"/>
      <c r="LQD2" s="946"/>
      <c r="LQE2" s="946"/>
      <c r="LQF2" s="946"/>
      <c r="LQG2" s="946"/>
      <c r="LQH2" s="946"/>
      <c r="LQI2" s="946"/>
      <c r="LQJ2" s="946"/>
      <c r="LQK2" s="946"/>
      <c r="LQL2" s="946"/>
      <c r="LQM2" s="946"/>
      <c r="LQN2" s="946"/>
      <c r="LQO2" s="946"/>
      <c r="LQP2" s="946"/>
      <c r="LQQ2" s="946"/>
      <c r="LQR2" s="946"/>
      <c r="LQS2" s="946"/>
      <c r="LQT2" s="946"/>
      <c r="LQU2" s="946"/>
      <c r="LQV2" s="946"/>
      <c r="LQW2" s="946"/>
      <c r="LQX2" s="946"/>
      <c r="LQY2" s="946"/>
      <c r="LQZ2" s="946"/>
      <c r="LRA2" s="946"/>
      <c r="LRB2" s="946"/>
      <c r="LRC2" s="946"/>
      <c r="LRD2" s="946"/>
      <c r="LRE2" s="946"/>
      <c r="LRF2" s="946"/>
      <c r="LRG2" s="946"/>
      <c r="LRH2" s="946"/>
      <c r="LRI2" s="946"/>
      <c r="LRJ2" s="946"/>
      <c r="LRK2" s="946"/>
      <c r="LRL2" s="946"/>
      <c r="LRM2" s="946"/>
      <c r="LRN2" s="946"/>
      <c r="LRO2" s="946"/>
      <c r="LRP2" s="946"/>
      <c r="LRQ2" s="946"/>
      <c r="LRR2" s="946"/>
      <c r="LRS2" s="946"/>
      <c r="LRT2" s="946"/>
      <c r="LRU2" s="946"/>
      <c r="LRV2" s="946"/>
      <c r="LRW2" s="946"/>
      <c r="LRX2" s="946"/>
      <c r="LRY2" s="946"/>
      <c r="LRZ2" s="946"/>
      <c r="LSA2" s="946"/>
      <c r="LSB2" s="946"/>
      <c r="LSC2" s="946"/>
      <c r="LSD2" s="946"/>
      <c r="LSE2" s="946"/>
      <c r="LSF2" s="946"/>
      <c r="LSG2" s="946"/>
      <c r="LSH2" s="946"/>
      <c r="LSI2" s="946"/>
      <c r="LSJ2" s="946"/>
      <c r="LSK2" s="946"/>
      <c r="LSL2" s="946"/>
      <c r="LSM2" s="946"/>
      <c r="LSN2" s="946"/>
      <c r="LSO2" s="946"/>
      <c r="LSP2" s="946"/>
      <c r="LSQ2" s="946"/>
      <c r="LSR2" s="946"/>
      <c r="LSS2" s="946"/>
      <c r="LST2" s="946"/>
      <c r="LSU2" s="946"/>
      <c r="LSV2" s="946"/>
      <c r="LSW2" s="946"/>
      <c r="LSX2" s="946"/>
      <c r="LSY2" s="946"/>
      <c r="LSZ2" s="946"/>
      <c r="LTA2" s="946"/>
      <c r="LTB2" s="946"/>
      <c r="LTC2" s="946"/>
      <c r="LTD2" s="946"/>
      <c r="LTE2" s="946"/>
      <c r="LTF2" s="946"/>
      <c r="LTG2" s="946"/>
      <c r="LTH2" s="946"/>
      <c r="LTI2" s="946"/>
      <c r="LTJ2" s="946"/>
      <c r="LTK2" s="946"/>
      <c r="LTL2" s="946"/>
      <c r="LTM2" s="946"/>
      <c r="LTN2" s="946"/>
      <c r="LTO2" s="946"/>
      <c r="LTP2" s="946"/>
      <c r="LTQ2" s="946"/>
      <c r="LTR2" s="946"/>
      <c r="LTS2" s="946"/>
      <c r="LTT2" s="946"/>
      <c r="LTU2" s="946"/>
      <c r="LTV2" s="946"/>
      <c r="LTW2" s="946"/>
      <c r="LTX2" s="946"/>
      <c r="LTY2" s="946"/>
      <c r="LTZ2" s="946"/>
      <c r="LUA2" s="946"/>
      <c r="LUB2" s="946"/>
      <c r="LUC2" s="946"/>
      <c r="LUD2" s="946"/>
      <c r="LUE2" s="946"/>
      <c r="LUF2" s="946"/>
      <c r="LUG2" s="946"/>
      <c r="LUH2" s="946"/>
      <c r="LUI2" s="946"/>
      <c r="LUJ2" s="946"/>
      <c r="LUK2" s="946"/>
      <c r="LUL2" s="946"/>
      <c r="LUM2" s="946"/>
      <c r="LUN2" s="946"/>
      <c r="LUO2" s="946"/>
      <c r="LUP2" s="946"/>
      <c r="LUQ2" s="946"/>
      <c r="LUR2" s="946"/>
      <c r="LUS2" s="946"/>
      <c r="LUT2" s="946"/>
      <c r="LUU2" s="946"/>
      <c r="LUV2" s="946"/>
      <c r="LUW2" s="946"/>
      <c r="LUX2" s="946"/>
      <c r="LUY2" s="946"/>
      <c r="LUZ2" s="946"/>
      <c r="LVA2" s="946"/>
      <c r="LVB2" s="946"/>
      <c r="LVC2" s="946"/>
      <c r="LVD2" s="946"/>
      <c r="LVE2" s="946"/>
      <c r="LVF2" s="946"/>
      <c r="LVG2" s="946"/>
      <c r="LVH2" s="946"/>
      <c r="LVI2" s="946"/>
      <c r="LVJ2" s="946"/>
      <c r="LVK2" s="946"/>
      <c r="LVL2" s="946"/>
      <c r="LVM2" s="946"/>
      <c r="LVN2" s="946"/>
      <c r="LVO2" s="946"/>
      <c r="LVP2" s="946"/>
      <c r="LVQ2" s="946"/>
      <c r="LVR2" s="946"/>
      <c r="LVS2" s="946"/>
      <c r="LVT2" s="946"/>
      <c r="LVU2" s="946"/>
      <c r="LVV2" s="946"/>
      <c r="LVW2" s="946"/>
      <c r="LVX2" s="946"/>
      <c r="LVY2" s="946"/>
      <c r="LVZ2" s="946"/>
      <c r="LWA2" s="946"/>
      <c r="LWB2" s="946"/>
      <c r="LWC2" s="946"/>
      <c r="LWD2" s="946"/>
      <c r="LWE2" s="946"/>
      <c r="LWF2" s="946"/>
      <c r="LWG2" s="946"/>
      <c r="LWH2" s="946"/>
      <c r="LWI2" s="946"/>
      <c r="LWJ2" s="946"/>
      <c r="LWK2" s="946"/>
      <c r="LWL2" s="946"/>
      <c r="LWM2" s="946"/>
      <c r="LWN2" s="946"/>
      <c r="LWO2" s="946"/>
      <c r="LWP2" s="946"/>
      <c r="LWQ2" s="946"/>
      <c r="LWR2" s="946"/>
      <c r="LWS2" s="946"/>
      <c r="LWT2" s="946"/>
      <c r="LWU2" s="946"/>
      <c r="LWV2" s="946"/>
      <c r="LWW2" s="946"/>
      <c r="LWX2" s="946"/>
      <c r="LWY2" s="946"/>
      <c r="LWZ2" s="946"/>
      <c r="LXA2" s="946"/>
      <c r="LXB2" s="946"/>
      <c r="LXC2" s="946"/>
      <c r="LXD2" s="946"/>
      <c r="LXE2" s="946"/>
      <c r="LXF2" s="946"/>
      <c r="LXG2" s="946"/>
      <c r="LXH2" s="946"/>
      <c r="LXI2" s="946"/>
      <c r="LXJ2" s="946"/>
      <c r="LXK2" s="946"/>
      <c r="LXL2" s="946"/>
      <c r="LXM2" s="946"/>
      <c r="LXN2" s="946"/>
      <c r="LXO2" s="946"/>
      <c r="LXP2" s="946"/>
      <c r="LXQ2" s="946"/>
      <c r="LXR2" s="946"/>
      <c r="LXS2" s="946"/>
      <c r="LXT2" s="946"/>
      <c r="LXU2" s="946"/>
      <c r="LXV2" s="946"/>
      <c r="LXW2" s="946"/>
      <c r="LXX2" s="946"/>
      <c r="LXY2" s="946"/>
      <c r="LXZ2" s="946"/>
      <c r="LYA2" s="946"/>
      <c r="LYB2" s="946"/>
      <c r="LYC2" s="946"/>
      <c r="LYD2" s="946"/>
      <c r="LYE2" s="946"/>
      <c r="LYF2" s="946"/>
      <c r="LYG2" s="946"/>
      <c r="LYH2" s="946"/>
      <c r="LYI2" s="946"/>
      <c r="LYJ2" s="946"/>
      <c r="LYK2" s="946"/>
      <c r="LYL2" s="946"/>
      <c r="LYM2" s="946"/>
      <c r="LYN2" s="946"/>
      <c r="LYO2" s="946"/>
      <c r="LYP2" s="946"/>
      <c r="LYQ2" s="946"/>
      <c r="LYR2" s="946"/>
      <c r="LYS2" s="946"/>
      <c r="LYT2" s="946"/>
      <c r="LYU2" s="946"/>
      <c r="LYV2" s="946"/>
      <c r="LYW2" s="946"/>
      <c r="LYX2" s="946"/>
      <c r="LYY2" s="946"/>
      <c r="LYZ2" s="946"/>
      <c r="LZA2" s="946"/>
      <c r="LZB2" s="946"/>
      <c r="LZC2" s="946"/>
      <c r="LZD2" s="946"/>
      <c r="LZE2" s="946"/>
      <c r="LZF2" s="946"/>
      <c r="LZG2" s="946"/>
      <c r="LZH2" s="946"/>
      <c r="LZI2" s="946"/>
      <c r="LZJ2" s="946"/>
      <c r="LZK2" s="946"/>
      <c r="LZL2" s="946"/>
      <c r="LZM2" s="946"/>
      <c r="LZN2" s="946"/>
      <c r="LZO2" s="946"/>
      <c r="LZP2" s="946"/>
      <c r="LZQ2" s="946"/>
      <c r="LZR2" s="946"/>
      <c r="LZS2" s="946"/>
      <c r="LZT2" s="946"/>
      <c r="LZU2" s="946"/>
      <c r="LZV2" s="946"/>
      <c r="LZW2" s="946"/>
      <c r="LZX2" s="946"/>
      <c r="LZY2" s="946"/>
      <c r="LZZ2" s="946"/>
      <c r="MAA2" s="946"/>
      <c r="MAB2" s="946"/>
      <c r="MAC2" s="946"/>
      <c r="MAD2" s="946"/>
      <c r="MAE2" s="946"/>
      <c r="MAF2" s="946"/>
      <c r="MAG2" s="946"/>
      <c r="MAH2" s="946"/>
      <c r="MAI2" s="946"/>
      <c r="MAJ2" s="946"/>
      <c r="MAK2" s="946"/>
      <c r="MAL2" s="946"/>
      <c r="MAM2" s="946"/>
      <c r="MAN2" s="946"/>
      <c r="MAO2" s="946"/>
      <c r="MAP2" s="946"/>
      <c r="MAQ2" s="946"/>
      <c r="MAR2" s="946"/>
      <c r="MAS2" s="946"/>
      <c r="MAT2" s="946"/>
      <c r="MAU2" s="946"/>
      <c r="MAV2" s="946"/>
      <c r="MAW2" s="946"/>
      <c r="MAX2" s="946"/>
      <c r="MAY2" s="946"/>
      <c r="MAZ2" s="946"/>
      <c r="MBA2" s="946"/>
      <c r="MBB2" s="946"/>
      <c r="MBC2" s="946"/>
      <c r="MBD2" s="946"/>
      <c r="MBE2" s="946"/>
      <c r="MBF2" s="946"/>
      <c r="MBG2" s="946"/>
      <c r="MBH2" s="946"/>
      <c r="MBI2" s="946"/>
      <c r="MBJ2" s="946"/>
      <c r="MBK2" s="946"/>
      <c r="MBL2" s="946"/>
      <c r="MBM2" s="946"/>
      <c r="MBN2" s="946"/>
      <c r="MBO2" s="946"/>
      <c r="MBP2" s="946"/>
      <c r="MBQ2" s="946"/>
      <c r="MBR2" s="946"/>
      <c r="MBS2" s="946"/>
      <c r="MBT2" s="946"/>
      <c r="MBU2" s="946"/>
      <c r="MBV2" s="946"/>
      <c r="MBW2" s="946"/>
      <c r="MBX2" s="946"/>
      <c r="MBY2" s="946"/>
      <c r="MBZ2" s="946"/>
      <c r="MCA2" s="946"/>
      <c r="MCB2" s="946"/>
      <c r="MCC2" s="946"/>
      <c r="MCD2" s="946"/>
      <c r="MCE2" s="946"/>
      <c r="MCF2" s="946"/>
      <c r="MCG2" s="946"/>
      <c r="MCH2" s="946"/>
      <c r="MCI2" s="946"/>
      <c r="MCJ2" s="946"/>
      <c r="MCK2" s="946"/>
      <c r="MCL2" s="946"/>
      <c r="MCM2" s="946"/>
      <c r="MCN2" s="946"/>
      <c r="MCO2" s="946"/>
      <c r="MCP2" s="946"/>
      <c r="MCQ2" s="946"/>
      <c r="MCR2" s="946"/>
      <c r="MCS2" s="946"/>
      <c r="MCT2" s="946"/>
      <c r="MCU2" s="946"/>
      <c r="MCV2" s="946"/>
      <c r="MCW2" s="946"/>
      <c r="MCX2" s="946"/>
      <c r="MCY2" s="946"/>
      <c r="MCZ2" s="946"/>
      <c r="MDA2" s="946"/>
      <c r="MDB2" s="946"/>
      <c r="MDC2" s="946"/>
      <c r="MDD2" s="946"/>
      <c r="MDE2" s="946"/>
      <c r="MDF2" s="946"/>
      <c r="MDG2" s="946"/>
      <c r="MDH2" s="946"/>
      <c r="MDI2" s="946"/>
      <c r="MDJ2" s="946"/>
      <c r="MDK2" s="946"/>
      <c r="MDL2" s="946"/>
      <c r="MDM2" s="946"/>
      <c r="MDN2" s="946"/>
      <c r="MDO2" s="946"/>
      <c r="MDP2" s="946"/>
      <c r="MDQ2" s="946"/>
      <c r="MDR2" s="946"/>
      <c r="MDS2" s="946"/>
      <c r="MDT2" s="946"/>
      <c r="MDU2" s="946"/>
      <c r="MDV2" s="946"/>
      <c r="MDW2" s="946"/>
      <c r="MDX2" s="946"/>
      <c r="MDY2" s="946"/>
      <c r="MDZ2" s="946"/>
      <c r="MEA2" s="946"/>
      <c r="MEB2" s="946"/>
      <c r="MEC2" s="946"/>
      <c r="MED2" s="946"/>
      <c r="MEE2" s="946"/>
      <c r="MEF2" s="946"/>
      <c r="MEG2" s="946"/>
      <c r="MEH2" s="946"/>
      <c r="MEI2" s="946"/>
      <c r="MEJ2" s="946"/>
      <c r="MEK2" s="946"/>
      <c r="MEL2" s="946"/>
      <c r="MEM2" s="946"/>
      <c r="MEN2" s="946"/>
      <c r="MEO2" s="946"/>
      <c r="MEP2" s="946"/>
      <c r="MEQ2" s="946"/>
      <c r="MER2" s="946"/>
      <c r="MES2" s="946"/>
      <c r="MET2" s="946"/>
      <c r="MEU2" s="946"/>
      <c r="MEV2" s="946"/>
      <c r="MEW2" s="946"/>
      <c r="MEX2" s="946"/>
      <c r="MEY2" s="946"/>
      <c r="MEZ2" s="946"/>
      <c r="MFA2" s="946"/>
      <c r="MFB2" s="946"/>
      <c r="MFC2" s="946"/>
      <c r="MFD2" s="946"/>
      <c r="MFE2" s="946"/>
      <c r="MFF2" s="946"/>
      <c r="MFG2" s="946"/>
      <c r="MFH2" s="946"/>
      <c r="MFI2" s="946"/>
      <c r="MFJ2" s="946"/>
      <c r="MFK2" s="946"/>
      <c r="MFL2" s="946"/>
      <c r="MFM2" s="946"/>
      <c r="MFN2" s="946"/>
      <c r="MFO2" s="946"/>
      <c r="MFP2" s="946"/>
      <c r="MFQ2" s="946"/>
      <c r="MFR2" s="946"/>
      <c r="MFS2" s="946"/>
      <c r="MFT2" s="946"/>
      <c r="MFU2" s="946"/>
      <c r="MFV2" s="946"/>
      <c r="MFW2" s="946"/>
      <c r="MFX2" s="946"/>
      <c r="MFY2" s="946"/>
      <c r="MFZ2" s="946"/>
      <c r="MGA2" s="946"/>
      <c r="MGB2" s="946"/>
      <c r="MGC2" s="946"/>
      <c r="MGD2" s="946"/>
      <c r="MGE2" s="946"/>
      <c r="MGF2" s="946"/>
      <c r="MGG2" s="946"/>
      <c r="MGH2" s="946"/>
      <c r="MGI2" s="946"/>
      <c r="MGJ2" s="946"/>
      <c r="MGK2" s="946"/>
      <c r="MGL2" s="946"/>
      <c r="MGM2" s="946"/>
      <c r="MGN2" s="946"/>
      <c r="MGO2" s="946"/>
      <c r="MGP2" s="946"/>
      <c r="MGQ2" s="946"/>
      <c r="MGR2" s="946"/>
      <c r="MGS2" s="946"/>
      <c r="MGT2" s="946"/>
      <c r="MGU2" s="946"/>
      <c r="MGV2" s="946"/>
      <c r="MGW2" s="946"/>
      <c r="MGX2" s="946"/>
      <c r="MGY2" s="946"/>
      <c r="MGZ2" s="946"/>
      <c r="MHA2" s="946"/>
      <c r="MHB2" s="946"/>
      <c r="MHC2" s="946"/>
      <c r="MHD2" s="946"/>
      <c r="MHE2" s="946"/>
      <c r="MHF2" s="946"/>
      <c r="MHG2" s="946"/>
      <c r="MHH2" s="946"/>
      <c r="MHI2" s="946"/>
      <c r="MHJ2" s="946"/>
      <c r="MHK2" s="946"/>
      <c r="MHL2" s="946"/>
      <c r="MHM2" s="946"/>
      <c r="MHN2" s="946"/>
      <c r="MHO2" s="946"/>
      <c r="MHP2" s="946"/>
      <c r="MHQ2" s="946"/>
      <c r="MHR2" s="946"/>
      <c r="MHS2" s="946"/>
      <c r="MHT2" s="946"/>
      <c r="MHU2" s="946"/>
      <c r="MHV2" s="946"/>
      <c r="MHW2" s="946"/>
      <c r="MHX2" s="946"/>
      <c r="MHY2" s="946"/>
      <c r="MHZ2" s="946"/>
      <c r="MIA2" s="946"/>
      <c r="MIB2" s="946"/>
      <c r="MIC2" s="946"/>
      <c r="MID2" s="946"/>
      <c r="MIE2" s="946"/>
      <c r="MIF2" s="946"/>
      <c r="MIG2" s="946"/>
      <c r="MIH2" s="946"/>
      <c r="MII2" s="946"/>
      <c r="MIJ2" s="946"/>
      <c r="MIK2" s="946"/>
      <c r="MIL2" s="946"/>
      <c r="MIM2" s="946"/>
      <c r="MIN2" s="946"/>
      <c r="MIO2" s="946"/>
      <c r="MIP2" s="946"/>
      <c r="MIQ2" s="946"/>
      <c r="MIR2" s="946"/>
      <c r="MIS2" s="946"/>
      <c r="MIT2" s="946"/>
      <c r="MIU2" s="946"/>
      <c r="MIV2" s="946"/>
      <c r="MIW2" s="946"/>
      <c r="MIX2" s="946"/>
      <c r="MIY2" s="946"/>
      <c r="MIZ2" s="946"/>
      <c r="MJA2" s="946"/>
      <c r="MJB2" s="946"/>
      <c r="MJC2" s="946"/>
      <c r="MJD2" s="946"/>
      <c r="MJE2" s="946"/>
      <c r="MJF2" s="946"/>
      <c r="MJG2" s="946"/>
      <c r="MJH2" s="946"/>
      <c r="MJI2" s="946"/>
      <c r="MJJ2" s="946"/>
      <c r="MJK2" s="946"/>
      <c r="MJL2" s="946"/>
      <c r="MJM2" s="946"/>
      <c r="MJN2" s="946"/>
      <c r="MJO2" s="946"/>
      <c r="MJP2" s="946"/>
      <c r="MJQ2" s="946"/>
      <c r="MJR2" s="946"/>
      <c r="MJS2" s="946"/>
      <c r="MJT2" s="946"/>
      <c r="MJU2" s="946"/>
      <c r="MJV2" s="946"/>
      <c r="MJW2" s="946"/>
      <c r="MJX2" s="946"/>
      <c r="MJY2" s="946"/>
      <c r="MJZ2" s="946"/>
      <c r="MKA2" s="946"/>
      <c r="MKB2" s="946"/>
      <c r="MKC2" s="946"/>
      <c r="MKD2" s="946"/>
      <c r="MKE2" s="946"/>
      <c r="MKF2" s="946"/>
      <c r="MKG2" s="946"/>
      <c r="MKH2" s="946"/>
      <c r="MKI2" s="946"/>
      <c r="MKJ2" s="946"/>
      <c r="MKK2" s="946"/>
      <c r="MKL2" s="946"/>
      <c r="MKM2" s="946"/>
      <c r="MKN2" s="946"/>
      <c r="MKO2" s="946"/>
      <c r="MKP2" s="946"/>
      <c r="MKQ2" s="946"/>
      <c r="MKR2" s="946"/>
      <c r="MKS2" s="946"/>
      <c r="MKT2" s="946"/>
      <c r="MKU2" s="946"/>
      <c r="MKV2" s="946"/>
      <c r="MKW2" s="946"/>
      <c r="MKX2" s="946"/>
      <c r="MKY2" s="946"/>
      <c r="MKZ2" s="946"/>
      <c r="MLA2" s="946"/>
      <c r="MLB2" s="946"/>
      <c r="MLC2" s="946"/>
      <c r="MLD2" s="946"/>
      <c r="MLE2" s="946"/>
      <c r="MLF2" s="946"/>
      <c r="MLG2" s="946"/>
      <c r="MLH2" s="946"/>
      <c r="MLI2" s="946"/>
      <c r="MLJ2" s="946"/>
      <c r="MLK2" s="946"/>
      <c r="MLL2" s="946"/>
      <c r="MLM2" s="946"/>
      <c r="MLN2" s="946"/>
      <c r="MLO2" s="946"/>
      <c r="MLP2" s="946"/>
      <c r="MLQ2" s="946"/>
      <c r="MLR2" s="946"/>
      <c r="MLS2" s="946"/>
      <c r="MLT2" s="946"/>
      <c r="MLU2" s="946"/>
      <c r="MLV2" s="946"/>
      <c r="MLW2" s="946"/>
      <c r="MLX2" s="946"/>
      <c r="MLY2" s="946"/>
      <c r="MLZ2" s="946"/>
      <c r="MMA2" s="946"/>
      <c r="MMB2" s="946"/>
      <c r="MMC2" s="946"/>
      <c r="MMD2" s="946"/>
      <c r="MME2" s="946"/>
      <c r="MMF2" s="946"/>
      <c r="MMG2" s="946"/>
      <c r="MMH2" s="946"/>
      <c r="MMI2" s="946"/>
      <c r="MMJ2" s="946"/>
      <c r="MMK2" s="946"/>
      <c r="MML2" s="946"/>
      <c r="MMM2" s="946"/>
      <c r="MMN2" s="946"/>
      <c r="MMO2" s="946"/>
      <c r="MMP2" s="946"/>
      <c r="MMQ2" s="946"/>
      <c r="MMR2" s="946"/>
      <c r="MMS2" s="946"/>
      <c r="MMT2" s="946"/>
      <c r="MMU2" s="946"/>
      <c r="MMV2" s="946"/>
      <c r="MMW2" s="946"/>
      <c r="MMX2" s="946"/>
      <c r="MMY2" s="946"/>
      <c r="MMZ2" s="946"/>
      <c r="MNA2" s="946"/>
      <c r="MNB2" s="946"/>
      <c r="MNC2" s="946"/>
      <c r="MND2" s="946"/>
      <c r="MNE2" s="946"/>
      <c r="MNF2" s="946"/>
      <c r="MNG2" s="946"/>
      <c r="MNH2" s="946"/>
      <c r="MNI2" s="946"/>
      <c r="MNJ2" s="946"/>
      <c r="MNK2" s="946"/>
      <c r="MNL2" s="946"/>
      <c r="MNM2" s="946"/>
      <c r="MNN2" s="946"/>
      <c r="MNO2" s="946"/>
      <c r="MNP2" s="946"/>
      <c r="MNQ2" s="946"/>
      <c r="MNR2" s="946"/>
      <c r="MNS2" s="946"/>
      <c r="MNT2" s="946"/>
      <c r="MNU2" s="946"/>
      <c r="MNV2" s="946"/>
      <c r="MNW2" s="946"/>
      <c r="MNX2" s="946"/>
      <c r="MNY2" s="946"/>
      <c r="MNZ2" s="946"/>
      <c r="MOA2" s="946"/>
      <c r="MOB2" s="946"/>
      <c r="MOC2" s="946"/>
      <c r="MOD2" s="946"/>
      <c r="MOE2" s="946"/>
      <c r="MOF2" s="946"/>
      <c r="MOG2" s="946"/>
      <c r="MOH2" s="946"/>
      <c r="MOI2" s="946"/>
      <c r="MOJ2" s="946"/>
      <c r="MOK2" s="946"/>
      <c r="MOL2" s="946"/>
      <c r="MOM2" s="946"/>
      <c r="MON2" s="946"/>
      <c r="MOO2" s="946"/>
      <c r="MOP2" s="946"/>
      <c r="MOQ2" s="946"/>
      <c r="MOR2" s="946"/>
      <c r="MOS2" s="946"/>
      <c r="MOT2" s="946"/>
      <c r="MOU2" s="946"/>
      <c r="MOV2" s="946"/>
      <c r="MOW2" s="946"/>
      <c r="MOX2" s="946"/>
      <c r="MOY2" s="946"/>
      <c r="MOZ2" s="946"/>
      <c r="MPA2" s="946"/>
      <c r="MPB2" s="946"/>
      <c r="MPC2" s="946"/>
      <c r="MPD2" s="946"/>
      <c r="MPE2" s="946"/>
      <c r="MPF2" s="946"/>
      <c r="MPG2" s="946"/>
      <c r="MPH2" s="946"/>
      <c r="MPI2" s="946"/>
      <c r="MPJ2" s="946"/>
      <c r="MPK2" s="946"/>
      <c r="MPL2" s="946"/>
      <c r="MPM2" s="946"/>
      <c r="MPN2" s="946"/>
      <c r="MPO2" s="946"/>
      <c r="MPP2" s="946"/>
      <c r="MPQ2" s="946"/>
      <c r="MPR2" s="946"/>
      <c r="MPS2" s="946"/>
      <c r="MPT2" s="946"/>
      <c r="MPU2" s="946"/>
      <c r="MPV2" s="946"/>
      <c r="MPW2" s="946"/>
      <c r="MPX2" s="946"/>
      <c r="MPY2" s="946"/>
      <c r="MPZ2" s="946"/>
      <c r="MQA2" s="946"/>
      <c r="MQB2" s="946"/>
      <c r="MQC2" s="946"/>
      <c r="MQD2" s="946"/>
      <c r="MQE2" s="946"/>
      <c r="MQF2" s="946"/>
      <c r="MQG2" s="946"/>
      <c r="MQH2" s="946"/>
      <c r="MQI2" s="946"/>
      <c r="MQJ2" s="946"/>
      <c r="MQK2" s="946"/>
      <c r="MQL2" s="946"/>
      <c r="MQM2" s="946"/>
      <c r="MQN2" s="946"/>
      <c r="MQO2" s="946"/>
      <c r="MQP2" s="946"/>
      <c r="MQQ2" s="946"/>
      <c r="MQR2" s="946"/>
      <c r="MQS2" s="946"/>
      <c r="MQT2" s="946"/>
      <c r="MQU2" s="946"/>
      <c r="MQV2" s="946"/>
      <c r="MQW2" s="946"/>
      <c r="MQX2" s="946"/>
      <c r="MQY2" s="946"/>
      <c r="MQZ2" s="946"/>
      <c r="MRA2" s="946"/>
      <c r="MRB2" s="946"/>
      <c r="MRC2" s="946"/>
      <c r="MRD2" s="946"/>
      <c r="MRE2" s="946"/>
      <c r="MRF2" s="946"/>
      <c r="MRG2" s="946"/>
      <c r="MRH2" s="946"/>
      <c r="MRI2" s="946"/>
      <c r="MRJ2" s="946"/>
      <c r="MRK2" s="946"/>
      <c r="MRL2" s="946"/>
      <c r="MRM2" s="946"/>
      <c r="MRN2" s="946"/>
      <c r="MRO2" s="946"/>
      <c r="MRP2" s="946"/>
      <c r="MRQ2" s="946"/>
      <c r="MRR2" s="946"/>
      <c r="MRS2" s="946"/>
      <c r="MRT2" s="946"/>
      <c r="MRU2" s="946"/>
      <c r="MRV2" s="946"/>
      <c r="MRW2" s="946"/>
      <c r="MRX2" s="946"/>
      <c r="MRY2" s="946"/>
      <c r="MRZ2" s="946"/>
      <c r="MSA2" s="946"/>
      <c r="MSB2" s="946"/>
      <c r="MSC2" s="946"/>
      <c r="MSD2" s="946"/>
      <c r="MSE2" s="946"/>
      <c r="MSF2" s="946"/>
      <c r="MSG2" s="946"/>
      <c r="MSH2" s="946"/>
      <c r="MSI2" s="946"/>
      <c r="MSJ2" s="946"/>
      <c r="MSK2" s="946"/>
      <c r="MSL2" s="946"/>
      <c r="MSM2" s="946"/>
      <c r="MSN2" s="946"/>
      <c r="MSO2" s="946"/>
      <c r="MSP2" s="946"/>
      <c r="MSQ2" s="946"/>
      <c r="MSR2" s="946"/>
      <c r="MSS2" s="946"/>
      <c r="MST2" s="946"/>
      <c r="MSU2" s="946"/>
      <c r="MSV2" s="946"/>
      <c r="MSW2" s="946"/>
      <c r="MSX2" s="946"/>
      <c r="MSY2" s="946"/>
      <c r="MSZ2" s="946"/>
      <c r="MTA2" s="946"/>
      <c r="MTB2" s="946"/>
      <c r="MTC2" s="946"/>
      <c r="MTD2" s="946"/>
      <c r="MTE2" s="946"/>
      <c r="MTF2" s="946"/>
      <c r="MTG2" s="946"/>
      <c r="MTH2" s="946"/>
      <c r="MTI2" s="946"/>
      <c r="MTJ2" s="946"/>
      <c r="MTK2" s="946"/>
      <c r="MTL2" s="946"/>
      <c r="MTM2" s="946"/>
      <c r="MTN2" s="946"/>
      <c r="MTO2" s="946"/>
      <c r="MTP2" s="946"/>
      <c r="MTQ2" s="946"/>
      <c r="MTR2" s="946"/>
      <c r="MTS2" s="946"/>
      <c r="MTT2" s="946"/>
      <c r="MTU2" s="946"/>
      <c r="MTV2" s="946"/>
      <c r="MTW2" s="946"/>
      <c r="MTX2" s="946"/>
      <c r="MTY2" s="946"/>
      <c r="MTZ2" s="946"/>
      <c r="MUA2" s="946"/>
      <c r="MUB2" s="946"/>
      <c r="MUC2" s="946"/>
      <c r="MUD2" s="946"/>
      <c r="MUE2" s="946"/>
      <c r="MUF2" s="946"/>
      <c r="MUG2" s="946"/>
      <c r="MUH2" s="946"/>
      <c r="MUI2" s="946"/>
      <c r="MUJ2" s="946"/>
      <c r="MUK2" s="946"/>
      <c r="MUL2" s="946"/>
      <c r="MUM2" s="946"/>
      <c r="MUN2" s="946"/>
      <c r="MUO2" s="946"/>
      <c r="MUP2" s="946"/>
      <c r="MUQ2" s="946"/>
      <c r="MUR2" s="946"/>
      <c r="MUS2" s="946"/>
      <c r="MUT2" s="946"/>
      <c r="MUU2" s="946"/>
      <c r="MUV2" s="946"/>
      <c r="MUW2" s="946"/>
      <c r="MUX2" s="946"/>
      <c r="MUY2" s="946"/>
      <c r="MUZ2" s="946"/>
      <c r="MVA2" s="946"/>
      <c r="MVB2" s="946"/>
      <c r="MVC2" s="946"/>
      <c r="MVD2" s="946"/>
      <c r="MVE2" s="946"/>
      <c r="MVF2" s="946"/>
      <c r="MVG2" s="946"/>
      <c r="MVH2" s="946"/>
      <c r="MVI2" s="946"/>
      <c r="MVJ2" s="946"/>
      <c r="MVK2" s="946"/>
      <c r="MVL2" s="946"/>
      <c r="MVM2" s="946"/>
      <c r="MVN2" s="946"/>
      <c r="MVO2" s="946"/>
      <c r="MVP2" s="946"/>
      <c r="MVQ2" s="946"/>
      <c r="MVR2" s="946"/>
      <c r="MVS2" s="946"/>
      <c r="MVT2" s="946"/>
      <c r="MVU2" s="946"/>
      <c r="MVV2" s="946"/>
      <c r="MVW2" s="946"/>
      <c r="MVX2" s="946"/>
      <c r="MVY2" s="946"/>
      <c r="MVZ2" s="946"/>
      <c r="MWA2" s="946"/>
      <c r="MWB2" s="946"/>
      <c r="MWC2" s="946"/>
      <c r="MWD2" s="946"/>
      <c r="MWE2" s="946"/>
      <c r="MWF2" s="946"/>
      <c r="MWG2" s="946"/>
      <c r="MWH2" s="946"/>
      <c r="MWI2" s="946"/>
      <c r="MWJ2" s="946"/>
      <c r="MWK2" s="946"/>
      <c r="MWL2" s="946"/>
      <c r="MWM2" s="946"/>
      <c r="MWN2" s="946"/>
      <c r="MWO2" s="946"/>
      <c r="MWP2" s="946"/>
      <c r="MWQ2" s="946"/>
      <c r="MWR2" s="946"/>
      <c r="MWS2" s="946"/>
      <c r="MWT2" s="946"/>
      <c r="MWU2" s="946"/>
      <c r="MWV2" s="946"/>
      <c r="MWW2" s="946"/>
      <c r="MWX2" s="946"/>
      <c r="MWY2" s="946"/>
      <c r="MWZ2" s="946"/>
      <c r="MXA2" s="946"/>
      <c r="MXB2" s="946"/>
      <c r="MXC2" s="946"/>
      <c r="MXD2" s="946"/>
      <c r="MXE2" s="946"/>
      <c r="MXF2" s="946"/>
      <c r="MXG2" s="946"/>
      <c r="MXH2" s="946"/>
      <c r="MXI2" s="946"/>
      <c r="MXJ2" s="946"/>
      <c r="MXK2" s="946"/>
      <c r="MXL2" s="946"/>
      <c r="MXM2" s="946"/>
      <c r="MXN2" s="946"/>
      <c r="MXO2" s="946"/>
      <c r="MXP2" s="946"/>
      <c r="MXQ2" s="946"/>
      <c r="MXR2" s="946"/>
      <c r="MXS2" s="946"/>
      <c r="MXT2" s="946"/>
      <c r="MXU2" s="946"/>
      <c r="MXV2" s="946"/>
      <c r="MXW2" s="946"/>
      <c r="MXX2" s="946"/>
      <c r="MXY2" s="946"/>
      <c r="MXZ2" s="946"/>
      <c r="MYA2" s="946"/>
      <c r="MYB2" s="946"/>
      <c r="MYC2" s="946"/>
      <c r="MYD2" s="946"/>
      <c r="MYE2" s="946"/>
      <c r="MYF2" s="946"/>
      <c r="MYG2" s="946"/>
      <c r="MYH2" s="946"/>
      <c r="MYI2" s="946"/>
      <c r="MYJ2" s="946"/>
      <c r="MYK2" s="946"/>
      <c r="MYL2" s="946"/>
      <c r="MYM2" s="946"/>
      <c r="MYN2" s="946"/>
      <c r="MYO2" s="946"/>
      <c r="MYP2" s="946"/>
      <c r="MYQ2" s="946"/>
      <c r="MYR2" s="946"/>
      <c r="MYS2" s="946"/>
      <c r="MYT2" s="946"/>
      <c r="MYU2" s="946"/>
      <c r="MYV2" s="946"/>
      <c r="MYW2" s="946"/>
      <c r="MYX2" s="946"/>
      <c r="MYY2" s="946"/>
      <c r="MYZ2" s="946"/>
      <c r="MZA2" s="946"/>
      <c r="MZB2" s="946"/>
      <c r="MZC2" s="946"/>
      <c r="MZD2" s="946"/>
      <c r="MZE2" s="946"/>
      <c r="MZF2" s="946"/>
      <c r="MZG2" s="946"/>
      <c r="MZH2" s="946"/>
      <c r="MZI2" s="946"/>
      <c r="MZJ2" s="946"/>
      <c r="MZK2" s="946"/>
      <c r="MZL2" s="946"/>
      <c r="MZM2" s="946"/>
      <c r="MZN2" s="946"/>
      <c r="MZO2" s="946"/>
      <c r="MZP2" s="946"/>
      <c r="MZQ2" s="946"/>
      <c r="MZR2" s="946"/>
      <c r="MZS2" s="946"/>
      <c r="MZT2" s="946"/>
      <c r="MZU2" s="946"/>
      <c r="MZV2" s="946"/>
      <c r="MZW2" s="946"/>
      <c r="MZX2" s="946"/>
      <c r="MZY2" s="946"/>
      <c r="MZZ2" s="946"/>
      <c r="NAA2" s="946"/>
      <c r="NAB2" s="946"/>
      <c r="NAC2" s="946"/>
      <c r="NAD2" s="946"/>
      <c r="NAE2" s="946"/>
      <c r="NAF2" s="946"/>
      <c r="NAG2" s="946"/>
      <c r="NAH2" s="946"/>
      <c r="NAI2" s="946"/>
      <c r="NAJ2" s="946"/>
      <c r="NAK2" s="946"/>
      <c r="NAL2" s="946"/>
      <c r="NAM2" s="946"/>
      <c r="NAN2" s="946"/>
      <c r="NAO2" s="946"/>
      <c r="NAP2" s="946"/>
      <c r="NAQ2" s="946"/>
      <c r="NAR2" s="946"/>
      <c r="NAS2" s="946"/>
      <c r="NAT2" s="946"/>
      <c r="NAU2" s="946"/>
      <c r="NAV2" s="946"/>
      <c r="NAW2" s="946"/>
      <c r="NAX2" s="946"/>
      <c r="NAY2" s="946"/>
      <c r="NAZ2" s="946"/>
      <c r="NBA2" s="946"/>
      <c r="NBB2" s="946"/>
      <c r="NBC2" s="946"/>
      <c r="NBD2" s="946"/>
      <c r="NBE2" s="946"/>
      <c r="NBF2" s="946"/>
      <c r="NBG2" s="946"/>
      <c r="NBH2" s="946"/>
      <c r="NBI2" s="946"/>
      <c r="NBJ2" s="946"/>
      <c r="NBK2" s="946"/>
      <c r="NBL2" s="946"/>
      <c r="NBM2" s="946"/>
      <c r="NBN2" s="946"/>
      <c r="NBO2" s="946"/>
      <c r="NBP2" s="946"/>
      <c r="NBQ2" s="946"/>
      <c r="NBR2" s="946"/>
      <c r="NBS2" s="946"/>
      <c r="NBT2" s="946"/>
      <c r="NBU2" s="946"/>
      <c r="NBV2" s="946"/>
      <c r="NBW2" s="946"/>
      <c r="NBX2" s="946"/>
      <c r="NBY2" s="946"/>
      <c r="NBZ2" s="946"/>
      <c r="NCA2" s="946"/>
      <c r="NCB2" s="946"/>
      <c r="NCC2" s="946"/>
      <c r="NCD2" s="946"/>
      <c r="NCE2" s="946"/>
      <c r="NCF2" s="946"/>
      <c r="NCG2" s="946"/>
      <c r="NCH2" s="946"/>
      <c r="NCI2" s="946"/>
      <c r="NCJ2" s="946"/>
      <c r="NCK2" s="946"/>
      <c r="NCL2" s="946"/>
      <c r="NCM2" s="946"/>
      <c r="NCN2" s="946"/>
      <c r="NCO2" s="946"/>
      <c r="NCP2" s="946"/>
      <c r="NCQ2" s="946"/>
      <c r="NCR2" s="946"/>
      <c r="NCS2" s="946"/>
      <c r="NCT2" s="946"/>
      <c r="NCU2" s="946"/>
      <c r="NCV2" s="946"/>
      <c r="NCW2" s="946"/>
      <c r="NCX2" s="946"/>
      <c r="NCY2" s="946"/>
      <c r="NCZ2" s="946"/>
      <c r="NDA2" s="946"/>
      <c r="NDB2" s="946"/>
      <c r="NDC2" s="946"/>
      <c r="NDD2" s="946"/>
      <c r="NDE2" s="946"/>
      <c r="NDF2" s="946"/>
      <c r="NDG2" s="946"/>
      <c r="NDH2" s="946"/>
      <c r="NDI2" s="946"/>
      <c r="NDJ2" s="946"/>
      <c r="NDK2" s="946"/>
      <c r="NDL2" s="946"/>
      <c r="NDM2" s="946"/>
      <c r="NDN2" s="946"/>
      <c r="NDO2" s="946"/>
      <c r="NDP2" s="946"/>
      <c r="NDQ2" s="946"/>
      <c r="NDR2" s="946"/>
      <c r="NDS2" s="946"/>
      <c r="NDT2" s="946"/>
      <c r="NDU2" s="946"/>
      <c r="NDV2" s="946"/>
      <c r="NDW2" s="946"/>
      <c r="NDX2" s="946"/>
      <c r="NDY2" s="946"/>
      <c r="NDZ2" s="946"/>
      <c r="NEA2" s="946"/>
      <c r="NEB2" s="946"/>
      <c r="NEC2" s="946"/>
      <c r="NED2" s="946"/>
      <c r="NEE2" s="946"/>
      <c r="NEF2" s="946"/>
      <c r="NEG2" s="946"/>
      <c r="NEH2" s="946"/>
      <c r="NEI2" s="946"/>
      <c r="NEJ2" s="946"/>
      <c r="NEK2" s="946"/>
      <c r="NEL2" s="946"/>
      <c r="NEM2" s="946"/>
      <c r="NEN2" s="946"/>
      <c r="NEO2" s="946"/>
      <c r="NEP2" s="946"/>
      <c r="NEQ2" s="946"/>
      <c r="NER2" s="946"/>
      <c r="NES2" s="946"/>
      <c r="NET2" s="946"/>
      <c r="NEU2" s="946"/>
      <c r="NEV2" s="946"/>
      <c r="NEW2" s="946"/>
      <c r="NEX2" s="946"/>
      <c r="NEY2" s="946"/>
      <c r="NEZ2" s="946"/>
      <c r="NFA2" s="946"/>
      <c r="NFB2" s="946"/>
      <c r="NFC2" s="946"/>
      <c r="NFD2" s="946"/>
      <c r="NFE2" s="946"/>
      <c r="NFF2" s="946"/>
      <c r="NFG2" s="946"/>
      <c r="NFH2" s="946"/>
      <c r="NFI2" s="946"/>
      <c r="NFJ2" s="946"/>
      <c r="NFK2" s="946"/>
      <c r="NFL2" s="946"/>
      <c r="NFM2" s="946"/>
      <c r="NFN2" s="946"/>
      <c r="NFO2" s="946"/>
      <c r="NFP2" s="946"/>
      <c r="NFQ2" s="946"/>
      <c r="NFR2" s="946"/>
      <c r="NFS2" s="946"/>
      <c r="NFT2" s="946"/>
      <c r="NFU2" s="946"/>
      <c r="NFV2" s="946"/>
      <c r="NFW2" s="946"/>
      <c r="NFX2" s="946"/>
      <c r="NFY2" s="946"/>
      <c r="NFZ2" s="946"/>
      <c r="NGA2" s="946"/>
      <c r="NGB2" s="946"/>
      <c r="NGC2" s="946"/>
      <c r="NGD2" s="946"/>
      <c r="NGE2" s="946"/>
      <c r="NGF2" s="946"/>
      <c r="NGG2" s="946"/>
      <c r="NGH2" s="946"/>
      <c r="NGI2" s="946"/>
      <c r="NGJ2" s="946"/>
      <c r="NGK2" s="946"/>
      <c r="NGL2" s="946"/>
      <c r="NGM2" s="946"/>
      <c r="NGN2" s="946"/>
      <c r="NGO2" s="946"/>
      <c r="NGP2" s="946"/>
      <c r="NGQ2" s="946"/>
      <c r="NGR2" s="946"/>
      <c r="NGS2" s="946"/>
      <c r="NGT2" s="946"/>
      <c r="NGU2" s="946"/>
      <c r="NGV2" s="946"/>
      <c r="NGW2" s="946"/>
      <c r="NGX2" s="946"/>
      <c r="NGY2" s="946"/>
      <c r="NGZ2" s="946"/>
      <c r="NHA2" s="946"/>
      <c r="NHB2" s="946"/>
      <c r="NHC2" s="946"/>
      <c r="NHD2" s="946"/>
      <c r="NHE2" s="946"/>
      <c r="NHF2" s="946"/>
      <c r="NHG2" s="946"/>
      <c r="NHH2" s="946"/>
      <c r="NHI2" s="946"/>
      <c r="NHJ2" s="946"/>
      <c r="NHK2" s="946"/>
      <c r="NHL2" s="946"/>
      <c r="NHM2" s="946"/>
      <c r="NHN2" s="946"/>
      <c r="NHO2" s="946"/>
      <c r="NHP2" s="946"/>
      <c r="NHQ2" s="946"/>
      <c r="NHR2" s="946"/>
      <c r="NHS2" s="946"/>
      <c r="NHT2" s="946"/>
      <c r="NHU2" s="946"/>
      <c r="NHV2" s="946"/>
      <c r="NHW2" s="946"/>
      <c r="NHX2" s="946"/>
      <c r="NHY2" s="946"/>
      <c r="NHZ2" s="946"/>
      <c r="NIA2" s="946"/>
      <c r="NIB2" s="946"/>
      <c r="NIC2" s="946"/>
      <c r="NID2" s="946"/>
      <c r="NIE2" s="946"/>
      <c r="NIF2" s="946"/>
      <c r="NIG2" s="946"/>
      <c r="NIH2" s="946"/>
      <c r="NII2" s="946"/>
      <c r="NIJ2" s="946"/>
      <c r="NIK2" s="946"/>
      <c r="NIL2" s="946"/>
      <c r="NIM2" s="946"/>
      <c r="NIN2" s="946"/>
      <c r="NIO2" s="946"/>
      <c r="NIP2" s="946"/>
      <c r="NIQ2" s="946"/>
      <c r="NIR2" s="946"/>
      <c r="NIS2" s="946"/>
      <c r="NIT2" s="946"/>
      <c r="NIU2" s="946"/>
      <c r="NIV2" s="946"/>
      <c r="NIW2" s="946"/>
      <c r="NIX2" s="946"/>
      <c r="NIY2" s="946"/>
      <c r="NIZ2" s="946"/>
      <c r="NJA2" s="946"/>
      <c r="NJB2" s="946"/>
      <c r="NJC2" s="946"/>
      <c r="NJD2" s="946"/>
      <c r="NJE2" s="946"/>
      <c r="NJF2" s="946"/>
      <c r="NJG2" s="946"/>
      <c r="NJH2" s="946"/>
      <c r="NJI2" s="946"/>
      <c r="NJJ2" s="946"/>
      <c r="NJK2" s="946"/>
      <c r="NJL2" s="946"/>
      <c r="NJM2" s="946"/>
      <c r="NJN2" s="946"/>
      <c r="NJO2" s="946"/>
      <c r="NJP2" s="946"/>
      <c r="NJQ2" s="946"/>
      <c r="NJR2" s="946"/>
      <c r="NJS2" s="946"/>
      <c r="NJT2" s="946"/>
      <c r="NJU2" s="946"/>
      <c r="NJV2" s="946"/>
      <c r="NJW2" s="946"/>
      <c r="NJX2" s="946"/>
      <c r="NJY2" s="946"/>
      <c r="NJZ2" s="946"/>
      <c r="NKA2" s="946"/>
      <c r="NKB2" s="946"/>
      <c r="NKC2" s="946"/>
      <c r="NKD2" s="946"/>
      <c r="NKE2" s="946"/>
      <c r="NKF2" s="946"/>
      <c r="NKG2" s="946"/>
      <c r="NKH2" s="946"/>
      <c r="NKI2" s="946"/>
      <c r="NKJ2" s="946"/>
      <c r="NKK2" s="946"/>
      <c r="NKL2" s="946"/>
      <c r="NKM2" s="946"/>
      <c r="NKN2" s="946"/>
      <c r="NKO2" s="946"/>
      <c r="NKP2" s="946"/>
      <c r="NKQ2" s="946"/>
      <c r="NKR2" s="946"/>
      <c r="NKS2" s="946"/>
      <c r="NKT2" s="946"/>
      <c r="NKU2" s="946"/>
      <c r="NKV2" s="946"/>
      <c r="NKW2" s="946"/>
      <c r="NKX2" s="946"/>
      <c r="NKY2" s="946"/>
      <c r="NKZ2" s="946"/>
      <c r="NLA2" s="946"/>
      <c r="NLB2" s="946"/>
      <c r="NLC2" s="946"/>
      <c r="NLD2" s="946"/>
      <c r="NLE2" s="946"/>
      <c r="NLF2" s="946"/>
      <c r="NLG2" s="946"/>
      <c r="NLH2" s="946"/>
      <c r="NLI2" s="946"/>
      <c r="NLJ2" s="946"/>
      <c r="NLK2" s="946"/>
      <c r="NLL2" s="946"/>
      <c r="NLM2" s="946"/>
      <c r="NLN2" s="946"/>
      <c r="NLO2" s="946"/>
      <c r="NLP2" s="946"/>
      <c r="NLQ2" s="946"/>
      <c r="NLR2" s="946"/>
      <c r="NLS2" s="946"/>
      <c r="NLT2" s="946"/>
      <c r="NLU2" s="946"/>
      <c r="NLV2" s="946"/>
      <c r="NLW2" s="946"/>
      <c r="NLX2" s="946"/>
      <c r="NLY2" s="946"/>
      <c r="NLZ2" s="946"/>
      <c r="NMA2" s="946"/>
      <c r="NMB2" s="946"/>
      <c r="NMC2" s="946"/>
      <c r="NMD2" s="946"/>
      <c r="NME2" s="946"/>
      <c r="NMF2" s="946"/>
      <c r="NMG2" s="946"/>
      <c r="NMH2" s="946"/>
      <c r="NMI2" s="946"/>
      <c r="NMJ2" s="946"/>
      <c r="NMK2" s="946"/>
      <c r="NML2" s="946"/>
      <c r="NMM2" s="946"/>
      <c r="NMN2" s="946"/>
      <c r="NMO2" s="946"/>
      <c r="NMP2" s="946"/>
      <c r="NMQ2" s="946"/>
      <c r="NMR2" s="946"/>
      <c r="NMS2" s="946"/>
      <c r="NMT2" s="946"/>
      <c r="NMU2" s="946"/>
      <c r="NMV2" s="946"/>
      <c r="NMW2" s="946"/>
      <c r="NMX2" s="946"/>
      <c r="NMY2" s="946"/>
      <c r="NMZ2" s="946"/>
      <c r="NNA2" s="946"/>
      <c r="NNB2" s="946"/>
      <c r="NNC2" s="946"/>
      <c r="NND2" s="946"/>
      <c r="NNE2" s="946"/>
      <c r="NNF2" s="946"/>
      <c r="NNG2" s="946"/>
      <c r="NNH2" s="946"/>
      <c r="NNI2" s="946"/>
      <c r="NNJ2" s="946"/>
      <c r="NNK2" s="946"/>
      <c r="NNL2" s="946"/>
      <c r="NNM2" s="946"/>
      <c r="NNN2" s="946"/>
      <c r="NNO2" s="946"/>
      <c r="NNP2" s="946"/>
      <c r="NNQ2" s="946"/>
      <c r="NNR2" s="946"/>
      <c r="NNS2" s="946"/>
      <c r="NNT2" s="946"/>
      <c r="NNU2" s="946"/>
      <c r="NNV2" s="946"/>
      <c r="NNW2" s="946"/>
      <c r="NNX2" s="946"/>
      <c r="NNY2" s="946"/>
      <c r="NNZ2" s="946"/>
      <c r="NOA2" s="946"/>
      <c r="NOB2" s="946"/>
      <c r="NOC2" s="946"/>
      <c r="NOD2" s="946"/>
      <c r="NOE2" s="946"/>
      <c r="NOF2" s="946"/>
      <c r="NOG2" s="946"/>
      <c r="NOH2" s="946"/>
      <c r="NOI2" s="946"/>
      <c r="NOJ2" s="946"/>
      <c r="NOK2" s="946"/>
      <c r="NOL2" s="946"/>
      <c r="NOM2" s="946"/>
      <c r="NON2" s="946"/>
      <c r="NOO2" s="946"/>
      <c r="NOP2" s="946"/>
      <c r="NOQ2" s="946"/>
      <c r="NOR2" s="946"/>
      <c r="NOS2" s="946"/>
      <c r="NOT2" s="946"/>
      <c r="NOU2" s="946"/>
      <c r="NOV2" s="946"/>
      <c r="NOW2" s="946"/>
      <c r="NOX2" s="946"/>
      <c r="NOY2" s="946"/>
      <c r="NOZ2" s="946"/>
      <c r="NPA2" s="946"/>
      <c r="NPB2" s="946"/>
      <c r="NPC2" s="946"/>
      <c r="NPD2" s="946"/>
      <c r="NPE2" s="946"/>
      <c r="NPF2" s="946"/>
      <c r="NPG2" s="946"/>
      <c r="NPH2" s="946"/>
      <c r="NPI2" s="946"/>
      <c r="NPJ2" s="946"/>
      <c r="NPK2" s="946"/>
      <c r="NPL2" s="946"/>
      <c r="NPM2" s="946"/>
      <c r="NPN2" s="946"/>
      <c r="NPO2" s="946"/>
      <c r="NPP2" s="946"/>
      <c r="NPQ2" s="946"/>
      <c r="NPR2" s="946"/>
      <c r="NPS2" s="946"/>
      <c r="NPT2" s="946"/>
      <c r="NPU2" s="946"/>
      <c r="NPV2" s="946"/>
      <c r="NPW2" s="946"/>
      <c r="NPX2" s="946"/>
      <c r="NPY2" s="946"/>
      <c r="NPZ2" s="946"/>
      <c r="NQA2" s="946"/>
      <c r="NQB2" s="946"/>
      <c r="NQC2" s="946"/>
      <c r="NQD2" s="946"/>
      <c r="NQE2" s="946"/>
      <c r="NQF2" s="946"/>
      <c r="NQG2" s="946"/>
      <c r="NQH2" s="946"/>
      <c r="NQI2" s="946"/>
      <c r="NQJ2" s="946"/>
      <c r="NQK2" s="946"/>
      <c r="NQL2" s="946"/>
      <c r="NQM2" s="946"/>
      <c r="NQN2" s="946"/>
      <c r="NQO2" s="946"/>
      <c r="NQP2" s="946"/>
      <c r="NQQ2" s="946"/>
      <c r="NQR2" s="946"/>
      <c r="NQS2" s="946"/>
      <c r="NQT2" s="946"/>
      <c r="NQU2" s="946"/>
      <c r="NQV2" s="946"/>
      <c r="NQW2" s="946"/>
      <c r="NQX2" s="946"/>
      <c r="NQY2" s="946"/>
      <c r="NQZ2" s="946"/>
      <c r="NRA2" s="946"/>
      <c r="NRB2" s="946"/>
      <c r="NRC2" s="946"/>
      <c r="NRD2" s="946"/>
      <c r="NRE2" s="946"/>
      <c r="NRF2" s="946"/>
      <c r="NRG2" s="946"/>
      <c r="NRH2" s="946"/>
      <c r="NRI2" s="946"/>
      <c r="NRJ2" s="946"/>
      <c r="NRK2" s="946"/>
      <c r="NRL2" s="946"/>
      <c r="NRM2" s="946"/>
      <c r="NRN2" s="946"/>
      <c r="NRO2" s="946"/>
      <c r="NRP2" s="946"/>
      <c r="NRQ2" s="946"/>
      <c r="NRR2" s="946"/>
      <c r="NRS2" s="946"/>
      <c r="NRT2" s="946"/>
      <c r="NRU2" s="946"/>
      <c r="NRV2" s="946"/>
      <c r="NRW2" s="946"/>
      <c r="NRX2" s="946"/>
      <c r="NRY2" s="946"/>
      <c r="NRZ2" s="946"/>
      <c r="NSA2" s="946"/>
      <c r="NSB2" s="946"/>
      <c r="NSC2" s="946"/>
      <c r="NSD2" s="946"/>
      <c r="NSE2" s="946"/>
      <c r="NSF2" s="946"/>
      <c r="NSG2" s="946"/>
      <c r="NSH2" s="946"/>
      <c r="NSI2" s="946"/>
      <c r="NSJ2" s="946"/>
      <c r="NSK2" s="946"/>
      <c r="NSL2" s="946"/>
      <c r="NSM2" s="946"/>
      <c r="NSN2" s="946"/>
      <c r="NSO2" s="946"/>
      <c r="NSP2" s="946"/>
      <c r="NSQ2" s="946"/>
      <c r="NSR2" s="946"/>
      <c r="NSS2" s="946"/>
      <c r="NST2" s="946"/>
      <c r="NSU2" s="946"/>
      <c r="NSV2" s="946"/>
      <c r="NSW2" s="946"/>
      <c r="NSX2" s="946"/>
      <c r="NSY2" s="946"/>
      <c r="NSZ2" s="946"/>
      <c r="NTA2" s="946"/>
      <c r="NTB2" s="946"/>
      <c r="NTC2" s="946"/>
      <c r="NTD2" s="946"/>
      <c r="NTE2" s="946"/>
      <c r="NTF2" s="946"/>
      <c r="NTG2" s="946"/>
      <c r="NTH2" s="946"/>
      <c r="NTI2" s="946"/>
      <c r="NTJ2" s="946"/>
      <c r="NTK2" s="946"/>
      <c r="NTL2" s="946"/>
      <c r="NTM2" s="946"/>
      <c r="NTN2" s="946"/>
      <c r="NTO2" s="946"/>
      <c r="NTP2" s="946"/>
      <c r="NTQ2" s="946"/>
      <c r="NTR2" s="946"/>
      <c r="NTS2" s="946"/>
      <c r="NTT2" s="946"/>
      <c r="NTU2" s="946"/>
      <c r="NTV2" s="946"/>
      <c r="NTW2" s="946"/>
      <c r="NTX2" s="946"/>
      <c r="NTY2" s="946"/>
      <c r="NTZ2" s="946"/>
      <c r="NUA2" s="946"/>
      <c r="NUB2" s="946"/>
      <c r="NUC2" s="946"/>
      <c r="NUD2" s="946"/>
      <c r="NUE2" s="946"/>
      <c r="NUF2" s="946"/>
      <c r="NUG2" s="946"/>
      <c r="NUH2" s="946"/>
      <c r="NUI2" s="946"/>
      <c r="NUJ2" s="946"/>
      <c r="NUK2" s="946"/>
      <c r="NUL2" s="946"/>
      <c r="NUM2" s="946"/>
      <c r="NUN2" s="946"/>
      <c r="NUO2" s="946"/>
      <c r="NUP2" s="946"/>
      <c r="NUQ2" s="946"/>
      <c r="NUR2" s="946"/>
      <c r="NUS2" s="946"/>
      <c r="NUT2" s="946"/>
      <c r="NUU2" s="946"/>
      <c r="NUV2" s="946"/>
      <c r="NUW2" s="946"/>
      <c r="NUX2" s="946"/>
      <c r="NUY2" s="946"/>
      <c r="NUZ2" s="946"/>
      <c r="NVA2" s="946"/>
      <c r="NVB2" s="946"/>
      <c r="NVC2" s="946"/>
      <c r="NVD2" s="946"/>
      <c r="NVE2" s="946"/>
      <c r="NVF2" s="946"/>
      <c r="NVG2" s="946"/>
      <c r="NVH2" s="946"/>
      <c r="NVI2" s="946"/>
      <c r="NVJ2" s="946"/>
      <c r="NVK2" s="946"/>
      <c r="NVL2" s="946"/>
      <c r="NVM2" s="946"/>
      <c r="NVN2" s="946"/>
      <c r="NVO2" s="946"/>
      <c r="NVP2" s="946"/>
      <c r="NVQ2" s="946"/>
      <c r="NVR2" s="946"/>
      <c r="NVS2" s="946"/>
      <c r="NVT2" s="946"/>
      <c r="NVU2" s="946"/>
      <c r="NVV2" s="946"/>
      <c r="NVW2" s="946"/>
      <c r="NVX2" s="946"/>
      <c r="NVY2" s="946"/>
      <c r="NVZ2" s="946"/>
      <c r="NWA2" s="946"/>
      <c r="NWB2" s="946"/>
      <c r="NWC2" s="946"/>
      <c r="NWD2" s="946"/>
      <c r="NWE2" s="946"/>
      <c r="NWF2" s="946"/>
      <c r="NWG2" s="946"/>
      <c r="NWH2" s="946"/>
      <c r="NWI2" s="946"/>
      <c r="NWJ2" s="946"/>
      <c r="NWK2" s="946"/>
      <c r="NWL2" s="946"/>
      <c r="NWM2" s="946"/>
      <c r="NWN2" s="946"/>
      <c r="NWO2" s="946"/>
      <c r="NWP2" s="946"/>
      <c r="NWQ2" s="946"/>
      <c r="NWR2" s="946"/>
      <c r="NWS2" s="946"/>
      <c r="NWT2" s="946"/>
      <c r="NWU2" s="946"/>
      <c r="NWV2" s="946"/>
      <c r="NWW2" s="946"/>
      <c r="NWX2" s="946"/>
      <c r="NWY2" s="946"/>
      <c r="NWZ2" s="946"/>
      <c r="NXA2" s="946"/>
      <c r="NXB2" s="946"/>
      <c r="NXC2" s="946"/>
      <c r="NXD2" s="946"/>
      <c r="NXE2" s="946"/>
      <c r="NXF2" s="946"/>
      <c r="NXG2" s="946"/>
      <c r="NXH2" s="946"/>
      <c r="NXI2" s="946"/>
      <c r="NXJ2" s="946"/>
      <c r="NXK2" s="946"/>
      <c r="NXL2" s="946"/>
      <c r="NXM2" s="946"/>
      <c r="NXN2" s="946"/>
      <c r="NXO2" s="946"/>
      <c r="NXP2" s="946"/>
      <c r="NXQ2" s="946"/>
      <c r="NXR2" s="946"/>
      <c r="NXS2" s="946"/>
      <c r="NXT2" s="946"/>
      <c r="NXU2" s="946"/>
      <c r="NXV2" s="946"/>
      <c r="NXW2" s="946"/>
      <c r="NXX2" s="946"/>
      <c r="NXY2" s="946"/>
      <c r="NXZ2" s="946"/>
      <c r="NYA2" s="946"/>
      <c r="NYB2" s="946"/>
      <c r="NYC2" s="946"/>
      <c r="NYD2" s="946"/>
      <c r="NYE2" s="946"/>
      <c r="NYF2" s="946"/>
      <c r="NYG2" s="946"/>
      <c r="NYH2" s="946"/>
      <c r="NYI2" s="946"/>
      <c r="NYJ2" s="946"/>
      <c r="NYK2" s="946"/>
      <c r="NYL2" s="946"/>
      <c r="NYM2" s="946"/>
      <c r="NYN2" s="946"/>
      <c r="NYO2" s="946"/>
      <c r="NYP2" s="946"/>
      <c r="NYQ2" s="946"/>
      <c r="NYR2" s="946"/>
      <c r="NYS2" s="946"/>
      <c r="NYT2" s="946"/>
      <c r="NYU2" s="946"/>
      <c r="NYV2" s="946"/>
      <c r="NYW2" s="946"/>
      <c r="NYX2" s="946"/>
      <c r="NYY2" s="946"/>
      <c r="NYZ2" s="946"/>
      <c r="NZA2" s="946"/>
      <c r="NZB2" s="946"/>
      <c r="NZC2" s="946"/>
      <c r="NZD2" s="946"/>
      <c r="NZE2" s="946"/>
      <c r="NZF2" s="946"/>
      <c r="NZG2" s="946"/>
      <c r="NZH2" s="946"/>
      <c r="NZI2" s="946"/>
      <c r="NZJ2" s="946"/>
      <c r="NZK2" s="946"/>
      <c r="NZL2" s="946"/>
      <c r="NZM2" s="946"/>
      <c r="NZN2" s="946"/>
      <c r="NZO2" s="946"/>
      <c r="NZP2" s="946"/>
      <c r="NZQ2" s="946"/>
      <c r="NZR2" s="946"/>
      <c r="NZS2" s="946"/>
      <c r="NZT2" s="946"/>
      <c r="NZU2" s="946"/>
      <c r="NZV2" s="946"/>
      <c r="NZW2" s="946"/>
      <c r="NZX2" s="946"/>
      <c r="NZY2" s="946"/>
      <c r="NZZ2" s="946"/>
      <c r="OAA2" s="946"/>
      <c r="OAB2" s="946"/>
      <c r="OAC2" s="946"/>
      <c r="OAD2" s="946"/>
      <c r="OAE2" s="946"/>
      <c r="OAF2" s="946"/>
      <c r="OAG2" s="946"/>
      <c r="OAH2" s="946"/>
      <c r="OAI2" s="946"/>
      <c r="OAJ2" s="946"/>
      <c r="OAK2" s="946"/>
      <c r="OAL2" s="946"/>
      <c r="OAM2" s="946"/>
      <c r="OAN2" s="946"/>
      <c r="OAO2" s="946"/>
      <c r="OAP2" s="946"/>
      <c r="OAQ2" s="946"/>
      <c r="OAR2" s="946"/>
      <c r="OAS2" s="946"/>
      <c r="OAT2" s="946"/>
      <c r="OAU2" s="946"/>
      <c r="OAV2" s="946"/>
      <c r="OAW2" s="946"/>
      <c r="OAX2" s="946"/>
      <c r="OAY2" s="946"/>
      <c r="OAZ2" s="946"/>
      <c r="OBA2" s="946"/>
      <c r="OBB2" s="946"/>
      <c r="OBC2" s="946"/>
      <c r="OBD2" s="946"/>
      <c r="OBE2" s="946"/>
      <c r="OBF2" s="946"/>
      <c r="OBG2" s="946"/>
      <c r="OBH2" s="946"/>
      <c r="OBI2" s="946"/>
      <c r="OBJ2" s="946"/>
      <c r="OBK2" s="946"/>
      <c r="OBL2" s="946"/>
      <c r="OBM2" s="946"/>
      <c r="OBN2" s="946"/>
      <c r="OBO2" s="946"/>
      <c r="OBP2" s="946"/>
      <c r="OBQ2" s="946"/>
      <c r="OBR2" s="946"/>
      <c r="OBS2" s="946"/>
      <c r="OBT2" s="946"/>
      <c r="OBU2" s="946"/>
      <c r="OBV2" s="946"/>
      <c r="OBW2" s="946"/>
      <c r="OBX2" s="946"/>
      <c r="OBY2" s="946"/>
      <c r="OBZ2" s="946"/>
      <c r="OCA2" s="946"/>
      <c r="OCB2" s="946"/>
      <c r="OCC2" s="946"/>
      <c r="OCD2" s="946"/>
      <c r="OCE2" s="946"/>
      <c r="OCF2" s="946"/>
      <c r="OCG2" s="946"/>
      <c r="OCH2" s="946"/>
      <c r="OCI2" s="946"/>
      <c r="OCJ2" s="946"/>
      <c r="OCK2" s="946"/>
      <c r="OCL2" s="946"/>
      <c r="OCM2" s="946"/>
      <c r="OCN2" s="946"/>
      <c r="OCO2" s="946"/>
      <c r="OCP2" s="946"/>
      <c r="OCQ2" s="946"/>
      <c r="OCR2" s="946"/>
      <c r="OCS2" s="946"/>
      <c r="OCT2" s="946"/>
      <c r="OCU2" s="946"/>
      <c r="OCV2" s="946"/>
      <c r="OCW2" s="946"/>
      <c r="OCX2" s="946"/>
      <c r="OCY2" s="946"/>
      <c r="OCZ2" s="946"/>
      <c r="ODA2" s="946"/>
      <c r="ODB2" s="946"/>
      <c r="ODC2" s="946"/>
      <c r="ODD2" s="946"/>
      <c r="ODE2" s="946"/>
      <c r="ODF2" s="946"/>
      <c r="ODG2" s="946"/>
      <c r="ODH2" s="946"/>
      <c r="ODI2" s="946"/>
      <c r="ODJ2" s="946"/>
      <c r="ODK2" s="946"/>
      <c r="ODL2" s="946"/>
      <c r="ODM2" s="946"/>
      <c r="ODN2" s="946"/>
      <c r="ODO2" s="946"/>
      <c r="ODP2" s="946"/>
      <c r="ODQ2" s="946"/>
      <c r="ODR2" s="946"/>
      <c r="ODS2" s="946"/>
      <c r="ODT2" s="946"/>
      <c r="ODU2" s="946"/>
      <c r="ODV2" s="946"/>
      <c r="ODW2" s="946"/>
      <c r="ODX2" s="946"/>
      <c r="ODY2" s="946"/>
      <c r="ODZ2" s="946"/>
      <c r="OEA2" s="946"/>
      <c r="OEB2" s="946"/>
      <c r="OEC2" s="946"/>
      <c r="OED2" s="946"/>
      <c r="OEE2" s="946"/>
      <c r="OEF2" s="946"/>
      <c r="OEG2" s="946"/>
      <c r="OEH2" s="946"/>
      <c r="OEI2" s="946"/>
      <c r="OEJ2" s="946"/>
      <c r="OEK2" s="946"/>
      <c r="OEL2" s="946"/>
      <c r="OEM2" s="946"/>
      <c r="OEN2" s="946"/>
      <c r="OEO2" s="946"/>
      <c r="OEP2" s="946"/>
      <c r="OEQ2" s="946"/>
      <c r="OER2" s="946"/>
      <c r="OES2" s="946"/>
      <c r="OET2" s="946"/>
      <c r="OEU2" s="946"/>
      <c r="OEV2" s="946"/>
      <c r="OEW2" s="946"/>
      <c r="OEX2" s="946"/>
      <c r="OEY2" s="946"/>
      <c r="OEZ2" s="946"/>
      <c r="OFA2" s="946"/>
      <c r="OFB2" s="946"/>
      <c r="OFC2" s="946"/>
      <c r="OFD2" s="946"/>
      <c r="OFE2" s="946"/>
      <c r="OFF2" s="946"/>
      <c r="OFG2" s="946"/>
      <c r="OFH2" s="946"/>
      <c r="OFI2" s="946"/>
      <c r="OFJ2" s="946"/>
      <c r="OFK2" s="946"/>
      <c r="OFL2" s="946"/>
      <c r="OFM2" s="946"/>
      <c r="OFN2" s="946"/>
      <c r="OFO2" s="946"/>
      <c r="OFP2" s="946"/>
      <c r="OFQ2" s="946"/>
      <c r="OFR2" s="946"/>
      <c r="OFS2" s="946"/>
      <c r="OFT2" s="946"/>
      <c r="OFU2" s="946"/>
      <c r="OFV2" s="946"/>
      <c r="OFW2" s="946"/>
      <c r="OFX2" s="946"/>
      <c r="OFY2" s="946"/>
      <c r="OFZ2" s="946"/>
      <c r="OGA2" s="946"/>
      <c r="OGB2" s="946"/>
      <c r="OGC2" s="946"/>
      <c r="OGD2" s="946"/>
      <c r="OGE2" s="946"/>
      <c r="OGF2" s="946"/>
      <c r="OGG2" s="946"/>
      <c r="OGH2" s="946"/>
      <c r="OGI2" s="946"/>
      <c r="OGJ2" s="946"/>
      <c r="OGK2" s="946"/>
      <c r="OGL2" s="946"/>
      <c r="OGM2" s="946"/>
      <c r="OGN2" s="946"/>
      <c r="OGO2" s="946"/>
      <c r="OGP2" s="946"/>
      <c r="OGQ2" s="946"/>
      <c r="OGR2" s="946"/>
      <c r="OGS2" s="946"/>
      <c r="OGT2" s="946"/>
      <c r="OGU2" s="946"/>
      <c r="OGV2" s="946"/>
      <c r="OGW2" s="946"/>
      <c r="OGX2" s="946"/>
      <c r="OGY2" s="946"/>
      <c r="OGZ2" s="946"/>
      <c r="OHA2" s="946"/>
      <c r="OHB2" s="946"/>
      <c r="OHC2" s="946"/>
      <c r="OHD2" s="946"/>
      <c r="OHE2" s="946"/>
      <c r="OHF2" s="946"/>
      <c r="OHG2" s="946"/>
      <c r="OHH2" s="946"/>
      <c r="OHI2" s="946"/>
      <c r="OHJ2" s="946"/>
      <c r="OHK2" s="946"/>
      <c r="OHL2" s="946"/>
      <c r="OHM2" s="946"/>
      <c r="OHN2" s="946"/>
      <c r="OHO2" s="946"/>
      <c r="OHP2" s="946"/>
      <c r="OHQ2" s="946"/>
      <c r="OHR2" s="946"/>
      <c r="OHS2" s="946"/>
      <c r="OHT2" s="946"/>
      <c r="OHU2" s="946"/>
      <c r="OHV2" s="946"/>
      <c r="OHW2" s="946"/>
      <c r="OHX2" s="946"/>
      <c r="OHY2" s="946"/>
      <c r="OHZ2" s="946"/>
      <c r="OIA2" s="946"/>
      <c r="OIB2" s="946"/>
      <c r="OIC2" s="946"/>
      <c r="OID2" s="946"/>
      <c r="OIE2" s="946"/>
      <c r="OIF2" s="946"/>
      <c r="OIG2" s="946"/>
      <c r="OIH2" s="946"/>
      <c r="OII2" s="946"/>
      <c r="OIJ2" s="946"/>
      <c r="OIK2" s="946"/>
      <c r="OIL2" s="946"/>
      <c r="OIM2" s="946"/>
      <c r="OIN2" s="946"/>
      <c r="OIO2" s="946"/>
      <c r="OIP2" s="946"/>
      <c r="OIQ2" s="946"/>
      <c r="OIR2" s="946"/>
      <c r="OIS2" s="946"/>
      <c r="OIT2" s="946"/>
      <c r="OIU2" s="946"/>
      <c r="OIV2" s="946"/>
      <c r="OIW2" s="946"/>
      <c r="OIX2" s="946"/>
      <c r="OIY2" s="946"/>
      <c r="OIZ2" s="946"/>
      <c r="OJA2" s="946"/>
      <c r="OJB2" s="946"/>
      <c r="OJC2" s="946"/>
      <c r="OJD2" s="946"/>
      <c r="OJE2" s="946"/>
      <c r="OJF2" s="946"/>
      <c r="OJG2" s="946"/>
      <c r="OJH2" s="946"/>
      <c r="OJI2" s="946"/>
      <c r="OJJ2" s="946"/>
      <c r="OJK2" s="946"/>
      <c r="OJL2" s="946"/>
      <c r="OJM2" s="946"/>
      <c r="OJN2" s="946"/>
      <c r="OJO2" s="946"/>
      <c r="OJP2" s="946"/>
      <c r="OJQ2" s="946"/>
      <c r="OJR2" s="946"/>
      <c r="OJS2" s="946"/>
      <c r="OJT2" s="946"/>
      <c r="OJU2" s="946"/>
      <c r="OJV2" s="946"/>
      <c r="OJW2" s="946"/>
      <c r="OJX2" s="946"/>
      <c r="OJY2" s="946"/>
      <c r="OJZ2" s="946"/>
      <c r="OKA2" s="946"/>
      <c r="OKB2" s="946"/>
      <c r="OKC2" s="946"/>
      <c r="OKD2" s="946"/>
      <c r="OKE2" s="946"/>
      <c r="OKF2" s="946"/>
      <c r="OKG2" s="946"/>
      <c r="OKH2" s="946"/>
      <c r="OKI2" s="946"/>
      <c r="OKJ2" s="946"/>
      <c r="OKK2" s="946"/>
      <c r="OKL2" s="946"/>
      <c r="OKM2" s="946"/>
      <c r="OKN2" s="946"/>
      <c r="OKO2" s="946"/>
      <c r="OKP2" s="946"/>
      <c r="OKQ2" s="946"/>
      <c r="OKR2" s="946"/>
      <c r="OKS2" s="946"/>
      <c r="OKT2" s="946"/>
      <c r="OKU2" s="946"/>
      <c r="OKV2" s="946"/>
      <c r="OKW2" s="946"/>
      <c r="OKX2" s="946"/>
      <c r="OKY2" s="946"/>
      <c r="OKZ2" s="946"/>
      <c r="OLA2" s="946"/>
      <c r="OLB2" s="946"/>
      <c r="OLC2" s="946"/>
      <c r="OLD2" s="946"/>
      <c r="OLE2" s="946"/>
      <c r="OLF2" s="946"/>
      <c r="OLG2" s="946"/>
      <c r="OLH2" s="946"/>
      <c r="OLI2" s="946"/>
      <c r="OLJ2" s="946"/>
      <c r="OLK2" s="946"/>
      <c r="OLL2" s="946"/>
      <c r="OLM2" s="946"/>
      <c r="OLN2" s="946"/>
      <c r="OLO2" s="946"/>
      <c r="OLP2" s="946"/>
      <c r="OLQ2" s="946"/>
      <c r="OLR2" s="946"/>
      <c r="OLS2" s="946"/>
      <c r="OLT2" s="946"/>
      <c r="OLU2" s="946"/>
      <c r="OLV2" s="946"/>
      <c r="OLW2" s="946"/>
      <c r="OLX2" s="946"/>
      <c r="OLY2" s="946"/>
      <c r="OLZ2" s="946"/>
      <c r="OMA2" s="946"/>
      <c r="OMB2" s="946"/>
      <c r="OMC2" s="946"/>
      <c r="OMD2" s="946"/>
      <c r="OME2" s="946"/>
      <c r="OMF2" s="946"/>
      <c r="OMG2" s="946"/>
      <c r="OMH2" s="946"/>
      <c r="OMI2" s="946"/>
      <c r="OMJ2" s="946"/>
      <c r="OMK2" s="946"/>
      <c r="OML2" s="946"/>
      <c r="OMM2" s="946"/>
      <c r="OMN2" s="946"/>
      <c r="OMO2" s="946"/>
      <c r="OMP2" s="946"/>
      <c r="OMQ2" s="946"/>
      <c r="OMR2" s="946"/>
      <c r="OMS2" s="946"/>
      <c r="OMT2" s="946"/>
      <c r="OMU2" s="946"/>
      <c r="OMV2" s="946"/>
      <c r="OMW2" s="946"/>
      <c r="OMX2" s="946"/>
      <c r="OMY2" s="946"/>
      <c r="OMZ2" s="946"/>
      <c r="ONA2" s="946"/>
      <c r="ONB2" s="946"/>
      <c r="ONC2" s="946"/>
      <c r="OND2" s="946"/>
      <c r="ONE2" s="946"/>
      <c r="ONF2" s="946"/>
      <c r="ONG2" s="946"/>
      <c r="ONH2" s="946"/>
      <c r="ONI2" s="946"/>
      <c r="ONJ2" s="946"/>
      <c r="ONK2" s="946"/>
      <c r="ONL2" s="946"/>
      <c r="ONM2" s="946"/>
      <c r="ONN2" s="946"/>
      <c r="ONO2" s="946"/>
      <c r="ONP2" s="946"/>
      <c r="ONQ2" s="946"/>
      <c r="ONR2" s="946"/>
      <c r="ONS2" s="946"/>
      <c r="ONT2" s="946"/>
      <c r="ONU2" s="946"/>
      <c r="ONV2" s="946"/>
      <c r="ONW2" s="946"/>
      <c r="ONX2" s="946"/>
      <c r="ONY2" s="946"/>
      <c r="ONZ2" s="946"/>
      <c r="OOA2" s="946"/>
      <c r="OOB2" s="946"/>
      <c r="OOC2" s="946"/>
      <c r="OOD2" s="946"/>
      <c r="OOE2" s="946"/>
      <c r="OOF2" s="946"/>
      <c r="OOG2" s="946"/>
      <c r="OOH2" s="946"/>
      <c r="OOI2" s="946"/>
      <c r="OOJ2" s="946"/>
      <c r="OOK2" s="946"/>
      <c r="OOL2" s="946"/>
      <c r="OOM2" s="946"/>
      <c r="OON2" s="946"/>
      <c r="OOO2" s="946"/>
      <c r="OOP2" s="946"/>
      <c r="OOQ2" s="946"/>
      <c r="OOR2" s="946"/>
      <c r="OOS2" s="946"/>
      <c r="OOT2" s="946"/>
      <c r="OOU2" s="946"/>
      <c r="OOV2" s="946"/>
      <c r="OOW2" s="946"/>
      <c r="OOX2" s="946"/>
      <c r="OOY2" s="946"/>
      <c r="OOZ2" s="946"/>
      <c r="OPA2" s="946"/>
      <c r="OPB2" s="946"/>
      <c r="OPC2" s="946"/>
      <c r="OPD2" s="946"/>
      <c r="OPE2" s="946"/>
      <c r="OPF2" s="946"/>
      <c r="OPG2" s="946"/>
      <c r="OPH2" s="946"/>
      <c r="OPI2" s="946"/>
      <c r="OPJ2" s="946"/>
      <c r="OPK2" s="946"/>
      <c r="OPL2" s="946"/>
      <c r="OPM2" s="946"/>
      <c r="OPN2" s="946"/>
      <c r="OPO2" s="946"/>
      <c r="OPP2" s="946"/>
      <c r="OPQ2" s="946"/>
      <c r="OPR2" s="946"/>
      <c r="OPS2" s="946"/>
      <c r="OPT2" s="946"/>
      <c r="OPU2" s="946"/>
      <c r="OPV2" s="946"/>
      <c r="OPW2" s="946"/>
      <c r="OPX2" s="946"/>
      <c r="OPY2" s="946"/>
      <c r="OPZ2" s="946"/>
      <c r="OQA2" s="946"/>
      <c r="OQB2" s="946"/>
      <c r="OQC2" s="946"/>
      <c r="OQD2" s="946"/>
      <c r="OQE2" s="946"/>
      <c r="OQF2" s="946"/>
      <c r="OQG2" s="946"/>
      <c r="OQH2" s="946"/>
      <c r="OQI2" s="946"/>
      <c r="OQJ2" s="946"/>
      <c r="OQK2" s="946"/>
      <c r="OQL2" s="946"/>
      <c r="OQM2" s="946"/>
      <c r="OQN2" s="946"/>
      <c r="OQO2" s="946"/>
      <c r="OQP2" s="946"/>
      <c r="OQQ2" s="946"/>
      <c r="OQR2" s="946"/>
      <c r="OQS2" s="946"/>
      <c r="OQT2" s="946"/>
      <c r="OQU2" s="946"/>
      <c r="OQV2" s="946"/>
      <c r="OQW2" s="946"/>
      <c r="OQX2" s="946"/>
      <c r="OQY2" s="946"/>
      <c r="OQZ2" s="946"/>
      <c r="ORA2" s="946"/>
      <c r="ORB2" s="946"/>
      <c r="ORC2" s="946"/>
      <c r="ORD2" s="946"/>
      <c r="ORE2" s="946"/>
      <c r="ORF2" s="946"/>
      <c r="ORG2" s="946"/>
      <c r="ORH2" s="946"/>
      <c r="ORI2" s="946"/>
      <c r="ORJ2" s="946"/>
      <c r="ORK2" s="946"/>
      <c r="ORL2" s="946"/>
      <c r="ORM2" s="946"/>
      <c r="ORN2" s="946"/>
      <c r="ORO2" s="946"/>
      <c r="ORP2" s="946"/>
      <c r="ORQ2" s="946"/>
      <c r="ORR2" s="946"/>
      <c r="ORS2" s="946"/>
      <c r="ORT2" s="946"/>
      <c r="ORU2" s="946"/>
      <c r="ORV2" s="946"/>
      <c r="ORW2" s="946"/>
      <c r="ORX2" s="946"/>
      <c r="ORY2" s="946"/>
      <c r="ORZ2" s="946"/>
      <c r="OSA2" s="946"/>
      <c r="OSB2" s="946"/>
      <c r="OSC2" s="946"/>
      <c r="OSD2" s="946"/>
      <c r="OSE2" s="946"/>
      <c r="OSF2" s="946"/>
      <c r="OSG2" s="946"/>
      <c r="OSH2" s="946"/>
      <c r="OSI2" s="946"/>
      <c r="OSJ2" s="946"/>
      <c r="OSK2" s="946"/>
      <c r="OSL2" s="946"/>
      <c r="OSM2" s="946"/>
      <c r="OSN2" s="946"/>
      <c r="OSO2" s="946"/>
      <c r="OSP2" s="946"/>
      <c r="OSQ2" s="946"/>
      <c r="OSR2" s="946"/>
      <c r="OSS2" s="946"/>
      <c r="OST2" s="946"/>
      <c r="OSU2" s="946"/>
      <c r="OSV2" s="946"/>
      <c r="OSW2" s="946"/>
      <c r="OSX2" s="946"/>
      <c r="OSY2" s="946"/>
      <c r="OSZ2" s="946"/>
      <c r="OTA2" s="946"/>
      <c r="OTB2" s="946"/>
      <c r="OTC2" s="946"/>
      <c r="OTD2" s="946"/>
      <c r="OTE2" s="946"/>
      <c r="OTF2" s="946"/>
      <c r="OTG2" s="946"/>
      <c r="OTH2" s="946"/>
      <c r="OTI2" s="946"/>
      <c r="OTJ2" s="946"/>
      <c r="OTK2" s="946"/>
      <c r="OTL2" s="946"/>
      <c r="OTM2" s="946"/>
      <c r="OTN2" s="946"/>
      <c r="OTO2" s="946"/>
      <c r="OTP2" s="946"/>
      <c r="OTQ2" s="946"/>
      <c r="OTR2" s="946"/>
      <c r="OTS2" s="946"/>
      <c r="OTT2" s="946"/>
      <c r="OTU2" s="946"/>
      <c r="OTV2" s="946"/>
      <c r="OTW2" s="946"/>
      <c r="OTX2" s="946"/>
      <c r="OTY2" s="946"/>
      <c r="OTZ2" s="946"/>
      <c r="OUA2" s="946"/>
      <c r="OUB2" s="946"/>
      <c r="OUC2" s="946"/>
      <c r="OUD2" s="946"/>
      <c r="OUE2" s="946"/>
      <c r="OUF2" s="946"/>
      <c r="OUG2" s="946"/>
      <c r="OUH2" s="946"/>
      <c r="OUI2" s="946"/>
      <c r="OUJ2" s="946"/>
      <c r="OUK2" s="946"/>
      <c r="OUL2" s="946"/>
      <c r="OUM2" s="946"/>
      <c r="OUN2" s="946"/>
      <c r="OUO2" s="946"/>
      <c r="OUP2" s="946"/>
      <c r="OUQ2" s="946"/>
      <c r="OUR2" s="946"/>
      <c r="OUS2" s="946"/>
      <c r="OUT2" s="946"/>
      <c r="OUU2" s="946"/>
      <c r="OUV2" s="946"/>
      <c r="OUW2" s="946"/>
      <c r="OUX2" s="946"/>
      <c r="OUY2" s="946"/>
      <c r="OUZ2" s="946"/>
      <c r="OVA2" s="946"/>
      <c r="OVB2" s="946"/>
      <c r="OVC2" s="946"/>
      <c r="OVD2" s="946"/>
      <c r="OVE2" s="946"/>
      <c r="OVF2" s="946"/>
      <c r="OVG2" s="946"/>
      <c r="OVH2" s="946"/>
      <c r="OVI2" s="946"/>
      <c r="OVJ2" s="946"/>
      <c r="OVK2" s="946"/>
      <c r="OVL2" s="946"/>
      <c r="OVM2" s="946"/>
      <c r="OVN2" s="946"/>
      <c r="OVO2" s="946"/>
      <c r="OVP2" s="946"/>
      <c r="OVQ2" s="946"/>
      <c r="OVR2" s="946"/>
      <c r="OVS2" s="946"/>
      <c r="OVT2" s="946"/>
      <c r="OVU2" s="946"/>
      <c r="OVV2" s="946"/>
      <c r="OVW2" s="946"/>
      <c r="OVX2" s="946"/>
      <c r="OVY2" s="946"/>
      <c r="OVZ2" s="946"/>
      <c r="OWA2" s="946"/>
      <c r="OWB2" s="946"/>
      <c r="OWC2" s="946"/>
      <c r="OWD2" s="946"/>
      <c r="OWE2" s="946"/>
      <c r="OWF2" s="946"/>
      <c r="OWG2" s="946"/>
      <c r="OWH2" s="946"/>
      <c r="OWI2" s="946"/>
      <c r="OWJ2" s="946"/>
      <c r="OWK2" s="946"/>
      <c r="OWL2" s="946"/>
      <c r="OWM2" s="946"/>
      <c r="OWN2" s="946"/>
      <c r="OWO2" s="946"/>
      <c r="OWP2" s="946"/>
      <c r="OWQ2" s="946"/>
      <c r="OWR2" s="946"/>
      <c r="OWS2" s="946"/>
      <c r="OWT2" s="946"/>
      <c r="OWU2" s="946"/>
      <c r="OWV2" s="946"/>
      <c r="OWW2" s="946"/>
      <c r="OWX2" s="946"/>
      <c r="OWY2" s="946"/>
      <c r="OWZ2" s="946"/>
      <c r="OXA2" s="946"/>
      <c r="OXB2" s="946"/>
      <c r="OXC2" s="946"/>
      <c r="OXD2" s="946"/>
      <c r="OXE2" s="946"/>
      <c r="OXF2" s="946"/>
      <c r="OXG2" s="946"/>
      <c r="OXH2" s="946"/>
      <c r="OXI2" s="946"/>
      <c r="OXJ2" s="946"/>
      <c r="OXK2" s="946"/>
      <c r="OXL2" s="946"/>
      <c r="OXM2" s="946"/>
      <c r="OXN2" s="946"/>
      <c r="OXO2" s="946"/>
      <c r="OXP2" s="946"/>
      <c r="OXQ2" s="946"/>
      <c r="OXR2" s="946"/>
      <c r="OXS2" s="946"/>
      <c r="OXT2" s="946"/>
      <c r="OXU2" s="946"/>
      <c r="OXV2" s="946"/>
      <c r="OXW2" s="946"/>
      <c r="OXX2" s="946"/>
      <c r="OXY2" s="946"/>
      <c r="OXZ2" s="946"/>
      <c r="OYA2" s="946"/>
      <c r="OYB2" s="946"/>
      <c r="OYC2" s="946"/>
      <c r="OYD2" s="946"/>
      <c r="OYE2" s="946"/>
      <c r="OYF2" s="946"/>
      <c r="OYG2" s="946"/>
      <c r="OYH2" s="946"/>
      <c r="OYI2" s="946"/>
      <c r="OYJ2" s="946"/>
      <c r="OYK2" s="946"/>
      <c r="OYL2" s="946"/>
      <c r="OYM2" s="946"/>
      <c r="OYN2" s="946"/>
      <c r="OYO2" s="946"/>
      <c r="OYP2" s="946"/>
      <c r="OYQ2" s="946"/>
      <c r="OYR2" s="946"/>
      <c r="OYS2" s="946"/>
      <c r="OYT2" s="946"/>
      <c r="OYU2" s="946"/>
      <c r="OYV2" s="946"/>
      <c r="OYW2" s="946"/>
      <c r="OYX2" s="946"/>
      <c r="OYY2" s="946"/>
      <c r="OYZ2" s="946"/>
      <c r="OZA2" s="946"/>
      <c r="OZB2" s="946"/>
      <c r="OZC2" s="946"/>
      <c r="OZD2" s="946"/>
      <c r="OZE2" s="946"/>
      <c r="OZF2" s="946"/>
      <c r="OZG2" s="946"/>
      <c r="OZH2" s="946"/>
      <c r="OZI2" s="946"/>
      <c r="OZJ2" s="946"/>
      <c r="OZK2" s="946"/>
      <c r="OZL2" s="946"/>
      <c r="OZM2" s="946"/>
      <c r="OZN2" s="946"/>
      <c r="OZO2" s="946"/>
      <c r="OZP2" s="946"/>
      <c r="OZQ2" s="946"/>
      <c r="OZR2" s="946"/>
      <c r="OZS2" s="946"/>
      <c r="OZT2" s="946"/>
      <c r="OZU2" s="946"/>
      <c r="OZV2" s="946"/>
      <c r="OZW2" s="946"/>
      <c r="OZX2" s="946"/>
      <c r="OZY2" s="946"/>
      <c r="OZZ2" s="946"/>
      <c r="PAA2" s="946"/>
      <c r="PAB2" s="946"/>
      <c r="PAC2" s="946"/>
      <c r="PAD2" s="946"/>
      <c r="PAE2" s="946"/>
      <c r="PAF2" s="946"/>
      <c r="PAG2" s="946"/>
      <c r="PAH2" s="946"/>
      <c r="PAI2" s="946"/>
      <c r="PAJ2" s="946"/>
      <c r="PAK2" s="946"/>
      <c r="PAL2" s="946"/>
      <c r="PAM2" s="946"/>
      <c r="PAN2" s="946"/>
      <c r="PAO2" s="946"/>
      <c r="PAP2" s="946"/>
      <c r="PAQ2" s="946"/>
      <c r="PAR2" s="946"/>
      <c r="PAS2" s="946"/>
      <c r="PAT2" s="946"/>
      <c r="PAU2" s="946"/>
      <c r="PAV2" s="946"/>
      <c r="PAW2" s="946"/>
      <c r="PAX2" s="946"/>
      <c r="PAY2" s="946"/>
      <c r="PAZ2" s="946"/>
      <c r="PBA2" s="946"/>
      <c r="PBB2" s="946"/>
      <c r="PBC2" s="946"/>
      <c r="PBD2" s="946"/>
      <c r="PBE2" s="946"/>
      <c r="PBF2" s="946"/>
      <c r="PBG2" s="946"/>
      <c r="PBH2" s="946"/>
      <c r="PBI2" s="946"/>
      <c r="PBJ2" s="946"/>
      <c r="PBK2" s="946"/>
      <c r="PBL2" s="946"/>
      <c r="PBM2" s="946"/>
      <c r="PBN2" s="946"/>
      <c r="PBO2" s="946"/>
      <c r="PBP2" s="946"/>
      <c r="PBQ2" s="946"/>
      <c r="PBR2" s="946"/>
      <c r="PBS2" s="946"/>
      <c r="PBT2" s="946"/>
      <c r="PBU2" s="946"/>
      <c r="PBV2" s="946"/>
      <c r="PBW2" s="946"/>
      <c r="PBX2" s="946"/>
      <c r="PBY2" s="946"/>
      <c r="PBZ2" s="946"/>
      <c r="PCA2" s="946"/>
      <c r="PCB2" s="946"/>
      <c r="PCC2" s="946"/>
      <c r="PCD2" s="946"/>
      <c r="PCE2" s="946"/>
      <c r="PCF2" s="946"/>
      <c r="PCG2" s="946"/>
      <c r="PCH2" s="946"/>
      <c r="PCI2" s="946"/>
      <c r="PCJ2" s="946"/>
      <c r="PCK2" s="946"/>
      <c r="PCL2" s="946"/>
      <c r="PCM2" s="946"/>
      <c r="PCN2" s="946"/>
      <c r="PCO2" s="946"/>
      <c r="PCP2" s="946"/>
      <c r="PCQ2" s="946"/>
      <c r="PCR2" s="946"/>
      <c r="PCS2" s="946"/>
      <c r="PCT2" s="946"/>
      <c r="PCU2" s="946"/>
      <c r="PCV2" s="946"/>
      <c r="PCW2" s="946"/>
      <c r="PCX2" s="946"/>
      <c r="PCY2" s="946"/>
      <c r="PCZ2" s="946"/>
      <c r="PDA2" s="946"/>
      <c r="PDB2" s="946"/>
      <c r="PDC2" s="946"/>
      <c r="PDD2" s="946"/>
      <c r="PDE2" s="946"/>
      <c r="PDF2" s="946"/>
      <c r="PDG2" s="946"/>
      <c r="PDH2" s="946"/>
      <c r="PDI2" s="946"/>
      <c r="PDJ2" s="946"/>
      <c r="PDK2" s="946"/>
      <c r="PDL2" s="946"/>
      <c r="PDM2" s="946"/>
      <c r="PDN2" s="946"/>
      <c r="PDO2" s="946"/>
      <c r="PDP2" s="946"/>
      <c r="PDQ2" s="946"/>
      <c r="PDR2" s="946"/>
      <c r="PDS2" s="946"/>
      <c r="PDT2" s="946"/>
      <c r="PDU2" s="946"/>
      <c r="PDV2" s="946"/>
      <c r="PDW2" s="946"/>
      <c r="PDX2" s="946"/>
      <c r="PDY2" s="946"/>
      <c r="PDZ2" s="946"/>
      <c r="PEA2" s="946"/>
      <c r="PEB2" s="946"/>
      <c r="PEC2" s="946"/>
      <c r="PED2" s="946"/>
      <c r="PEE2" s="946"/>
      <c r="PEF2" s="946"/>
      <c r="PEG2" s="946"/>
      <c r="PEH2" s="946"/>
      <c r="PEI2" s="946"/>
      <c r="PEJ2" s="946"/>
      <c r="PEK2" s="946"/>
      <c r="PEL2" s="946"/>
      <c r="PEM2" s="946"/>
      <c r="PEN2" s="946"/>
      <c r="PEO2" s="946"/>
      <c r="PEP2" s="946"/>
      <c r="PEQ2" s="946"/>
      <c r="PER2" s="946"/>
      <c r="PES2" s="946"/>
      <c r="PET2" s="946"/>
      <c r="PEU2" s="946"/>
      <c r="PEV2" s="946"/>
      <c r="PEW2" s="946"/>
      <c r="PEX2" s="946"/>
      <c r="PEY2" s="946"/>
      <c r="PEZ2" s="946"/>
      <c r="PFA2" s="946"/>
      <c r="PFB2" s="946"/>
      <c r="PFC2" s="946"/>
      <c r="PFD2" s="946"/>
      <c r="PFE2" s="946"/>
      <c r="PFF2" s="946"/>
      <c r="PFG2" s="946"/>
      <c r="PFH2" s="946"/>
      <c r="PFI2" s="946"/>
      <c r="PFJ2" s="946"/>
      <c r="PFK2" s="946"/>
      <c r="PFL2" s="946"/>
      <c r="PFM2" s="946"/>
      <c r="PFN2" s="946"/>
      <c r="PFO2" s="946"/>
      <c r="PFP2" s="946"/>
      <c r="PFQ2" s="946"/>
      <c r="PFR2" s="946"/>
      <c r="PFS2" s="946"/>
      <c r="PFT2" s="946"/>
      <c r="PFU2" s="946"/>
      <c r="PFV2" s="946"/>
      <c r="PFW2" s="946"/>
      <c r="PFX2" s="946"/>
      <c r="PFY2" s="946"/>
      <c r="PFZ2" s="946"/>
      <c r="PGA2" s="946"/>
      <c r="PGB2" s="946"/>
      <c r="PGC2" s="946"/>
      <c r="PGD2" s="946"/>
      <c r="PGE2" s="946"/>
      <c r="PGF2" s="946"/>
      <c r="PGG2" s="946"/>
      <c r="PGH2" s="946"/>
      <c r="PGI2" s="946"/>
      <c r="PGJ2" s="946"/>
      <c r="PGK2" s="946"/>
      <c r="PGL2" s="946"/>
      <c r="PGM2" s="946"/>
      <c r="PGN2" s="946"/>
      <c r="PGO2" s="946"/>
      <c r="PGP2" s="946"/>
      <c r="PGQ2" s="946"/>
      <c r="PGR2" s="946"/>
      <c r="PGS2" s="946"/>
      <c r="PGT2" s="946"/>
      <c r="PGU2" s="946"/>
      <c r="PGV2" s="946"/>
      <c r="PGW2" s="946"/>
      <c r="PGX2" s="946"/>
      <c r="PGY2" s="946"/>
      <c r="PGZ2" s="946"/>
      <c r="PHA2" s="946"/>
      <c r="PHB2" s="946"/>
      <c r="PHC2" s="946"/>
      <c r="PHD2" s="946"/>
      <c r="PHE2" s="946"/>
      <c r="PHF2" s="946"/>
      <c r="PHG2" s="946"/>
      <c r="PHH2" s="946"/>
      <c r="PHI2" s="946"/>
      <c r="PHJ2" s="946"/>
      <c r="PHK2" s="946"/>
      <c r="PHL2" s="946"/>
      <c r="PHM2" s="946"/>
      <c r="PHN2" s="946"/>
      <c r="PHO2" s="946"/>
      <c r="PHP2" s="946"/>
      <c r="PHQ2" s="946"/>
      <c r="PHR2" s="946"/>
      <c r="PHS2" s="946"/>
      <c r="PHT2" s="946"/>
      <c r="PHU2" s="946"/>
      <c r="PHV2" s="946"/>
      <c r="PHW2" s="946"/>
      <c r="PHX2" s="946"/>
      <c r="PHY2" s="946"/>
      <c r="PHZ2" s="946"/>
      <c r="PIA2" s="946"/>
      <c r="PIB2" s="946"/>
      <c r="PIC2" s="946"/>
      <c r="PID2" s="946"/>
      <c r="PIE2" s="946"/>
      <c r="PIF2" s="946"/>
      <c r="PIG2" s="946"/>
      <c r="PIH2" s="946"/>
      <c r="PII2" s="946"/>
      <c r="PIJ2" s="946"/>
      <c r="PIK2" s="946"/>
      <c r="PIL2" s="946"/>
      <c r="PIM2" s="946"/>
      <c r="PIN2" s="946"/>
      <c r="PIO2" s="946"/>
      <c r="PIP2" s="946"/>
      <c r="PIQ2" s="946"/>
      <c r="PIR2" s="946"/>
      <c r="PIS2" s="946"/>
      <c r="PIT2" s="946"/>
      <c r="PIU2" s="946"/>
      <c r="PIV2" s="946"/>
      <c r="PIW2" s="946"/>
      <c r="PIX2" s="946"/>
      <c r="PIY2" s="946"/>
      <c r="PIZ2" s="946"/>
      <c r="PJA2" s="946"/>
      <c r="PJB2" s="946"/>
      <c r="PJC2" s="946"/>
      <c r="PJD2" s="946"/>
      <c r="PJE2" s="946"/>
      <c r="PJF2" s="946"/>
      <c r="PJG2" s="946"/>
      <c r="PJH2" s="946"/>
      <c r="PJI2" s="946"/>
      <c r="PJJ2" s="946"/>
      <c r="PJK2" s="946"/>
      <c r="PJL2" s="946"/>
      <c r="PJM2" s="946"/>
      <c r="PJN2" s="946"/>
      <c r="PJO2" s="946"/>
      <c r="PJP2" s="946"/>
      <c r="PJQ2" s="946"/>
      <c r="PJR2" s="946"/>
      <c r="PJS2" s="946"/>
      <c r="PJT2" s="946"/>
      <c r="PJU2" s="946"/>
      <c r="PJV2" s="946"/>
      <c r="PJW2" s="946"/>
      <c r="PJX2" s="946"/>
      <c r="PJY2" s="946"/>
      <c r="PJZ2" s="946"/>
      <c r="PKA2" s="946"/>
      <c r="PKB2" s="946"/>
      <c r="PKC2" s="946"/>
      <c r="PKD2" s="946"/>
      <c r="PKE2" s="946"/>
      <c r="PKF2" s="946"/>
      <c r="PKG2" s="946"/>
      <c r="PKH2" s="946"/>
      <c r="PKI2" s="946"/>
      <c r="PKJ2" s="946"/>
      <c r="PKK2" s="946"/>
      <c r="PKL2" s="946"/>
      <c r="PKM2" s="946"/>
      <c r="PKN2" s="946"/>
      <c r="PKO2" s="946"/>
      <c r="PKP2" s="946"/>
      <c r="PKQ2" s="946"/>
      <c r="PKR2" s="946"/>
      <c r="PKS2" s="946"/>
      <c r="PKT2" s="946"/>
      <c r="PKU2" s="946"/>
      <c r="PKV2" s="946"/>
      <c r="PKW2" s="946"/>
      <c r="PKX2" s="946"/>
      <c r="PKY2" s="946"/>
      <c r="PKZ2" s="946"/>
      <c r="PLA2" s="946"/>
      <c r="PLB2" s="946"/>
      <c r="PLC2" s="946"/>
      <c r="PLD2" s="946"/>
      <c r="PLE2" s="946"/>
      <c r="PLF2" s="946"/>
      <c r="PLG2" s="946"/>
      <c r="PLH2" s="946"/>
      <c r="PLI2" s="946"/>
      <c r="PLJ2" s="946"/>
      <c r="PLK2" s="946"/>
      <c r="PLL2" s="946"/>
      <c r="PLM2" s="946"/>
      <c r="PLN2" s="946"/>
      <c r="PLO2" s="946"/>
      <c r="PLP2" s="946"/>
      <c r="PLQ2" s="946"/>
      <c r="PLR2" s="946"/>
      <c r="PLS2" s="946"/>
      <c r="PLT2" s="946"/>
      <c r="PLU2" s="946"/>
      <c r="PLV2" s="946"/>
      <c r="PLW2" s="946"/>
      <c r="PLX2" s="946"/>
      <c r="PLY2" s="946"/>
      <c r="PLZ2" s="946"/>
      <c r="PMA2" s="946"/>
      <c r="PMB2" s="946"/>
      <c r="PMC2" s="946"/>
      <c r="PMD2" s="946"/>
      <c r="PME2" s="946"/>
      <c r="PMF2" s="946"/>
      <c r="PMG2" s="946"/>
      <c r="PMH2" s="946"/>
      <c r="PMI2" s="946"/>
      <c r="PMJ2" s="946"/>
      <c r="PMK2" s="946"/>
      <c r="PML2" s="946"/>
      <c r="PMM2" s="946"/>
      <c r="PMN2" s="946"/>
      <c r="PMO2" s="946"/>
      <c r="PMP2" s="946"/>
      <c r="PMQ2" s="946"/>
      <c r="PMR2" s="946"/>
      <c r="PMS2" s="946"/>
      <c r="PMT2" s="946"/>
      <c r="PMU2" s="946"/>
      <c r="PMV2" s="946"/>
      <c r="PMW2" s="946"/>
      <c r="PMX2" s="946"/>
      <c r="PMY2" s="946"/>
      <c r="PMZ2" s="946"/>
      <c r="PNA2" s="946"/>
      <c r="PNB2" s="946"/>
      <c r="PNC2" s="946"/>
      <c r="PND2" s="946"/>
      <c r="PNE2" s="946"/>
      <c r="PNF2" s="946"/>
      <c r="PNG2" s="946"/>
      <c r="PNH2" s="946"/>
      <c r="PNI2" s="946"/>
      <c r="PNJ2" s="946"/>
      <c r="PNK2" s="946"/>
      <c r="PNL2" s="946"/>
      <c r="PNM2" s="946"/>
      <c r="PNN2" s="946"/>
      <c r="PNO2" s="946"/>
      <c r="PNP2" s="946"/>
      <c r="PNQ2" s="946"/>
      <c r="PNR2" s="946"/>
      <c r="PNS2" s="946"/>
      <c r="PNT2" s="946"/>
      <c r="PNU2" s="946"/>
      <c r="PNV2" s="946"/>
      <c r="PNW2" s="946"/>
      <c r="PNX2" s="946"/>
      <c r="PNY2" s="946"/>
      <c r="PNZ2" s="946"/>
      <c r="POA2" s="946"/>
      <c r="POB2" s="946"/>
      <c r="POC2" s="946"/>
      <c r="POD2" s="946"/>
      <c r="POE2" s="946"/>
      <c r="POF2" s="946"/>
      <c r="POG2" s="946"/>
      <c r="POH2" s="946"/>
      <c r="POI2" s="946"/>
      <c r="POJ2" s="946"/>
      <c r="POK2" s="946"/>
      <c r="POL2" s="946"/>
      <c r="POM2" s="946"/>
      <c r="PON2" s="946"/>
      <c r="POO2" s="946"/>
      <c r="POP2" s="946"/>
      <c r="POQ2" s="946"/>
      <c r="POR2" s="946"/>
      <c r="POS2" s="946"/>
      <c r="POT2" s="946"/>
      <c r="POU2" s="946"/>
      <c r="POV2" s="946"/>
      <c r="POW2" s="946"/>
      <c r="POX2" s="946"/>
      <c r="POY2" s="946"/>
      <c r="POZ2" s="946"/>
      <c r="PPA2" s="946"/>
      <c r="PPB2" s="946"/>
      <c r="PPC2" s="946"/>
      <c r="PPD2" s="946"/>
      <c r="PPE2" s="946"/>
      <c r="PPF2" s="946"/>
      <c r="PPG2" s="946"/>
      <c r="PPH2" s="946"/>
      <c r="PPI2" s="946"/>
      <c r="PPJ2" s="946"/>
      <c r="PPK2" s="946"/>
      <c r="PPL2" s="946"/>
      <c r="PPM2" s="946"/>
      <c r="PPN2" s="946"/>
      <c r="PPO2" s="946"/>
      <c r="PPP2" s="946"/>
      <c r="PPQ2" s="946"/>
      <c r="PPR2" s="946"/>
      <c r="PPS2" s="946"/>
      <c r="PPT2" s="946"/>
      <c r="PPU2" s="946"/>
      <c r="PPV2" s="946"/>
      <c r="PPW2" s="946"/>
      <c r="PPX2" s="946"/>
      <c r="PPY2" s="946"/>
      <c r="PPZ2" s="946"/>
      <c r="PQA2" s="946"/>
      <c r="PQB2" s="946"/>
      <c r="PQC2" s="946"/>
      <c r="PQD2" s="946"/>
      <c r="PQE2" s="946"/>
      <c r="PQF2" s="946"/>
      <c r="PQG2" s="946"/>
      <c r="PQH2" s="946"/>
      <c r="PQI2" s="946"/>
      <c r="PQJ2" s="946"/>
      <c r="PQK2" s="946"/>
      <c r="PQL2" s="946"/>
      <c r="PQM2" s="946"/>
      <c r="PQN2" s="946"/>
      <c r="PQO2" s="946"/>
      <c r="PQP2" s="946"/>
      <c r="PQQ2" s="946"/>
      <c r="PQR2" s="946"/>
      <c r="PQS2" s="946"/>
      <c r="PQT2" s="946"/>
      <c r="PQU2" s="946"/>
      <c r="PQV2" s="946"/>
      <c r="PQW2" s="946"/>
      <c r="PQX2" s="946"/>
      <c r="PQY2" s="946"/>
      <c r="PQZ2" s="946"/>
      <c r="PRA2" s="946"/>
      <c r="PRB2" s="946"/>
      <c r="PRC2" s="946"/>
      <c r="PRD2" s="946"/>
      <c r="PRE2" s="946"/>
      <c r="PRF2" s="946"/>
      <c r="PRG2" s="946"/>
      <c r="PRH2" s="946"/>
      <c r="PRI2" s="946"/>
      <c r="PRJ2" s="946"/>
      <c r="PRK2" s="946"/>
      <c r="PRL2" s="946"/>
      <c r="PRM2" s="946"/>
      <c r="PRN2" s="946"/>
      <c r="PRO2" s="946"/>
      <c r="PRP2" s="946"/>
      <c r="PRQ2" s="946"/>
      <c r="PRR2" s="946"/>
      <c r="PRS2" s="946"/>
      <c r="PRT2" s="946"/>
      <c r="PRU2" s="946"/>
      <c r="PRV2" s="946"/>
      <c r="PRW2" s="946"/>
      <c r="PRX2" s="946"/>
      <c r="PRY2" s="946"/>
      <c r="PRZ2" s="946"/>
      <c r="PSA2" s="946"/>
      <c r="PSB2" s="946"/>
      <c r="PSC2" s="946"/>
      <c r="PSD2" s="946"/>
      <c r="PSE2" s="946"/>
      <c r="PSF2" s="946"/>
      <c r="PSG2" s="946"/>
      <c r="PSH2" s="946"/>
      <c r="PSI2" s="946"/>
      <c r="PSJ2" s="946"/>
      <c r="PSK2" s="946"/>
      <c r="PSL2" s="946"/>
      <c r="PSM2" s="946"/>
      <c r="PSN2" s="946"/>
      <c r="PSO2" s="946"/>
      <c r="PSP2" s="946"/>
      <c r="PSQ2" s="946"/>
      <c r="PSR2" s="946"/>
      <c r="PSS2" s="946"/>
      <c r="PST2" s="946"/>
      <c r="PSU2" s="946"/>
      <c r="PSV2" s="946"/>
      <c r="PSW2" s="946"/>
      <c r="PSX2" s="946"/>
      <c r="PSY2" s="946"/>
      <c r="PSZ2" s="946"/>
      <c r="PTA2" s="946"/>
      <c r="PTB2" s="946"/>
      <c r="PTC2" s="946"/>
      <c r="PTD2" s="946"/>
      <c r="PTE2" s="946"/>
      <c r="PTF2" s="946"/>
      <c r="PTG2" s="946"/>
      <c r="PTH2" s="946"/>
      <c r="PTI2" s="946"/>
      <c r="PTJ2" s="946"/>
      <c r="PTK2" s="946"/>
      <c r="PTL2" s="946"/>
      <c r="PTM2" s="946"/>
      <c r="PTN2" s="946"/>
      <c r="PTO2" s="946"/>
      <c r="PTP2" s="946"/>
      <c r="PTQ2" s="946"/>
      <c r="PTR2" s="946"/>
      <c r="PTS2" s="946"/>
      <c r="PTT2" s="946"/>
      <c r="PTU2" s="946"/>
      <c r="PTV2" s="946"/>
      <c r="PTW2" s="946"/>
      <c r="PTX2" s="946"/>
      <c r="PTY2" s="946"/>
      <c r="PTZ2" s="946"/>
      <c r="PUA2" s="946"/>
      <c r="PUB2" s="946"/>
      <c r="PUC2" s="946"/>
      <c r="PUD2" s="946"/>
      <c r="PUE2" s="946"/>
      <c r="PUF2" s="946"/>
      <c r="PUG2" s="946"/>
      <c r="PUH2" s="946"/>
      <c r="PUI2" s="946"/>
      <c r="PUJ2" s="946"/>
      <c r="PUK2" s="946"/>
      <c r="PUL2" s="946"/>
      <c r="PUM2" s="946"/>
      <c r="PUN2" s="946"/>
      <c r="PUO2" s="946"/>
      <c r="PUP2" s="946"/>
      <c r="PUQ2" s="946"/>
      <c r="PUR2" s="946"/>
      <c r="PUS2" s="946"/>
      <c r="PUT2" s="946"/>
      <c r="PUU2" s="946"/>
      <c r="PUV2" s="946"/>
      <c r="PUW2" s="946"/>
      <c r="PUX2" s="946"/>
      <c r="PUY2" s="946"/>
      <c r="PUZ2" s="946"/>
      <c r="PVA2" s="946"/>
      <c r="PVB2" s="946"/>
      <c r="PVC2" s="946"/>
      <c r="PVD2" s="946"/>
      <c r="PVE2" s="946"/>
      <c r="PVF2" s="946"/>
      <c r="PVG2" s="946"/>
      <c r="PVH2" s="946"/>
      <c r="PVI2" s="946"/>
      <c r="PVJ2" s="946"/>
      <c r="PVK2" s="946"/>
      <c r="PVL2" s="946"/>
      <c r="PVM2" s="946"/>
      <c r="PVN2" s="946"/>
      <c r="PVO2" s="946"/>
      <c r="PVP2" s="946"/>
      <c r="PVQ2" s="946"/>
      <c r="PVR2" s="946"/>
      <c r="PVS2" s="946"/>
      <c r="PVT2" s="946"/>
      <c r="PVU2" s="946"/>
      <c r="PVV2" s="946"/>
      <c r="PVW2" s="946"/>
      <c r="PVX2" s="946"/>
      <c r="PVY2" s="946"/>
      <c r="PVZ2" s="946"/>
      <c r="PWA2" s="946"/>
      <c r="PWB2" s="946"/>
      <c r="PWC2" s="946"/>
      <c r="PWD2" s="946"/>
      <c r="PWE2" s="946"/>
      <c r="PWF2" s="946"/>
      <c r="PWG2" s="946"/>
      <c r="PWH2" s="946"/>
      <c r="PWI2" s="946"/>
      <c r="PWJ2" s="946"/>
      <c r="PWK2" s="946"/>
      <c r="PWL2" s="946"/>
      <c r="PWM2" s="946"/>
      <c r="PWN2" s="946"/>
      <c r="PWO2" s="946"/>
      <c r="PWP2" s="946"/>
      <c r="PWQ2" s="946"/>
      <c r="PWR2" s="946"/>
      <c r="PWS2" s="946"/>
      <c r="PWT2" s="946"/>
      <c r="PWU2" s="946"/>
      <c r="PWV2" s="946"/>
      <c r="PWW2" s="946"/>
      <c r="PWX2" s="946"/>
      <c r="PWY2" s="946"/>
      <c r="PWZ2" s="946"/>
      <c r="PXA2" s="946"/>
      <c r="PXB2" s="946"/>
      <c r="PXC2" s="946"/>
      <c r="PXD2" s="946"/>
      <c r="PXE2" s="946"/>
      <c r="PXF2" s="946"/>
      <c r="PXG2" s="946"/>
      <c r="PXH2" s="946"/>
      <c r="PXI2" s="946"/>
      <c r="PXJ2" s="946"/>
      <c r="PXK2" s="946"/>
      <c r="PXL2" s="946"/>
      <c r="PXM2" s="946"/>
      <c r="PXN2" s="946"/>
      <c r="PXO2" s="946"/>
      <c r="PXP2" s="946"/>
      <c r="PXQ2" s="946"/>
      <c r="PXR2" s="946"/>
      <c r="PXS2" s="946"/>
      <c r="PXT2" s="946"/>
      <c r="PXU2" s="946"/>
      <c r="PXV2" s="946"/>
      <c r="PXW2" s="946"/>
      <c r="PXX2" s="946"/>
      <c r="PXY2" s="946"/>
      <c r="PXZ2" s="946"/>
      <c r="PYA2" s="946"/>
      <c r="PYB2" s="946"/>
      <c r="PYC2" s="946"/>
      <c r="PYD2" s="946"/>
      <c r="PYE2" s="946"/>
      <c r="PYF2" s="946"/>
      <c r="PYG2" s="946"/>
      <c r="PYH2" s="946"/>
      <c r="PYI2" s="946"/>
      <c r="PYJ2" s="946"/>
      <c r="PYK2" s="946"/>
      <c r="PYL2" s="946"/>
      <c r="PYM2" s="946"/>
      <c r="PYN2" s="946"/>
      <c r="PYO2" s="946"/>
      <c r="PYP2" s="946"/>
      <c r="PYQ2" s="946"/>
      <c r="PYR2" s="946"/>
      <c r="PYS2" s="946"/>
      <c r="PYT2" s="946"/>
      <c r="PYU2" s="946"/>
      <c r="PYV2" s="946"/>
      <c r="PYW2" s="946"/>
      <c r="PYX2" s="946"/>
      <c r="PYY2" s="946"/>
      <c r="PYZ2" s="946"/>
      <c r="PZA2" s="946"/>
      <c r="PZB2" s="946"/>
      <c r="PZC2" s="946"/>
      <c r="PZD2" s="946"/>
      <c r="PZE2" s="946"/>
      <c r="PZF2" s="946"/>
      <c r="PZG2" s="946"/>
      <c r="PZH2" s="946"/>
      <c r="PZI2" s="946"/>
      <c r="PZJ2" s="946"/>
      <c r="PZK2" s="946"/>
      <c r="PZL2" s="946"/>
      <c r="PZM2" s="946"/>
      <c r="PZN2" s="946"/>
      <c r="PZO2" s="946"/>
      <c r="PZP2" s="946"/>
      <c r="PZQ2" s="946"/>
      <c r="PZR2" s="946"/>
      <c r="PZS2" s="946"/>
      <c r="PZT2" s="946"/>
      <c r="PZU2" s="946"/>
      <c r="PZV2" s="946"/>
      <c r="PZW2" s="946"/>
      <c r="PZX2" s="946"/>
      <c r="PZY2" s="946"/>
      <c r="PZZ2" s="946"/>
      <c r="QAA2" s="946"/>
      <c r="QAB2" s="946"/>
      <c r="QAC2" s="946"/>
      <c r="QAD2" s="946"/>
      <c r="QAE2" s="946"/>
      <c r="QAF2" s="946"/>
      <c r="QAG2" s="946"/>
      <c r="QAH2" s="946"/>
      <c r="QAI2" s="946"/>
      <c r="QAJ2" s="946"/>
      <c r="QAK2" s="946"/>
      <c r="QAL2" s="946"/>
      <c r="QAM2" s="946"/>
      <c r="QAN2" s="946"/>
      <c r="QAO2" s="946"/>
      <c r="QAP2" s="946"/>
      <c r="QAQ2" s="946"/>
      <c r="QAR2" s="946"/>
      <c r="QAS2" s="946"/>
      <c r="QAT2" s="946"/>
      <c r="QAU2" s="946"/>
      <c r="QAV2" s="946"/>
      <c r="QAW2" s="946"/>
      <c r="QAX2" s="946"/>
      <c r="QAY2" s="946"/>
      <c r="QAZ2" s="946"/>
      <c r="QBA2" s="946"/>
      <c r="QBB2" s="946"/>
      <c r="QBC2" s="946"/>
      <c r="QBD2" s="946"/>
      <c r="QBE2" s="946"/>
      <c r="QBF2" s="946"/>
      <c r="QBG2" s="946"/>
      <c r="QBH2" s="946"/>
      <c r="QBI2" s="946"/>
      <c r="QBJ2" s="946"/>
      <c r="QBK2" s="946"/>
      <c r="QBL2" s="946"/>
      <c r="QBM2" s="946"/>
      <c r="QBN2" s="946"/>
      <c r="QBO2" s="946"/>
      <c r="QBP2" s="946"/>
      <c r="QBQ2" s="946"/>
      <c r="QBR2" s="946"/>
      <c r="QBS2" s="946"/>
      <c r="QBT2" s="946"/>
      <c r="QBU2" s="946"/>
      <c r="QBV2" s="946"/>
      <c r="QBW2" s="946"/>
      <c r="QBX2" s="946"/>
      <c r="QBY2" s="946"/>
      <c r="QBZ2" s="946"/>
      <c r="QCA2" s="946"/>
      <c r="QCB2" s="946"/>
      <c r="QCC2" s="946"/>
      <c r="QCD2" s="946"/>
      <c r="QCE2" s="946"/>
      <c r="QCF2" s="946"/>
      <c r="QCG2" s="946"/>
      <c r="QCH2" s="946"/>
      <c r="QCI2" s="946"/>
      <c r="QCJ2" s="946"/>
      <c r="QCK2" s="946"/>
      <c r="QCL2" s="946"/>
      <c r="QCM2" s="946"/>
      <c r="QCN2" s="946"/>
      <c r="QCO2" s="946"/>
      <c r="QCP2" s="946"/>
      <c r="QCQ2" s="946"/>
      <c r="QCR2" s="946"/>
      <c r="QCS2" s="946"/>
      <c r="QCT2" s="946"/>
      <c r="QCU2" s="946"/>
      <c r="QCV2" s="946"/>
      <c r="QCW2" s="946"/>
      <c r="QCX2" s="946"/>
      <c r="QCY2" s="946"/>
      <c r="QCZ2" s="946"/>
      <c r="QDA2" s="946"/>
      <c r="QDB2" s="946"/>
      <c r="QDC2" s="946"/>
      <c r="QDD2" s="946"/>
      <c r="QDE2" s="946"/>
      <c r="QDF2" s="946"/>
      <c r="QDG2" s="946"/>
      <c r="QDH2" s="946"/>
      <c r="QDI2" s="946"/>
      <c r="QDJ2" s="946"/>
      <c r="QDK2" s="946"/>
      <c r="QDL2" s="946"/>
      <c r="QDM2" s="946"/>
      <c r="QDN2" s="946"/>
      <c r="QDO2" s="946"/>
      <c r="QDP2" s="946"/>
      <c r="QDQ2" s="946"/>
      <c r="QDR2" s="946"/>
      <c r="QDS2" s="946"/>
      <c r="QDT2" s="946"/>
      <c r="QDU2" s="946"/>
      <c r="QDV2" s="946"/>
      <c r="QDW2" s="946"/>
      <c r="QDX2" s="946"/>
      <c r="QDY2" s="946"/>
      <c r="QDZ2" s="946"/>
      <c r="QEA2" s="946"/>
      <c r="QEB2" s="946"/>
      <c r="QEC2" s="946"/>
      <c r="QED2" s="946"/>
      <c r="QEE2" s="946"/>
      <c r="QEF2" s="946"/>
      <c r="QEG2" s="946"/>
      <c r="QEH2" s="946"/>
      <c r="QEI2" s="946"/>
      <c r="QEJ2" s="946"/>
      <c r="QEK2" s="946"/>
      <c r="QEL2" s="946"/>
      <c r="QEM2" s="946"/>
      <c r="QEN2" s="946"/>
      <c r="QEO2" s="946"/>
      <c r="QEP2" s="946"/>
      <c r="QEQ2" s="946"/>
      <c r="QER2" s="946"/>
      <c r="QES2" s="946"/>
      <c r="QET2" s="946"/>
      <c r="QEU2" s="946"/>
      <c r="QEV2" s="946"/>
      <c r="QEW2" s="946"/>
      <c r="QEX2" s="946"/>
      <c r="QEY2" s="946"/>
      <c r="QEZ2" s="946"/>
      <c r="QFA2" s="946"/>
      <c r="QFB2" s="946"/>
      <c r="QFC2" s="946"/>
      <c r="QFD2" s="946"/>
      <c r="QFE2" s="946"/>
      <c r="QFF2" s="946"/>
      <c r="QFG2" s="946"/>
      <c r="QFH2" s="946"/>
      <c r="QFI2" s="946"/>
      <c r="QFJ2" s="946"/>
      <c r="QFK2" s="946"/>
      <c r="QFL2" s="946"/>
      <c r="QFM2" s="946"/>
      <c r="QFN2" s="946"/>
      <c r="QFO2" s="946"/>
      <c r="QFP2" s="946"/>
      <c r="QFQ2" s="946"/>
      <c r="QFR2" s="946"/>
      <c r="QFS2" s="946"/>
      <c r="QFT2" s="946"/>
      <c r="QFU2" s="946"/>
      <c r="QFV2" s="946"/>
      <c r="QFW2" s="946"/>
      <c r="QFX2" s="946"/>
      <c r="QFY2" s="946"/>
      <c r="QFZ2" s="946"/>
      <c r="QGA2" s="946"/>
      <c r="QGB2" s="946"/>
      <c r="QGC2" s="946"/>
      <c r="QGD2" s="946"/>
      <c r="QGE2" s="946"/>
      <c r="QGF2" s="946"/>
      <c r="QGG2" s="946"/>
      <c r="QGH2" s="946"/>
      <c r="QGI2" s="946"/>
      <c r="QGJ2" s="946"/>
      <c r="QGK2" s="946"/>
      <c r="QGL2" s="946"/>
      <c r="QGM2" s="946"/>
      <c r="QGN2" s="946"/>
      <c r="QGO2" s="946"/>
      <c r="QGP2" s="946"/>
      <c r="QGQ2" s="946"/>
      <c r="QGR2" s="946"/>
      <c r="QGS2" s="946"/>
      <c r="QGT2" s="946"/>
      <c r="QGU2" s="946"/>
      <c r="QGV2" s="946"/>
      <c r="QGW2" s="946"/>
      <c r="QGX2" s="946"/>
      <c r="QGY2" s="946"/>
      <c r="QGZ2" s="946"/>
      <c r="QHA2" s="946"/>
      <c r="QHB2" s="946"/>
      <c r="QHC2" s="946"/>
      <c r="QHD2" s="946"/>
      <c r="QHE2" s="946"/>
      <c r="QHF2" s="946"/>
      <c r="QHG2" s="946"/>
      <c r="QHH2" s="946"/>
      <c r="QHI2" s="946"/>
      <c r="QHJ2" s="946"/>
      <c r="QHK2" s="946"/>
      <c r="QHL2" s="946"/>
      <c r="QHM2" s="946"/>
      <c r="QHN2" s="946"/>
      <c r="QHO2" s="946"/>
      <c r="QHP2" s="946"/>
      <c r="QHQ2" s="946"/>
      <c r="QHR2" s="946"/>
      <c r="QHS2" s="946"/>
      <c r="QHT2" s="946"/>
      <c r="QHU2" s="946"/>
      <c r="QHV2" s="946"/>
      <c r="QHW2" s="946"/>
      <c r="QHX2" s="946"/>
      <c r="QHY2" s="946"/>
      <c r="QHZ2" s="946"/>
      <c r="QIA2" s="946"/>
      <c r="QIB2" s="946"/>
      <c r="QIC2" s="946"/>
      <c r="QID2" s="946"/>
      <c r="QIE2" s="946"/>
      <c r="QIF2" s="946"/>
      <c r="QIG2" s="946"/>
      <c r="QIH2" s="946"/>
      <c r="QII2" s="946"/>
      <c r="QIJ2" s="946"/>
      <c r="QIK2" s="946"/>
      <c r="QIL2" s="946"/>
      <c r="QIM2" s="946"/>
      <c r="QIN2" s="946"/>
      <c r="QIO2" s="946"/>
      <c r="QIP2" s="946"/>
      <c r="QIQ2" s="946"/>
      <c r="QIR2" s="946"/>
      <c r="QIS2" s="946"/>
      <c r="QIT2" s="946"/>
      <c r="QIU2" s="946"/>
      <c r="QIV2" s="946"/>
      <c r="QIW2" s="946"/>
      <c r="QIX2" s="946"/>
      <c r="QIY2" s="946"/>
      <c r="QIZ2" s="946"/>
      <c r="QJA2" s="946"/>
      <c r="QJB2" s="946"/>
      <c r="QJC2" s="946"/>
      <c r="QJD2" s="946"/>
      <c r="QJE2" s="946"/>
      <c r="QJF2" s="946"/>
      <c r="QJG2" s="946"/>
      <c r="QJH2" s="946"/>
      <c r="QJI2" s="946"/>
      <c r="QJJ2" s="946"/>
      <c r="QJK2" s="946"/>
      <c r="QJL2" s="946"/>
      <c r="QJM2" s="946"/>
      <c r="QJN2" s="946"/>
      <c r="QJO2" s="946"/>
      <c r="QJP2" s="946"/>
      <c r="QJQ2" s="946"/>
      <c r="QJR2" s="946"/>
      <c r="QJS2" s="946"/>
      <c r="QJT2" s="946"/>
      <c r="QJU2" s="946"/>
      <c r="QJV2" s="946"/>
      <c r="QJW2" s="946"/>
      <c r="QJX2" s="946"/>
      <c r="QJY2" s="946"/>
      <c r="QJZ2" s="946"/>
      <c r="QKA2" s="946"/>
      <c r="QKB2" s="946"/>
      <c r="QKC2" s="946"/>
      <c r="QKD2" s="946"/>
      <c r="QKE2" s="946"/>
      <c r="QKF2" s="946"/>
      <c r="QKG2" s="946"/>
      <c r="QKH2" s="946"/>
      <c r="QKI2" s="946"/>
      <c r="QKJ2" s="946"/>
      <c r="QKK2" s="946"/>
      <c r="QKL2" s="946"/>
      <c r="QKM2" s="946"/>
      <c r="QKN2" s="946"/>
      <c r="QKO2" s="946"/>
      <c r="QKP2" s="946"/>
      <c r="QKQ2" s="946"/>
      <c r="QKR2" s="946"/>
      <c r="QKS2" s="946"/>
      <c r="QKT2" s="946"/>
      <c r="QKU2" s="946"/>
      <c r="QKV2" s="946"/>
      <c r="QKW2" s="946"/>
      <c r="QKX2" s="946"/>
      <c r="QKY2" s="946"/>
      <c r="QKZ2" s="946"/>
      <c r="QLA2" s="946"/>
      <c r="QLB2" s="946"/>
      <c r="QLC2" s="946"/>
      <c r="QLD2" s="946"/>
      <c r="QLE2" s="946"/>
      <c r="QLF2" s="946"/>
      <c r="QLG2" s="946"/>
      <c r="QLH2" s="946"/>
      <c r="QLI2" s="946"/>
      <c r="QLJ2" s="946"/>
      <c r="QLK2" s="946"/>
      <c r="QLL2" s="946"/>
      <c r="QLM2" s="946"/>
      <c r="QLN2" s="946"/>
      <c r="QLO2" s="946"/>
      <c r="QLP2" s="946"/>
      <c r="QLQ2" s="946"/>
      <c r="QLR2" s="946"/>
      <c r="QLS2" s="946"/>
      <c r="QLT2" s="946"/>
      <c r="QLU2" s="946"/>
      <c r="QLV2" s="946"/>
      <c r="QLW2" s="946"/>
      <c r="QLX2" s="946"/>
      <c r="QLY2" s="946"/>
      <c r="QLZ2" s="946"/>
      <c r="QMA2" s="946"/>
      <c r="QMB2" s="946"/>
      <c r="QMC2" s="946"/>
      <c r="QMD2" s="946"/>
      <c r="QME2" s="946"/>
      <c r="QMF2" s="946"/>
      <c r="QMG2" s="946"/>
      <c r="QMH2" s="946"/>
      <c r="QMI2" s="946"/>
      <c r="QMJ2" s="946"/>
      <c r="QMK2" s="946"/>
      <c r="QML2" s="946"/>
      <c r="QMM2" s="946"/>
      <c r="QMN2" s="946"/>
      <c r="QMO2" s="946"/>
      <c r="QMP2" s="946"/>
      <c r="QMQ2" s="946"/>
      <c r="QMR2" s="946"/>
      <c r="QMS2" s="946"/>
      <c r="QMT2" s="946"/>
      <c r="QMU2" s="946"/>
      <c r="QMV2" s="946"/>
      <c r="QMW2" s="946"/>
      <c r="QMX2" s="946"/>
      <c r="QMY2" s="946"/>
      <c r="QMZ2" s="946"/>
      <c r="QNA2" s="946"/>
      <c r="QNB2" s="946"/>
      <c r="QNC2" s="946"/>
      <c r="QND2" s="946"/>
      <c r="QNE2" s="946"/>
      <c r="QNF2" s="946"/>
      <c r="QNG2" s="946"/>
      <c r="QNH2" s="946"/>
      <c r="QNI2" s="946"/>
      <c r="QNJ2" s="946"/>
      <c r="QNK2" s="946"/>
      <c r="QNL2" s="946"/>
      <c r="QNM2" s="946"/>
      <c r="QNN2" s="946"/>
      <c r="QNO2" s="946"/>
      <c r="QNP2" s="946"/>
      <c r="QNQ2" s="946"/>
      <c r="QNR2" s="946"/>
      <c r="QNS2" s="946"/>
      <c r="QNT2" s="946"/>
      <c r="QNU2" s="946"/>
      <c r="QNV2" s="946"/>
      <c r="QNW2" s="946"/>
      <c r="QNX2" s="946"/>
      <c r="QNY2" s="946"/>
      <c r="QNZ2" s="946"/>
      <c r="QOA2" s="946"/>
      <c r="QOB2" s="946"/>
      <c r="QOC2" s="946"/>
      <c r="QOD2" s="946"/>
      <c r="QOE2" s="946"/>
      <c r="QOF2" s="946"/>
      <c r="QOG2" s="946"/>
      <c r="QOH2" s="946"/>
      <c r="QOI2" s="946"/>
      <c r="QOJ2" s="946"/>
      <c r="QOK2" s="946"/>
      <c r="QOL2" s="946"/>
      <c r="QOM2" s="946"/>
      <c r="QON2" s="946"/>
      <c r="QOO2" s="946"/>
      <c r="QOP2" s="946"/>
      <c r="QOQ2" s="946"/>
      <c r="QOR2" s="946"/>
      <c r="QOS2" s="946"/>
      <c r="QOT2" s="946"/>
      <c r="QOU2" s="946"/>
      <c r="QOV2" s="946"/>
      <c r="QOW2" s="946"/>
      <c r="QOX2" s="946"/>
      <c r="QOY2" s="946"/>
      <c r="QOZ2" s="946"/>
      <c r="QPA2" s="946"/>
      <c r="QPB2" s="946"/>
      <c r="QPC2" s="946"/>
      <c r="QPD2" s="946"/>
      <c r="QPE2" s="946"/>
      <c r="QPF2" s="946"/>
      <c r="QPG2" s="946"/>
      <c r="QPH2" s="946"/>
      <c r="QPI2" s="946"/>
      <c r="QPJ2" s="946"/>
      <c r="QPK2" s="946"/>
      <c r="QPL2" s="946"/>
      <c r="QPM2" s="946"/>
      <c r="QPN2" s="946"/>
      <c r="QPO2" s="946"/>
      <c r="QPP2" s="946"/>
      <c r="QPQ2" s="946"/>
      <c r="QPR2" s="946"/>
      <c r="QPS2" s="946"/>
      <c r="QPT2" s="946"/>
      <c r="QPU2" s="946"/>
      <c r="QPV2" s="946"/>
      <c r="QPW2" s="946"/>
      <c r="QPX2" s="946"/>
      <c r="QPY2" s="946"/>
      <c r="QPZ2" s="946"/>
      <c r="QQA2" s="946"/>
      <c r="QQB2" s="946"/>
      <c r="QQC2" s="946"/>
      <c r="QQD2" s="946"/>
      <c r="QQE2" s="946"/>
      <c r="QQF2" s="946"/>
      <c r="QQG2" s="946"/>
      <c r="QQH2" s="946"/>
      <c r="QQI2" s="946"/>
      <c r="QQJ2" s="946"/>
      <c r="QQK2" s="946"/>
      <c r="QQL2" s="946"/>
      <c r="QQM2" s="946"/>
      <c r="QQN2" s="946"/>
      <c r="QQO2" s="946"/>
      <c r="QQP2" s="946"/>
      <c r="QQQ2" s="946"/>
      <c r="QQR2" s="946"/>
      <c r="QQS2" s="946"/>
      <c r="QQT2" s="946"/>
      <c r="QQU2" s="946"/>
      <c r="QQV2" s="946"/>
      <c r="QQW2" s="946"/>
      <c r="QQX2" s="946"/>
      <c r="QQY2" s="946"/>
      <c r="QQZ2" s="946"/>
      <c r="QRA2" s="946"/>
      <c r="QRB2" s="946"/>
      <c r="QRC2" s="946"/>
      <c r="QRD2" s="946"/>
      <c r="QRE2" s="946"/>
      <c r="QRF2" s="946"/>
      <c r="QRG2" s="946"/>
      <c r="QRH2" s="946"/>
      <c r="QRI2" s="946"/>
      <c r="QRJ2" s="946"/>
      <c r="QRK2" s="946"/>
      <c r="QRL2" s="946"/>
      <c r="QRM2" s="946"/>
      <c r="QRN2" s="946"/>
      <c r="QRO2" s="946"/>
      <c r="QRP2" s="946"/>
      <c r="QRQ2" s="946"/>
      <c r="QRR2" s="946"/>
      <c r="QRS2" s="946"/>
      <c r="QRT2" s="946"/>
      <c r="QRU2" s="946"/>
      <c r="QRV2" s="946"/>
      <c r="QRW2" s="946"/>
      <c r="QRX2" s="946"/>
      <c r="QRY2" s="946"/>
      <c r="QRZ2" s="946"/>
      <c r="QSA2" s="946"/>
      <c r="QSB2" s="946"/>
      <c r="QSC2" s="946"/>
      <c r="QSD2" s="946"/>
      <c r="QSE2" s="946"/>
      <c r="QSF2" s="946"/>
      <c r="QSG2" s="946"/>
      <c r="QSH2" s="946"/>
      <c r="QSI2" s="946"/>
      <c r="QSJ2" s="946"/>
      <c r="QSK2" s="946"/>
      <c r="QSL2" s="946"/>
      <c r="QSM2" s="946"/>
      <c r="QSN2" s="946"/>
      <c r="QSO2" s="946"/>
      <c r="QSP2" s="946"/>
      <c r="QSQ2" s="946"/>
      <c r="QSR2" s="946"/>
      <c r="QSS2" s="946"/>
      <c r="QST2" s="946"/>
      <c r="QSU2" s="946"/>
      <c r="QSV2" s="946"/>
      <c r="QSW2" s="946"/>
      <c r="QSX2" s="946"/>
      <c r="QSY2" s="946"/>
      <c r="QSZ2" s="946"/>
      <c r="QTA2" s="946"/>
      <c r="QTB2" s="946"/>
      <c r="QTC2" s="946"/>
      <c r="QTD2" s="946"/>
      <c r="QTE2" s="946"/>
      <c r="QTF2" s="946"/>
      <c r="QTG2" s="946"/>
      <c r="QTH2" s="946"/>
      <c r="QTI2" s="946"/>
      <c r="QTJ2" s="946"/>
      <c r="QTK2" s="946"/>
      <c r="QTL2" s="946"/>
      <c r="QTM2" s="946"/>
      <c r="QTN2" s="946"/>
      <c r="QTO2" s="946"/>
      <c r="QTP2" s="946"/>
      <c r="QTQ2" s="946"/>
      <c r="QTR2" s="946"/>
      <c r="QTS2" s="946"/>
      <c r="QTT2" s="946"/>
      <c r="QTU2" s="946"/>
      <c r="QTV2" s="946"/>
      <c r="QTW2" s="946"/>
      <c r="QTX2" s="946"/>
      <c r="QTY2" s="946"/>
      <c r="QTZ2" s="946"/>
      <c r="QUA2" s="946"/>
      <c r="QUB2" s="946"/>
      <c r="QUC2" s="946"/>
      <c r="QUD2" s="946"/>
      <c r="QUE2" s="946"/>
      <c r="QUF2" s="946"/>
      <c r="QUG2" s="946"/>
      <c r="QUH2" s="946"/>
      <c r="QUI2" s="946"/>
      <c r="QUJ2" s="946"/>
      <c r="QUK2" s="946"/>
      <c r="QUL2" s="946"/>
      <c r="QUM2" s="946"/>
      <c r="QUN2" s="946"/>
      <c r="QUO2" s="946"/>
      <c r="QUP2" s="946"/>
      <c r="QUQ2" s="946"/>
      <c r="QUR2" s="946"/>
      <c r="QUS2" s="946"/>
      <c r="QUT2" s="946"/>
      <c r="QUU2" s="946"/>
      <c r="QUV2" s="946"/>
      <c r="QUW2" s="946"/>
      <c r="QUX2" s="946"/>
      <c r="QUY2" s="946"/>
      <c r="QUZ2" s="946"/>
      <c r="QVA2" s="946"/>
      <c r="QVB2" s="946"/>
      <c r="QVC2" s="946"/>
      <c r="QVD2" s="946"/>
      <c r="QVE2" s="946"/>
      <c r="QVF2" s="946"/>
      <c r="QVG2" s="946"/>
      <c r="QVH2" s="946"/>
      <c r="QVI2" s="946"/>
      <c r="QVJ2" s="946"/>
      <c r="QVK2" s="946"/>
      <c r="QVL2" s="946"/>
      <c r="QVM2" s="946"/>
      <c r="QVN2" s="946"/>
      <c r="QVO2" s="946"/>
      <c r="QVP2" s="946"/>
      <c r="QVQ2" s="946"/>
      <c r="QVR2" s="946"/>
      <c r="QVS2" s="946"/>
      <c r="QVT2" s="946"/>
      <c r="QVU2" s="946"/>
      <c r="QVV2" s="946"/>
      <c r="QVW2" s="946"/>
      <c r="QVX2" s="946"/>
      <c r="QVY2" s="946"/>
      <c r="QVZ2" s="946"/>
      <c r="QWA2" s="946"/>
      <c r="QWB2" s="946"/>
      <c r="QWC2" s="946"/>
      <c r="QWD2" s="946"/>
      <c r="QWE2" s="946"/>
      <c r="QWF2" s="946"/>
      <c r="QWG2" s="946"/>
      <c r="QWH2" s="946"/>
      <c r="QWI2" s="946"/>
      <c r="QWJ2" s="946"/>
      <c r="QWK2" s="946"/>
      <c r="QWL2" s="946"/>
      <c r="QWM2" s="946"/>
      <c r="QWN2" s="946"/>
      <c r="QWO2" s="946"/>
      <c r="QWP2" s="946"/>
      <c r="QWQ2" s="946"/>
      <c r="QWR2" s="946"/>
      <c r="QWS2" s="946"/>
      <c r="QWT2" s="946"/>
      <c r="QWU2" s="946"/>
      <c r="QWV2" s="946"/>
      <c r="QWW2" s="946"/>
      <c r="QWX2" s="946"/>
      <c r="QWY2" s="946"/>
      <c r="QWZ2" s="946"/>
      <c r="QXA2" s="946"/>
      <c r="QXB2" s="946"/>
      <c r="QXC2" s="946"/>
      <c r="QXD2" s="946"/>
      <c r="QXE2" s="946"/>
      <c r="QXF2" s="946"/>
      <c r="QXG2" s="946"/>
      <c r="QXH2" s="946"/>
      <c r="QXI2" s="946"/>
      <c r="QXJ2" s="946"/>
      <c r="QXK2" s="946"/>
      <c r="QXL2" s="946"/>
      <c r="QXM2" s="946"/>
      <c r="QXN2" s="946"/>
      <c r="QXO2" s="946"/>
      <c r="QXP2" s="946"/>
      <c r="QXQ2" s="946"/>
      <c r="QXR2" s="946"/>
      <c r="QXS2" s="946"/>
      <c r="QXT2" s="946"/>
      <c r="QXU2" s="946"/>
      <c r="QXV2" s="946"/>
      <c r="QXW2" s="946"/>
      <c r="QXX2" s="946"/>
      <c r="QXY2" s="946"/>
      <c r="QXZ2" s="946"/>
      <c r="QYA2" s="946"/>
      <c r="QYB2" s="946"/>
      <c r="QYC2" s="946"/>
      <c r="QYD2" s="946"/>
      <c r="QYE2" s="946"/>
      <c r="QYF2" s="946"/>
      <c r="QYG2" s="946"/>
      <c r="QYH2" s="946"/>
      <c r="QYI2" s="946"/>
      <c r="QYJ2" s="946"/>
      <c r="QYK2" s="946"/>
      <c r="QYL2" s="946"/>
      <c r="QYM2" s="946"/>
      <c r="QYN2" s="946"/>
      <c r="QYO2" s="946"/>
      <c r="QYP2" s="946"/>
      <c r="QYQ2" s="946"/>
      <c r="QYR2" s="946"/>
      <c r="QYS2" s="946"/>
      <c r="QYT2" s="946"/>
      <c r="QYU2" s="946"/>
      <c r="QYV2" s="946"/>
      <c r="QYW2" s="946"/>
      <c r="QYX2" s="946"/>
      <c r="QYY2" s="946"/>
      <c r="QYZ2" s="946"/>
      <c r="QZA2" s="946"/>
      <c r="QZB2" s="946"/>
      <c r="QZC2" s="946"/>
      <c r="QZD2" s="946"/>
      <c r="QZE2" s="946"/>
      <c r="QZF2" s="946"/>
      <c r="QZG2" s="946"/>
      <c r="QZH2" s="946"/>
      <c r="QZI2" s="946"/>
      <c r="QZJ2" s="946"/>
      <c r="QZK2" s="946"/>
      <c r="QZL2" s="946"/>
      <c r="QZM2" s="946"/>
      <c r="QZN2" s="946"/>
      <c r="QZO2" s="946"/>
      <c r="QZP2" s="946"/>
      <c r="QZQ2" s="946"/>
      <c r="QZR2" s="946"/>
      <c r="QZS2" s="946"/>
      <c r="QZT2" s="946"/>
      <c r="QZU2" s="946"/>
      <c r="QZV2" s="946"/>
      <c r="QZW2" s="946"/>
      <c r="QZX2" s="946"/>
      <c r="QZY2" s="946"/>
      <c r="QZZ2" s="946"/>
      <c r="RAA2" s="946"/>
      <c r="RAB2" s="946"/>
      <c r="RAC2" s="946"/>
      <c r="RAD2" s="946"/>
      <c r="RAE2" s="946"/>
      <c r="RAF2" s="946"/>
      <c r="RAG2" s="946"/>
      <c r="RAH2" s="946"/>
      <c r="RAI2" s="946"/>
      <c r="RAJ2" s="946"/>
      <c r="RAK2" s="946"/>
      <c r="RAL2" s="946"/>
      <c r="RAM2" s="946"/>
      <c r="RAN2" s="946"/>
      <c r="RAO2" s="946"/>
      <c r="RAP2" s="946"/>
      <c r="RAQ2" s="946"/>
      <c r="RAR2" s="946"/>
      <c r="RAS2" s="946"/>
      <c r="RAT2" s="946"/>
      <c r="RAU2" s="946"/>
      <c r="RAV2" s="946"/>
      <c r="RAW2" s="946"/>
      <c r="RAX2" s="946"/>
      <c r="RAY2" s="946"/>
      <c r="RAZ2" s="946"/>
      <c r="RBA2" s="946"/>
      <c r="RBB2" s="946"/>
      <c r="RBC2" s="946"/>
      <c r="RBD2" s="946"/>
      <c r="RBE2" s="946"/>
      <c r="RBF2" s="946"/>
      <c r="RBG2" s="946"/>
      <c r="RBH2" s="946"/>
      <c r="RBI2" s="946"/>
      <c r="RBJ2" s="946"/>
      <c r="RBK2" s="946"/>
      <c r="RBL2" s="946"/>
      <c r="RBM2" s="946"/>
      <c r="RBN2" s="946"/>
      <c r="RBO2" s="946"/>
      <c r="RBP2" s="946"/>
      <c r="RBQ2" s="946"/>
      <c r="RBR2" s="946"/>
      <c r="RBS2" s="946"/>
      <c r="RBT2" s="946"/>
      <c r="RBU2" s="946"/>
      <c r="RBV2" s="946"/>
      <c r="RBW2" s="946"/>
      <c r="RBX2" s="946"/>
      <c r="RBY2" s="946"/>
      <c r="RBZ2" s="946"/>
      <c r="RCA2" s="946"/>
      <c r="RCB2" s="946"/>
      <c r="RCC2" s="946"/>
      <c r="RCD2" s="946"/>
      <c r="RCE2" s="946"/>
      <c r="RCF2" s="946"/>
      <c r="RCG2" s="946"/>
      <c r="RCH2" s="946"/>
      <c r="RCI2" s="946"/>
      <c r="RCJ2" s="946"/>
      <c r="RCK2" s="946"/>
      <c r="RCL2" s="946"/>
      <c r="RCM2" s="946"/>
      <c r="RCN2" s="946"/>
      <c r="RCO2" s="946"/>
      <c r="RCP2" s="946"/>
      <c r="RCQ2" s="946"/>
      <c r="RCR2" s="946"/>
      <c r="RCS2" s="946"/>
      <c r="RCT2" s="946"/>
      <c r="RCU2" s="946"/>
      <c r="RCV2" s="946"/>
      <c r="RCW2" s="946"/>
      <c r="RCX2" s="946"/>
      <c r="RCY2" s="946"/>
      <c r="RCZ2" s="946"/>
      <c r="RDA2" s="946"/>
      <c r="RDB2" s="946"/>
      <c r="RDC2" s="946"/>
      <c r="RDD2" s="946"/>
      <c r="RDE2" s="946"/>
      <c r="RDF2" s="946"/>
      <c r="RDG2" s="946"/>
      <c r="RDH2" s="946"/>
      <c r="RDI2" s="946"/>
      <c r="RDJ2" s="946"/>
      <c r="RDK2" s="946"/>
      <c r="RDL2" s="946"/>
      <c r="RDM2" s="946"/>
      <c r="RDN2" s="946"/>
      <c r="RDO2" s="946"/>
      <c r="RDP2" s="946"/>
      <c r="RDQ2" s="946"/>
      <c r="RDR2" s="946"/>
      <c r="RDS2" s="946"/>
      <c r="RDT2" s="946"/>
      <c r="RDU2" s="946"/>
      <c r="RDV2" s="946"/>
      <c r="RDW2" s="946"/>
      <c r="RDX2" s="946"/>
      <c r="RDY2" s="946"/>
      <c r="RDZ2" s="946"/>
      <c r="REA2" s="946"/>
      <c r="REB2" s="946"/>
      <c r="REC2" s="946"/>
      <c r="RED2" s="946"/>
      <c r="REE2" s="946"/>
      <c r="REF2" s="946"/>
      <c r="REG2" s="946"/>
      <c r="REH2" s="946"/>
      <c r="REI2" s="946"/>
      <c r="REJ2" s="946"/>
      <c r="REK2" s="946"/>
      <c r="REL2" s="946"/>
      <c r="REM2" s="946"/>
      <c r="REN2" s="946"/>
      <c r="REO2" s="946"/>
      <c r="REP2" s="946"/>
      <c r="REQ2" s="946"/>
      <c r="RER2" s="946"/>
      <c r="RES2" s="946"/>
      <c r="RET2" s="946"/>
      <c r="REU2" s="946"/>
      <c r="REV2" s="946"/>
      <c r="REW2" s="946"/>
      <c r="REX2" s="946"/>
      <c r="REY2" s="946"/>
      <c r="REZ2" s="946"/>
      <c r="RFA2" s="946"/>
      <c r="RFB2" s="946"/>
      <c r="RFC2" s="946"/>
      <c r="RFD2" s="946"/>
      <c r="RFE2" s="946"/>
      <c r="RFF2" s="946"/>
      <c r="RFG2" s="946"/>
      <c r="RFH2" s="946"/>
      <c r="RFI2" s="946"/>
      <c r="RFJ2" s="946"/>
      <c r="RFK2" s="946"/>
      <c r="RFL2" s="946"/>
      <c r="RFM2" s="946"/>
      <c r="RFN2" s="946"/>
      <c r="RFO2" s="946"/>
      <c r="RFP2" s="946"/>
      <c r="RFQ2" s="946"/>
      <c r="RFR2" s="946"/>
      <c r="RFS2" s="946"/>
      <c r="RFT2" s="946"/>
      <c r="RFU2" s="946"/>
      <c r="RFV2" s="946"/>
      <c r="RFW2" s="946"/>
      <c r="RFX2" s="946"/>
      <c r="RFY2" s="946"/>
      <c r="RFZ2" s="946"/>
      <c r="RGA2" s="946"/>
      <c r="RGB2" s="946"/>
      <c r="RGC2" s="946"/>
      <c r="RGD2" s="946"/>
      <c r="RGE2" s="946"/>
      <c r="RGF2" s="946"/>
      <c r="RGG2" s="946"/>
      <c r="RGH2" s="946"/>
      <c r="RGI2" s="946"/>
      <c r="RGJ2" s="946"/>
      <c r="RGK2" s="946"/>
      <c r="RGL2" s="946"/>
      <c r="RGM2" s="946"/>
      <c r="RGN2" s="946"/>
      <c r="RGO2" s="946"/>
      <c r="RGP2" s="946"/>
      <c r="RGQ2" s="946"/>
      <c r="RGR2" s="946"/>
      <c r="RGS2" s="946"/>
      <c r="RGT2" s="946"/>
      <c r="RGU2" s="946"/>
      <c r="RGV2" s="946"/>
      <c r="RGW2" s="946"/>
      <c r="RGX2" s="946"/>
      <c r="RGY2" s="946"/>
      <c r="RGZ2" s="946"/>
      <c r="RHA2" s="946"/>
      <c r="RHB2" s="946"/>
      <c r="RHC2" s="946"/>
      <c r="RHD2" s="946"/>
      <c r="RHE2" s="946"/>
      <c r="RHF2" s="946"/>
      <c r="RHG2" s="946"/>
      <c r="RHH2" s="946"/>
      <c r="RHI2" s="946"/>
      <c r="RHJ2" s="946"/>
      <c r="RHK2" s="946"/>
      <c r="RHL2" s="946"/>
      <c r="RHM2" s="946"/>
      <c r="RHN2" s="946"/>
      <c r="RHO2" s="946"/>
      <c r="RHP2" s="946"/>
      <c r="RHQ2" s="946"/>
      <c r="RHR2" s="946"/>
      <c r="RHS2" s="946"/>
      <c r="RHT2" s="946"/>
      <c r="RHU2" s="946"/>
      <c r="RHV2" s="946"/>
      <c r="RHW2" s="946"/>
      <c r="RHX2" s="946"/>
      <c r="RHY2" s="946"/>
      <c r="RHZ2" s="946"/>
      <c r="RIA2" s="946"/>
      <c r="RIB2" s="946"/>
      <c r="RIC2" s="946"/>
      <c r="RID2" s="946"/>
      <c r="RIE2" s="946"/>
      <c r="RIF2" s="946"/>
      <c r="RIG2" s="946"/>
      <c r="RIH2" s="946"/>
      <c r="RII2" s="946"/>
      <c r="RIJ2" s="946"/>
      <c r="RIK2" s="946"/>
      <c r="RIL2" s="946"/>
      <c r="RIM2" s="946"/>
      <c r="RIN2" s="946"/>
      <c r="RIO2" s="946"/>
      <c r="RIP2" s="946"/>
      <c r="RIQ2" s="946"/>
      <c r="RIR2" s="946"/>
      <c r="RIS2" s="946"/>
      <c r="RIT2" s="946"/>
      <c r="RIU2" s="946"/>
      <c r="RIV2" s="946"/>
      <c r="RIW2" s="946"/>
      <c r="RIX2" s="946"/>
      <c r="RIY2" s="946"/>
      <c r="RIZ2" s="946"/>
      <c r="RJA2" s="946"/>
      <c r="RJB2" s="946"/>
      <c r="RJC2" s="946"/>
      <c r="RJD2" s="946"/>
      <c r="RJE2" s="946"/>
      <c r="RJF2" s="946"/>
      <c r="RJG2" s="946"/>
      <c r="RJH2" s="946"/>
      <c r="RJI2" s="946"/>
      <c r="RJJ2" s="946"/>
      <c r="RJK2" s="946"/>
      <c r="RJL2" s="946"/>
      <c r="RJM2" s="946"/>
      <c r="RJN2" s="946"/>
      <c r="RJO2" s="946"/>
      <c r="RJP2" s="946"/>
      <c r="RJQ2" s="946"/>
      <c r="RJR2" s="946"/>
      <c r="RJS2" s="946"/>
      <c r="RJT2" s="946"/>
      <c r="RJU2" s="946"/>
      <c r="RJV2" s="946"/>
      <c r="RJW2" s="946"/>
      <c r="RJX2" s="946"/>
      <c r="RJY2" s="946"/>
      <c r="RJZ2" s="946"/>
      <c r="RKA2" s="946"/>
      <c r="RKB2" s="946"/>
      <c r="RKC2" s="946"/>
      <c r="RKD2" s="946"/>
      <c r="RKE2" s="946"/>
      <c r="RKF2" s="946"/>
      <c r="RKG2" s="946"/>
      <c r="RKH2" s="946"/>
      <c r="RKI2" s="946"/>
      <c r="RKJ2" s="946"/>
      <c r="RKK2" s="946"/>
      <c r="RKL2" s="946"/>
      <c r="RKM2" s="946"/>
      <c r="RKN2" s="946"/>
      <c r="RKO2" s="946"/>
      <c r="RKP2" s="946"/>
      <c r="RKQ2" s="946"/>
      <c r="RKR2" s="946"/>
      <c r="RKS2" s="946"/>
      <c r="RKT2" s="946"/>
      <c r="RKU2" s="946"/>
      <c r="RKV2" s="946"/>
      <c r="RKW2" s="946"/>
      <c r="RKX2" s="946"/>
      <c r="RKY2" s="946"/>
      <c r="RKZ2" s="946"/>
      <c r="RLA2" s="946"/>
      <c r="RLB2" s="946"/>
      <c r="RLC2" s="946"/>
      <c r="RLD2" s="946"/>
      <c r="RLE2" s="946"/>
      <c r="RLF2" s="946"/>
      <c r="RLG2" s="946"/>
      <c r="RLH2" s="946"/>
      <c r="RLI2" s="946"/>
      <c r="RLJ2" s="946"/>
      <c r="RLK2" s="946"/>
      <c r="RLL2" s="946"/>
      <c r="RLM2" s="946"/>
      <c r="RLN2" s="946"/>
      <c r="RLO2" s="946"/>
      <c r="RLP2" s="946"/>
      <c r="RLQ2" s="946"/>
      <c r="RLR2" s="946"/>
      <c r="RLS2" s="946"/>
      <c r="RLT2" s="946"/>
      <c r="RLU2" s="946"/>
      <c r="RLV2" s="946"/>
      <c r="RLW2" s="946"/>
      <c r="RLX2" s="946"/>
      <c r="RLY2" s="946"/>
      <c r="RLZ2" s="946"/>
      <c r="RMA2" s="946"/>
      <c r="RMB2" s="946"/>
      <c r="RMC2" s="946"/>
      <c r="RMD2" s="946"/>
      <c r="RME2" s="946"/>
      <c r="RMF2" s="946"/>
      <c r="RMG2" s="946"/>
      <c r="RMH2" s="946"/>
      <c r="RMI2" s="946"/>
      <c r="RMJ2" s="946"/>
      <c r="RMK2" s="946"/>
      <c r="RML2" s="946"/>
      <c r="RMM2" s="946"/>
      <c r="RMN2" s="946"/>
      <c r="RMO2" s="946"/>
      <c r="RMP2" s="946"/>
      <c r="RMQ2" s="946"/>
      <c r="RMR2" s="946"/>
      <c r="RMS2" s="946"/>
      <c r="RMT2" s="946"/>
      <c r="RMU2" s="946"/>
      <c r="RMV2" s="946"/>
      <c r="RMW2" s="946"/>
      <c r="RMX2" s="946"/>
      <c r="RMY2" s="946"/>
      <c r="RMZ2" s="946"/>
      <c r="RNA2" s="946"/>
      <c r="RNB2" s="946"/>
      <c r="RNC2" s="946"/>
      <c r="RND2" s="946"/>
      <c r="RNE2" s="946"/>
      <c r="RNF2" s="946"/>
      <c r="RNG2" s="946"/>
      <c r="RNH2" s="946"/>
      <c r="RNI2" s="946"/>
      <c r="RNJ2" s="946"/>
      <c r="RNK2" s="946"/>
      <c r="RNL2" s="946"/>
      <c r="RNM2" s="946"/>
      <c r="RNN2" s="946"/>
      <c r="RNO2" s="946"/>
      <c r="RNP2" s="946"/>
      <c r="RNQ2" s="946"/>
      <c r="RNR2" s="946"/>
      <c r="RNS2" s="946"/>
      <c r="RNT2" s="946"/>
      <c r="RNU2" s="946"/>
      <c r="RNV2" s="946"/>
      <c r="RNW2" s="946"/>
      <c r="RNX2" s="946"/>
      <c r="RNY2" s="946"/>
      <c r="RNZ2" s="946"/>
      <c r="ROA2" s="946"/>
      <c r="ROB2" s="946"/>
      <c r="ROC2" s="946"/>
      <c r="ROD2" s="946"/>
      <c r="ROE2" s="946"/>
      <c r="ROF2" s="946"/>
      <c r="ROG2" s="946"/>
      <c r="ROH2" s="946"/>
      <c r="ROI2" s="946"/>
      <c r="ROJ2" s="946"/>
      <c r="ROK2" s="946"/>
      <c r="ROL2" s="946"/>
      <c r="ROM2" s="946"/>
      <c r="RON2" s="946"/>
      <c r="ROO2" s="946"/>
      <c r="ROP2" s="946"/>
      <c r="ROQ2" s="946"/>
      <c r="ROR2" s="946"/>
      <c r="ROS2" s="946"/>
      <c r="ROT2" s="946"/>
      <c r="ROU2" s="946"/>
      <c r="ROV2" s="946"/>
      <c r="ROW2" s="946"/>
      <c r="ROX2" s="946"/>
      <c r="ROY2" s="946"/>
      <c r="ROZ2" s="946"/>
      <c r="RPA2" s="946"/>
      <c r="RPB2" s="946"/>
      <c r="RPC2" s="946"/>
      <c r="RPD2" s="946"/>
      <c r="RPE2" s="946"/>
      <c r="RPF2" s="946"/>
      <c r="RPG2" s="946"/>
      <c r="RPH2" s="946"/>
      <c r="RPI2" s="946"/>
      <c r="RPJ2" s="946"/>
      <c r="RPK2" s="946"/>
      <c r="RPL2" s="946"/>
      <c r="RPM2" s="946"/>
      <c r="RPN2" s="946"/>
      <c r="RPO2" s="946"/>
      <c r="RPP2" s="946"/>
      <c r="RPQ2" s="946"/>
      <c r="RPR2" s="946"/>
      <c r="RPS2" s="946"/>
      <c r="RPT2" s="946"/>
      <c r="RPU2" s="946"/>
      <c r="RPV2" s="946"/>
      <c r="RPW2" s="946"/>
      <c r="RPX2" s="946"/>
      <c r="RPY2" s="946"/>
      <c r="RPZ2" s="946"/>
      <c r="RQA2" s="946"/>
      <c r="RQB2" s="946"/>
      <c r="RQC2" s="946"/>
      <c r="RQD2" s="946"/>
      <c r="RQE2" s="946"/>
      <c r="RQF2" s="946"/>
      <c r="RQG2" s="946"/>
      <c r="RQH2" s="946"/>
      <c r="RQI2" s="946"/>
      <c r="RQJ2" s="946"/>
      <c r="RQK2" s="946"/>
      <c r="RQL2" s="946"/>
      <c r="RQM2" s="946"/>
      <c r="RQN2" s="946"/>
      <c r="RQO2" s="946"/>
      <c r="RQP2" s="946"/>
      <c r="RQQ2" s="946"/>
      <c r="RQR2" s="946"/>
      <c r="RQS2" s="946"/>
      <c r="RQT2" s="946"/>
      <c r="RQU2" s="946"/>
      <c r="RQV2" s="946"/>
      <c r="RQW2" s="946"/>
      <c r="RQX2" s="946"/>
      <c r="RQY2" s="946"/>
      <c r="RQZ2" s="946"/>
      <c r="RRA2" s="946"/>
      <c r="RRB2" s="946"/>
      <c r="RRC2" s="946"/>
      <c r="RRD2" s="946"/>
      <c r="RRE2" s="946"/>
      <c r="RRF2" s="946"/>
      <c r="RRG2" s="946"/>
      <c r="RRH2" s="946"/>
      <c r="RRI2" s="946"/>
      <c r="RRJ2" s="946"/>
      <c r="RRK2" s="946"/>
      <c r="RRL2" s="946"/>
      <c r="RRM2" s="946"/>
      <c r="RRN2" s="946"/>
      <c r="RRO2" s="946"/>
      <c r="RRP2" s="946"/>
      <c r="RRQ2" s="946"/>
      <c r="RRR2" s="946"/>
      <c r="RRS2" s="946"/>
      <c r="RRT2" s="946"/>
      <c r="RRU2" s="946"/>
      <c r="RRV2" s="946"/>
      <c r="RRW2" s="946"/>
      <c r="RRX2" s="946"/>
      <c r="RRY2" s="946"/>
      <c r="RRZ2" s="946"/>
      <c r="RSA2" s="946"/>
      <c r="RSB2" s="946"/>
      <c r="RSC2" s="946"/>
      <c r="RSD2" s="946"/>
      <c r="RSE2" s="946"/>
      <c r="RSF2" s="946"/>
      <c r="RSG2" s="946"/>
      <c r="RSH2" s="946"/>
      <c r="RSI2" s="946"/>
      <c r="RSJ2" s="946"/>
      <c r="RSK2" s="946"/>
      <c r="RSL2" s="946"/>
      <c r="RSM2" s="946"/>
      <c r="RSN2" s="946"/>
      <c r="RSO2" s="946"/>
      <c r="RSP2" s="946"/>
      <c r="RSQ2" s="946"/>
      <c r="RSR2" s="946"/>
      <c r="RSS2" s="946"/>
      <c r="RST2" s="946"/>
      <c r="RSU2" s="946"/>
      <c r="RSV2" s="946"/>
      <c r="RSW2" s="946"/>
      <c r="RSX2" s="946"/>
      <c r="RSY2" s="946"/>
      <c r="RSZ2" s="946"/>
      <c r="RTA2" s="946"/>
      <c r="RTB2" s="946"/>
      <c r="RTC2" s="946"/>
      <c r="RTD2" s="946"/>
      <c r="RTE2" s="946"/>
      <c r="RTF2" s="946"/>
      <c r="RTG2" s="946"/>
      <c r="RTH2" s="946"/>
      <c r="RTI2" s="946"/>
      <c r="RTJ2" s="946"/>
      <c r="RTK2" s="946"/>
      <c r="RTL2" s="946"/>
      <c r="RTM2" s="946"/>
      <c r="RTN2" s="946"/>
      <c r="RTO2" s="946"/>
      <c r="RTP2" s="946"/>
      <c r="RTQ2" s="946"/>
      <c r="RTR2" s="946"/>
      <c r="RTS2" s="946"/>
      <c r="RTT2" s="946"/>
      <c r="RTU2" s="946"/>
      <c r="RTV2" s="946"/>
      <c r="RTW2" s="946"/>
      <c r="RTX2" s="946"/>
      <c r="RTY2" s="946"/>
      <c r="RTZ2" s="946"/>
      <c r="RUA2" s="946"/>
      <c r="RUB2" s="946"/>
      <c r="RUC2" s="946"/>
      <c r="RUD2" s="946"/>
      <c r="RUE2" s="946"/>
      <c r="RUF2" s="946"/>
      <c r="RUG2" s="946"/>
      <c r="RUH2" s="946"/>
      <c r="RUI2" s="946"/>
      <c r="RUJ2" s="946"/>
      <c r="RUK2" s="946"/>
      <c r="RUL2" s="946"/>
      <c r="RUM2" s="946"/>
      <c r="RUN2" s="946"/>
      <c r="RUO2" s="946"/>
      <c r="RUP2" s="946"/>
      <c r="RUQ2" s="946"/>
      <c r="RUR2" s="946"/>
      <c r="RUS2" s="946"/>
      <c r="RUT2" s="946"/>
      <c r="RUU2" s="946"/>
      <c r="RUV2" s="946"/>
      <c r="RUW2" s="946"/>
      <c r="RUX2" s="946"/>
      <c r="RUY2" s="946"/>
      <c r="RUZ2" s="946"/>
      <c r="RVA2" s="946"/>
      <c r="RVB2" s="946"/>
      <c r="RVC2" s="946"/>
      <c r="RVD2" s="946"/>
      <c r="RVE2" s="946"/>
      <c r="RVF2" s="946"/>
      <c r="RVG2" s="946"/>
      <c r="RVH2" s="946"/>
      <c r="RVI2" s="946"/>
      <c r="RVJ2" s="946"/>
      <c r="RVK2" s="946"/>
      <c r="RVL2" s="946"/>
      <c r="RVM2" s="946"/>
      <c r="RVN2" s="946"/>
      <c r="RVO2" s="946"/>
      <c r="RVP2" s="946"/>
      <c r="RVQ2" s="946"/>
      <c r="RVR2" s="946"/>
      <c r="RVS2" s="946"/>
      <c r="RVT2" s="946"/>
      <c r="RVU2" s="946"/>
      <c r="RVV2" s="946"/>
      <c r="RVW2" s="946"/>
      <c r="RVX2" s="946"/>
      <c r="RVY2" s="946"/>
      <c r="RVZ2" s="946"/>
      <c r="RWA2" s="946"/>
      <c r="RWB2" s="946"/>
      <c r="RWC2" s="946"/>
      <c r="RWD2" s="946"/>
      <c r="RWE2" s="946"/>
      <c r="RWF2" s="946"/>
      <c r="RWG2" s="946"/>
      <c r="RWH2" s="946"/>
      <c r="RWI2" s="946"/>
      <c r="RWJ2" s="946"/>
      <c r="RWK2" s="946"/>
      <c r="RWL2" s="946"/>
      <c r="RWM2" s="946"/>
      <c r="RWN2" s="946"/>
      <c r="RWO2" s="946"/>
      <c r="RWP2" s="946"/>
      <c r="RWQ2" s="946"/>
      <c r="RWR2" s="946"/>
      <c r="RWS2" s="946"/>
      <c r="RWT2" s="946"/>
      <c r="RWU2" s="946"/>
      <c r="RWV2" s="946"/>
      <c r="RWW2" s="946"/>
      <c r="RWX2" s="946"/>
      <c r="RWY2" s="946"/>
      <c r="RWZ2" s="946"/>
      <c r="RXA2" s="946"/>
      <c r="RXB2" s="946"/>
      <c r="RXC2" s="946"/>
      <c r="RXD2" s="946"/>
      <c r="RXE2" s="946"/>
      <c r="RXF2" s="946"/>
      <c r="RXG2" s="946"/>
      <c r="RXH2" s="946"/>
      <c r="RXI2" s="946"/>
      <c r="RXJ2" s="946"/>
      <c r="RXK2" s="946"/>
      <c r="RXL2" s="946"/>
      <c r="RXM2" s="946"/>
      <c r="RXN2" s="946"/>
      <c r="RXO2" s="946"/>
      <c r="RXP2" s="946"/>
      <c r="RXQ2" s="946"/>
      <c r="RXR2" s="946"/>
      <c r="RXS2" s="946"/>
      <c r="RXT2" s="946"/>
      <c r="RXU2" s="946"/>
      <c r="RXV2" s="946"/>
      <c r="RXW2" s="946"/>
      <c r="RXX2" s="946"/>
      <c r="RXY2" s="946"/>
      <c r="RXZ2" s="946"/>
      <c r="RYA2" s="946"/>
      <c r="RYB2" s="946"/>
      <c r="RYC2" s="946"/>
      <c r="RYD2" s="946"/>
      <c r="RYE2" s="946"/>
      <c r="RYF2" s="946"/>
      <c r="RYG2" s="946"/>
      <c r="RYH2" s="946"/>
      <c r="RYI2" s="946"/>
      <c r="RYJ2" s="946"/>
      <c r="RYK2" s="946"/>
      <c r="RYL2" s="946"/>
      <c r="RYM2" s="946"/>
      <c r="RYN2" s="946"/>
      <c r="RYO2" s="946"/>
      <c r="RYP2" s="946"/>
      <c r="RYQ2" s="946"/>
      <c r="RYR2" s="946"/>
      <c r="RYS2" s="946"/>
      <c r="RYT2" s="946"/>
      <c r="RYU2" s="946"/>
      <c r="RYV2" s="946"/>
      <c r="RYW2" s="946"/>
      <c r="RYX2" s="946"/>
      <c r="RYY2" s="946"/>
      <c r="RYZ2" s="946"/>
      <c r="RZA2" s="946"/>
      <c r="RZB2" s="946"/>
      <c r="RZC2" s="946"/>
      <c r="RZD2" s="946"/>
      <c r="RZE2" s="946"/>
      <c r="RZF2" s="946"/>
      <c r="RZG2" s="946"/>
      <c r="RZH2" s="946"/>
      <c r="RZI2" s="946"/>
      <c r="RZJ2" s="946"/>
      <c r="RZK2" s="946"/>
      <c r="RZL2" s="946"/>
      <c r="RZM2" s="946"/>
      <c r="RZN2" s="946"/>
      <c r="RZO2" s="946"/>
      <c r="RZP2" s="946"/>
      <c r="RZQ2" s="946"/>
      <c r="RZR2" s="946"/>
      <c r="RZS2" s="946"/>
      <c r="RZT2" s="946"/>
      <c r="RZU2" s="946"/>
      <c r="RZV2" s="946"/>
      <c r="RZW2" s="946"/>
      <c r="RZX2" s="946"/>
      <c r="RZY2" s="946"/>
      <c r="RZZ2" s="946"/>
      <c r="SAA2" s="946"/>
      <c r="SAB2" s="946"/>
      <c r="SAC2" s="946"/>
      <c r="SAD2" s="946"/>
      <c r="SAE2" s="946"/>
      <c r="SAF2" s="946"/>
      <c r="SAG2" s="946"/>
      <c r="SAH2" s="946"/>
      <c r="SAI2" s="946"/>
      <c r="SAJ2" s="946"/>
      <c r="SAK2" s="946"/>
      <c r="SAL2" s="946"/>
      <c r="SAM2" s="946"/>
      <c r="SAN2" s="946"/>
      <c r="SAO2" s="946"/>
      <c r="SAP2" s="946"/>
      <c r="SAQ2" s="946"/>
      <c r="SAR2" s="946"/>
      <c r="SAS2" s="946"/>
      <c r="SAT2" s="946"/>
      <c r="SAU2" s="946"/>
      <c r="SAV2" s="946"/>
      <c r="SAW2" s="946"/>
      <c r="SAX2" s="946"/>
      <c r="SAY2" s="946"/>
      <c r="SAZ2" s="946"/>
      <c r="SBA2" s="946"/>
      <c r="SBB2" s="946"/>
      <c r="SBC2" s="946"/>
      <c r="SBD2" s="946"/>
      <c r="SBE2" s="946"/>
      <c r="SBF2" s="946"/>
      <c r="SBG2" s="946"/>
      <c r="SBH2" s="946"/>
      <c r="SBI2" s="946"/>
      <c r="SBJ2" s="946"/>
      <c r="SBK2" s="946"/>
      <c r="SBL2" s="946"/>
      <c r="SBM2" s="946"/>
      <c r="SBN2" s="946"/>
      <c r="SBO2" s="946"/>
      <c r="SBP2" s="946"/>
      <c r="SBQ2" s="946"/>
      <c r="SBR2" s="946"/>
      <c r="SBS2" s="946"/>
      <c r="SBT2" s="946"/>
      <c r="SBU2" s="946"/>
      <c r="SBV2" s="946"/>
      <c r="SBW2" s="946"/>
      <c r="SBX2" s="946"/>
      <c r="SBY2" s="946"/>
      <c r="SBZ2" s="946"/>
      <c r="SCA2" s="946"/>
      <c r="SCB2" s="946"/>
      <c r="SCC2" s="946"/>
      <c r="SCD2" s="946"/>
      <c r="SCE2" s="946"/>
      <c r="SCF2" s="946"/>
      <c r="SCG2" s="946"/>
      <c r="SCH2" s="946"/>
      <c r="SCI2" s="946"/>
      <c r="SCJ2" s="946"/>
      <c r="SCK2" s="946"/>
      <c r="SCL2" s="946"/>
      <c r="SCM2" s="946"/>
      <c r="SCN2" s="946"/>
      <c r="SCO2" s="946"/>
      <c r="SCP2" s="946"/>
      <c r="SCQ2" s="946"/>
      <c r="SCR2" s="946"/>
      <c r="SCS2" s="946"/>
      <c r="SCT2" s="946"/>
      <c r="SCU2" s="946"/>
      <c r="SCV2" s="946"/>
      <c r="SCW2" s="946"/>
      <c r="SCX2" s="946"/>
      <c r="SCY2" s="946"/>
      <c r="SCZ2" s="946"/>
      <c r="SDA2" s="946"/>
      <c r="SDB2" s="946"/>
      <c r="SDC2" s="946"/>
      <c r="SDD2" s="946"/>
      <c r="SDE2" s="946"/>
      <c r="SDF2" s="946"/>
      <c r="SDG2" s="946"/>
      <c r="SDH2" s="946"/>
      <c r="SDI2" s="946"/>
      <c r="SDJ2" s="946"/>
      <c r="SDK2" s="946"/>
      <c r="SDL2" s="946"/>
      <c r="SDM2" s="946"/>
      <c r="SDN2" s="946"/>
      <c r="SDO2" s="946"/>
      <c r="SDP2" s="946"/>
      <c r="SDQ2" s="946"/>
      <c r="SDR2" s="946"/>
      <c r="SDS2" s="946"/>
      <c r="SDT2" s="946"/>
      <c r="SDU2" s="946"/>
      <c r="SDV2" s="946"/>
      <c r="SDW2" s="946"/>
      <c r="SDX2" s="946"/>
      <c r="SDY2" s="946"/>
      <c r="SDZ2" s="946"/>
      <c r="SEA2" s="946"/>
      <c r="SEB2" s="946"/>
      <c r="SEC2" s="946"/>
      <c r="SED2" s="946"/>
      <c r="SEE2" s="946"/>
      <c r="SEF2" s="946"/>
      <c r="SEG2" s="946"/>
      <c r="SEH2" s="946"/>
      <c r="SEI2" s="946"/>
      <c r="SEJ2" s="946"/>
      <c r="SEK2" s="946"/>
      <c r="SEL2" s="946"/>
      <c r="SEM2" s="946"/>
      <c r="SEN2" s="946"/>
      <c r="SEO2" s="946"/>
      <c r="SEP2" s="946"/>
      <c r="SEQ2" s="946"/>
      <c r="SER2" s="946"/>
      <c r="SES2" s="946"/>
      <c r="SET2" s="946"/>
      <c r="SEU2" s="946"/>
      <c r="SEV2" s="946"/>
      <c r="SEW2" s="946"/>
      <c r="SEX2" s="946"/>
      <c r="SEY2" s="946"/>
      <c r="SEZ2" s="946"/>
      <c r="SFA2" s="946"/>
      <c r="SFB2" s="946"/>
      <c r="SFC2" s="946"/>
      <c r="SFD2" s="946"/>
      <c r="SFE2" s="946"/>
      <c r="SFF2" s="946"/>
      <c r="SFG2" s="946"/>
      <c r="SFH2" s="946"/>
      <c r="SFI2" s="946"/>
      <c r="SFJ2" s="946"/>
      <c r="SFK2" s="946"/>
      <c r="SFL2" s="946"/>
      <c r="SFM2" s="946"/>
      <c r="SFN2" s="946"/>
      <c r="SFO2" s="946"/>
      <c r="SFP2" s="946"/>
      <c r="SFQ2" s="946"/>
      <c r="SFR2" s="946"/>
      <c r="SFS2" s="946"/>
      <c r="SFT2" s="946"/>
      <c r="SFU2" s="946"/>
      <c r="SFV2" s="946"/>
      <c r="SFW2" s="946"/>
      <c r="SFX2" s="946"/>
      <c r="SFY2" s="946"/>
      <c r="SFZ2" s="946"/>
      <c r="SGA2" s="946"/>
      <c r="SGB2" s="946"/>
      <c r="SGC2" s="946"/>
      <c r="SGD2" s="946"/>
      <c r="SGE2" s="946"/>
      <c r="SGF2" s="946"/>
      <c r="SGG2" s="946"/>
      <c r="SGH2" s="946"/>
      <c r="SGI2" s="946"/>
      <c r="SGJ2" s="946"/>
      <c r="SGK2" s="946"/>
      <c r="SGL2" s="946"/>
      <c r="SGM2" s="946"/>
      <c r="SGN2" s="946"/>
      <c r="SGO2" s="946"/>
      <c r="SGP2" s="946"/>
      <c r="SGQ2" s="946"/>
      <c r="SGR2" s="946"/>
      <c r="SGS2" s="946"/>
      <c r="SGT2" s="946"/>
      <c r="SGU2" s="946"/>
      <c r="SGV2" s="946"/>
      <c r="SGW2" s="946"/>
      <c r="SGX2" s="946"/>
      <c r="SGY2" s="946"/>
      <c r="SGZ2" s="946"/>
      <c r="SHA2" s="946"/>
      <c r="SHB2" s="946"/>
      <c r="SHC2" s="946"/>
      <c r="SHD2" s="946"/>
      <c r="SHE2" s="946"/>
      <c r="SHF2" s="946"/>
      <c r="SHG2" s="946"/>
      <c r="SHH2" s="946"/>
      <c r="SHI2" s="946"/>
      <c r="SHJ2" s="946"/>
      <c r="SHK2" s="946"/>
      <c r="SHL2" s="946"/>
      <c r="SHM2" s="946"/>
      <c r="SHN2" s="946"/>
      <c r="SHO2" s="946"/>
      <c r="SHP2" s="946"/>
      <c r="SHQ2" s="946"/>
      <c r="SHR2" s="946"/>
      <c r="SHS2" s="946"/>
      <c r="SHT2" s="946"/>
      <c r="SHU2" s="946"/>
      <c r="SHV2" s="946"/>
      <c r="SHW2" s="946"/>
      <c r="SHX2" s="946"/>
      <c r="SHY2" s="946"/>
      <c r="SHZ2" s="946"/>
      <c r="SIA2" s="946"/>
      <c r="SIB2" s="946"/>
      <c r="SIC2" s="946"/>
      <c r="SID2" s="946"/>
      <c r="SIE2" s="946"/>
      <c r="SIF2" s="946"/>
      <c r="SIG2" s="946"/>
      <c r="SIH2" s="946"/>
      <c r="SII2" s="946"/>
      <c r="SIJ2" s="946"/>
      <c r="SIK2" s="946"/>
      <c r="SIL2" s="946"/>
      <c r="SIM2" s="946"/>
      <c r="SIN2" s="946"/>
      <c r="SIO2" s="946"/>
      <c r="SIP2" s="946"/>
      <c r="SIQ2" s="946"/>
      <c r="SIR2" s="946"/>
      <c r="SIS2" s="946"/>
      <c r="SIT2" s="946"/>
      <c r="SIU2" s="946"/>
      <c r="SIV2" s="946"/>
      <c r="SIW2" s="946"/>
      <c r="SIX2" s="946"/>
      <c r="SIY2" s="946"/>
      <c r="SIZ2" s="946"/>
      <c r="SJA2" s="946"/>
      <c r="SJB2" s="946"/>
      <c r="SJC2" s="946"/>
      <c r="SJD2" s="946"/>
      <c r="SJE2" s="946"/>
      <c r="SJF2" s="946"/>
      <c r="SJG2" s="946"/>
      <c r="SJH2" s="946"/>
      <c r="SJI2" s="946"/>
      <c r="SJJ2" s="946"/>
      <c r="SJK2" s="946"/>
      <c r="SJL2" s="946"/>
      <c r="SJM2" s="946"/>
      <c r="SJN2" s="946"/>
      <c r="SJO2" s="946"/>
      <c r="SJP2" s="946"/>
      <c r="SJQ2" s="946"/>
      <c r="SJR2" s="946"/>
      <c r="SJS2" s="946"/>
      <c r="SJT2" s="946"/>
      <c r="SJU2" s="946"/>
      <c r="SJV2" s="946"/>
      <c r="SJW2" s="946"/>
      <c r="SJX2" s="946"/>
      <c r="SJY2" s="946"/>
      <c r="SJZ2" s="946"/>
      <c r="SKA2" s="946"/>
      <c r="SKB2" s="946"/>
      <c r="SKC2" s="946"/>
      <c r="SKD2" s="946"/>
      <c r="SKE2" s="946"/>
      <c r="SKF2" s="946"/>
      <c r="SKG2" s="946"/>
      <c r="SKH2" s="946"/>
      <c r="SKI2" s="946"/>
      <c r="SKJ2" s="946"/>
      <c r="SKK2" s="946"/>
      <c r="SKL2" s="946"/>
      <c r="SKM2" s="946"/>
      <c r="SKN2" s="946"/>
      <c r="SKO2" s="946"/>
      <c r="SKP2" s="946"/>
      <c r="SKQ2" s="946"/>
      <c r="SKR2" s="946"/>
      <c r="SKS2" s="946"/>
      <c r="SKT2" s="946"/>
      <c r="SKU2" s="946"/>
      <c r="SKV2" s="946"/>
      <c r="SKW2" s="946"/>
      <c r="SKX2" s="946"/>
      <c r="SKY2" s="946"/>
      <c r="SKZ2" s="946"/>
      <c r="SLA2" s="946"/>
      <c r="SLB2" s="946"/>
      <c r="SLC2" s="946"/>
      <c r="SLD2" s="946"/>
      <c r="SLE2" s="946"/>
      <c r="SLF2" s="946"/>
      <c r="SLG2" s="946"/>
      <c r="SLH2" s="946"/>
      <c r="SLI2" s="946"/>
      <c r="SLJ2" s="946"/>
      <c r="SLK2" s="946"/>
      <c r="SLL2" s="946"/>
      <c r="SLM2" s="946"/>
      <c r="SLN2" s="946"/>
      <c r="SLO2" s="946"/>
      <c r="SLP2" s="946"/>
      <c r="SLQ2" s="946"/>
      <c r="SLR2" s="946"/>
      <c r="SLS2" s="946"/>
      <c r="SLT2" s="946"/>
      <c r="SLU2" s="946"/>
      <c r="SLV2" s="946"/>
      <c r="SLW2" s="946"/>
      <c r="SLX2" s="946"/>
      <c r="SLY2" s="946"/>
      <c r="SLZ2" s="946"/>
      <c r="SMA2" s="946"/>
      <c r="SMB2" s="946"/>
      <c r="SMC2" s="946"/>
      <c r="SMD2" s="946"/>
      <c r="SME2" s="946"/>
      <c r="SMF2" s="946"/>
      <c r="SMG2" s="946"/>
      <c r="SMH2" s="946"/>
      <c r="SMI2" s="946"/>
      <c r="SMJ2" s="946"/>
      <c r="SMK2" s="946"/>
      <c r="SML2" s="946"/>
      <c r="SMM2" s="946"/>
      <c r="SMN2" s="946"/>
      <c r="SMO2" s="946"/>
      <c r="SMP2" s="946"/>
      <c r="SMQ2" s="946"/>
      <c r="SMR2" s="946"/>
      <c r="SMS2" s="946"/>
      <c r="SMT2" s="946"/>
      <c r="SMU2" s="946"/>
      <c r="SMV2" s="946"/>
      <c r="SMW2" s="946"/>
      <c r="SMX2" s="946"/>
      <c r="SMY2" s="946"/>
      <c r="SMZ2" s="946"/>
      <c r="SNA2" s="946"/>
      <c r="SNB2" s="946"/>
      <c r="SNC2" s="946"/>
      <c r="SND2" s="946"/>
      <c r="SNE2" s="946"/>
      <c r="SNF2" s="946"/>
      <c r="SNG2" s="946"/>
      <c r="SNH2" s="946"/>
      <c r="SNI2" s="946"/>
      <c r="SNJ2" s="946"/>
      <c r="SNK2" s="946"/>
      <c r="SNL2" s="946"/>
      <c r="SNM2" s="946"/>
      <c r="SNN2" s="946"/>
      <c r="SNO2" s="946"/>
      <c r="SNP2" s="946"/>
      <c r="SNQ2" s="946"/>
      <c r="SNR2" s="946"/>
      <c r="SNS2" s="946"/>
      <c r="SNT2" s="946"/>
      <c r="SNU2" s="946"/>
      <c r="SNV2" s="946"/>
      <c r="SNW2" s="946"/>
      <c r="SNX2" s="946"/>
      <c r="SNY2" s="946"/>
      <c r="SNZ2" s="946"/>
      <c r="SOA2" s="946"/>
      <c r="SOB2" s="946"/>
      <c r="SOC2" s="946"/>
      <c r="SOD2" s="946"/>
      <c r="SOE2" s="946"/>
      <c r="SOF2" s="946"/>
      <c r="SOG2" s="946"/>
      <c r="SOH2" s="946"/>
      <c r="SOI2" s="946"/>
      <c r="SOJ2" s="946"/>
      <c r="SOK2" s="946"/>
      <c r="SOL2" s="946"/>
      <c r="SOM2" s="946"/>
      <c r="SON2" s="946"/>
      <c r="SOO2" s="946"/>
      <c r="SOP2" s="946"/>
      <c r="SOQ2" s="946"/>
      <c r="SOR2" s="946"/>
      <c r="SOS2" s="946"/>
      <c r="SOT2" s="946"/>
      <c r="SOU2" s="946"/>
      <c r="SOV2" s="946"/>
      <c r="SOW2" s="946"/>
      <c r="SOX2" s="946"/>
      <c r="SOY2" s="946"/>
      <c r="SOZ2" s="946"/>
      <c r="SPA2" s="946"/>
      <c r="SPB2" s="946"/>
      <c r="SPC2" s="946"/>
      <c r="SPD2" s="946"/>
      <c r="SPE2" s="946"/>
      <c r="SPF2" s="946"/>
      <c r="SPG2" s="946"/>
      <c r="SPH2" s="946"/>
      <c r="SPI2" s="946"/>
      <c r="SPJ2" s="946"/>
      <c r="SPK2" s="946"/>
      <c r="SPL2" s="946"/>
      <c r="SPM2" s="946"/>
      <c r="SPN2" s="946"/>
      <c r="SPO2" s="946"/>
      <c r="SPP2" s="946"/>
      <c r="SPQ2" s="946"/>
      <c r="SPR2" s="946"/>
      <c r="SPS2" s="946"/>
      <c r="SPT2" s="946"/>
      <c r="SPU2" s="946"/>
      <c r="SPV2" s="946"/>
      <c r="SPW2" s="946"/>
      <c r="SPX2" s="946"/>
      <c r="SPY2" s="946"/>
      <c r="SPZ2" s="946"/>
      <c r="SQA2" s="946"/>
      <c r="SQB2" s="946"/>
      <c r="SQC2" s="946"/>
      <c r="SQD2" s="946"/>
      <c r="SQE2" s="946"/>
      <c r="SQF2" s="946"/>
      <c r="SQG2" s="946"/>
      <c r="SQH2" s="946"/>
      <c r="SQI2" s="946"/>
      <c r="SQJ2" s="946"/>
      <c r="SQK2" s="946"/>
      <c r="SQL2" s="946"/>
      <c r="SQM2" s="946"/>
      <c r="SQN2" s="946"/>
      <c r="SQO2" s="946"/>
      <c r="SQP2" s="946"/>
      <c r="SQQ2" s="946"/>
      <c r="SQR2" s="946"/>
      <c r="SQS2" s="946"/>
      <c r="SQT2" s="946"/>
      <c r="SQU2" s="946"/>
      <c r="SQV2" s="946"/>
      <c r="SQW2" s="946"/>
      <c r="SQX2" s="946"/>
      <c r="SQY2" s="946"/>
      <c r="SQZ2" s="946"/>
      <c r="SRA2" s="946"/>
      <c r="SRB2" s="946"/>
      <c r="SRC2" s="946"/>
      <c r="SRD2" s="946"/>
      <c r="SRE2" s="946"/>
      <c r="SRF2" s="946"/>
      <c r="SRG2" s="946"/>
      <c r="SRH2" s="946"/>
      <c r="SRI2" s="946"/>
      <c r="SRJ2" s="946"/>
      <c r="SRK2" s="946"/>
      <c r="SRL2" s="946"/>
      <c r="SRM2" s="946"/>
      <c r="SRN2" s="946"/>
      <c r="SRO2" s="946"/>
      <c r="SRP2" s="946"/>
      <c r="SRQ2" s="946"/>
      <c r="SRR2" s="946"/>
      <c r="SRS2" s="946"/>
      <c r="SRT2" s="946"/>
      <c r="SRU2" s="946"/>
      <c r="SRV2" s="946"/>
      <c r="SRW2" s="946"/>
      <c r="SRX2" s="946"/>
      <c r="SRY2" s="946"/>
      <c r="SRZ2" s="946"/>
      <c r="SSA2" s="946"/>
      <c r="SSB2" s="946"/>
      <c r="SSC2" s="946"/>
      <c r="SSD2" s="946"/>
      <c r="SSE2" s="946"/>
      <c r="SSF2" s="946"/>
      <c r="SSG2" s="946"/>
      <c r="SSH2" s="946"/>
      <c r="SSI2" s="946"/>
      <c r="SSJ2" s="946"/>
      <c r="SSK2" s="946"/>
      <c r="SSL2" s="946"/>
      <c r="SSM2" s="946"/>
      <c r="SSN2" s="946"/>
      <c r="SSO2" s="946"/>
      <c r="SSP2" s="946"/>
      <c r="SSQ2" s="946"/>
      <c r="SSR2" s="946"/>
      <c r="SSS2" s="946"/>
      <c r="SST2" s="946"/>
      <c r="SSU2" s="946"/>
      <c r="SSV2" s="946"/>
      <c r="SSW2" s="946"/>
      <c r="SSX2" s="946"/>
      <c r="SSY2" s="946"/>
      <c r="SSZ2" s="946"/>
      <c r="STA2" s="946"/>
      <c r="STB2" s="946"/>
      <c r="STC2" s="946"/>
      <c r="STD2" s="946"/>
      <c r="STE2" s="946"/>
      <c r="STF2" s="946"/>
      <c r="STG2" s="946"/>
      <c r="STH2" s="946"/>
      <c r="STI2" s="946"/>
      <c r="STJ2" s="946"/>
      <c r="STK2" s="946"/>
      <c r="STL2" s="946"/>
      <c r="STM2" s="946"/>
      <c r="STN2" s="946"/>
      <c r="STO2" s="946"/>
      <c r="STP2" s="946"/>
      <c r="STQ2" s="946"/>
      <c r="STR2" s="946"/>
      <c r="STS2" s="946"/>
      <c r="STT2" s="946"/>
      <c r="STU2" s="946"/>
      <c r="STV2" s="946"/>
      <c r="STW2" s="946"/>
      <c r="STX2" s="946"/>
      <c r="STY2" s="946"/>
      <c r="STZ2" s="946"/>
      <c r="SUA2" s="946"/>
      <c r="SUB2" s="946"/>
      <c r="SUC2" s="946"/>
      <c r="SUD2" s="946"/>
      <c r="SUE2" s="946"/>
      <c r="SUF2" s="946"/>
      <c r="SUG2" s="946"/>
      <c r="SUH2" s="946"/>
      <c r="SUI2" s="946"/>
      <c r="SUJ2" s="946"/>
      <c r="SUK2" s="946"/>
      <c r="SUL2" s="946"/>
      <c r="SUM2" s="946"/>
      <c r="SUN2" s="946"/>
      <c r="SUO2" s="946"/>
      <c r="SUP2" s="946"/>
      <c r="SUQ2" s="946"/>
      <c r="SUR2" s="946"/>
      <c r="SUS2" s="946"/>
      <c r="SUT2" s="946"/>
      <c r="SUU2" s="946"/>
      <c r="SUV2" s="946"/>
      <c r="SUW2" s="946"/>
      <c r="SUX2" s="946"/>
      <c r="SUY2" s="946"/>
      <c r="SUZ2" s="946"/>
      <c r="SVA2" s="946"/>
      <c r="SVB2" s="946"/>
      <c r="SVC2" s="946"/>
      <c r="SVD2" s="946"/>
      <c r="SVE2" s="946"/>
      <c r="SVF2" s="946"/>
      <c r="SVG2" s="946"/>
      <c r="SVH2" s="946"/>
      <c r="SVI2" s="946"/>
      <c r="SVJ2" s="946"/>
      <c r="SVK2" s="946"/>
      <c r="SVL2" s="946"/>
      <c r="SVM2" s="946"/>
      <c r="SVN2" s="946"/>
      <c r="SVO2" s="946"/>
      <c r="SVP2" s="946"/>
      <c r="SVQ2" s="946"/>
      <c r="SVR2" s="946"/>
      <c r="SVS2" s="946"/>
      <c r="SVT2" s="946"/>
      <c r="SVU2" s="946"/>
      <c r="SVV2" s="946"/>
      <c r="SVW2" s="946"/>
      <c r="SVX2" s="946"/>
      <c r="SVY2" s="946"/>
      <c r="SVZ2" s="946"/>
      <c r="SWA2" s="946"/>
      <c r="SWB2" s="946"/>
      <c r="SWC2" s="946"/>
      <c r="SWD2" s="946"/>
      <c r="SWE2" s="946"/>
      <c r="SWF2" s="946"/>
      <c r="SWG2" s="946"/>
      <c r="SWH2" s="946"/>
      <c r="SWI2" s="946"/>
      <c r="SWJ2" s="946"/>
      <c r="SWK2" s="946"/>
      <c r="SWL2" s="946"/>
      <c r="SWM2" s="946"/>
      <c r="SWN2" s="946"/>
      <c r="SWO2" s="946"/>
      <c r="SWP2" s="946"/>
      <c r="SWQ2" s="946"/>
      <c r="SWR2" s="946"/>
      <c r="SWS2" s="946"/>
      <c r="SWT2" s="946"/>
      <c r="SWU2" s="946"/>
      <c r="SWV2" s="946"/>
      <c r="SWW2" s="946"/>
      <c r="SWX2" s="946"/>
      <c r="SWY2" s="946"/>
      <c r="SWZ2" s="946"/>
      <c r="SXA2" s="946"/>
      <c r="SXB2" s="946"/>
      <c r="SXC2" s="946"/>
      <c r="SXD2" s="946"/>
      <c r="SXE2" s="946"/>
      <c r="SXF2" s="946"/>
      <c r="SXG2" s="946"/>
      <c r="SXH2" s="946"/>
      <c r="SXI2" s="946"/>
      <c r="SXJ2" s="946"/>
      <c r="SXK2" s="946"/>
      <c r="SXL2" s="946"/>
      <c r="SXM2" s="946"/>
      <c r="SXN2" s="946"/>
      <c r="SXO2" s="946"/>
      <c r="SXP2" s="946"/>
      <c r="SXQ2" s="946"/>
      <c r="SXR2" s="946"/>
      <c r="SXS2" s="946"/>
      <c r="SXT2" s="946"/>
      <c r="SXU2" s="946"/>
      <c r="SXV2" s="946"/>
      <c r="SXW2" s="946"/>
      <c r="SXX2" s="946"/>
      <c r="SXY2" s="946"/>
      <c r="SXZ2" s="946"/>
      <c r="SYA2" s="946"/>
      <c r="SYB2" s="946"/>
      <c r="SYC2" s="946"/>
      <c r="SYD2" s="946"/>
      <c r="SYE2" s="946"/>
      <c r="SYF2" s="946"/>
      <c r="SYG2" s="946"/>
      <c r="SYH2" s="946"/>
      <c r="SYI2" s="946"/>
      <c r="SYJ2" s="946"/>
      <c r="SYK2" s="946"/>
      <c r="SYL2" s="946"/>
      <c r="SYM2" s="946"/>
      <c r="SYN2" s="946"/>
      <c r="SYO2" s="946"/>
      <c r="SYP2" s="946"/>
      <c r="SYQ2" s="946"/>
      <c r="SYR2" s="946"/>
      <c r="SYS2" s="946"/>
      <c r="SYT2" s="946"/>
      <c r="SYU2" s="946"/>
      <c r="SYV2" s="946"/>
      <c r="SYW2" s="946"/>
      <c r="SYX2" s="946"/>
      <c r="SYY2" s="946"/>
      <c r="SYZ2" s="946"/>
      <c r="SZA2" s="946"/>
      <c r="SZB2" s="946"/>
      <c r="SZC2" s="946"/>
      <c r="SZD2" s="946"/>
      <c r="SZE2" s="946"/>
      <c r="SZF2" s="946"/>
      <c r="SZG2" s="946"/>
      <c r="SZH2" s="946"/>
      <c r="SZI2" s="946"/>
      <c r="SZJ2" s="946"/>
      <c r="SZK2" s="946"/>
      <c r="SZL2" s="946"/>
      <c r="SZM2" s="946"/>
      <c r="SZN2" s="946"/>
      <c r="SZO2" s="946"/>
      <c r="SZP2" s="946"/>
      <c r="SZQ2" s="946"/>
      <c r="SZR2" s="946"/>
      <c r="SZS2" s="946"/>
      <c r="SZT2" s="946"/>
      <c r="SZU2" s="946"/>
      <c r="SZV2" s="946"/>
      <c r="SZW2" s="946"/>
      <c r="SZX2" s="946"/>
      <c r="SZY2" s="946"/>
      <c r="SZZ2" s="946"/>
      <c r="TAA2" s="946"/>
      <c r="TAB2" s="946"/>
      <c r="TAC2" s="946"/>
      <c r="TAD2" s="946"/>
      <c r="TAE2" s="946"/>
      <c r="TAF2" s="946"/>
      <c r="TAG2" s="946"/>
      <c r="TAH2" s="946"/>
      <c r="TAI2" s="946"/>
      <c r="TAJ2" s="946"/>
      <c r="TAK2" s="946"/>
      <c r="TAL2" s="946"/>
      <c r="TAM2" s="946"/>
      <c r="TAN2" s="946"/>
      <c r="TAO2" s="946"/>
      <c r="TAP2" s="946"/>
      <c r="TAQ2" s="946"/>
      <c r="TAR2" s="946"/>
      <c r="TAS2" s="946"/>
      <c r="TAT2" s="946"/>
      <c r="TAU2" s="946"/>
      <c r="TAV2" s="946"/>
      <c r="TAW2" s="946"/>
      <c r="TAX2" s="946"/>
      <c r="TAY2" s="946"/>
      <c r="TAZ2" s="946"/>
      <c r="TBA2" s="946"/>
      <c r="TBB2" s="946"/>
      <c r="TBC2" s="946"/>
      <c r="TBD2" s="946"/>
      <c r="TBE2" s="946"/>
      <c r="TBF2" s="946"/>
      <c r="TBG2" s="946"/>
      <c r="TBH2" s="946"/>
      <c r="TBI2" s="946"/>
      <c r="TBJ2" s="946"/>
      <c r="TBK2" s="946"/>
      <c r="TBL2" s="946"/>
      <c r="TBM2" s="946"/>
      <c r="TBN2" s="946"/>
      <c r="TBO2" s="946"/>
      <c r="TBP2" s="946"/>
      <c r="TBQ2" s="946"/>
      <c r="TBR2" s="946"/>
      <c r="TBS2" s="946"/>
      <c r="TBT2" s="946"/>
      <c r="TBU2" s="946"/>
      <c r="TBV2" s="946"/>
      <c r="TBW2" s="946"/>
      <c r="TBX2" s="946"/>
      <c r="TBY2" s="946"/>
      <c r="TBZ2" s="946"/>
      <c r="TCA2" s="946"/>
      <c r="TCB2" s="946"/>
      <c r="TCC2" s="946"/>
      <c r="TCD2" s="946"/>
      <c r="TCE2" s="946"/>
      <c r="TCF2" s="946"/>
      <c r="TCG2" s="946"/>
      <c r="TCH2" s="946"/>
      <c r="TCI2" s="946"/>
      <c r="TCJ2" s="946"/>
      <c r="TCK2" s="946"/>
      <c r="TCL2" s="946"/>
      <c r="TCM2" s="946"/>
      <c r="TCN2" s="946"/>
      <c r="TCO2" s="946"/>
      <c r="TCP2" s="946"/>
      <c r="TCQ2" s="946"/>
      <c r="TCR2" s="946"/>
      <c r="TCS2" s="946"/>
      <c r="TCT2" s="946"/>
      <c r="TCU2" s="946"/>
      <c r="TCV2" s="946"/>
      <c r="TCW2" s="946"/>
      <c r="TCX2" s="946"/>
      <c r="TCY2" s="946"/>
      <c r="TCZ2" s="946"/>
      <c r="TDA2" s="946"/>
      <c r="TDB2" s="946"/>
      <c r="TDC2" s="946"/>
      <c r="TDD2" s="946"/>
      <c r="TDE2" s="946"/>
      <c r="TDF2" s="946"/>
      <c r="TDG2" s="946"/>
      <c r="TDH2" s="946"/>
      <c r="TDI2" s="946"/>
      <c r="TDJ2" s="946"/>
      <c r="TDK2" s="946"/>
      <c r="TDL2" s="946"/>
      <c r="TDM2" s="946"/>
      <c r="TDN2" s="946"/>
      <c r="TDO2" s="946"/>
      <c r="TDP2" s="946"/>
      <c r="TDQ2" s="946"/>
      <c r="TDR2" s="946"/>
      <c r="TDS2" s="946"/>
      <c r="TDT2" s="946"/>
      <c r="TDU2" s="946"/>
      <c r="TDV2" s="946"/>
      <c r="TDW2" s="946"/>
      <c r="TDX2" s="946"/>
      <c r="TDY2" s="946"/>
      <c r="TDZ2" s="946"/>
      <c r="TEA2" s="946"/>
      <c r="TEB2" s="946"/>
      <c r="TEC2" s="946"/>
      <c r="TED2" s="946"/>
      <c r="TEE2" s="946"/>
      <c r="TEF2" s="946"/>
      <c r="TEG2" s="946"/>
      <c r="TEH2" s="946"/>
      <c r="TEI2" s="946"/>
      <c r="TEJ2" s="946"/>
      <c r="TEK2" s="946"/>
      <c r="TEL2" s="946"/>
      <c r="TEM2" s="946"/>
      <c r="TEN2" s="946"/>
      <c r="TEO2" s="946"/>
      <c r="TEP2" s="946"/>
      <c r="TEQ2" s="946"/>
      <c r="TER2" s="946"/>
      <c r="TES2" s="946"/>
      <c r="TET2" s="946"/>
      <c r="TEU2" s="946"/>
      <c r="TEV2" s="946"/>
      <c r="TEW2" s="946"/>
      <c r="TEX2" s="946"/>
      <c r="TEY2" s="946"/>
      <c r="TEZ2" s="946"/>
      <c r="TFA2" s="946"/>
      <c r="TFB2" s="946"/>
      <c r="TFC2" s="946"/>
      <c r="TFD2" s="946"/>
      <c r="TFE2" s="946"/>
      <c r="TFF2" s="946"/>
      <c r="TFG2" s="946"/>
      <c r="TFH2" s="946"/>
      <c r="TFI2" s="946"/>
      <c r="TFJ2" s="946"/>
      <c r="TFK2" s="946"/>
      <c r="TFL2" s="946"/>
      <c r="TFM2" s="946"/>
      <c r="TFN2" s="946"/>
      <c r="TFO2" s="946"/>
      <c r="TFP2" s="946"/>
      <c r="TFQ2" s="946"/>
      <c r="TFR2" s="946"/>
      <c r="TFS2" s="946"/>
      <c r="TFT2" s="946"/>
      <c r="TFU2" s="946"/>
      <c r="TFV2" s="946"/>
      <c r="TFW2" s="946"/>
      <c r="TFX2" s="946"/>
      <c r="TFY2" s="946"/>
      <c r="TFZ2" s="946"/>
      <c r="TGA2" s="946"/>
      <c r="TGB2" s="946"/>
      <c r="TGC2" s="946"/>
      <c r="TGD2" s="946"/>
      <c r="TGE2" s="946"/>
      <c r="TGF2" s="946"/>
      <c r="TGG2" s="946"/>
      <c r="TGH2" s="946"/>
      <c r="TGI2" s="946"/>
      <c r="TGJ2" s="946"/>
      <c r="TGK2" s="946"/>
      <c r="TGL2" s="946"/>
      <c r="TGM2" s="946"/>
      <c r="TGN2" s="946"/>
      <c r="TGO2" s="946"/>
      <c r="TGP2" s="946"/>
      <c r="TGQ2" s="946"/>
      <c r="TGR2" s="946"/>
      <c r="TGS2" s="946"/>
      <c r="TGT2" s="946"/>
      <c r="TGU2" s="946"/>
      <c r="TGV2" s="946"/>
      <c r="TGW2" s="946"/>
      <c r="TGX2" s="946"/>
      <c r="TGY2" s="946"/>
      <c r="TGZ2" s="946"/>
      <c r="THA2" s="946"/>
      <c r="THB2" s="946"/>
      <c r="THC2" s="946"/>
      <c r="THD2" s="946"/>
      <c r="THE2" s="946"/>
      <c r="THF2" s="946"/>
      <c r="THG2" s="946"/>
      <c r="THH2" s="946"/>
      <c r="THI2" s="946"/>
      <c r="THJ2" s="946"/>
      <c r="THK2" s="946"/>
      <c r="THL2" s="946"/>
      <c r="THM2" s="946"/>
      <c r="THN2" s="946"/>
      <c r="THO2" s="946"/>
      <c r="THP2" s="946"/>
      <c r="THQ2" s="946"/>
      <c r="THR2" s="946"/>
      <c r="THS2" s="946"/>
      <c r="THT2" s="946"/>
      <c r="THU2" s="946"/>
      <c r="THV2" s="946"/>
      <c r="THW2" s="946"/>
      <c r="THX2" s="946"/>
      <c r="THY2" s="946"/>
      <c r="THZ2" s="946"/>
      <c r="TIA2" s="946"/>
      <c r="TIB2" s="946"/>
      <c r="TIC2" s="946"/>
      <c r="TID2" s="946"/>
      <c r="TIE2" s="946"/>
      <c r="TIF2" s="946"/>
      <c r="TIG2" s="946"/>
      <c r="TIH2" s="946"/>
      <c r="TII2" s="946"/>
      <c r="TIJ2" s="946"/>
      <c r="TIK2" s="946"/>
      <c r="TIL2" s="946"/>
      <c r="TIM2" s="946"/>
      <c r="TIN2" s="946"/>
      <c r="TIO2" s="946"/>
      <c r="TIP2" s="946"/>
      <c r="TIQ2" s="946"/>
      <c r="TIR2" s="946"/>
      <c r="TIS2" s="946"/>
      <c r="TIT2" s="946"/>
      <c r="TIU2" s="946"/>
      <c r="TIV2" s="946"/>
      <c r="TIW2" s="946"/>
      <c r="TIX2" s="946"/>
      <c r="TIY2" s="946"/>
      <c r="TIZ2" s="946"/>
      <c r="TJA2" s="946"/>
      <c r="TJB2" s="946"/>
      <c r="TJC2" s="946"/>
      <c r="TJD2" s="946"/>
      <c r="TJE2" s="946"/>
      <c r="TJF2" s="946"/>
      <c r="TJG2" s="946"/>
      <c r="TJH2" s="946"/>
      <c r="TJI2" s="946"/>
      <c r="TJJ2" s="946"/>
      <c r="TJK2" s="946"/>
      <c r="TJL2" s="946"/>
      <c r="TJM2" s="946"/>
      <c r="TJN2" s="946"/>
      <c r="TJO2" s="946"/>
      <c r="TJP2" s="946"/>
      <c r="TJQ2" s="946"/>
      <c r="TJR2" s="946"/>
      <c r="TJS2" s="946"/>
      <c r="TJT2" s="946"/>
      <c r="TJU2" s="946"/>
      <c r="TJV2" s="946"/>
      <c r="TJW2" s="946"/>
      <c r="TJX2" s="946"/>
      <c r="TJY2" s="946"/>
      <c r="TJZ2" s="946"/>
      <c r="TKA2" s="946"/>
      <c r="TKB2" s="946"/>
      <c r="TKC2" s="946"/>
      <c r="TKD2" s="946"/>
      <c r="TKE2" s="946"/>
      <c r="TKF2" s="946"/>
      <c r="TKG2" s="946"/>
      <c r="TKH2" s="946"/>
      <c r="TKI2" s="946"/>
      <c r="TKJ2" s="946"/>
      <c r="TKK2" s="946"/>
      <c r="TKL2" s="946"/>
      <c r="TKM2" s="946"/>
      <c r="TKN2" s="946"/>
      <c r="TKO2" s="946"/>
      <c r="TKP2" s="946"/>
      <c r="TKQ2" s="946"/>
      <c r="TKR2" s="946"/>
      <c r="TKS2" s="946"/>
      <c r="TKT2" s="946"/>
      <c r="TKU2" s="946"/>
      <c r="TKV2" s="946"/>
      <c r="TKW2" s="946"/>
      <c r="TKX2" s="946"/>
      <c r="TKY2" s="946"/>
      <c r="TKZ2" s="946"/>
      <c r="TLA2" s="946"/>
      <c r="TLB2" s="946"/>
      <c r="TLC2" s="946"/>
      <c r="TLD2" s="946"/>
      <c r="TLE2" s="946"/>
      <c r="TLF2" s="946"/>
      <c r="TLG2" s="946"/>
      <c r="TLH2" s="946"/>
      <c r="TLI2" s="946"/>
      <c r="TLJ2" s="946"/>
      <c r="TLK2" s="946"/>
      <c r="TLL2" s="946"/>
      <c r="TLM2" s="946"/>
      <c r="TLN2" s="946"/>
      <c r="TLO2" s="946"/>
      <c r="TLP2" s="946"/>
      <c r="TLQ2" s="946"/>
      <c r="TLR2" s="946"/>
      <c r="TLS2" s="946"/>
      <c r="TLT2" s="946"/>
      <c r="TLU2" s="946"/>
      <c r="TLV2" s="946"/>
      <c r="TLW2" s="946"/>
      <c r="TLX2" s="946"/>
      <c r="TLY2" s="946"/>
      <c r="TLZ2" s="946"/>
      <c r="TMA2" s="946"/>
      <c r="TMB2" s="946"/>
      <c r="TMC2" s="946"/>
      <c r="TMD2" s="946"/>
      <c r="TME2" s="946"/>
      <c r="TMF2" s="946"/>
      <c r="TMG2" s="946"/>
      <c r="TMH2" s="946"/>
      <c r="TMI2" s="946"/>
      <c r="TMJ2" s="946"/>
      <c r="TMK2" s="946"/>
      <c r="TML2" s="946"/>
      <c r="TMM2" s="946"/>
      <c r="TMN2" s="946"/>
      <c r="TMO2" s="946"/>
      <c r="TMP2" s="946"/>
      <c r="TMQ2" s="946"/>
      <c r="TMR2" s="946"/>
      <c r="TMS2" s="946"/>
      <c r="TMT2" s="946"/>
      <c r="TMU2" s="946"/>
      <c r="TMV2" s="946"/>
      <c r="TMW2" s="946"/>
      <c r="TMX2" s="946"/>
      <c r="TMY2" s="946"/>
      <c r="TMZ2" s="946"/>
      <c r="TNA2" s="946"/>
      <c r="TNB2" s="946"/>
      <c r="TNC2" s="946"/>
      <c r="TND2" s="946"/>
      <c r="TNE2" s="946"/>
      <c r="TNF2" s="946"/>
      <c r="TNG2" s="946"/>
      <c r="TNH2" s="946"/>
      <c r="TNI2" s="946"/>
      <c r="TNJ2" s="946"/>
      <c r="TNK2" s="946"/>
      <c r="TNL2" s="946"/>
      <c r="TNM2" s="946"/>
      <c r="TNN2" s="946"/>
      <c r="TNO2" s="946"/>
      <c r="TNP2" s="946"/>
      <c r="TNQ2" s="946"/>
      <c r="TNR2" s="946"/>
      <c r="TNS2" s="946"/>
      <c r="TNT2" s="946"/>
      <c r="TNU2" s="946"/>
      <c r="TNV2" s="946"/>
      <c r="TNW2" s="946"/>
      <c r="TNX2" s="946"/>
      <c r="TNY2" s="946"/>
      <c r="TNZ2" s="946"/>
      <c r="TOA2" s="946"/>
      <c r="TOB2" s="946"/>
      <c r="TOC2" s="946"/>
      <c r="TOD2" s="946"/>
      <c r="TOE2" s="946"/>
      <c r="TOF2" s="946"/>
      <c r="TOG2" s="946"/>
      <c r="TOH2" s="946"/>
      <c r="TOI2" s="946"/>
      <c r="TOJ2" s="946"/>
      <c r="TOK2" s="946"/>
      <c r="TOL2" s="946"/>
      <c r="TOM2" s="946"/>
      <c r="TON2" s="946"/>
      <c r="TOO2" s="946"/>
      <c r="TOP2" s="946"/>
      <c r="TOQ2" s="946"/>
      <c r="TOR2" s="946"/>
      <c r="TOS2" s="946"/>
      <c r="TOT2" s="946"/>
      <c r="TOU2" s="946"/>
      <c r="TOV2" s="946"/>
      <c r="TOW2" s="946"/>
      <c r="TOX2" s="946"/>
      <c r="TOY2" s="946"/>
      <c r="TOZ2" s="946"/>
      <c r="TPA2" s="946"/>
      <c r="TPB2" s="946"/>
      <c r="TPC2" s="946"/>
      <c r="TPD2" s="946"/>
      <c r="TPE2" s="946"/>
      <c r="TPF2" s="946"/>
      <c r="TPG2" s="946"/>
      <c r="TPH2" s="946"/>
      <c r="TPI2" s="946"/>
      <c r="TPJ2" s="946"/>
      <c r="TPK2" s="946"/>
      <c r="TPL2" s="946"/>
      <c r="TPM2" s="946"/>
      <c r="TPN2" s="946"/>
      <c r="TPO2" s="946"/>
      <c r="TPP2" s="946"/>
      <c r="TPQ2" s="946"/>
      <c r="TPR2" s="946"/>
      <c r="TPS2" s="946"/>
      <c r="TPT2" s="946"/>
      <c r="TPU2" s="946"/>
      <c r="TPV2" s="946"/>
      <c r="TPW2" s="946"/>
      <c r="TPX2" s="946"/>
      <c r="TPY2" s="946"/>
      <c r="TPZ2" s="946"/>
      <c r="TQA2" s="946"/>
      <c r="TQB2" s="946"/>
      <c r="TQC2" s="946"/>
      <c r="TQD2" s="946"/>
      <c r="TQE2" s="946"/>
      <c r="TQF2" s="946"/>
      <c r="TQG2" s="946"/>
      <c r="TQH2" s="946"/>
      <c r="TQI2" s="946"/>
      <c r="TQJ2" s="946"/>
      <c r="TQK2" s="946"/>
      <c r="TQL2" s="946"/>
      <c r="TQM2" s="946"/>
      <c r="TQN2" s="946"/>
      <c r="TQO2" s="946"/>
      <c r="TQP2" s="946"/>
      <c r="TQQ2" s="946"/>
      <c r="TQR2" s="946"/>
      <c r="TQS2" s="946"/>
      <c r="TQT2" s="946"/>
      <c r="TQU2" s="946"/>
      <c r="TQV2" s="946"/>
      <c r="TQW2" s="946"/>
      <c r="TQX2" s="946"/>
      <c r="TQY2" s="946"/>
      <c r="TQZ2" s="946"/>
      <c r="TRA2" s="946"/>
      <c r="TRB2" s="946"/>
      <c r="TRC2" s="946"/>
      <c r="TRD2" s="946"/>
      <c r="TRE2" s="946"/>
      <c r="TRF2" s="946"/>
      <c r="TRG2" s="946"/>
      <c r="TRH2" s="946"/>
      <c r="TRI2" s="946"/>
      <c r="TRJ2" s="946"/>
      <c r="TRK2" s="946"/>
      <c r="TRL2" s="946"/>
      <c r="TRM2" s="946"/>
      <c r="TRN2" s="946"/>
      <c r="TRO2" s="946"/>
      <c r="TRP2" s="946"/>
      <c r="TRQ2" s="946"/>
      <c r="TRR2" s="946"/>
      <c r="TRS2" s="946"/>
      <c r="TRT2" s="946"/>
      <c r="TRU2" s="946"/>
      <c r="TRV2" s="946"/>
      <c r="TRW2" s="946"/>
      <c r="TRX2" s="946"/>
      <c r="TRY2" s="946"/>
      <c r="TRZ2" s="946"/>
      <c r="TSA2" s="946"/>
      <c r="TSB2" s="946"/>
      <c r="TSC2" s="946"/>
      <c r="TSD2" s="946"/>
      <c r="TSE2" s="946"/>
      <c r="TSF2" s="946"/>
      <c r="TSG2" s="946"/>
      <c r="TSH2" s="946"/>
      <c r="TSI2" s="946"/>
      <c r="TSJ2" s="946"/>
      <c r="TSK2" s="946"/>
      <c r="TSL2" s="946"/>
      <c r="TSM2" s="946"/>
      <c r="TSN2" s="946"/>
      <c r="TSO2" s="946"/>
      <c r="TSP2" s="946"/>
      <c r="TSQ2" s="946"/>
      <c r="TSR2" s="946"/>
      <c r="TSS2" s="946"/>
      <c r="TST2" s="946"/>
      <c r="TSU2" s="946"/>
      <c r="TSV2" s="946"/>
      <c r="TSW2" s="946"/>
      <c r="TSX2" s="946"/>
      <c r="TSY2" s="946"/>
      <c r="TSZ2" s="946"/>
      <c r="TTA2" s="946"/>
      <c r="TTB2" s="946"/>
      <c r="TTC2" s="946"/>
      <c r="TTD2" s="946"/>
      <c r="TTE2" s="946"/>
      <c r="TTF2" s="946"/>
      <c r="TTG2" s="946"/>
      <c r="TTH2" s="946"/>
      <c r="TTI2" s="946"/>
      <c r="TTJ2" s="946"/>
      <c r="TTK2" s="946"/>
      <c r="TTL2" s="946"/>
      <c r="TTM2" s="946"/>
      <c r="TTN2" s="946"/>
      <c r="TTO2" s="946"/>
      <c r="TTP2" s="946"/>
      <c r="TTQ2" s="946"/>
      <c r="TTR2" s="946"/>
      <c r="TTS2" s="946"/>
      <c r="TTT2" s="946"/>
      <c r="TTU2" s="946"/>
      <c r="TTV2" s="946"/>
      <c r="TTW2" s="946"/>
      <c r="TTX2" s="946"/>
      <c r="TTY2" s="946"/>
      <c r="TTZ2" s="946"/>
      <c r="TUA2" s="946"/>
      <c r="TUB2" s="946"/>
      <c r="TUC2" s="946"/>
      <c r="TUD2" s="946"/>
      <c r="TUE2" s="946"/>
      <c r="TUF2" s="946"/>
      <c r="TUG2" s="946"/>
      <c r="TUH2" s="946"/>
      <c r="TUI2" s="946"/>
      <c r="TUJ2" s="946"/>
      <c r="TUK2" s="946"/>
      <c r="TUL2" s="946"/>
      <c r="TUM2" s="946"/>
      <c r="TUN2" s="946"/>
      <c r="TUO2" s="946"/>
      <c r="TUP2" s="946"/>
      <c r="TUQ2" s="946"/>
      <c r="TUR2" s="946"/>
      <c r="TUS2" s="946"/>
      <c r="TUT2" s="946"/>
      <c r="TUU2" s="946"/>
      <c r="TUV2" s="946"/>
      <c r="TUW2" s="946"/>
      <c r="TUX2" s="946"/>
      <c r="TUY2" s="946"/>
      <c r="TUZ2" s="946"/>
      <c r="TVA2" s="946"/>
      <c r="TVB2" s="946"/>
      <c r="TVC2" s="946"/>
      <c r="TVD2" s="946"/>
      <c r="TVE2" s="946"/>
      <c r="TVF2" s="946"/>
      <c r="TVG2" s="946"/>
      <c r="TVH2" s="946"/>
      <c r="TVI2" s="946"/>
      <c r="TVJ2" s="946"/>
      <c r="TVK2" s="946"/>
      <c r="TVL2" s="946"/>
      <c r="TVM2" s="946"/>
      <c r="TVN2" s="946"/>
      <c r="TVO2" s="946"/>
      <c r="TVP2" s="946"/>
      <c r="TVQ2" s="946"/>
      <c r="TVR2" s="946"/>
      <c r="TVS2" s="946"/>
      <c r="TVT2" s="946"/>
      <c r="TVU2" s="946"/>
      <c r="TVV2" s="946"/>
      <c r="TVW2" s="946"/>
      <c r="TVX2" s="946"/>
      <c r="TVY2" s="946"/>
      <c r="TVZ2" s="946"/>
      <c r="TWA2" s="946"/>
      <c r="TWB2" s="946"/>
      <c r="TWC2" s="946"/>
      <c r="TWD2" s="946"/>
      <c r="TWE2" s="946"/>
      <c r="TWF2" s="946"/>
      <c r="TWG2" s="946"/>
      <c r="TWH2" s="946"/>
      <c r="TWI2" s="946"/>
      <c r="TWJ2" s="946"/>
      <c r="TWK2" s="946"/>
      <c r="TWL2" s="946"/>
      <c r="TWM2" s="946"/>
      <c r="TWN2" s="946"/>
      <c r="TWO2" s="946"/>
      <c r="TWP2" s="946"/>
      <c r="TWQ2" s="946"/>
      <c r="TWR2" s="946"/>
      <c r="TWS2" s="946"/>
      <c r="TWT2" s="946"/>
      <c r="TWU2" s="946"/>
      <c r="TWV2" s="946"/>
      <c r="TWW2" s="946"/>
      <c r="TWX2" s="946"/>
      <c r="TWY2" s="946"/>
      <c r="TWZ2" s="946"/>
      <c r="TXA2" s="946"/>
      <c r="TXB2" s="946"/>
      <c r="TXC2" s="946"/>
      <c r="TXD2" s="946"/>
      <c r="TXE2" s="946"/>
      <c r="TXF2" s="946"/>
      <c r="TXG2" s="946"/>
      <c r="TXH2" s="946"/>
      <c r="TXI2" s="946"/>
      <c r="TXJ2" s="946"/>
      <c r="TXK2" s="946"/>
      <c r="TXL2" s="946"/>
      <c r="TXM2" s="946"/>
      <c r="TXN2" s="946"/>
      <c r="TXO2" s="946"/>
      <c r="TXP2" s="946"/>
      <c r="TXQ2" s="946"/>
      <c r="TXR2" s="946"/>
      <c r="TXS2" s="946"/>
      <c r="TXT2" s="946"/>
      <c r="TXU2" s="946"/>
      <c r="TXV2" s="946"/>
      <c r="TXW2" s="946"/>
      <c r="TXX2" s="946"/>
      <c r="TXY2" s="946"/>
      <c r="TXZ2" s="946"/>
      <c r="TYA2" s="946"/>
      <c r="TYB2" s="946"/>
      <c r="TYC2" s="946"/>
      <c r="TYD2" s="946"/>
      <c r="TYE2" s="946"/>
      <c r="TYF2" s="946"/>
      <c r="TYG2" s="946"/>
      <c r="TYH2" s="946"/>
      <c r="TYI2" s="946"/>
      <c r="TYJ2" s="946"/>
      <c r="TYK2" s="946"/>
      <c r="TYL2" s="946"/>
      <c r="TYM2" s="946"/>
      <c r="TYN2" s="946"/>
      <c r="TYO2" s="946"/>
      <c r="TYP2" s="946"/>
      <c r="TYQ2" s="946"/>
      <c r="TYR2" s="946"/>
      <c r="TYS2" s="946"/>
      <c r="TYT2" s="946"/>
      <c r="TYU2" s="946"/>
      <c r="TYV2" s="946"/>
      <c r="TYW2" s="946"/>
      <c r="TYX2" s="946"/>
      <c r="TYY2" s="946"/>
      <c r="TYZ2" s="946"/>
      <c r="TZA2" s="946"/>
      <c r="TZB2" s="946"/>
      <c r="TZC2" s="946"/>
      <c r="TZD2" s="946"/>
      <c r="TZE2" s="946"/>
      <c r="TZF2" s="946"/>
      <c r="TZG2" s="946"/>
      <c r="TZH2" s="946"/>
      <c r="TZI2" s="946"/>
      <c r="TZJ2" s="946"/>
      <c r="TZK2" s="946"/>
      <c r="TZL2" s="946"/>
      <c r="TZM2" s="946"/>
      <c r="TZN2" s="946"/>
      <c r="TZO2" s="946"/>
      <c r="TZP2" s="946"/>
      <c r="TZQ2" s="946"/>
      <c r="TZR2" s="946"/>
      <c r="TZS2" s="946"/>
      <c r="TZT2" s="946"/>
      <c r="TZU2" s="946"/>
      <c r="TZV2" s="946"/>
      <c r="TZW2" s="946"/>
      <c r="TZX2" s="946"/>
      <c r="TZY2" s="946"/>
      <c r="TZZ2" s="946"/>
      <c r="UAA2" s="946"/>
      <c r="UAB2" s="946"/>
      <c r="UAC2" s="946"/>
      <c r="UAD2" s="946"/>
      <c r="UAE2" s="946"/>
      <c r="UAF2" s="946"/>
      <c r="UAG2" s="946"/>
      <c r="UAH2" s="946"/>
      <c r="UAI2" s="946"/>
      <c r="UAJ2" s="946"/>
      <c r="UAK2" s="946"/>
      <c r="UAL2" s="946"/>
      <c r="UAM2" s="946"/>
      <c r="UAN2" s="946"/>
      <c r="UAO2" s="946"/>
      <c r="UAP2" s="946"/>
      <c r="UAQ2" s="946"/>
      <c r="UAR2" s="946"/>
      <c r="UAS2" s="946"/>
      <c r="UAT2" s="946"/>
      <c r="UAU2" s="946"/>
      <c r="UAV2" s="946"/>
      <c r="UAW2" s="946"/>
      <c r="UAX2" s="946"/>
      <c r="UAY2" s="946"/>
      <c r="UAZ2" s="946"/>
      <c r="UBA2" s="946"/>
      <c r="UBB2" s="946"/>
      <c r="UBC2" s="946"/>
      <c r="UBD2" s="946"/>
      <c r="UBE2" s="946"/>
      <c r="UBF2" s="946"/>
      <c r="UBG2" s="946"/>
      <c r="UBH2" s="946"/>
      <c r="UBI2" s="946"/>
      <c r="UBJ2" s="946"/>
      <c r="UBK2" s="946"/>
      <c r="UBL2" s="946"/>
      <c r="UBM2" s="946"/>
      <c r="UBN2" s="946"/>
      <c r="UBO2" s="946"/>
      <c r="UBP2" s="946"/>
      <c r="UBQ2" s="946"/>
      <c r="UBR2" s="946"/>
      <c r="UBS2" s="946"/>
      <c r="UBT2" s="946"/>
      <c r="UBU2" s="946"/>
      <c r="UBV2" s="946"/>
      <c r="UBW2" s="946"/>
      <c r="UBX2" s="946"/>
      <c r="UBY2" s="946"/>
      <c r="UBZ2" s="946"/>
      <c r="UCA2" s="946"/>
      <c r="UCB2" s="946"/>
      <c r="UCC2" s="946"/>
      <c r="UCD2" s="946"/>
      <c r="UCE2" s="946"/>
      <c r="UCF2" s="946"/>
      <c r="UCG2" s="946"/>
      <c r="UCH2" s="946"/>
      <c r="UCI2" s="946"/>
      <c r="UCJ2" s="946"/>
      <c r="UCK2" s="946"/>
      <c r="UCL2" s="946"/>
      <c r="UCM2" s="946"/>
      <c r="UCN2" s="946"/>
      <c r="UCO2" s="946"/>
      <c r="UCP2" s="946"/>
      <c r="UCQ2" s="946"/>
      <c r="UCR2" s="946"/>
      <c r="UCS2" s="946"/>
      <c r="UCT2" s="946"/>
      <c r="UCU2" s="946"/>
      <c r="UCV2" s="946"/>
      <c r="UCW2" s="946"/>
      <c r="UCX2" s="946"/>
      <c r="UCY2" s="946"/>
      <c r="UCZ2" s="946"/>
      <c r="UDA2" s="946"/>
      <c r="UDB2" s="946"/>
      <c r="UDC2" s="946"/>
      <c r="UDD2" s="946"/>
      <c r="UDE2" s="946"/>
      <c r="UDF2" s="946"/>
      <c r="UDG2" s="946"/>
      <c r="UDH2" s="946"/>
      <c r="UDI2" s="946"/>
      <c r="UDJ2" s="946"/>
      <c r="UDK2" s="946"/>
      <c r="UDL2" s="946"/>
      <c r="UDM2" s="946"/>
      <c r="UDN2" s="946"/>
      <c r="UDO2" s="946"/>
      <c r="UDP2" s="946"/>
      <c r="UDQ2" s="946"/>
      <c r="UDR2" s="946"/>
      <c r="UDS2" s="946"/>
      <c r="UDT2" s="946"/>
      <c r="UDU2" s="946"/>
      <c r="UDV2" s="946"/>
      <c r="UDW2" s="946"/>
      <c r="UDX2" s="946"/>
      <c r="UDY2" s="946"/>
      <c r="UDZ2" s="946"/>
      <c r="UEA2" s="946"/>
      <c r="UEB2" s="946"/>
      <c r="UEC2" s="946"/>
      <c r="UED2" s="946"/>
      <c r="UEE2" s="946"/>
      <c r="UEF2" s="946"/>
      <c r="UEG2" s="946"/>
      <c r="UEH2" s="946"/>
      <c r="UEI2" s="946"/>
      <c r="UEJ2" s="946"/>
      <c r="UEK2" s="946"/>
      <c r="UEL2" s="946"/>
      <c r="UEM2" s="946"/>
      <c r="UEN2" s="946"/>
      <c r="UEO2" s="946"/>
      <c r="UEP2" s="946"/>
      <c r="UEQ2" s="946"/>
      <c r="UER2" s="946"/>
      <c r="UES2" s="946"/>
      <c r="UET2" s="946"/>
      <c r="UEU2" s="946"/>
      <c r="UEV2" s="946"/>
      <c r="UEW2" s="946"/>
      <c r="UEX2" s="946"/>
      <c r="UEY2" s="946"/>
      <c r="UEZ2" s="946"/>
      <c r="UFA2" s="946"/>
      <c r="UFB2" s="946"/>
      <c r="UFC2" s="946"/>
      <c r="UFD2" s="946"/>
      <c r="UFE2" s="946"/>
      <c r="UFF2" s="946"/>
      <c r="UFG2" s="946"/>
      <c r="UFH2" s="946"/>
      <c r="UFI2" s="946"/>
      <c r="UFJ2" s="946"/>
      <c r="UFK2" s="946"/>
      <c r="UFL2" s="946"/>
      <c r="UFM2" s="946"/>
      <c r="UFN2" s="946"/>
      <c r="UFO2" s="946"/>
      <c r="UFP2" s="946"/>
      <c r="UFQ2" s="946"/>
      <c r="UFR2" s="946"/>
      <c r="UFS2" s="946"/>
      <c r="UFT2" s="946"/>
      <c r="UFU2" s="946"/>
      <c r="UFV2" s="946"/>
      <c r="UFW2" s="946"/>
      <c r="UFX2" s="946"/>
      <c r="UFY2" s="946"/>
      <c r="UFZ2" s="946"/>
      <c r="UGA2" s="946"/>
      <c r="UGB2" s="946"/>
      <c r="UGC2" s="946"/>
      <c r="UGD2" s="946"/>
      <c r="UGE2" s="946"/>
      <c r="UGF2" s="946"/>
      <c r="UGG2" s="946"/>
      <c r="UGH2" s="946"/>
      <c r="UGI2" s="946"/>
      <c r="UGJ2" s="946"/>
      <c r="UGK2" s="946"/>
      <c r="UGL2" s="946"/>
      <c r="UGM2" s="946"/>
      <c r="UGN2" s="946"/>
      <c r="UGO2" s="946"/>
      <c r="UGP2" s="946"/>
      <c r="UGQ2" s="946"/>
      <c r="UGR2" s="946"/>
      <c r="UGS2" s="946"/>
      <c r="UGT2" s="946"/>
      <c r="UGU2" s="946"/>
      <c r="UGV2" s="946"/>
      <c r="UGW2" s="946"/>
      <c r="UGX2" s="946"/>
      <c r="UGY2" s="946"/>
      <c r="UGZ2" s="946"/>
      <c r="UHA2" s="946"/>
      <c r="UHB2" s="946"/>
      <c r="UHC2" s="946"/>
      <c r="UHD2" s="946"/>
      <c r="UHE2" s="946"/>
      <c r="UHF2" s="946"/>
      <c r="UHG2" s="946"/>
      <c r="UHH2" s="946"/>
      <c r="UHI2" s="946"/>
      <c r="UHJ2" s="946"/>
      <c r="UHK2" s="946"/>
      <c r="UHL2" s="946"/>
      <c r="UHM2" s="946"/>
      <c r="UHN2" s="946"/>
      <c r="UHO2" s="946"/>
      <c r="UHP2" s="946"/>
      <c r="UHQ2" s="946"/>
      <c r="UHR2" s="946"/>
      <c r="UHS2" s="946"/>
      <c r="UHT2" s="946"/>
      <c r="UHU2" s="946"/>
      <c r="UHV2" s="946"/>
      <c r="UHW2" s="946"/>
      <c r="UHX2" s="946"/>
      <c r="UHY2" s="946"/>
      <c r="UHZ2" s="946"/>
      <c r="UIA2" s="946"/>
      <c r="UIB2" s="946"/>
      <c r="UIC2" s="946"/>
      <c r="UID2" s="946"/>
      <c r="UIE2" s="946"/>
      <c r="UIF2" s="946"/>
      <c r="UIG2" s="946"/>
      <c r="UIH2" s="946"/>
      <c r="UII2" s="946"/>
      <c r="UIJ2" s="946"/>
      <c r="UIK2" s="946"/>
      <c r="UIL2" s="946"/>
      <c r="UIM2" s="946"/>
      <c r="UIN2" s="946"/>
      <c r="UIO2" s="946"/>
      <c r="UIP2" s="946"/>
      <c r="UIQ2" s="946"/>
      <c r="UIR2" s="946"/>
      <c r="UIS2" s="946"/>
      <c r="UIT2" s="946"/>
      <c r="UIU2" s="946"/>
      <c r="UIV2" s="946"/>
      <c r="UIW2" s="946"/>
      <c r="UIX2" s="946"/>
      <c r="UIY2" s="946"/>
      <c r="UIZ2" s="946"/>
      <c r="UJA2" s="946"/>
      <c r="UJB2" s="946"/>
      <c r="UJC2" s="946"/>
      <c r="UJD2" s="946"/>
      <c r="UJE2" s="946"/>
      <c r="UJF2" s="946"/>
      <c r="UJG2" s="946"/>
      <c r="UJH2" s="946"/>
      <c r="UJI2" s="946"/>
      <c r="UJJ2" s="946"/>
      <c r="UJK2" s="946"/>
      <c r="UJL2" s="946"/>
      <c r="UJM2" s="946"/>
      <c r="UJN2" s="946"/>
      <c r="UJO2" s="946"/>
      <c r="UJP2" s="946"/>
      <c r="UJQ2" s="946"/>
      <c r="UJR2" s="946"/>
      <c r="UJS2" s="946"/>
      <c r="UJT2" s="946"/>
      <c r="UJU2" s="946"/>
      <c r="UJV2" s="946"/>
      <c r="UJW2" s="946"/>
      <c r="UJX2" s="946"/>
      <c r="UJY2" s="946"/>
      <c r="UJZ2" s="946"/>
      <c r="UKA2" s="946"/>
      <c r="UKB2" s="946"/>
      <c r="UKC2" s="946"/>
      <c r="UKD2" s="946"/>
      <c r="UKE2" s="946"/>
      <c r="UKF2" s="946"/>
      <c r="UKG2" s="946"/>
      <c r="UKH2" s="946"/>
      <c r="UKI2" s="946"/>
      <c r="UKJ2" s="946"/>
      <c r="UKK2" s="946"/>
      <c r="UKL2" s="946"/>
      <c r="UKM2" s="946"/>
      <c r="UKN2" s="946"/>
      <c r="UKO2" s="946"/>
      <c r="UKP2" s="946"/>
      <c r="UKQ2" s="946"/>
      <c r="UKR2" s="946"/>
      <c r="UKS2" s="946"/>
      <c r="UKT2" s="946"/>
      <c r="UKU2" s="946"/>
      <c r="UKV2" s="946"/>
      <c r="UKW2" s="946"/>
      <c r="UKX2" s="946"/>
      <c r="UKY2" s="946"/>
      <c r="UKZ2" s="946"/>
      <c r="ULA2" s="946"/>
      <c r="ULB2" s="946"/>
      <c r="ULC2" s="946"/>
      <c r="ULD2" s="946"/>
      <c r="ULE2" s="946"/>
      <c r="ULF2" s="946"/>
      <c r="ULG2" s="946"/>
      <c r="ULH2" s="946"/>
      <c r="ULI2" s="946"/>
      <c r="ULJ2" s="946"/>
      <c r="ULK2" s="946"/>
      <c r="ULL2" s="946"/>
      <c r="ULM2" s="946"/>
      <c r="ULN2" s="946"/>
      <c r="ULO2" s="946"/>
      <c r="ULP2" s="946"/>
      <c r="ULQ2" s="946"/>
      <c r="ULR2" s="946"/>
      <c r="ULS2" s="946"/>
      <c r="ULT2" s="946"/>
      <c r="ULU2" s="946"/>
      <c r="ULV2" s="946"/>
      <c r="ULW2" s="946"/>
      <c r="ULX2" s="946"/>
      <c r="ULY2" s="946"/>
      <c r="ULZ2" s="946"/>
      <c r="UMA2" s="946"/>
      <c r="UMB2" s="946"/>
      <c r="UMC2" s="946"/>
      <c r="UMD2" s="946"/>
      <c r="UME2" s="946"/>
      <c r="UMF2" s="946"/>
      <c r="UMG2" s="946"/>
      <c r="UMH2" s="946"/>
      <c r="UMI2" s="946"/>
      <c r="UMJ2" s="946"/>
      <c r="UMK2" s="946"/>
      <c r="UML2" s="946"/>
      <c r="UMM2" s="946"/>
      <c r="UMN2" s="946"/>
      <c r="UMO2" s="946"/>
      <c r="UMP2" s="946"/>
      <c r="UMQ2" s="946"/>
      <c r="UMR2" s="946"/>
      <c r="UMS2" s="946"/>
      <c r="UMT2" s="946"/>
      <c r="UMU2" s="946"/>
      <c r="UMV2" s="946"/>
      <c r="UMW2" s="946"/>
      <c r="UMX2" s="946"/>
      <c r="UMY2" s="946"/>
      <c r="UMZ2" s="946"/>
      <c r="UNA2" s="946"/>
      <c r="UNB2" s="946"/>
      <c r="UNC2" s="946"/>
      <c r="UND2" s="946"/>
      <c r="UNE2" s="946"/>
      <c r="UNF2" s="946"/>
      <c r="UNG2" s="946"/>
      <c r="UNH2" s="946"/>
      <c r="UNI2" s="946"/>
      <c r="UNJ2" s="946"/>
      <c r="UNK2" s="946"/>
      <c r="UNL2" s="946"/>
      <c r="UNM2" s="946"/>
      <c r="UNN2" s="946"/>
      <c r="UNO2" s="946"/>
      <c r="UNP2" s="946"/>
      <c r="UNQ2" s="946"/>
      <c r="UNR2" s="946"/>
      <c r="UNS2" s="946"/>
      <c r="UNT2" s="946"/>
      <c r="UNU2" s="946"/>
      <c r="UNV2" s="946"/>
      <c r="UNW2" s="946"/>
      <c r="UNX2" s="946"/>
      <c r="UNY2" s="946"/>
      <c r="UNZ2" s="946"/>
      <c r="UOA2" s="946"/>
      <c r="UOB2" s="946"/>
      <c r="UOC2" s="946"/>
      <c r="UOD2" s="946"/>
      <c r="UOE2" s="946"/>
      <c r="UOF2" s="946"/>
      <c r="UOG2" s="946"/>
      <c r="UOH2" s="946"/>
      <c r="UOI2" s="946"/>
      <c r="UOJ2" s="946"/>
      <c r="UOK2" s="946"/>
      <c r="UOL2" s="946"/>
      <c r="UOM2" s="946"/>
      <c r="UON2" s="946"/>
      <c r="UOO2" s="946"/>
      <c r="UOP2" s="946"/>
      <c r="UOQ2" s="946"/>
      <c r="UOR2" s="946"/>
      <c r="UOS2" s="946"/>
      <c r="UOT2" s="946"/>
      <c r="UOU2" s="946"/>
      <c r="UOV2" s="946"/>
      <c r="UOW2" s="946"/>
      <c r="UOX2" s="946"/>
      <c r="UOY2" s="946"/>
      <c r="UOZ2" s="946"/>
      <c r="UPA2" s="946"/>
      <c r="UPB2" s="946"/>
      <c r="UPC2" s="946"/>
      <c r="UPD2" s="946"/>
      <c r="UPE2" s="946"/>
      <c r="UPF2" s="946"/>
      <c r="UPG2" s="946"/>
      <c r="UPH2" s="946"/>
      <c r="UPI2" s="946"/>
      <c r="UPJ2" s="946"/>
      <c r="UPK2" s="946"/>
      <c r="UPL2" s="946"/>
      <c r="UPM2" s="946"/>
      <c r="UPN2" s="946"/>
      <c r="UPO2" s="946"/>
      <c r="UPP2" s="946"/>
      <c r="UPQ2" s="946"/>
      <c r="UPR2" s="946"/>
      <c r="UPS2" s="946"/>
      <c r="UPT2" s="946"/>
      <c r="UPU2" s="946"/>
      <c r="UPV2" s="946"/>
      <c r="UPW2" s="946"/>
      <c r="UPX2" s="946"/>
      <c r="UPY2" s="946"/>
      <c r="UPZ2" s="946"/>
      <c r="UQA2" s="946"/>
      <c r="UQB2" s="946"/>
      <c r="UQC2" s="946"/>
      <c r="UQD2" s="946"/>
      <c r="UQE2" s="946"/>
      <c r="UQF2" s="946"/>
      <c r="UQG2" s="946"/>
      <c r="UQH2" s="946"/>
      <c r="UQI2" s="946"/>
      <c r="UQJ2" s="946"/>
      <c r="UQK2" s="946"/>
      <c r="UQL2" s="946"/>
      <c r="UQM2" s="946"/>
      <c r="UQN2" s="946"/>
      <c r="UQO2" s="946"/>
      <c r="UQP2" s="946"/>
      <c r="UQQ2" s="946"/>
      <c r="UQR2" s="946"/>
      <c r="UQS2" s="946"/>
      <c r="UQT2" s="946"/>
      <c r="UQU2" s="946"/>
      <c r="UQV2" s="946"/>
      <c r="UQW2" s="946"/>
      <c r="UQX2" s="946"/>
      <c r="UQY2" s="946"/>
      <c r="UQZ2" s="946"/>
      <c r="URA2" s="946"/>
      <c r="URB2" s="946"/>
      <c r="URC2" s="946"/>
      <c r="URD2" s="946"/>
      <c r="URE2" s="946"/>
      <c r="URF2" s="946"/>
      <c r="URG2" s="946"/>
      <c r="URH2" s="946"/>
      <c r="URI2" s="946"/>
      <c r="URJ2" s="946"/>
      <c r="URK2" s="946"/>
      <c r="URL2" s="946"/>
      <c r="URM2" s="946"/>
      <c r="URN2" s="946"/>
      <c r="URO2" s="946"/>
      <c r="URP2" s="946"/>
      <c r="URQ2" s="946"/>
      <c r="URR2" s="946"/>
      <c r="URS2" s="946"/>
      <c r="URT2" s="946"/>
      <c r="URU2" s="946"/>
      <c r="URV2" s="946"/>
      <c r="URW2" s="946"/>
      <c r="URX2" s="946"/>
      <c r="URY2" s="946"/>
      <c r="URZ2" s="946"/>
      <c r="USA2" s="946"/>
      <c r="USB2" s="946"/>
      <c r="USC2" s="946"/>
      <c r="USD2" s="946"/>
      <c r="USE2" s="946"/>
      <c r="USF2" s="946"/>
      <c r="USG2" s="946"/>
      <c r="USH2" s="946"/>
      <c r="USI2" s="946"/>
      <c r="USJ2" s="946"/>
      <c r="USK2" s="946"/>
      <c r="USL2" s="946"/>
      <c r="USM2" s="946"/>
      <c r="USN2" s="946"/>
      <c r="USO2" s="946"/>
      <c r="USP2" s="946"/>
      <c r="USQ2" s="946"/>
      <c r="USR2" s="946"/>
      <c r="USS2" s="946"/>
      <c r="UST2" s="946"/>
      <c r="USU2" s="946"/>
      <c r="USV2" s="946"/>
      <c r="USW2" s="946"/>
      <c r="USX2" s="946"/>
      <c r="USY2" s="946"/>
      <c r="USZ2" s="946"/>
      <c r="UTA2" s="946"/>
      <c r="UTB2" s="946"/>
      <c r="UTC2" s="946"/>
      <c r="UTD2" s="946"/>
      <c r="UTE2" s="946"/>
      <c r="UTF2" s="946"/>
      <c r="UTG2" s="946"/>
      <c r="UTH2" s="946"/>
      <c r="UTI2" s="946"/>
      <c r="UTJ2" s="946"/>
      <c r="UTK2" s="946"/>
      <c r="UTL2" s="946"/>
      <c r="UTM2" s="946"/>
      <c r="UTN2" s="946"/>
      <c r="UTO2" s="946"/>
      <c r="UTP2" s="946"/>
      <c r="UTQ2" s="946"/>
      <c r="UTR2" s="946"/>
      <c r="UTS2" s="946"/>
      <c r="UTT2" s="946"/>
      <c r="UTU2" s="946"/>
      <c r="UTV2" s="946"/>
      <c r="UTW2" s="946"/>
      <c r="UTX2" s="946"/>
      <c r="UTY2" s="946"/>
      <c r="UTZ2" s="946"/>
      <c r="UUA2" s="946"/>
      <c r="UUB2" s="946"/>
      <c r="UUC2" s="946"/>
      <c r="UUD2" s="946"/>
      <c r="UUE2" s="946"/>
      <c r="UUF2" s="946"/>
      <c r="UUG2" s="946"/>
      <c r="UUH2" s="946"/>
      <c r="UUI2" s="946"/>
      <c r="UUJ2" s="946"/>
      <c r="UUK2" s="946"/>
      <c r="UUL2" s="946"/>
      <c r="UUM2" s="946"/>
      <c r="UUN2" s="946"/>
      <c r="UUO2" s="946"/>
      <c r="UUP2" s="946"/>
      <c r="UUQ2" s="946"/>
      <c r="UUR2" s="946"/>
      <c r="UUS2" s="946"/>
      <c r="UUT2" s="946"/>
      <c r="UUU2" s="946"/>
      <c r="UUV2" s="946"/>
      <c r="UUW2" s="946"/>
      <c r="UUX2" s="946"/>
      <c r="UUY2" s="946"/>
      <c r="UUZ2" s="946"/>
      <c r="UVA2" s="946"/>
      <c r="UVB2" s="946"/>
      <c r="UVC2" s="946"/>
      <c r="UVD2" s="946"/>
      <c r="UVE2" s="946"/>
      <c r="UVF2" s="946"/>
      <c r="UVG2" s="946"/>
      <c r="UVH2" s="946"/>
      <c r="UVI2" s="946"/>
      <c r="UVJ2" s="946"/>
      <c r="UVK2" s="946"/>
      <c r="UVL2" s="946"/>
      <c r="UVM2" s="946"/>
      <c r="UVN2" s="946"/>
      <c r="UVO2" s="946"/>
      <c r="UVP2" s="946"/>
      <c r="UVQ2" s="946"/>
      <c r="UVR2" s="946"/>
      <c r="UVS2" s="946"/>
      <c r="UVT2" s="946"/>
      <c r="UVU2" s="946"/>
      <c r="UVV2" s="946"/>
      <c r="UVW2" s="946"/>
      <c r="UVX2" s="946"/>
      <c r="UVY2" s="946"/>
      <c r="UVZ2" s="946"/>
      <c r="UWA2" s="946"/>
      <c r="UWB2" s="946"/>
      <c r="UWC2" s="946"/>
      <c r="UWD2" s="946"/>
      <c r="UWE2" s="946"/>
      <c r="UWF2" s="946"/>
      <c r="UWG2" s="946"/>
      <c r="UWH2" s="946"/>
      <c r="UWI2" s="946"/>
      <c r="UWJ2" s="946"/>
      <c r="UWK2" s="946"/>
      <c r="UWL2" s="946"/>
      <c r="UWM2" s="946"/>
      <c r="UWN2" s="946"/>
      <c r="UWO2" s="946"/>
      <c r="UWP2" s="946"/>
      <c r="UWQ2" s="946"/>
      <c r="UWR2" s="946"/>
      <c r="UWS2" s="946"/>
      <c r="UWT2" s="946"/>
      <c r="UWU2" s="946"/>
      <c r="UWV2" s="946"/>
      <c r="UWW2" s="946"/>
      <c r="UWX2" s="946"/>
      <c r="UWY2" s="946"/>
      <c r="UWZ2" s="946"/>
      <c r="UXA2" s="946"/>
      <c r="UXB2" s="946"/>
      <c r="UXC2" s="946"/>
      <c r="UXD2" s="946"/>
      <c r="UXE2" s="946"/>
      <c r="UXF2" s="946"/>
      <c r="UXG2" s="946"/>
      <c r="UXH2" s="946"/>
      <c r="UXI2" s="946"/>
      <c r="UXJ2" s="946"/>
      <c r="UXK2" s="946"/>
      <c r="UXL2" s="946"/>
      <c r="UXM2" s="946"/>
      <c r="UXN2" s="946"/>
      <c r="UXO2" s="946"/>
      <c r="UXP2" s="946"/>
      <c r="UXQ2" s="946"/>
      <c r="UXR2" s="946"/>
      <c r="UXS2" s="946"/>
      <c r="UXT2" s="946"/>
      <c r="UXU2" s="946"/>
      <c r="UXV2" s="946"/>
      <c r="UXW2" s="946"/>
      <c r="UXX2" s="946"/>
      <c r="UXY2" s="946"/>
      <c r="UXZ2" s="946"/>
      <c r="UYA2" s="946"/>
      <c r="UYB2" s="946"/>
      <c r="UYC2" s="946"/>
      <c r="UYD2" s="946"/>
      <c r="UYE2" s="946"/>
      <c r="UYF2" s="946"/>
      <c r="UYG2" s="946"/>
      <c r="UYH2" s="946"/>
      <c r="UYI2" s="946"/>
      <c r="UYJ2" s="946"/>
      <c r="UYK2" s="946"/>
      <c r="UYL2" s="946"/>
      <c r="UYM2" s="946"/>
      <c r="UYN2" s="946"/>
      <c r="UYO2" s="946"/>
      <c r="UYP2" s="946"/>
      <c r="UYQ2" s="946"/>
      <c r="UYR2" s="946"/>
      <c r="UYS2" s="946"/>
      <c r="UYT2" s="946"/>
      <c r="UYU2" s="946"/>
      <c r="UYV2" s="946"/>
      <c r="UYW2" s="946"/>
      <c r="UYX2" s="946"/>
      <c r="UYY2" s="946"/>
      <c r="UYZ2" s="946"/>
      <c r="UZA2" s="946"/>
      <c r="UZB2" s="946"/>
      <c r="UZC2" s="946"/>
      <c r="UZD2" s="946"/>
      <c r="UZE2" s="946"/>
      <c r="UZF2" s="946"/>
      <c r="UZG2" s="946"/>
      <c r="UZH2" s="946"/>
      <c r="UZI2" s="946"/>
      <c r="UZJ2" s="946"/>
      <c r="UZK2" s="946"/>
      <c r="UZL2" s="946"/>
      <c r="UZM2" s="946"/>
      <c r="UZN2" s="946"/>
      <c r="UZO2" s="946"/>
      <c r="UZP2" s="946"/>
      <c r="UZQ2" s="946"/>
      <c r="UZR2" s="946"/>
      <c r="UZS2" s="946"/>
      <c r="UZT2" s="946"/>
      <c r="UZU2" s="946"/>
      <c r="UZV2" s="946"/>
      <c r="UZW2" s="946"/>
      <c r="UZX2" s="946"/>
      <c r="UZY2" s="946"/>
      <c r="UZZ2" s="946"/>
      <c r="VAA2" s="946"/>
      <c r="VAB2" s="946"/>
      <c r="VAC2" s="946"/>
      <c r="VAD2" s="946"/>
      <c r="VAE2" s="946"/>
      <c r="VAF2" s="946"/>
      <c r="VAG2" s="946"/>
      <c r="VAH2" s="946"/>
      <c r="VAI2" s="946"/>
      <c r="VAJ2" s="946"/>
      <c r="VAK2" s="946"/>
      <c r="VAL2" s="946"/>
      <c r="VAM2" s="946"/>
      <c r="VAN2" s="946"/>
      <c r="VAO2" s="946"/>
      <c r="VAP2" s="946"/>
      <c r="VAQ2" s="946"/>
      <c r="VAR2" s="946"/>
      <c r="VAS2" s="946"/>
      <c r="VAT2" s="946"/>
      <c r="VAU2" s="946"/>
      <c r="VAV2" s="946"/>
      <c r="VAW2" s="946"/>
      <c r="VAX2" s="946"/>
      <c r="VAY2" s="946"/>
      <c r="VAZ2" s="946"/>
      <c r="VBA2" s="946"/>
      <c r="VBB2" s="946"/>
      <c r="VBC2" s="946"/>
      <c r="VBD2" s="946"/>
      <c r="VBE2" s="946"/>
      <c r="VBF2" s="946"/>
      <c r="VBG2" s="946"/>
      <c r="VBH2" s="946"/>
      <c r="VBI2" s="946"/>
      <c r="VBJ2" s="946"/>
      <c r="VBK2" s="946"/>
      <c r="VBL2" s="946"/>
      <c r="VBM2" s="946"/>
      <c r="VBN2" s="946"/>
      <c r="VBO2" s="946"/>
      <c r="VBP2" s="946"/>
      <c r="VBQ2" s="946"/>
      <c r="VBR2" s="946"/>
      <c r="VBS2" s="946"/>
      <c r="VBT2" s="946"/>
      <c r="VBU2" s="946"/>
      <c r="VBV2" s="946"/>
      <c r="VBW2" s="946"/>
      <c r="VBX2" s="946"/>
      <c r="VBY2" s="946"/>
      <c r="VBZ2" s="946"/>
      <c r="VCA2" s="946"/>
      <c r="VCB2" s="946"/>
      <c r="VCC2" s="946"/>
      <c r="VCD2" s="946"/>
      <c r="VCE2" s="946"/>
      <c r="VCF2" s="946"/>
      <c r="VCG2" s="946"/>
      <c r="VCH2" s="946"/>
      <c r="VCI2" s="946"/>
      <c r="VCJ2" s="946"/>
      <c r="VCK2" s="946"/>
      <c r="VCL2" s="946"/>
      <c r="VCM2" s="946"/>
      <c r="VCN2" s="946"/>
      <c r="VCO2" s="946"/>
      <c r="VCP2" s="946"/>
      <c r="VCQ2" s="946"/>
      <c r="VCR2" s="946"/>
      <c r="VCS2" s="946"/>
      <c r="VCT2" s="946"/>
      <c r="VCU2" s="946"/>
      <c r="VCV2" s="946"/>
      <c r="VCW2" s="946"/>
      <c r="VCX2" s="946"/>
      <c r="VCY2" s="946"/>
      <c r="VCZ2" s="946"/>
      <c r="VDA2" s="946"/>
      <c r="VDB2" s="946"/>
      <c r="VDC2" s="946"/>
      <c r="VDD2" s="946"/>
      <c r="VDE2" s="946"/>
      <c r="VDF2" s="946"/>
      <c r="VDG2" s="946"/>
      <c r="VDH2" s="946"/>
      <c r="VDI2" s="946"/>
      <c r="VDJ2" s="946"/>
      <c r="VDK2" s="946"/>
      <c r="VDL2" s="946"/>
      <c r="VDM2" s="946"/>
      <c r="VDN2" s="946"/>
      <c r="VDO2" s="946"/>
      <c r="VDP2" s="946"/>
      <c r="VDQ2" s="946"/>
      <c r="VDR2" s="946"/>
      <c r="VDS2" s="946"/>
      <c r="VDT2" s="946"/>
      <c r="VDU2" s="946"/>
      <c r="VDV2" s="946"/>
      <c r="VDW2" s="946"/>
      <c r="VDX2" s="946"/>
      <c r="VDY2" s="946"/>
      <c r="VDZ2" s="946"/>
      <c r="VEA2" s="946"/>
      <c r="VEB2" s="946"/>
      <c r="VEC2" s="946"/>
      <c r="VED2" s="946"/>
      <c r="VEE2" s="946"/>
      <c r="VEF2" s="946"/>
      <c r="VEG2" s="946"/>
      <c r="VEH2" s="946"/>
      <c r="VEI2" s="946"/>
      <c r="VEJ2" s="946"/>
      <c r="VEK2" s="946"/>
      <c r="VEL2" s="946"/>
      <c r="VEM2" s="946"/>
      <c r="VEN2" s="946"/>
      <c r="VEO2" s="946"/>
      <c r="VEP2" s="946"/>
      <c r="VEQ2" s="946"/>
      <c r="VER2" s="946"/>
      <c r="VES2" s="946"/>
      <c r="VET2" s="946"/>
      <c r="VEU2" s="946"/>
      <c r="VEV2" s="946"/>
      <c r="VEW2" s="946"/>
      <c r="VEX2" s="946"/>
      <c r="VEY2" s="946"/>
      <c r="VEZ2" s="946"/>
      <c r="VFA2" s="946"/>
      <c r="VFB2" s="946"/>
      <c r="VFC2" s="946"/>
      <c r="VFD2" s="946"/>
      <c r="VFE2" s="946"/>
      <c r="VFF2" s="946"/>
      <c r="VFG2" s="946"/>
      <c r="VFH2" s="946"/>
      <c r="VFI2" s="946"/>
      <c r="VFJ2" s="946"/>
      <c r="VFK2" s="946"/>
      <c r="VFL2" s="946"/>
      <c r="VFM2" s="946"/>
      <c r="VFN2" s="946"/>
      <c r="VFO2" s="946"/>
      <c r="VFP2" s="946"/>
      <c r="VFQ2" s="946"/>
      <c r="VFR2" s="946"/>
      <c r="VFS2" s="946"/>
      <c r="VFT2" s="946"/>
      <c r="VFU2" s="946"/>
      <c r="VFV2" s="946"/>
      <c r="VFW2" s="946"/>
      <c r="VFX2" s="946"/>
      <c r="VFY2" s="946"/>
      <c r="VFZ2" s="946"/>
      <c r="VGA2" s="946"/>
      <c r="VGB2" s="946"/>
      <c r="VGC2" s="946"/>
      <c r="VGD2" s="946"/>
      <c r="VGE2" s="946"/>
      <c r="VGF2" s="946"/>
      <c r="VGG2" s="946"/>
      <c r="VGH2" s="946"/>
      <c r="VGI2" s="946"/>
      <c r="VGJ2" s="946"/>
      <c r="VGK2" s="946"/>
      <c r="VGL2" s="946"/>
      <c r="VGM2" s="946"/>
      <c r="VGN2" s="946"/>
      <c r="VGO2" s="946"/>
      <c r="VGP2" s="946"/>
      <c r="VGQ2" s="946"/>
      <c r="VGR2" s="946"/>
      <c r="VGS2" s="946"/>
      <c r="VGT2" s="946"/>
      <c r="VGU2" s="946"/>
      <c r="VGV2" s="946"/>
      <c r="VGW2" s="946"/>
      <c r="VGX2" s="946"/>
      <c r="VGY2" s="946"/>
      <c r="VGZ2" s="946"/>
      <c r="VHA2" s="946"/>
      <c r="VHB2" s="946"/>
      <c r="VHC2" s="946"/>
      <c r="VHD2" s="946"/>
      <c r="VHE2" s="946"/>
      <c r="VHF2" s="946"/>
      <c r="VHG2" s="946"/>
      <c r="VHH2" s="946"/>
      <c r="VHI2" s="946"/>
      <c r="VHJ2" s="946"/>
      <c r="VHK2" s="946"/>
      <c r="VHL2" s="946"/>
      <c r="VHM2" s="946"/>
      <c r="VHN2" s="946"/>
      <c r="VHO2" s="946"/>
      <c r="VHP2" s="946"/>
      <c r="VHQ2" s="946"/>
      <c r="VHR2" s="946"/>
      <c r="VHS2" s="946"/>
      <c r="VHT2" s="946"/>
      <c r="VHU2" s="946"/>
      <c r="VHV2" s="946"/>
      <c r="VHW2" s="946"/>
      <c r="VHX2" s="946"/>
      <c r="VHY2" s="946"/>
      <c r="VHZ2" s="946"/>
      <c r="VIA2" s="946"/>
      <c r="VIB2" s="946"/>
      <c r="VIC2" s="946"/>
      <c r="VID2" s="946"/>
      <c r="VIE2" s="946"/>
      <c r="VIF2" s="946"/>
      <c r="VIG2" s="946"/>
      <c r="VIH2" s="946"/>
      <c r="VII2" s="946"/>
      <c r="VIJ2" s="946"/>
      <c r="VIK2" s="946"/>
      <c r="VIL2" s="946"/>
      <c r="VIM2" s="946"/>
      <c r="VIN2" s="946"/>
      <c r="VIO2" s="946"/>
      <c r="VIP2" s="946"/>
      <c r="VIQ2" s="946"/>
      <c r="VIR2" s="946"/>
      <c r="VIS2" s="946"/>
      <c r="VIT2" s="946"/>
      <c r="VIU2" s="946"/>
      <c r="VIV2" s="946"/>
      <c r="VIW2" s="946"/>
      <c r="VIX2" s="946"/>
      <c r="VIY2" s="946"/>
      <c r="VIZ2" s="946"/>
      <c r="VJA2" s="946"/>
      <c r="VJB2" s="946"/>
      <c r="VJC2" s="946"/>
      <c r="VJD2" s="946"/>
      <c r="VJE2" s="946"/>
      <c r="VJF2" s="946"/>
      <c r="VJG2" s="946"/>
      <c r="VJH2" s="946"/>
      <c r="VJI2" s="946"/>
      <c r="VJJ2" s="946"/>
      <c r="VJK2" s="946"/>
      <c r="VJL2" s="946"/>
      <c r="VJM2" s="946"/>
      <c r="VJN2" s="946"/>
      <c r="VJO2" s="946"/>
      <c r="VJP2" s="946"/>
      <c r="VJQ2" s="946"/>
      <c r="VJR2" s="946"/>
      <c r="VJS2" s="946"/>
      <c r="VJT2" s="946"/>
      <c r="VJU2" s="946"/>
      <c r="VJV2" s="946"/>
      <c r="VJW2" s="946"/>
      <c r="VJX2" s="946"/>
      <c r="VJY2" s="946"/>
      <c r="VJZ2" s="946"/>
      <c r="VKA2" s="946"/>
      <c r="VKB2" s="946"/>
      <c r="VKC2" s="946"/>
      <c r="VKD2" s="946"/>
      <c r="VKE2" s="946"/>
      <c r="VKF2" s="946"/>
      <c r="VKG2" s="946"/>
      <c r="VKH2" s="946"/>
      <c r="VKI2" s="946"/>
      <c r="VKJ2" s="946"/>
      <c r="VKK2" s="946"/>
      <c r="VKL2" s="946"/>
      <c r="VKM2" s="946"/>
      <c r="VKN2" s="946"/>
      <c r="VKO2" s="946"/>
      <c r="VKP2" s="946"/>
      <c r="VKQ2" s="946"/>
      <c r="VKR2" s="946"/>
      <c r="VKS2" s="946"/>
      <c r="VKT2" s="946"/>
      <c r="VKU2" s="946"/>
      <c r="VKV2" s="946"/>
      <c r="VKW2" s="946"/>
      <c r="VKX2" s="946"/>
      <c r="VKY2" s="946"/>
      <c r="VKZ2" s="946"/>
      <c r="VLA2" s="946"/>
      <c r="VLB2" s="946"/>
      <c r="VLC2" s="946"/>
      <c r="VLD2" s="946"/>
      <c r="VLE2" s="946"/>
      <c r="VLF2" s="946"/>
      <c r="VLG2" s="946"/>
      <c r="VLH2" s="946"/>
      <c r="VLI2" s="946"/>
      <c r="VLJ2" s="946"/>
      <c r="VLK2" s="946"/>
      <c r="VLL2" s="946"/>
      <c r="VLM2" s="946"/>
      <c r="VLN2" s="946"/>
      <c r="VLO2" s="946"/>
      <c r="VLP2" s="946"/>
      <c r="VLQ2" s="946"/>
      <c r="VLR2" s="946"/>
      <c r="VLS2" s="946"/>
      <c r="VLT2" s="946"/>
      <c r="VLU2" s="946"/>
      <c r="VLV2" s="946"/>
      <c r="VLW2" s="946"/>
      <c r="VLX2" s="946"/>
      <c r="VLY2" s="946"/>
      <c r="VLZ2" s="946"/>
      <c r="VMA2" s="946"/>
      <c r="VMB2" s="946"/>
      <c r="VMC2" s="946"/>
      <c r="VMD2" s="946"/>
      <c r="VME2" s="946"/>
      <c r="VMF2" s="946"/>
      <c r="VMG2" s="946"/>
      <c r="VMH2" s="946"/>
      <c r="VMI2" s="946"/>
      <c r="VMJ2" s="946"/>
      <c r="VMK2" s="946"/>
      <c r="VML2" s="946"/>
      <c r="VMM2" s="946"/>
      <c r="VMN2" s="946"/>
      <c r="VMO2" s="946"/>
      <c r="VMP2" s="946"/>
      <c r="VMQ2" s="946"/>
      <c r="VMR2" s="946"/>
      <c r="VMS2" s="946"/>
      <c r="VMT2" s="946"/>
      <c r="VMU2" s="946"/>
      <c r="VMV2" s="946"/>
      <c r="VMW2" s="946"/>
      <c r="VMX2" s="946"/>
      <c r="VMY2" s="946"/>
      <c r="VMZ2" s="946"/>
      <c r="VNA2" s="946"/>
      <c r="VNB2" s="946"/>
      <c r="VNC2" s="946"/>
      <c r="VND2" s="946"/>
      <c r="VNE2" s="946"/>
      <c r="VNF2" s="946"/>
      <c r="VNG2" s="946"/>
      <c r="VNH2" s="946"/>
      <c r="VNI2" s="946"/>
      <c r="VNJ2" s="946"/>
      <c r="VNK2" s="946"/>
      <c r="VNL2" s="946"/>
      <c r="VNM2" s="946"/>
      <c r="VNN2" s="946"/>
      <c r="VNO2" s="946"/>
      <c r="VNP2" s="946"/>
      <c r="VNQ2" s="946"/>
      <c r="VNR2" s="946"/>
      <c r="VNS2" s="946"/>
      <c r="VNT2" s="946"/>
      <c r="VNU2" s="946"/>
      <c r="VNV2" s="946"/>
      <c r="VNW2" s="946"/>
      <c r="VNX2" s="946"/>
      <c r="VNY2" s="946"/>
      <c r="VNZ2" s="946"/>
      <c r="VOA2" s="946"/>
      <c r="VOB2" s="946"/>
      <c r="VOC2" s="946"/>
      <c r="VOD2" s="946"/>
      <c r="VOE2" s="946"/>
      <c r="VOF2" s="946"/>
      <c r="VOG2" s="946"/>
      <c r="VOH2" s="946"/>
      <c r="VOI2" s="946"/>
      <c r="VOJ2" s="946"/>
      <c r="VOK2" s="946"/>
      <c r="VOL2" s="946"/>
      <c r="VOM2" s="946"/>
      <c r="VON2" s="946"/>
      <c r="VOO2" s="946"/>
      <c r="VOP2" s="946"/>
      <c r="VOQ2" s="946"/>
      <c r="VOR2" s="946"/>
      <c r="VOS2" s="946"/>
      <c r="VOT2" s="946"/>
      <c r="VOU2" s="946"/>
      <c r="VOV2" s="946"/>
      <c r="VOW2" s="946"/>
      <c r="VOX2" s="946"/>
      <c r="VOY2" s="946"/>
      <c r="VOZ2" s="946"/>
      <c r="VPA2" s="946"/>
      <c r="VPB2" s="946"/>
      <c r="VPC2" s="946"/>
      <c r="VPD2" s="946"/>
      <c r="VPE2" s="946"/>
      <c r="VPF2" s="946"/>
      <c r="VPG2" s="946"/>
      <c r="VPH2" s="946"/>
      <c r="VPI2" s="946"/>
      <c r="VPJ2" s="946"/>
      <c r="VPK2" s="946"/>
      <c r="VPL2" s="946"/>
      <c r="VPM2" s="946"/>
      <c r="VPN2" s="946"/>
      <c r="VPO2" s="946"/>
      <c r="VPP2" s="946"/>
      <c r="VPQ2" s="946"/>
      <c r="VPR2" s="946"/>
      <c r="VPS2" s="946"/>
      <c r="VPT2" s="946"/>
      <c r="VPU2" s="946"/>
      <c r="VPV2" s="946"/>
      <c r="VPW2" s="946"/>
      <c r="VPX2" s="946"/>
      <c r="VPY2" s="946"/>
      <c r="VPZ2" s="946"/>
      <c r="VQA2" s="946"/>
      <c r="VQB2" s="946"/>
      <c r="VQC2" s="946"/>
      <c r="VQD2" s="946"/>
      <c r="VQE2" s="946"/>
      <c r="VQF2" s="946"/>
      <c r="VQG2" s="946"/>
      <c r="VQH2" s="946"/>
      <c r="VQI2" s="946"/>
      <c r="VQJ2" s="946"/>
      <c r="VQK2" s="946"/>
      <c r="VQL2" s="946"/>
      <c r="VQM2" s="946"/>
      <c r="VQN2" s="946"/>
      <c r="VQO2" s="946"/>
      <c r="VQP2" s="946"/>
      <c r="VQQ2" s="946"/>
      <c r="VQR2" s="946"/>
      <c r="VQS2" s="946"/>
      <c r="VQT2" s="946"/>
      <c r="VQU2" s="946"/>
      <c r="VQV2" s="946"/>
      <c r="VQW2" s="946"/>
      <c r="VQX2" s="946"/>
      <c r="VQY2" s="946"/>
      <c r="VQZ2" s="946"/>
      <c r="VRA2" s="946"/>
      <c r="VRB2" s="946"/>
      <c r="VRC2" s="946"/>
      <c r="VRD2" s="946"/>
      <c r="VRE2" s="946"/>
      <c r="VRF2" s="946"/>
      <c r="VRG2" s="946"/>
      <c r="VRH2" s="946"/>
      <c r="VRI2" s="946"/>
      <c r="VRJ2" s="946"/>
      <c r="VRK2" s="946"/>
      <c r="VRL2" s="946"/>
      <c r="VRM2" s="946"/>
      <c r="VRN2" s="946"/>
      <c r="VRO2" s="946"/>
      <c r="VRP2" s="946"/>
      <c r="VRQ2" s="946"/>
      <c r="VRR2" s="946"/>
      <c r="VRS2" s="946"/>
      <c r="VRT2" s="946"/>
      <c r="VRU2" s="946"/>
      <c r="VRV2" s="946"/>
      <c r="VRW2" s="946"/>
      <c r="VRX2" s="946"/>
      <c r="VRY2" s="946"/>
      <c r="VRZ2" s="946"/>
      <c r="VSA2" s="946"/>
      <c r="VSB2" s="946"/>
      <c r="VSC2" s="946"/>
      <c r="VSD2" s="946"/>
      <c r="VSE2" s="946"/>
      <c r="VSF2" s="946"/>
      <c r="VSG2" s="946"/>
      <c r="VSH2" s="946"/>
      <c r="VSI2" s="946"/>
      <c r="VSJ2" s="946"/>
      <c r="VSK2" s="946"/>
      <c r="VSL2" s="946"/>
      <c r="VSM2" s="946"/>
      <c r="VSN2" s="946"/>
      <c r="VSO2" s="946"/>
      <c r="VSP2" s="946"/>
      <c r="VSQ2" s="946"/>
      <c r="VSR2" s="946"/>
      <c r="VSS2" s="946"/>
      <c r="VST2" s="946"/>
      <c r="VSU2" s="946"/>
      <c r="VSV2" s="946"/>
      <c r="VSW2" s="946"/>
      <c r="VSX2" s="946"/>
      <c r="VSY2" s="946"/>
      <c r="VSZ2" s="946"/>
      <c r="VTA2" s="946"/>
      <c r="VTB2" s="946"/>
      <c r="VTC2" s="946"/>
      <c r="VTD2" s="946"/>
      <c r="VTE2" s="946"/>
      <c r="VTF2" s="946"/>
      <c r="VTG2" s="946"/>
      <c r="VTH2" s="946"/>
      <c r="VTI2" s="946"/>
      <c r="VTJ2" s="946"/>
      <c r="VTK2" s="946"/>
      <c r="VTL2" s="946"/>
      <c r="VTM2" s="946"/>
      <c r="VTN2" s="946"/>
      <c r="VTO2" s="946"/>
      <c r="VTP2" s="946"/>
      <c r="VTQ2" s="946"/>
      <c r="VTR2" s="946"/>
      <c r="VTS2" s="946"/>
      <c r="VTT2" s="946"/>
      <c r="VTU2" s="946"/>
      <c r="VTV2" s="946"/>
      <c r="VTW2" s="946"/>
      <c r="VTX2" s="946"/>
      <c r="VTY2" s="946"/>
      <c r="VTZ2" s="946"/>
      <c r="VUA2" s="946"/>
      <c r="VUB2" s="946"/>
      <c r="VUC2" s="946"/>
      <c r="VUD2" s="946"/>
      <c r="VUE2" s="946"/>
      <c r="VUF2" s="946"/>
      <c r="VUG2" s="946"/>
      <c r="VUH2" s="946"/>
      <c r="VUI2" s="946"/>
      <c r="VUJ2" s="946"/>
      <c r="VUK2" s="946"/>
      <c r="VUL2" s="946"/>
      <c r="VUM2" s="946"/>
      <c r="VUN2" s="946"/>
      <c r="VUO2" s="946"/>
      <c r="VUP2" s="946"/>
      <c r="VUQ2" s="946"/>
      <c r="VUR2" s="946"/>
      <c r="VUS2" s="946"/>
      <c r="VUT2" s="946"/>
      <c r="VUU2" s="946"/>
      <c r="VUV2" s="946"/>
      <c r="VUW2" s="946"/>
      <c r="VUX2" s="946"/>
      <c r="VUY2" s="946"/>
      <c r="VUZ2" s="946"/>
      <c r="VVA2" s="946"/>
      <c r="VVB2" s="946"/>
      <c r="VVC2" s="946"/>
      <c r="VVD2" s="946"/>
      <c r="VVE2" s="946"/>
      <c r="VVF2" s="946"/>
      <c r="VVG2" s="946"/>
      <c r="VVH2" s="946"/>
      <c r="VVI2" s="946"/>
      <c r="VVJ2" s="946"/>
      <c r="VVK2" s="946"/>
      <c r="VVL2" s="946"/>
      <c r="VVM2" s="946"/>
      <c r="VVN2" s="946"/>
      <c r="VVO2" s="946"/>
      <c r="VVP2" s="946"/>
      <c r="VVQ2" s="946"/>
      <c r="VVR2" s="946"/>
      <c r="VVS2" s="946"/>
      <c r="VVT2" s="946"/>
      <c r="VVU2" s="946"/>
      <c r="VVV2" s="946"/>
      <c r="VVW2" s="946"/>
      <c r="VVX2" s="946"/>
      <c r="VVY2" s="946"/>
      <c r="VVZ2" s="946"/>
      <c r="VWA2" s="946"/>
      <c r="VWB2" s="946"/>
      <c r="VWC2" s="946"/>
      <c r="VWD2" s="946"/>
      <c r="VWE2" s="946"/>
      <c r="VWF2" s="946"/>
      <c r="VWG2" s="946"/>
      <c r="VWH2" s="946"/>
      <c r="VWI2" s="946"/>
      <c r="VWJ2" s="946"/>
      <c r="VWK2" s="946"/>
      <c r="VWL2" s="946"/>
      <c r="VWM2" s="946"/>
      <c r="VWN2" s="946"/>
      <c r="VWO2" s="946"/>
      <c r="VWP2" s="946"/>
      <c r="VWQ2" s="946"/>
      <c r="VWR2" s="946"/>
      <c r="VWS2" s="946"/>
      <c r="VWT2" s="946"/>
      <c r="VWU2" s="946"/>
      <c r="VWV2" s="946"/>
      <c r="VWW2" s="946"/>
      <c r="VWX2" s="946"/>
      <c r="VWY2" s="946"/>
      <c r="VWZ2" s="946"/>
      <c r="VXA2" s="946"/>
      <c r="VXB2" s="946"/>
      <c r="VXC2" s="946"/>
      <c r="VXD2" s="946"/>
      <c r="VXE2" s="946"/>
      <c r="VXF2" s="946"/>
      <c r="VXG2" s="946"/>
      <c r="VXH2" s="946"/>
      <c r="VXI2" s="946"/>
      <c r="VXJ2" s="946"/>
      <c r="VXK2" s="946"/>
      <c r="VXL2" s="946"/>
      <c r="VXM2" s="946"/>
      <c r="VXN2" s="946"/>
      <c r="VXO2" s="946"/>
      <c r="VXP2" s="946"/>
      <c r="VXQ2" s="946"/>
      <c r="VXR2" s="946"/>
      <c r="VXS2" s="946"/>
      <c r="VXT2" s="946"/>
      <c r="VXU2" s="946"/>
      <c r="VXV2" s="946"/>
      <c r="VXW2" s="946"/>
      <c r="VXX2" s="946"/>
      <c r="VXY2" s="946"/>
      <c r="VXZ2" s="946"/>
      <c r="VYA2" s="946"/>
      <c r="VYB2" s="946"/>
      <c r="VYC2" s="946"/>
      <c r="VYD2" s="946"/>
      <c r="VYE2" s="946"/>
      <c r="VYF2" s="946"/>
      <c r="VYG2" s="946"/>
      <c r="VYH2" s="946"/>
      <c r="VYI2" s="946"/>
      <c r="VYJ2" s="946"/>
      <c r="VYK2" s="946"/>
      <c r="VYL2" s="946"/>
      <c r="VYM2" s="946"/>
      <c r="VYN2" s="946"/>
      <c r="VYO2" s="946"/>
      <c r="VYP2" s="946"/>
      <c r="VYQ2" s="946"/>
      <c r="VYR2" s="946"/>
      <c r="VYS2" s="946"/>
      <c r="VYT2" s="946"/>
      <c r="VYU2" s="946"/>
      <c r="VYV2" s="946"/>
      <c r="VYW2" s="946"/>
      <c r="VYX2" s="946"/>
      <c r="VYY2" s="946"/>
      <c r="VYZ2" s="946"/>
      <c r="VZA2" s="946"/>
      <c r="VZB2" s="946"/>
      <c r="VZC2" s="946"/>
      <c r="VZD2" s="946"/>
      <c r="VZE2" s="946"/>
      <c r="VZF2" s="946"/>
      <c r="VZG2" s="946"/>
      <c r="VZH2" s="946"/>
      <c r="VZI2" s="946"/>
      <c r="VZJ2" s="946"/>
      <c r="VZK2" s="946"/>
      <c r="VZL2" s="946"/>
      <c r="VZM2" s="946"/>
      <c r="VZN2" s="946"/>
      <c r="VZO2" s="946"/>
      <c r="VZP2" s="946"/>
      <c r="VZQ2" s="946"/>
      <c r="VZR2" s="946"/>
      <c r="VZS2" s="946"/>
      <c r="VZT2" s="946"/>
      <c r="VZU2" s="946"/>
      <c r="VZV2" s="946"/>
      <c r="VZW2" s="946"/>
      <c r="VZX2" s="946"/>
      <c r="VZY2" s="946"/>
      <c r="VZZ2" s="946"/>
      <c r="WAA2" s="946"/>
      <c r="WAB2" s="946"/>
      <c r="WAC2" s="946"/>
      <c r="WAD2" s="946"/>
      <c r="WAE2" s="946"/>
      <c r="WAF2" s="946"/>
      <c r="WAG2" s="946"/>
      <c r="WAH2" s="946"/>
      <c r="WAI2" s="946"/>
      <c r="WAJ2" s="946"/>
      <c r="WAK2" s="946"/>
      <c r="WAL2" s="946"/>
      <c r="WAM2" s="946"/>
      <c r="WAN2" s="946"/>
      <c r="WAO2" s="946"/>
      <c r="WAP2" s="946"/>
      <c r="WAQ2" s="946"/>
      <c r="WAR2" s="946"/>
      <c r="WAS2" s="946"/>
      <c r="WAT2" s="946"/>
      <c r="WAU2" s="946"/>
      <c r="WAV2" s="946"/>
      <c r="WAW2" s="946"/>
      <c r="WAX2" s="946"/>
      <c r="WAY2" s="946"/>
      <c r="WAZ2" s="946"/>
      <c r="WBA2" s="946"/>
      <c r="WBB2" s="946"/>
      <c r="WBC2" s="946"/>
      <c r="WBD2" s="946"/>
      <c r="WBE2" s="946"/>
      <c r="WBF2" s="946"/>
      <c r="WBG2" s="946"/>
      <c r="WBH2" s="946"/>
      <c r="WBI2" s="946"/>
      <c r="WBJ2" s="946"/>
      <c r="WBK2" s="946"/>
      <c r="WBL2" s="946"/>
      <c r="WBM2" s="946"/>
      <c r="WBN2" s="946"/>
      <c r="WBO2" s="946"/>
      <c r="WBP2" s="946"/>
      <c r="WBQ2" s="946"/>
      <c r="WBR2" s="946"/>
      <c r="WBS2" s="946"/>
      <c r="WBT2" s="946"/>
      <c r="WBU2" s="946"/>
      <c r="WBV2" s="946"/>
      <c r="WBW2" s="946"/>
      <c r="WBX2" s="946"/>
      <c r="WBY2" s="946"/>
      <c r="WBZ2" s="946"/>
      <c r="WCA2" s="946"/>
      <c r="WCB2" s="946"/>
      <c r="WCC2" s="946"/>
      <c r="WCD2" s="946"/>
      <c r="WCE2" s="946"/>
      <c r="WCF2" s="946"/>
      <c r="WCG2" s="946"/>
      <c r="WCH2" s="946"/>
      <c r="WCI2" s="946"/>
      <c r="WCJ2" s="946"/>
      <c r="WCK2" s="946"/>
      <c r="WCL2" s="946"/>
      <c r="WCM2" s="946"/>
      <c r="WCN2" s="946"/>
      <c r="WCO2" s="946"/>
      <c r="WCP2" s="946"/>
      <c r="WCQ2" s="946"/>
      <c r="WCR2" s="946"/>
      <c r="WCS2" s="946"/>
      <c r="WCT2" s="946"/>
      <c r="WCU2" s="946"/>
      <c r="WCV2" s="946"/>
      <c r="WCW2" s="946"/>
      <c r="WCX2" s="946"/>
      <c r="WCY2" s="946"/>
      <c r="WCZ2" s="946"/>
      <c r="WDA2" s="946"/>
      <c r="WDB2" s="946"/>
      <c r="WDC2" s="946"/>
      <c r="WDD2" s="946"/>
      <c r="WDE2" s="946"/>
      <c r="WDF2" s="946"/>
      <c r="WDG2" s="946"/>
      <c r="WDH2" s="946"/>
      <c r="WDI2" s="946"/>
      <c r="WDJ2" s="946"/>
      <c r="WDK2" s="946"/>
      <c r="WDL2" s="946"/>
      <c r="WDM2" s="946"/>
      <c r="WDN2" s="946"/>
      <c r="WDO2" s="946"/>
      <c r="WDP2" s="946"/>
      <c r="WDQ2" s="946"/>
      <c r="WDR2" s="946"/>
      <c r="WDS2" s="946"/>
      <c r="WDT2" s="946"/>
      <c r="WDU2" s="946"/>
      <c r="WDV2" s="946"/>
      <c r="WDW2" s="946"/>
      <c r="WDX2" s="946"/>
      <c r="WDY2" s="946"/>
      <c r="WDZ2" s="946"/>
      <c r="WEA2" s="946"/>
      <c r="WEB2" s="946"/>
      <c r="WEC2" s="946"/>
      <c r="WED2" s="946"/>
      <c r="WEE2" s="946"/>
      <c r="WEF2" s="946"/>
      <c r="WEG2" s="946"/>
      <c r="WEH2" s="946"/>
      <c r="WEI2" s="946"/>
      <c r="WEJ2" s="946"/>
      <c r="WEK2" s="946"/>
      <c r="WEL2" s="946"/>
      <c r="WEM2" s="946"/>
      <c r="WEN2" s="946"/>
      <c r="WEO2" s="946"/>
      <c r="WEP2" s="946"/>
      <c r="WEQ2" s="946"/>
      <c r="WER2" s="946"/>
      <c r="WES2" s="946"/>
      <c r="WET2" s="946"/>
      <c r="WEU2" s="946"/>
      <c r="WEV2" s="946"/>
      <c r="WEW2" s="946"/>
      <c r="WEX2" s="946"/>
      <c r="WEY2" s="946"/>
      <c r="WEZ2" s="946"/>
      <c r="WFA2" s="946"/>
      <c r="WFB2" s="946"/>
      <c r="WFC2" s="946"/>
      <c r="WFD2" s="946"/>
      <c r="WFE2" s="946"/>
      <c r="WFF2" s="946"/>
      <c r="WFG2" s="946"/>
      <c r="WFH2" s="946"/>
      <c r="WFI2" s="946"/>
      <c r="WFJ2" s="946"/>
      <c r="WFK2" s="946"/>
      <c r="WFL2" s="946"/>
      <c r="WFM2" s="946"/>
      <c r="WFN2" s="946"/>
      <c r="WFO2" s="946"/>
      <c r="WFP2" s="946"/>
      <c r="WFQ2" s="946"/>
      <c r="WFR2" s="946"/>
      <c r="WFS2" s="946"/>
      <c r="WFT2" s="946"/>
      <c r="WFU2" s="946"/>
      <c r="WFV2" s="946"/>
      <c r="WFW2" s="946"/>
      <c r="WFX2" s="946"/>
      <c r="WFY2" s="946"/>
      <c r="WFZ2" s="946"/>
      <c r="WGA2" s="946"/>
      <c r="WGB2" s="946"/>
      <c r="WGC2" s="946"/>
      <c r="WGD2" s="946"/>
      <c r="WGE2" s="946"/>
      <c r="WGF2" s="946"/>
      <c r="WGG2" s="946"/>
      <c r="WGH2" s="946"/>
      <c r="WGI2" s="946"/>
      <c r="WGJ2" s="946"/>
      <c r="WGK2" s="946"/>
      <c r="WGL2" s="946"/>
      <c r="WGM2" s="946"/>
      <c r="WGN2" s="946"/>
      <c r="WGO2" s="946"/>
      <c r="WGP2" s="946"/>
      <c r="WGQ2" s="946"/>
      <c r="WGR2" s="946"/>
      <c r="WGS2" s="946"/>
      <c r="WGT2" s="946"/>
      <c r="WGU2" s="946"/>
      <c r="WGV2" s="946"/>
      <c r="WGW2" s="946"/>
      <c r="WGX2" s="946"/>
      <c r="WGY2" s="946"/>
      <c r="WGZ2" s="946"/>
      <c r="WHA2" s="946"/>
      <c r="WHB2" s="946"/>
      <c r="WHC2" s="946"/>
      <c r="WHD2" s="946"/>
      <c r="WHE2" s="946"/>
      <c r="WHF2" s="946"/>
      <c r="WHG2" s="946"/>
      <c r="WHH2" s="946"/>
      <c r="WHI2" s="946"/>
      <c r="WHJ2" s="946"/>
      <c r="WHK2" s="946"/>
      <c r="WHL2" s="946"/>
      <c r="WHM2" s="946"/>
      <c r="WHN2" s="946"/>
      <c r="WHO2" s="946"/>
      <c r="WHP2" s="946"/>
      <c r="WHQ2" s="946"/>
      <c r="WHR2" s="946"/>
      <c r="WHS2" s="946"/>
      <c r="WHT2" s="946"/>
      <c r="WHU2" s="946"/>
      <c r="WHV2" s="946"/>
      <c r="WHW2" s="946"/>
      <c r="WHX2" s="946"/>
      <c r="WHY2" s="946"/>
      <c r="WHZ2" s="946"/>
      <c r="WIA2" s="946"/>
      <c r="WIB2" s="946"/>
      <c r="WIC2" s="946"/>
      <c r="WID2" s="946"/>
      <c r="WIE2" s="946"/>
      <c r="WIF2" s="946"/>
      <c r="WIG2" s="946"/>
      <c r="WIH2" s="946"/>
      <c r="WII2" s="946"/>
      <c r="WIJ2" s="946"/>
      <c r="WIK2" s="946"/>
      <c r="WIL2" s="946"/>
      <c r="WIM2" s="946"/>
      <c r="WIN2" s="946"/>
      <c r="WIO2" s="946"/>
      <c r="WIP2" s="946"/>
      <c r="WIQ2" s="946"/>
      <c r="WIR2" s="946"/>
      <c r="WIS2" s="946"/>
      <c r="WIT2" s="946"/>
      <c r="WIU2" s="946"/>
      <c r="WIV2" s="946"/>
      <c r="WIW2" s="946"/>
      <c r="WIX2" s="946"/>
      <c r="WIY2" s="946"/>
      <c r="WIZ2" s="946"/>
      <c r="WJA2" s="946"/>
      <c r="WJB2" s="946"/>
      <c r="WJC2" s="946"/>
      <c r="WJD2" s="946"/>
      <c r="WJE2" s="946"/>
      <c r="WJF2" s="946"/>
      <c r="WJG2" s="946"/>
      <c r="WJH2" s="946"/>
      <c r="WJI2" s="946"/>
      <c r="WJJ2" s="946"/>
      <c r="WJK2" s="946"/>
      <c r="WJL2" s="946"/>
      <c r="WJM2" s="946"/>
      <c r="WJN2" s="946"/>
      <c r="WJO2" s="946"/>
      <c r="WJP2" s="946"/>
      <c r="WJQ2" s="946"/>
      <c r="WJR2" s="946"/>
      <c r="WJS2" s="946"/>
      <c r="WJT2" s="946"/>
      <c r="WJU2" s="946"/>
      <c r="WJV2" s="946"/>
      <c r="WJW2" s="946"/>
      <c r="WJX2" s="946"/>
      <c r="WJY2" s="946"/>
      <c r="WJZ2" s="946"/>
      <c r="WKA2" s="946"/>
      <c r="WKB2" s="946"/>
      <c r="WKC2" s="946"/>
      <c r="WKD2" s="946"/>
      <c r="WKE2" s="946"/>
      <c r="WKF2" s="946"/>
      <c r="WKG2" s="946"/>
      <c r="WKH2" s="946"/>
      <c r="WKI2" s="946"/>
      <c r="WKJ2" s="946"/>
      <c r="WKK2" s="946"/>
      <c r="WKL2" s="946"/>
      <c r="WKM2" s="946"/>
      <c r="WKN2" s="946"/>
      <c r="WKO2" s="946"/>
      <c r="WKP2" s="946"/>
      <c r="WKQ2" s="946"/>
      <c r="WKR2" s="946"/>
      <c r="WKS2" s="946"/>
      <c r="WKT2" s="946"/>
      <c r="WKU2" s="946"/>
      <c r="WKV2" s="946"/>
      <c r="WKW2" s="946"/>
      <c r="WKX2" s="946"/>
      <c r="WKY2" s="946"/>
      <c r="WKZ2" s="946"/>
      <c r="WLA2" s="946"/>
      <c r="WLB2" s="946"/>
      <c r="WLC2" s="946"/>
      <c r="WLD2" s="946"/>
      <c r="WLE2" s="946"/>
      <c r="WLF2" s="946"/>
      <c r="WLG2" s="946"/>
      <c r="WLH2" s="946"/>
      <c r="WLI2" s="946"/>
      <c r="WLJ2" s="946"/>
      <c r="WLK2" s="946"/>
      <c r="WLL2" s="946"/>
      <c r="WLM2" s="946"/>
      <c r="WLN2" s="946"/>
      <c r="WLO2" s="946"/>
      <c r="WLP2" s="946"/>
      <c r="WLQ2" s="946"/>
      <c r="WLR2" s="946"/>
      <c r="WLS2" s="946"/>
      <c r="WLT2" s="946"/>
      <c r="WLU2" s="946"/>
      <c r="WLV2" s="946"/>
      <c r="WLW2" s="946"/>
      <c r="WLX2" s="946"/>
      <c r="WLY2" s="946"/>
      <c r="WLZ2" s="946"/>
      <c r="WMA2" s="946"/>
      <c r="WMB2" s="946"/>
      <c r="WMC2" s="946"/>
      <c r="WMD2" s="946"/>
      <c r="WME2" s="946"/>
      <c r="WMF2" s="946"/>
      <c r="WMG2" s="946"/>
      <c r="WMH2" s="946"/>
      <c r="WMI2" s="946"/>
      <c r="WMJ2" s="946"/>
      <c r="WMK2" s="946"/>
      <c r="WML2" s="946"/>
      <c r="WMM2" s="946"/>
      <c r="WMN2" s="946"/>
      <c r="WMO2" s="946"/>
      <c r="WMP2" s="946"/>
      <c r="WMQ2" s="946"/>
      <c r="WMR2" s="946"/>
      <c r="WMS2" s="946"/>
      <c r="WMT2" s="946"/>
      <c r="WMU2" s="946"/>
      <c r="WMV2" s="946"/>
      <c r="WMW2" s="946"/>
      <c r="WMX2" s="946"/>
      <c r="WMY2" s="946"/>
      <c r="WMZ2" s="946"/>
      <c r="WNA2" s="946"/>
      <c r="WNB2" s="946"/>
      <c r="WNC2" s="946"/>
      <c r="WND2" s="946"/>
      <c r="WNE2" s="946"/>
      <c r="WNF2" s="946"/>
      <c r="WNG2" s="946"/>
      <c r="WNH2" s="946"/>
      <c r="WNI2" s="946"/>
      <c r="WNJ2" s="946"/>
      <c r="WNK2" s="946"/>
      <c r="WNL2" s="946"/>
      <c r="WNM2" s="946"/>
      <c r="WNN2" s="946"/>
      <c r="WNO2" s="946"/>
      <c r="WNP2" s="946"/>
      <c r="WNQ2" s="946"/>
      <c r="WNR2" s="946"/>
      <c r="WNS2" s="946"/>
      <c r="WNT2" s="946"/>
      <c r="WNU2" s="946"/>
      <c r="WNV2" s="946"/>
      <c r="WNW2" s="946"/>
      <c r="WNX2" s="946"/>
      <c r="WNY2" s="946"/>
      <c r="WNZ2" s="946"/>
      <c r="WOA2" s="946"/>
      <c r="WOB2" s="946"/>
      <c r="WOC2" s="946"/>
      <c r="WOD2" s="946"/>
      <c r="WOE2" s="946"/>
      <c r="WOF2" s="946"/>
      <c r="WOG2" s="946"/>
      <c r="WOH2" s="946"/>
      <c r="WOI2" s="946"/>
      <c r="WOJ2" s="946"/>
      <c r="WOK2" s="946"/>
      <c r="WOL2" s="946"/>
      <c r="WOM2" s="946"/>
      <c r="WON2" s="946"/>
      <c r="WOO2" s="946"/>
      <c r="WOP2" s="946"/>
      <c r="WOQ2" s="946"/>
      <c r="WOR2" s="946"/>
      <c r="WOS2" s="946"/>
      <c r="WOT2" s="946"/>
      <c r="WOU2" s="946"/>
      <c r="WOV2" s="946"/>
      <c r="WOW2" s="946"/>
      <c r="WOX2" s="946"/>
      <c r="WOY2" s="946"/>
      <c r="WOZ2" s="946"/>
      <c r="WPA2" s="946"/>
      <c r="WPB2" s="946"/>
      <c r="WPC2" s="946"/>
      <c r="WPD2" s="946"/>
      <c r="WPE2" s="946"/>
      <c r="WPF2" s="946"/>
      <c r="WPG2" s="946"/>
      <c r="WPH2" s="946"/>
      <c r="WPI2" s="946"/>
      <c r="WPJ2" s="946"/>
      <c r="WPK2" s="946"/>
      <c r="WPL2" s="946"/>
      <c r="WPM2" s="946"/>
      <c r="WPN2" s="946"/>
      <c r="WPO2" s="946"/>
      <c r="WPP2" s="946"/>
      <c r="WPQ2" s="946"/>
      <c r="WPR2" s="946"/>
      <c r="WPS2" s="946"/>
      <c r="WPT2" s="946"/>
      <c r="WPU2" s="946"/>
      <c r="WPV2" s="946"/>
      <c r="WPW2" s="946"/>
      <c r="WPX2" s="946"/>
      <c r="WPY2" s="946"/>
      <c r="WPZ2" s="946"/>
      <c r="WQA2" s="946"/>
      <c r="WQB2" s="946"/>
      <c r="WQC2" s="946"/>
      <c r="WQD2" s="946"/>
      <c r="WQE2" s="946"/>
      <c r="WQF2" s="946"/>
      <c r="WQG2" s="946"/>
      <c r="WQH2" s="946"/>
      <c r="WQI2" s="946"/>
      <c r="WQJ2" s="946"/>
      <c r="WQK2" s="946"/>
      <c r="WQL2" s="946"/>
      <c r="WQM2" s="946"/>
      <c r="WQN2" s="946"/>
      <c r="WQO2" s="946"/>
      <c r="WQP2" s="946"/>
      <c r="WQQ2" s="946"/>
      <c r="WQR2" s="946"/>
      <c r="WQS2" s="946"/>
      <c r="WQT2" s="946"/>
      <c r="WQU2" s="946"/>
      <c r="WQV2" s="946"/>
      <c r="WQW2" s="946"/>
      <c r="WQX2" s="946"/>
      <c r="WQY2" s="946"/>
      <c r="WQZ2" s="946"/>
      <c r="WRA2" s="946"/>
      <c r="WRB2" s="946"/>
      <c r="WRC2" s="946"/>
      <c r="WRD2" s="946"/>
      <c r="WRE2" s="946"/>
      <c r="WRF2" s="946"/>
      <c r="WRG2" s="946"/>
      <c r="WRH2" s="946"/>
      <c r="WRI2" s="946"/>
      <c r="WRJ2" s="946"/>
      <c r="WRK2" s="946"/>
      <c r="WRL2" s="946"/>
      <c r="WRM2" s="946"/>
      <c r="WRN2" s="946"/>
      <c r="WRO2" s="946"/>
      <c r="WRP2" s="946"/>
      <c r="WRQ2" s="946"/>
      <c r="WRR2" s="946"/>
      <c r="WRS2" s="946"/>
      <c r="WRT2" s="946"/>
      <c r="WRU2" s="946"/>
      <c r="WRV2" s="946"/>
      <c r="WRW2" s="946"/>
      <c r="WRX2" s="946"/>
      <c r="WRY2" s="946"/>
      <c r="WRZ2" s="946"/>
      <c r="WSA2" s="946"/>
      <c r="WSB2" s="946"/>
      <c r="WSC2" s="946"/>
      <c r="WSD2" s="946"/>
      <c r="WSE2" s="946"/>
      <c r="WSF2" s="946"/>
      <c r="WSG2" s="946"/>
      <c r="WSH2" s="946"/>
      <c r="WSI2" s="946"/>
      <c r="WSJ2" s="946"/>
      <c r="WSK2" s="946"/>
      <c r="WSL2" s="946"/>
      <c r="WSM2" s="946"/>
      <c r="WSN2" s="946"/>
      <c r="WSO2" s="946"/>
      <c r="WSP2" s="946"/>
      <c r="WSQ2" s="946"/>
      <c r="WSR2" s="946"/>
      <c r="WSS2" s="946"/>
      <c r="WST2" s="946"/>
      <c r="WSU2" s="946"/>
      <c r="WSV2" s="946"/>
      <c r="WSW2" s="946"/>
      <c r="WSX2" s="946"/>
      <c r="WSY2" s="946"/>
      <c r="WSZ2" s="946"/>
      <c r="WTA2" s="946"/>
      <c r="WTB2" s="946"/>
      <c r="WTC2" s="946"/>
      <c r="WTD2" s="946"/>
      <c r="WTE2" s="946"/>
      <c r="WTF2" s="946"/>
      <c r="WTG2" s="946"/>
      <c r="WTH2" s="946"/>
      <c r="WTI2" s="946"/>
      <c r="WTJ2" s="946"/>
      <c r="WTK2" s="946"/>
      <c r="WTL2" s="946"/>
      <c r="WTM2" s="946"/>
      <c r="WTN2" s="946"/>
      <c r="WTO2" s="946"/>
      <c r="WTP2" s="946"/>
      <c r="WTQ2" s="946"/>
      <c r="WTR2" s="946"/>
      <c r="WTS2" s="946"/>
      <c r="WTT2" s="946"/>
      <c r="WTU2" s="946"/>
      <c r="WTV2" s="946"/>
      <c r="WTW2" s="946"/>
      <c r="WTX2" s="946"/>
      <c r="WTY2" s="946"/>
      <c r="WTZ2" s="946"/>
      <c r="WUA2" s="946"/>
      <c r="WUB2" s="946"/>
      <c r="WUC2" s="946"/>
      <c r="WUD2" s="946"/>
      <c r="WUE2" s="946"/>
      <c r="WUF2" s="946"/>
      <c r="WUG2" s="946"/>
      <c r="WUH2" s="946"/>
      <c r="WUI2" s="946"/>
      <c r="WUJ2" s="946"/>
      <c r="WUK2" s="946"/>
      <c r="WUL2" s="946"/>
      <c r="WUM2" s="946"/>
      <c r="WUN2" s="946"/>
      <c r="WUO2" s="946"/>
      <c r="WUP2" s="946"/>
      <c r="WUQ2" s="946"/>
      <c r="WUR2" s="946"/>
      <c r="WUS2" s="946"/>
      <c r="WUT2" s="946"/>
      <c r="WUU2" s="946"/>
      <c r="WUV2" s="946"/>
      <c r="WUW2" s="946"/>
      <c r="WUX2" s="946"/>
      <c r="WUY2" s="946"/>
      <c r="WUZ2" s="946"/>
      <c r="WVA2" s="946"/>
      <c r="WVB2" s="946"/>
      <c r="WVC2" s="946"/>
      <c r="WVD2" s="946"/>
      <c r="WVE2" s="946"/>
      <c r="WVF2" s="946"/>
      <c r="WVG2" s="946"/>
      <c r="WVH2" s="946"/>
      <c r="WVI2" s="946"/>
      <c r="WVJ2" s="946"/>
      <c r="WVK2" s="946"/>
      <c r="WVL2" s="946"/>
      <c r="WVM2" s="946"/>
      <c r="WVN2" s="946"/>
      <c r="WVO2" s="946"/>
      <c r="WVP2" s="946"/>
      <c r="WVQ2" s="946"/>
      <c r="WVR2" s="946"/>
      <c r="WVS2" s="946"/>
      <c r="WVT2" s="946"/>
      <c r="WVU2" s="946"/>
      <c r="WVV2" s="946"/>
      <c r="WVW2" s="946"/>
      <c r="WVX2" s="946"/>
      <c r="WVY2" s="946"/>
      <c r="WVZ2" s="946"/>
      <c r="WWA2" s="946"/>
      <c r="WWB2" s="946"/>
      <c r="WWC2" s="946"/>
      <c r="WWD2" s="946"/>
      <c r="WWE2" s="946"/>
      <c r="WWF2" s="946"/>
      <c r="WWG2" s="946"/>
      <c r="WWH2" s="946"/>
      <c r="WWI2" s="946"/>
      <c r="WWJ2" s="946"/>
      <c r="WWK2" s="946"/>
      <c r="WWL2" s="946"/>
      <c r="WWM2" s="946"/>
      <c r="WWN2" s="946"/>
      <c r="WWO2" s="946"/>
      <c r="WWP2" s="946"/>
      <c r="WWQ2" s="946"/>
      <c r="WWR2" s="946"/>
      <c r="WWS2" s="946"/>
      <c r="WWT2" s="946"/>
      <c r="WWU2" s="946"/>
      <c r="WWV2" s="946"/>
      <c r="WWW2" s="946"/>
      <c r="WWX2" s="946"/>
      <c r="WWY2" s="946"/>
      <c r="WWZ2" s="946"/>
      <c r="WXA2" s="946"/>
      <c r="WXB2" s="946"/>
      <c r="WXC2" s="946"/>
      <c r="WXD2" s="946"/>
      <c r="WXE2" s="946"/>
      <c r="WXF2" s="946"/>
      <c r="WXG2" s="946"/>
      <c r="WXH2" s="946"/>
      <c r="WXI2" s="946"/>
      <c r="WXJ2" s="946"/>
      <c r="WXK2" s="946"/>
      <c r="WXL2" s="946"/>
      <c r="WXM2" s="946"/>
      <c r="WXN2" s="946"/>
      <c r="WXO2" s="946"/>
      <c r="WXP2" s="946"/>
      <c r="WXQ2" s="946"/>
      <c r="WXR2" s="946"/>
      <c r="WXS2" s="946"/>
      <c r="WXT2" s="946"/>
      <c r="WXU2" s="946"/>
      <c r="WXV2" s="946"/>
      <c r="WXW2" s="946"/>
      <c r="WXX2" s="946"/>
      <c r="WXY2" s="946"/>
      <c r="WXZ2" s="946"/>
      <c r="WYA2" s="946"/>
      <c r="WYB2" s="946"/>
      <c r="WYC2" s="946"/>
      <c r="WYD2" s="946"/>
      <c r="WYE2" s="946"/>
      <c r="WYF2" s="946"/>
      <c r="WYG2" s="946"/>
      <c r="WYH2" s="946"/>
      <c r="WYI2" s="946"/>
      <c r="WYJ2" s="946"/>
      <c r="WYK2" s="946"/>
      <c r="WYL2" s="946"/>
      <c r="WYM2" s="946"/>
      <c r="WYN2" s="946"/>
      <c r="WYO2" s="946"/>
      <c r="WYP2" s="946"/>
      <c r="WYQ2" s="946"/>
      <c r="WYR2" s="946"/>
      <c r="WYS2" s="946"/>
      <c r="WYT2" s="946"/>
      <c r="WYU2" s="946"/>
      <c r="WYV2" s="946"/>
      <c r="WYW2" s="946"/>
      <c r="WYX2" s="946"/>
      <c r="WYY2" s="946"/>
      <c r="WYZ2" s="946"/>
      <c r="WZA2" s="946"/>
      <c r="WZB2" s="946"/>
      <c r="WZC2" s="946"/>
      <c r="WZD2" s="946"/>
      <c r="WZE2" s="946"/>
      <c r="WZF2" s="946"/>
      <c r="WZG2" s="946"/>
      <c r="WZH2" s="946"/>
      <c r="WZI2" s="946"/>
      <c r="WZJ2" s="946"/>
      <c r="WZK2" s="946"/>
      <c r="WZL2" s="946"/>
      <c r="WZM2" s="946"/>
      <c r="WZN2" s="946"/>
      <c r="WZO2" s="946"/>
      <c r="WZP2" s="946"/>
      <c r="WZQ2" s="946"/>
      <c r="WZR2" s="946"/>
      <c r="WZS2" s="946"/>
      <c r="WZT2" s="946"/>
      <c r="WZU2" s="946"/>
      <c r="WZV2" s="946"/>
      <c r="WZW2" s="946"/>
      <c r="WZX2" s="946"/>
      <c r="WZY2" s="946"/>
      <c r="WZZ2" s="946"/>
      <c r="XAA2" s="946"/>
      <c r="XAB2" s="946"/>
      <c r="XAC2" s="946"/>
      <c r="XAD2" s="946"/>
      <c r="XAE2" s="946"/>
      <c r="XAF2" s="946"/>
      <c r="XAG2" s="946"/>
      <c r="XAH2" s="946"/>
      <c r="XAI2" s="946"/>
      <c r="XAJ2" s="946"/>
      <c r="XAK2" s="946"/>
      <c r="XAL2" s="946"/>
      <c r="XAM2" s="946"/>
      <c r="XAN2" s="946"/>
      <c r="XAO2" s="946"/>
      <c r="XAP2" s="946"/>
      <c r="XAQ2" s="946"/>
      <c r="XAR2" s="946"/>
      <c r="XAS2" s="946"/>
      <c r="XAT2" s="946"/>
      <c r="XAU2" s="946"/>
      <c r="XAV2" s="946"/>
      <c r="XAW2" s="946"/>
      <c r="XAX2" s="946"/>
      <c r="XAY2" s="946"/>
      <c r="XAZ2" s="946"/>
      <c r="XBA2" s="946"/>
      <c r="XBB2" s="946"/>
      <c r="XBC2" s="946"/>
      <c r="XBD2" s="946"/>
      <c r="XBE2" s="946"/>
      <c r="XBF2" s="946"/>
      <c r="XBG2" s="946"/>
      <c r="XBH2" s="946"/>
      <c r="XBI2" s="946"/>
      <c r="XBJ2" s="946"/>
      <c r="XBK2" s="946"/>
      <c r="XBL2" s="946"/>
      <c r="XBM2" s="946"/>
      <c r="XBN2" s="946"/>
      <c r="XBO2" s="946"/>
      <c r="XBP2" s="946"/>
      <c r="XBQ2" s="946"/>
      <c r="XBR2" s="946"/>
      <c r="XBS2" s="946"/>
      <c r="XBT2" s="946"/>
      <c r="XBU2" s="946"/>
      <c r="XBV2" s="946"/>
      <c r="XBW2" s="946"/>
      <c r="XBX2" s="946"/>
      <c r="XBY2" s="946"/>
      <c r="XBZ2" s="946"/>
      <c r="XCA2" s="946"/>
      <c r="XCB2" s="946"/>
      <c r="XCC2" s="946"/>
      <c r="XCD2" s="946"/>
      <c r="XCE2" s="946"/>
      <c r="XCF2" s="946"/>
      <c r="XCG2" s="946"/>
      <c r="XCH2" s="946"/>
      <c r="XCI2" s="946"/>
      <c r="XCJ2" s="946"/>
      <c r="XCK2" s="946"/>
      <c r="XCL2" s="946"/>
      <c r="XCM2" s="946"/>
      <c r="XCN2" s="946"/>
      <c r="XCO2" s="946"/>
      <c r="XCP2" s="946"/>
      <c r="XCQ2" s="946"/>
      <c r="XCR2" s="946"/>
      <c r="XCS2" s="946"/>
      <c r="XCT2" s="946"/>
      <c r="XCU2" s="946"/>
      <c r="XCV2" s="946"/>
      <c r="XCW2" s="946"/>
      <c r="XCX2" s="946"/>
      <c r="XCY2" s="946"/>
      <c r="XCZ2" s="946"/>
      <c r="XDA2" s="946"/>
      <c r="XDB2" s="946"/>
      <c r="XDC2" s="946"/>
      <c r="XDD2" s="946"/>
      <c r="XDE2" s="946"/>
      <c r="XDF2" s="946"/>
      <c r="XDG2" s="946"/>
      <c r="XDH2" s="946"/>
      <c r="XDI2" s="946"/>
      <c r="XDJ2" s="946"/>
      <c r="XDK2" s="946"/>
      <c r="XDL2" s="946"/>
      <c r="XDM2" s="946"/>
      <c r="XDN2" s="946"/>
      <c r="XDO2" s="946"/>
      <c r="XDP2" s="946"/>
      <c r="XDQ2" s="946"/>
      <c r="XDR2" s="946"/>
      <c r="XDS2" s="946"/>
      <c r="XDT2" s="946"/>
      <c r="XDU2" s="946"/>
      <c r="XDV2" s="946"/>
      <c r="XDW2" s="946"/>
      <c r="XDX2" s="946"/>
      <c r="XDY2" s="946"/>
      <c r="XDZ2" s="946"/>
      <c r="XEA2" s="946"/>
      <c r="XEB2" s="946"/>
      <c r="XEC2" s="946"/>
      <c r="XED2" s="946"/>
      <c r="XEE2" s="946"/>
      <c r="XEF2" s="946"/>
      <c r="XEG2" s="946"/>
      <c r="XEH2" s="946"/>
      <c r="XEI2" s="946"/>
      <c r="XEJ2" s="946"/>
      <c r="XEK2" s="946"/>
      <c r="XEL2" s="946"/>
      <c r="XEM2" s="946"/>
      <c r="XEN2" s="946"/>
      <c r="XEO2" s="946"/>
      <c r="XEP2" s="946"/>
      <c r="XEQ2" s="946"/>
      <c r="XER2" s="946"/>
      <c r="XES2" s="946"/>
      <c r="XET2" s="946"/>
      <c r="XEU2" s="946"/>
      <c r="XEV2" s="946"/>
      <c r="XEW2" s="946"/>
      <c r="XEX2" s="946"/>
      <c r="XEY2" s="946"/>
      <c r="XEZ2" s="946"/>
      <c r="XFA2" s="946"/>
      <c r="XFB2" s="946"/>
      <c r="XFC2" s="946"/>
      <c r="XFD2" s="946"/>
    </row>
    <row r="3" spans="1:16384" s="9" customFormat="1" ht="18.75" x14ac:dyDescent="0.2">
      <c r="A3" s="950" t="str">
        <f>Summary!A3</f>
        <v>Department of Roads</v>
      </c>
      <c r="B3" s="950"/>
      <c r="C3" s="950"/>
      <c r="D3" s="950"/>
      <c r="E3" s="950"/>
      <c r="F3" s="950"/>
      <c r="G3" s="950"/>
      <c r="H3" s="950"/>
      <c r="I3" s="950"/>
      <c r="J3" s="950"/>
      <c r="K3" s="10"/>
      <c r="L3" s="10"/>
      <c r="M3" s="10"/>
      <c r="N3" s="10"/>
      <c r="O3" s="10"/>
      <c r="P3" s="10"/>
      <c r="Q3" s="10"/>
      <c r="R3" s="10"/>
      <c r="S3" s="946"/>
      <c r="T3" s="946"/>
      <c r="U3" s="946"/>
      <c r="V3" s="946"/>
      <c r="W3" s="946"/>
      <c r="X3" s="946"/>
      <c r="Y3" s="946"/>
      <c r="Z3" s="946"/>
      <c r="AA3" s="946"/>
      <c r="AB3" s="946"/>
      <c r="AC3" s="946"/>
      <c r="AD3" s="946"/>
      <c r="AE3" s="946"/>
      <c r="AF3" s="946"/>
      <c r="AG3" s="946"/>
      <c r="AH3" s="946"/>
      <c r="AI3" s="946"/>
      <c r="AJ3" s="946"/>
      <c r="AK3" s="946"/>
      <c r="AL3" s="946"/>
      <c r="AM3" s="946"/>
      <c r="AN3" s="946"/>
      <c r="AO3" s="946"/>
      <c r="AP3" s="946"/>
      <c r="AQ3" s="946"/>
      <c r="AR3" s="946"/>
      <c r="AS3" s="946"/>
      <c r="AT3" s="946"/>
      <c r="AU3" s="946"/>
      <c r="AV3" s="946"/>
      <c r="AW3" s="946"/>
      <c r="AX3" s="946"/>
      <c r="AY3" s="946"/>
      <c r="AZ3" s="946"/>
      <c r="BA3" s="946"/>
      <c r="BB3" s="946"/>
      <c r="BC3" s="946"/>
      <c r="BD3" s="946"/>
      <c r="BE3" s="946"/>
      <c r="BF3" s="946"/>
      <c r="BG3" s="946"/>
      <c r="BH3" s="946"/>
      <c r="BI3" s="946"/>
      <c r="BJ3" s="946"/>
      <c r="BK3" s="946"/>
      <c r="BL3" s="946"/>
      <c r="BM3" s="946"/>
      <c r="BN3" s="946"/>
      <c r="BO3" s="946"/>
      <c r="BP3" s="946"/>
      <c r="BQ3" s="946"/>
      <c r="BR3" s="946"/>
      <c r="BS3" s="946"/>
      <c r="BT3" s="946"/>
      <c r="BU3" s="946"/>
      <c r="BV3" s="946"/>
      <c r="BW3" s="946"/>
      <c r="BX3" s="946"/>
      <c r="BY3" s="946"/>
      <c r="BZ3" s="946"/>
      <c r="CA3" s="946"/>
      <c r="CB3" s="946"/>
      <c r="CC3" s="946"/>
      <c r="CD3" s="946"/>
      <c r="CE3" s="946"/>
      <c r="CF3" s="946"/>
      <c r="CG3" s="946"/>
      <c r="CH3" s="946"/>
      <c r="CI3" s="946"/>
      <c r="CJ3" s="946"/>
      <c r="CK3" s="946"/>
      <c r="CL3" s="946"/>
      <c r="CM3" s="946"/>
      <c r="CN3" s="946"/>
      <c r="CO3" s="946"/>
      <c r="CP3" s="946"/>
      <c r="CQ3" s="946"/>
      <c r="CR3" s="946"/>
      <c r="CS3" s="946"/>
      <c r="CT3" s="946"/>
      <c r="CU3" s="946"/>
      <c r="CV3" s="946"/>
      <c r="CW3" s="946"/>
      <c r="CX3" s="946"/>
      <c r="CY3" s="946"/>
      <c r="CZ3" s="946"/>
      <c r="DA3" s="946"/>
      <c r="DB3" s="946"/>
      <c r="DC3" s="946"/>
      <c r="DD3" s="946"/>
      <c r="DE3" s="946"/>
      <c r="DF3" s="946"/>
      <c r="DG3" s="946"/>
      <c r="DH3" s="946"/>
      <c r="DI3" s="946"/>
      <c r="DJ3" s="946"/>
      <c r="DK3" s="946"/>
      <c r="DL3" s="946"/>
      <c r="DM3" s="946"/>
      <c r="DN3" s="946"/>
      <c r="DO3" s="946"/>
      <c r="DP3" s="946"/>
      <c r="DQ3" s="946"/>
      <c r="DR3" s="946"/>
      <c r="DS3" s="946"/>
      <c r="DT3" s="946"/>
      <c r="DU3" s="946"/>
      <c r="DV3" s="946"/>
      <c r="DW3" s="946"/>
      <c r="DX3" s="946"/>
      <c r="DY3" s="946"/>
      <c r="DZ3" s="946"/>
      <c r="EA3" s="946"/>
      <c r="EB3" s="946"/>
      <c r="EC3" s="946"/>
      <c r="ED3" s="946"/>
      <c r="EE3" s="946"/>
      <c r="EF3" s="946"/>
      <c r="EG3" s="946"/>
      <c r="EH3" s="946"/>
      <c r="EI3" s="946"/>
      <c r="EJ3" s="946"/>
      <c r="EK3" s="946"/>
      <c r="EL3" s="946"/>
      <c r="EM3" s="946"/>
      <c r="EN3" s="946"/>
      <c r="EO3" s="946"/>
      <c r="EP3" s="946"/>
      <c r="EQ3" s="946"/>
      <c r="ER3" s="946"/>
      <c r="ES3" s="946"/>
      <c r="ET3" s="946"/>
      <c r="EU3" s="946"/>
      <c r="EV3" s="946"/>
      <c r="EW3" s="946"/>
      <c r="EX3" s="946"/>
      <c r="EY3" s="946"/>
      <c r="EZ3" s="946"/>
      <c r="FA3" s="946"/>
      <c r="FB3" s="946"/>
      <c r="FC3" s="946"/>
      <c r="FD3" s="946"/>
      <c r="FE3" s="946"/>
      <c r="FF3" s="946"/>
      <c r="FG3" s="946"/>
      <c r="FH3" s="946"/>
      <c r="FI3" s="946"/>
      <c r="FJ3" s="946"/>
      <c r="FK3" s="946"/>
      <c r="FL3" s="946"/>
      <c r="FM3" s="946"/>
      <c r="FN3" s="946"/>
      <c r="FO3" s="946"/>
      <c r="FP3" s="946"/>
      <c r="FQ3" s="946"/>
      <c r="FR3" s="946"/>
      <c r="FS3" s="946"/>
      <c r="FT3" s="946"/>
      <c r="FU3" s="946"/>
      <c r="FV3" s="946"/>
      <c r="FW3" s="946"/>
      <c r="FX3" s="946"/>
      <c r="FY3" s="946"/>
      <c r="FZ3" s="946"/>
      <c r="GA3" s="946"/>
      <c r="GB3" s="946"/>
      <c r="GC3" s="946"/>
      <c r="GD3" s="946"/>
      <c r="GE3" s="946"/>
      <c r="GF3" s="946"/>
      <c r="GG3" s="946"/>
      <c r="GH3" s="946"/>
      <c r="GI3" s="946"/>
      <c r="GJ3" s="946"/>
      <c r="GK3" s="946"/>
      <c r="GL3" s="946"/>
      <c r="GM3" s="946"/>
      <c r="GN3" s="946"/>
      <c r="GO3" s="946"/>
      <c r="GP3" s="946"/>
      <c r="GQ3" s="946"/>
      <c r="GR3" s="946"/>
      <c r="GS3" s="946"/>
      <c r="GT3" s="946"/>
      <c r="GU3" s="946"/>
      <c r="GV3" s="946"/>
      <c r="GW3" s="946"/>
      <c r="GX3" s="946"/>
      <c r="GY3" s="946"/>
      <c r="GZ3" s="946"/>
      <c r="HA3" s="946"/>
      <c r="HB3" s="946"/>
      <c r="HC3" s="946"/>
      <c r="HD3" s="946"/>
      <c r="HE3" s="946"/>
      <c r="HF3" s="946"/>
      <c r="HG3" s="946"/>
      <c r="HH3" s="946"/>
      <c r="HI3" s="946"/>
      <c r="HJ3" s="946"/>
      <c r="HK3" s="946"/>
      <c r="HL3" s="946"/>
      <c r="HM3" s="946"/>
      <c r="HN3" s="946"/>
      <c r="HO3" s="946"/>
      <c r="HP3" s="946"/>
      <c r="HQ3" s="946"/>
      <c r="HR3" s="946"/>
      <c r="HS3" s="946"/>
      <c r="HT3" s="946"/>
      <c r="HU3" s="946"/>
      <c r="HV3" s="946"/>
      <c r="HW3" s="946"/>
      <c r="HX3" s="946"/>
      <c r="HY3" s="946"/>
      <c r="HZ3" s="946"/>
      <c r="IA3" s="946"/>
      <c r="IB3" s="946"/>
      <c r="IC3" s="946"/>
      <c r="ID3" s="946"/>
      <c r="IE3" s="946"/>
      <c r="IF3" s="946"/>
      <c r="IG3" s="946"/>
      <c r="IH3" s="946"/>
      <c r="II3" s="946"/>
      <c r="IJ3" s="946"/>
      <c r="IK3" s="946"/>
      <c r="IL3" s="946"/>
      <c r="IM3" s="946"/>
      <c r="IN3" s="946"/>
      <c r="IO3" s="946"/>
      <c r="IP3" s="946"/>
      <c r="IQ3" s="946"/>
      <c r="IR3" s="946"/>
      <c r="IS3" s="946"/>
      <c r="IT3" s="946"/>
      <c r="IU3" s="946"/>
      <c r="IV3" s="946"/>
      <c r="IW3" s="946"/>
      <c r="IX3" s="946"/>
      <c r="IY3" s="946"/>
      <c r="IZ3" s="946"/>
      <c r="JA3" s="946"/>
      <c r="JB3" s="946"/>
      <c r="JC3" s="946"/>
      <c r="JD3" s="946"/>
      <c r="JE3" s="946"/>
      <c r="JF3" s="946"/>
      <c r="JG3" s="946"/>
      <c r="JH3" s="946"/>
      <c r="JI3" s="946"/>
      <c r="JJ3" s="946"/>
      <c r="JK3" s="946"/>
      <c r="JL3" s="946"/>
      <c r="JM3" s="946"/>
      <c r="JN3" s="946"/>
      <c r="JO3" s="946"/>
      <c r="JP3" s="946"/>
      <c r="JQ3" s="946"/>
      <c r="JR3" s="946"/>
      <c r="JS3" s="946"/>
      <c r="JT3" s="946"/>
      <c r="JU3" s="946"/>
      <c r="JV3" s="946"/>
      <c r="JW3" s="946"/>
      <c r="JX3" s="946"/>
      <c r="JY3" s="946"/>
      <c r="JZ3" s="946"/>
      <c r="KA3" s="946"/>
      <c r="KB3" s="946"/>
      <c r="KC3" s="946"/>
      <c r="KD3" s="946"/>
      <c r="KE3" s="946"/>
      <c r="KF3" s="946"/>
      <c r="KG3" s="946"/>
      <c r="KH3" s="946"/>
      <c r="KI3" s="946"/>
      <c r="KJ3" s="946"/>
      <c r="KK3" s="946"/>
      <c r="KL3" s="946"/>
      <c r="KM3" s="946"/>
      <c r="KN3" s="946"/>
      <c r="KO3" s="946"/>
      <c r="KP3" s="946"/>
      <c r="KQ3" s="946"/>
      <c r="KR3" s="946"/>
      <c r="KS3" s="946"/>
      <c r="KT3" s="946"/>
      <c r="KU3" s="946"/>
      <c r="KV3" s="946"/>
      <c r="KW3" s="946"/>
      <c r="KX3" s="946"/>
      <c r="KY3" s="946"/>
      <c r="KZ3" s="946"/>
      <c r="LA3" s="946"/>
      <c r="LB3" s="946"/>
      <c r="LC3" s="946"/>
      <c r="LD3" s="946"/>
      <c r="LE3" s="946"/>
      <c r="LF3" s="946"/>
      <c r="LG3" s="946"/>
      <c r="LH3" s="946"/>
      <c r="LI3" s="946"/>
      <c r="LJ3" s="946"/>
      <c r="LK3" s="946"/>
      <c r="LL3" s="946"/>
      <c r="LM3" s="946"/>
      <c r="LN3" s="946"/>
      <c r="LO3" s="946"/>
      <c r="LP3" s="946"/>
      <c r="LQ3" s="946"/>
      <c r="LR3" s="946"/>
      <c r="LS3" s="946"/>
      <c r="LT3" s="946"/>
      <c r="LU3" s="946"/>
      <c r="LV3" s="946"/>
      <c r="LW3" s="946"/>
      <c r="LX3" s="946"/>
      <c r="LY3" s="946"/>
      <c r="LZ3" s="946"/>
      <c r="MA3" s="946"/>
      <c r="MB3" s="946"/>
      <c r="MC3" s="946"/>
      <c r="MD3" s="946"/>
      <c r="ME3" s="946"/>
      <c r="MF3" s="946"/>
      <c r="MG3" s="946"/>
      <c r="MH3" s="946"/>
      <c r="MI3" s="946"/>
      <c r="MJ3" s="946"/>
      <c r="MK3" s="946"/>
      <c r="ML3" s="946"/>
      <c r="MM3" s="946"/>
      <c r="MN3" s="946"/>
      <c r="MO3" s="946"/>
      <c r="MP3" s="946"/>
      <c r="MQ3" s="946"/>
      <c r="MR3" s="946"/>
      <c r="MS3" s="946"/>
      <c r="MT3" s="946"/>
      <c r="MU3" s="946"/>
      <c r="MV3" s="946"/>
      <c r="MW3" s="946"/>
      <c r="MX3" s="946"/>
      <c r="MY3" s="946"/>
      <c r="MZ3" s="946"/>
      <c r="NA3" s="946"/>
      <c r="NB3" s="946"/>
      <c r="NC3" s="946"/>
      <c r="ND3" s="946"/>
      <c r="NE3" s="946"/>
      <c r="NF3" s="946"/>
      <c r="NG3" s="946"/>
      <c r="NH3" s="946"/>
      <c r="NI3" s="946"/>
      <c r="NJ3" s="946"/>
      <c r="NK3" s="946"/>
      <c r="NL3" s="946"/>
      <c r="NM3" s="946"/>
      <c r="NN3" s="946"/>
      <c r="NO3" s="946"/>
      <c r="NP3" s="946"/>
      <c r="NQ3" s="946"/>
      <c r="NR3" s="946"/>
      <c r="NS3" s="946"/>
      <c r="NT3" s="946"/>
      <c r="NU3" s="946"/>
      <c r="NV3" s="946"/>
      <c r="NW3" s="946"/>
      <c r="NX3" s="946"/>
      <c r="NY3" s="946"/>
      <c r="NZ3" s="946"/>
      <c r="OA3" s="946"/>
      <c r="OB3" s="946"/>
      <c r="OC3" s="946"/>
      <c r="OD3" s="946"/>
      <c r="OE3" s="946"/>
      <c r="OF3" s="946"/>
      <c r="OG3" s="946"/>
      <c r="OH3" s="946"/>
      <c r="OI3" s="946"/>
      <c r="OJ3" s="946"/>
      <c r="OK3" s="946"/>
      <c r="OL3" s="946"/>
      <c r="OM3" s="946"/>
      <c r="ON3" s="946"/>
      <c r="OO3" s="946"/>
      <c r="OP3" s="946"/>
      <c r="OQ3" s="946"/>
      <c r="OR3" s="946"/>
      <c r="OS3" s="946"/>
      <c r="OT3" s="946"/>
      <c r="OU3" s="946"/>
      <c r="OV3" s="946"/>
      <c r="OW3" s="946"/>
      <c r="OX3" s="946"/>
      <c r="OY3" s="946"/>
      <c r="OZ3" s="946"/>
      <c r="PA3" s="946"/>
      <c r="PB3" s="946"/>
      <c r="PC3" s="946"/>
      <c r="PD3" s="946"/>
      <c r="PE3" s="946"/>
      <c r="PF3" s="946"/>
      <c r="PG3" s="946"/>
      <c r="PH3" s="946"/>
      <c r="PI3" s="946"/>
      <c r="PJ3" s="946"/>
      <c r="PK3" s="946"/>
      <c r="PL3" s="946"/>
      <c r="PM3" s="946"/>
      <c r="PN3" s="946"/>
      <c r="PO3" s="946"/>
      <c r="PP3" s="946"/>
      <c r="PQ3" s="946"/>
      <c r="PR3" s="946"/>
      <c r="PS3" s="946"/>
      <c r="PT3" s="946"/>
      <c r="PU3" s="946"/>
      <c r="PV3" s="946"/>
      <c r="PW3" s="946"/>
      <c r="PX3" s="946"/>
      <c r="PY3" s="946"/>
      <c r="PZ3" s="946"/>
      <c r="QA3" s="946"/>
      <c r="QB3" s="946"/>
      <c r="QC3" s="946"/>
      <c r="QD3" s="946"/>
      <c r="QE3" s="946"/>
      <c r="QF3" s="946"/>
      <c r="QG3" s="946"/>
      <c r="QH3" s="946"/>
      <c r="QI3" s="946"/>
      <c r="QJ3" s="946"/>
      <c r="QK3" s="946"/>
      <c r="QL3" s="946"/>
      <c r="QM3" s="946"/>
      <c r="QN3" s="946"/>
      <c r="QO3" s="946"/>
      <c r="QP3" s="946"/>
      <c r="QQ3" s="946"/>
      <c r="QR3" s="946"/>
      <c r="QS3" s="946"/>
      <c r="QT3" s="946"/>
      <c r="QU3" s="946"/>
      <c r="QV3" s="946"/>
      <c r="QW3" s="946"/>
      <c r="QX3" s="946"/>
      <c r="QY3" s="946"/>
      <c r="QZ3" s="946"/>
      <c r="RA3" s="946"/>
      <c r="RB3" s="946"/>
      <c r="RC3" s="946"/>
      <c r="RD3" s="946"/>
      <c r="RE3" s="946"/>
      <c r="RF3" s="946"/>
      <c r="RG3" s="946"/>
      <c r="RH3" s="946"/>
      <c r="RI3" s="946"/>
      <c r="RJ3" s="946"/>
      <c r="RK3" s="946"/>
      <c r="RL3" s="946"/>
      <c r="RM3" s="946"/>
      <c r="RN3" s="946"/>
      <c r="RO3" s="946"/>
      <c r="RP3" s="946"/>
      <c r="RQ3" s="946"/>
      <c r="RR3" s="946"/>
      <c r="RS3" s="946"/>
      <c r="RT3" s="946"/>
      <c r="RU3" s="946"/>
      <c r="RV3" s="946"/>
      <c r="RW3" s="946"/>
      <c r="RX3" s="946"/>
      <c r="RY3" s="946"/>
      <c r="RZ3" s="946"/>
      <c r="SA3" s="946"/>
      <c r="SB3" s="946"/>
      <c r="SC3" s="946"/>
      <c r="SD3" s="946"/>
      <c r="SE3" s="946"/>
      <c r="SF3" s="946"/>
      <c r="SG3" s="946"/>
      <c r="SH3" s="946"/>
      <c r="SI3" s="946"/>
      <c r="SJ3" s="946"/>
      <c r="SK3" s="946"/>
      <c r="SL3" s="946"/>
      <c r="SM3" s="946"/>
      <c r="SN3" s="946"/>
      <c r="SO3" s="946"/>
      <c r="SP3" s="946"/>
      <c r="SQ3" s="946"/>
      <c r="SR3" s="946"/>
      <c r="SS3" s="946"/>
      <c r="ST3" s="946"/>
      <c r="SU3" s="946"/>
      <c r="SV3" s="946"/>
      <c r="SW3" s="946"/>
      <c r="SX3" s="946"/>
      <c r="SY3" s="946"/>
      <c r="SZ3" s="946"/>
      <c r="TA3" s="946"/>
      <c r="TB3" s="946"/>
      <c r="TC3" s="946"/>
      <c r="TD3" s="946"/>
      <c r="TE3" s="946"/>
      <c r="TF3" s="946"/>
      <c r="TG3" s="946"/>
      <c r="TH3" s="946"/>
      <c r="TI3" s="946"/>
      <c r="TJ3" s="946"/>
      <c r="TK3" s="946"/>
      <c r="TL3" s="946"/>
      <c r="TM3" s="946"/>
      <c r="TN3" s="946"/>
      <c r="TO3" s="946"/>
      <c r="TP3" s="946"/>
      <c r="TQ3" s="946"/>
      <c r="TR3" s="946"/>
      <c r="TS3" s="946"/>
      <c r="TT3" s="946"/>
      <c r="TU3" s="946"/>
      <c r="TV3" s="946"/>
      <c r="TW3" s="946"/>
      <c r="TX3" s="946"/>
      <c r="TY3" s="946"/>
      <c r="TZ3" s="946"/>
      <c r="UA3" s="946"/>
      <c r="UB3" s="946"/>
      <c r="UC3" s="946"/>
      <c r="UD3" s="946"/>
      <c r="UE3" s="946"/>
      <c r="UF3" s="946"/>
      <c r="UG3" s="946"/>
      <c r="UH3" s="946"/>
      <c r="UI3" s="946"/>
      <c r="UJ3" s="946"/>
      <c r="UK3" s="946"/>
      <c r="UL3" s="946"/>
      <c r="UM3" s="946"/>
      <c r="UN3" s="946"/>
      <c r="UO3" s="946"/>
      <c r="UP3" s="946"/>
      <c r="UQ3" s="946"/>
      <c r="UR3" s="946"/>
      <c r="US3" s="946"/>
      <c r="UT3" s="946"/>
      <c r="UU3" s="946"/>
      <c r="UV3" s="946"/>
      <c r="UW3" s="946"/>
      <c r="UX3" s="946"/>
      <c r="UY3" s="946"/>
      <c r="UZ3" s="946"/>
      <c r="VA3" s="946"/>
      <c r="VB3" s="946"/>
      <c r="VC3" s="946"/>
      <c r="VD3" s="946"/>
      <c r="VE3" s="946"/>
      <c r="VF3" s="946"/>
      <c r="VG3" s="946"/>
      <c r="VH3" s="946"/>
      <c r="VI3" s="946"/>
      <c r="VJ3" s="946"/>
      <c r="VK3" s="946"/>
      <c r="VL3" s="946"/>
      <c r="VM3" s="946"/>
      <c r="VN3" s="946"/>
      <c r="VO3" s="946"/>
      <c r="VP3" s="946"/>
      <c r="VQ3" s="946"/>
      <c r="VR3" s="946"/>
      <c r="VS3" s="946"/>
      <c r="VT3" s="946"/>
      <c r="VU3" s="946"/>
      <c r="VV3" s="946"/>
      <c r="VW3" s="946"/>
      <c r="VX3" s="946"/>
      <c r="VY3" s="946"/>
      <c r="VZ3" s="946"/>
      <c r="WA3" s="946"/>
      <c r="WB3" s="946"/>
      <c r="WC3" s="946"/>
      <c r="WD3" s="946"/>
      <c r="WE3" s="946"/>
      <c r="WF3" s="946"/>
      <c r="WG3" s="946"/>
      <c r="WH3" s="946"/>
      <c r="WI3" s="946"/>
      <c r="WJ3" s="946"/>
      <c r="WK3" s="946"/>
      <c r="WL3" s="946"/>
      <c r="WM3" s="946"/>
      <c r="WN3" s="946"/>
      <c r="WO3" s="946"/>
      <c r="WP3" s="946"/>
      <c r="WQ3" s="946"/>
      <c r="WR3" s="946"/>
      <c r="WS3" s="946"/>
      <c r="WT3" s="946"/>
      <c r="WU3" s="946"/>
      <c r="WV3" s="946"/>
      <c r="WW3" s="946"/>
      <c r="WX3" s="946"/>
      <c r="WY3" s="946"/>
      <c r="WZ3" s="946"/>
      <c r="XA3" s="946"/>
      <c r="XB3" s="946"/>
      <c r="XC3" s="946"/>
      <c r="XD3" s="946"/>
      <c r="XE3" s="946"/>
      <c r="XF3" s="946"/>
      <c r="XG3" s="946"/>
      <c r="XH3" s="946"/>
      <c r="XI3" s="946"/>
      <c r="XJ3" s="946"/>
      <c r="XK3" s="946"/>
      <c r="XL3" s="946"/>
      <c r="XM3" s="946"/>
      <c r="XN3" s="946"/>
      <c r="XO3" s="946"/>
      <c r="XP3" s="946"/>
      <c r="XQ3" s="946"/>
      <c r="XR3" s="946"/>
      <c r="XS3" s="946"/>
      <c r="XT3" s="946"/>
      <c r="XU3" s="946"/>
      <c r="XV3" s="946"/>
      <c r="XW3" s="946"/>
      <c r="XX3" s="946"/>
      <c r="XY3" s="946"/>
      <c r="XZ3" s="946"/>
      <c r="YA3" s="946"/>
      <c r="YB3" s="946"/>
      <c r="YC3" s="946"/>
      <c r="YD3" s="946"/>
      <c r="YE3" s="946"/>
      <c r="YF3" s="946"/>
      <c r="YG3" s="946"/>
      <c r="YH3" s="946"/>
      <c r="YI3" s="946"/>
      <c r="YJ3" s="946"/>
      <c r="YK3" s="946"/>
      <c r="YL3" s="946"/>
      <c r="YM3" s="946"/>
      <c r="YN3" s="946"/>
      <c r="YO3" s="946"/>
      <c r="YP3" s="946"/>
      <c r="YQ3" s="946"/>
      <c r="YR3" s="946"/>
      <c r="YS3" s="946"/>
      <c r="YT3" s="946"/>
      <c r="YU3" s="946"/>
      <c r="YV3" s="946"/>
      <c r="YW3" s="946"/>
      <c r="YX3" s="946"/>
      <c r="YY3" s="946"/>
      <c r="YZ3" s="946"/>
      <c r="ZA3" s="946"/>
      <c r="ZB3" s="946"/>
      <c r="ZC3" s="946"/>
      <c r="ZD3" s="946"/>
      <c r="ZE3" s="946"/>
      <c r="ZF3" s="946"/>
      <c r="ZG3" s="946"/>
      <c r="ZH3" s="946"/>
      <c r="ZI3" s="946"/>
      <c r="ZJ3" s="946"/>
      <c r="ZK3" s="946"/>
      <c r="ZL3" s="946"/>
      <c r="ZM3" s="946"/>
      <c r="ZN3" s="946"/>
      <c r="ZO3" s="946"/>
      <c r="ZP3" s="946"/>
      <c r="ZQ3" s="946"/>
      <c r="ZR3" s="946"/>
      <c r="ZS3" s="946"/>
      <c r="ZT3" s="946"/>
      <c r="ZU3" s="946"/>
      <c r="ZV3" s="946"/>
      <c r="ZW3" s="946"/>
      <c r="ZX3" s="946"/>
      <c r="ZY3" s="946"/>
      <c r="ZZ3" s="946"/>
      <c r="AAA3" s="946"/>
      <c r="AAB3" s="946"/>
      <c r="AAC3" s="946"/>
      <c r="AAD3" s="946"/>
      <c r="AAE3" s="946"/>
      <c r="AAF3" s="946"/>
      <c r="AAG3" s="946"/>
      <c r="AAH3" s="946"/>
      <c r="AAI3" s="946"/>
      <c r="AAJ3" s="946"/>
      <c r="AAK3" s="946"/>
      <c r="AAL3" s="946"/>
      <c r="AAM3" s="946"/>
      <c r="AAN3" s="946"/>
      <c r="AAO3" s="946"/>
      <c r="AAP3" s="946"/>
      <c r="AAQ3" s="946"/>
      <c r="AAR3" s="946"/>
      <c r="AAS3" s="946"/>
      <c r="AAT3" s="946"/>
      <c r="AAU3" s="946"/>
      <c r="AAV3" s="946"/>
      <c r="AAW3" s="946"/>
      <c r="AAX3" s="946"/>
      <c r="AAY3" s="946"/>
      <c r="AAZ3" s="946"/>
      <c r="ABA3" s="946"/>
      <c r="ABB3" s="946"/>
      <c r="ABC3" s="946"/>
      <c r="ABD3" s="946"/>
      <c r="ABE3" s="946"/>
      <c r="ABF3" s="946"/>
      <c r="ABG3" s="946"/>
      <c r="ABH3" s="946"/>
      <c r="ABI3" s="946"/>
      <c r="ABJ3" s="946"/>
      <c r="ABK3" s="946"/>
      <c r="ABL3" s="946"/>
      <c r="ABM3" s="946"/>
      <c r="ABN3" s="946"/>
      <c r="ABO3" s="946"/>
      <c r="ABP3" s="946"/>
      <c r="ABQ3" s="946"/>
      <c r="ABR3" s="946"/>
      <c r="ABS3" s="946"/>
      <c r="ABT3" s="946"/>
      <c r="ABU3" s="946"/>
      <c r="ABV3" s="946"/>
      <c r="ABW3" s="946"/>
      <c r="ABX3" s="946"/>
      <c r="ABY3" s="946"/>
      <c r="ABZ3" s="946"/>
      <c r="ACA3" s="946"/>
      <c r="ACB3" s="946"/>
      <c r="ACC3" s="946"/>
      <c r="ACD3" s="946"/>
      <c r="ACE3" s="946"/>
      <c r="ACF3" s="946"/>
      <c r="ACG3" s="946"/>
      <c r="ACH3" s="946"/>
      <c r="ACI3" s="946"/>
      <c r="ACJ3" s="946"/>
      <c r="ACK3" s="946"/>
      <c r="ACL3" s="946"/>
      <c r="ACM3" s="946"/>
      <c r="ACN3" s="946"/>
      <c r="ACO3" s="946"/>
      <c r="ACP3" s="946"/>
      <c r="ACQ3" s="946"/>
      <c r="ACR3" s="946"/>
      <c r="ACS3" s="946"/>
      <c r="ACT3" s="946"/>
      <c r="ACU3" s="946"/>
      <c r="ACV3" s="946"/>
      <c r="ACW3" s="946"/>
      <c r="ACX3" s="946"/>
      <c r="ACY3" s="946"/>
      <c r="ACZ3" s="946"/>
      <c r="ADA3" s="946"/>
      <c r="ADB3" s="946"/>
      <c r="ADC3" s="946"/>
      <c r="ADD3" s="946"/>
      <c r="ADE3" s="946"/>
      <c r="ADF3" s="946"/>
      <c r="ADG3" s="946"/>
      <c r="ADH3" s="946"/>
      <c r="ADI3" s="946"/>
      <c r="ADJ3" s="946"/>
      <c r="ADK3" s="946"/>
      <c r="ADL3" s="946"/>
      <c r="ADM3" s="946"/>
      <c r="ADN3" s="946"/>
      <c r="ADO3" s="946"/>
      <c r="ADP3" s="946"/>
      <c r="ADQ3" s="946"/>
      <c r="ADR3" s="946"/>
      <c r="ADS3" s="946"/>
      <c r="ADT3" s="946"/>
      <c r="ADU3" s="946"/>
      <c r="ADV3" s="946"/>
      <c r="ADW3" s="946"/>
      <c r="ADX3" s="946"/>
      <c r="ADY3" s="946"/>
      <c r="ADZ3" s="946"/>
      <c r="AEA3" s="946"/>
      <c r="AEB3" s="946"/>
      <c r="AEC3" s="946"/>
      <c r="AED3" s="946"/>
      <c r="AEE3" s="946"/>
      <c r="AEF3" s="946"/>
      <c r="AEG3" s="946"/>
      <c r="AEH3" s="946"/>
      <c r="AEI3" s="946"/>
      <c r="AEJ3" s="946"/>
      <c r="AEK3" s="946"/>
      <c r="AEL3" s="946"/>
      <c r="AEM3" s="946"/>
      <c r="AEN3" s="946"/>
      <c r="AEO3" s="946"/>
      <c r="AEP3" s="946"/>
      <c r="AEQ3" s="946"/>
      <c r="AER3" s="946"/>
      <c r="AES3" s="946"/>
      <c r="AET3" s="946"/>
      <c r="AEU3" s="946"/>
      <c r="AEV3" s="946"/>
      <c r="AEW3" s="946"/>
      <c r="AEX3" s="946"/>
      <c r="AEY3" s="946"/>
      <c r="AEZ3" s="946"/>
      <c r="AFA3" s="946"/>
      <c r="AFB3" s="946"/>
      <c r="AFC3" s="946"/>
      <c r="AFD3" s="946"/>
      <c r="AFE3" s="946"/>
      <c r="AFF3" s="946"/>
      <c r="AFG3" s="946"/>
      <c r="AFH3" s="946"/>
      <c r="AFI3" s="946"/>
      <c r="AFJ3" s="946"/>
      <c r="AFK3" s="946"/>
      <c r="AFL3" s="946"/>
      <c r="AFM3" s="946"/>
      <c r="AFN3" s="946"/>
      <c r="AFO3" s="946"/>
      <c r="AFP3" s="946"/>
      <c r="AFQ3" s="946"/>
      <c r="AFR3" s="946"/>
      <c r="AFS3" s="946"/>
      <c r="AFT3" s="946"/>
      <c r="AFU3" s="946"/>
      <c r="AFV3" s="946"/>
      <c r="AFW3" s="946"/>
      <c r="AFX3" s="946"/>
      <c r="AFY3" s="946"/>
      <c r="AFZ3" s="946"/>
      <c r="AGA3" s="946"/>
      <c r="AGB3" s="946"/>
      <c r="AGC3" s="946"/>
      <c r="AGD3" s="946"/>
      <c r="AGE3" s="946"/>
      <c r="AGF3" s="946"/>
      <c r="AGG3" s="946"/>
      <c r="AGH3" s="946"/>
      <c r="AGI3" s="946"/>
      <c r="AGJ3" s="946"/>
      <c r="AGK3" s="946"/>
      <c r="AGL3" s="946"/>
      <c r="AGM3" s="946"/>
      <c r="AGN3" s="946"/>
      <c r="AGO3" s="946"/>
      <c r="AGP3" s="946"/>
      <c r="AGQ3" s="946"/>
      <c r="AGR3" s="946"/>
      <c r="AGS3" s="946"/>
      <c r="AGT3" s="946"/>
      <c r="AGU3" s="946"/>
      <c r="AGV3" s="946"/>
      <c r="AGW3" s="946"/>
      <c r="AGX3" s="946"/>
      <c r="AGY3" s="946"/>
      <c r="AGZ3" s="946"/>
      <c r="AHA3" s="946"/>
      <c r="AHB3" s="946"/>
      <c r="AHC3" s="946"/>
      <c r="AHD3" s="946"/>
      <c r="AHE3" s="946"/>
      <c r="AHF3" s="946"/>
      <c r="AHG3" s="946"/>
      <c r="AHH3" s="946"/>
      <c r="AHI3" s="946"/>
      <c r="AHJ3" s="946"/>
      <c r="AHK3" s="946"/>
      <c r="AHL3" s="946"/>
      <c r="AHM3" s="946"/>
      <c r="AHN3" s="946"/>
      <c r="AHO3" s="946"/>
      <c r="AHP3" s="946"/>
      <c r="AHQ3" s="946"/>
      <c r="AHR3" s="946"/>
      <c r="AHS3" s="946"/>
      <c r="AHT3" s="946"/>
      <c r="AHU3" s="946"/>
      <c r="AHV3" s="946"/>
      <c r="AHW3" s="946"/>
      <c r="AHX3" s="946"/>
      <c r="AHY3" s="946"/>
      <c r="AHZ3" s="946"/>
      <c r="AIA3" s="946"/>
      <c r="AIB3" s="946"/>
      <c r="AIC3" s="946"/>
      <c r="AID3" s="946"/>
      <c r="AIE3" s="946"/>
      <c r="AIF3" s="946"/>
      <c r="AIG3" s="946"/>
      <c r="AIH3" s="946"/>
      <c r="AII3" s="946"/>
      <c r="AIJ3" s="946"/>
      <c r="AIK3" s="946"/>
      <c r="AIL3" s="946"/>
      <c r="AIM3" s="946"/>
      <c r="AIN3" s="946"/>
      <c r="AIO3" s="946"/>
      <c r="AIP3" s="946"/>
      <c r="AIQ3" s="946"/>
      <c r="AIR3" s="946"/>
      <c r="AIS3" s="946"/>
      <c r="AIT3" s="946"/>
      <c r="AIU3" s="946"/>
      <c r="AIV3" s="946"/>
      <c r="AIW3" s="946"/>
      <c r="AIX3" s="946"/>
      <c r="AIY3" s="946"/>
      <c r="AIZ3" s="946"/>
      <c r="AJA3" s="946"/>
      <c r="AJB3" s="946"/>
      <c r="AJC3" s="946"/>
      <c r="AJD3" s="946"/>
      <c r="AJE3" s="946"/>
      <c r="AJF3" s="946"/>
      <c r="AJG3" s="946"/>
      <c r="AJH3" s="946"/>
      <c r="AJI3" s="946"/>
      <c r="AJJ3" s="946"/>
      <c r="AJK3" s="946"/>
      <c r="AJL3" s="946"/>
      <c r="AJM3" s="946"/>
      <c r="AJN3" s="946"/>
      <c r="AJO3" s="946"/>
      <c r="AJP3" s="946"/>
      <c r="AJQ3" s="946"/>
      <c r="AJR3" s="946"/>
      <c r="AJS3" s="946"/>
      <c r="AJT3" s="946"/>
      <c r="AJU3" s="946"/>
      <c r="AJV3" s="946"/>
      <c r="AJW3" s="946"/>
      <c r="AJX3" s="946"/>
      <c r="AJY3" s="946"/>
      <c r="AJZ3" s="946"/>
      <c r="AKA3" s="946"/>
      <c r="AKB3" s="946"/>
      <c r="AKC3" s="946"/>
      <c r="AKD3" s="946"/>
      <c r="AKE3" s="946"/>
      <c r="AKF3" s="946"/>
      <c r="AKG3" s="946"/>
      <c r="AKH3" s="946"/>
      <c r="AKI3" s="946"/>
      <c r="AKJ3" s="946"/>
      <c r="AKK3" s="946"/>
      <c r="AKL3" s="946"/>
      <c r="AKM3" s="946"/>
      <c r="AKN3" s="946"/>
      <c r="AKO3" s="946"/>
      <c r="AKP3" s="946"/>
      <c r="AKQ3" s="946"/>
      <c r="AKR3" s="946"/>
      <c r="AKS3" s="946"/>
      <c r="AKT3" s="946"/>
      <c r="AKU3" s="946"/>
      <c r="AKV3" s="946"/>
      <c r="AKW3" s="946"/>
      <c r="AKX3" s="946"/>
      <c r="AKY3" s="946"/>
      <c r="AKZ3" s="946"/>
      <c r="ALA3" s="946"/>
      <c r="ALB3" s="946"/>
      <c r="ALC3" s="946"/>
      <c r="ALD3" s="946"/>
      <c r="ALE3" s="946"/>
      <c r="ALF3" s="946"/>
      <c r="ALG3" s="946"/>
      <c r="ALH3" s="946"/>
      <c r="ALI3" s="946"/>
      <c r="ALJ3" s="946"/>
      <c r="ALK3" s="946"/>
      <c r="ALL3" s="946"/>
      <c r="ALM3" s="946"/>
      <c r="ALN3" s="946"/>
      <c r="ALO3" s="946"/>
      <c r="ALP3" s="946"/>
      <c r="ALQ3" s="946"/>
      <c r="ALR3" s="946"/>
      <c r="ALS3" s="946"/>
      <c r="ALT3" s="946"/>
      <c r="ALU3" s="946"/>
      <c r="ALV3" s="946"/>
      <c r="ALW3" s="946"/>
      <c r="ALX3" s="946"/>
      <c r="ALY3" s="946"/>
      <c r="ALZ3" s="946"/>
      <c r="AMA3" s="946"/>
      <c r="AMB3" s="946"/>
      <c r="AMC3" s="946"/>
      <c r="AMD3" s="946"/>
      <c r="AME3" s="946"/>
      <c r="AMF3" s="946"/>
      <c r="AMG3" s="946"/>
      <c r="AMH3" s="946"/>
      <c r="AMI3" s="946"/>
      <c r="AMJ3" s="946"/>
      <c r="AMK3" s="946"/>
      <c r="AML3" s="946"/>
      <c r="AMM3" s="946"/>
      <c r="AMN3" s="946"/>
      <c r="AMO3" s="946"/>
      <c r="AMP3" s="946"/>
      <c r="AMQ3" s="946"/>
      <c r="AMR3" s="946"/>
      <c r="AMS3" s="946"/>
      <c r="AMT3" s="946"/>
      <c r="AMU3" s="946"/>
      <c r="AMV3" s="946"/>
      <c r="AMW3" s="946"/>
      <c r="AMX3" s="946"/>
      <c r="AMY3" s="946"/>
      <c r="AMZ3" s="946"/>
      <c r="ANA3" s="946"/>
      <c r="ANB3" s="946"/>
      <c r="ANC3" s="946"/>
      <c r="AND3" s="946"/>
      <c r="ANE3" s="946"/>
      <c r="ANF3" s="946"/>
      <c r="ANG3" s="946"/>
      <c r="ANH3" s="946"/>
      <c r="ANI3" s="946"/>
      <c r="ANJ3" s="946"/>
      <c r="ANK3" s="946"/>
      <c r="ANL3" s="946"/>
      <c r="ANM3" s="946"/>
      <c r="ANN3" s="946"/>
      <c r="ANO3" s="946"/>
      <c r="ANP3" s="946"/>
      <c r="ANQ3" s="946"/>
      <c r="ANR3" s="946"/>
      <c r="ANS3" s="946"/>
      <c r="ANT3" s="946"/>
      <c r="ANU3" s="946"/>
      <c r="ANV3" s="946"/>
      <c r="ANW3" s="946"/>
      <c r="ANX3" s="946"/>
      <c r="ANY3" s="946"/>
      <c r="ANZ3" s="946"/>
      <c r="AOA3" s="946"/>
      <c r="AOB3" s="946"/>
      <c r="AOC3" s="946"/>
      <c r="AOD3" s="946"/>
      <c r="AOE3" s="946"/>
      <c r="AOF3" s="946"/>
      <c r="AOG3" s="946"/>
      <c r="AOH3" s="946"/>
      <c r="AOI3" s="946"/>
      <c r="AOJ3" s="946"/>
      <c r="AOK3" s="946"/>
      <c r="AOL3" s="946"/>
      <c r="AOM3" s="946"/>
      <c r="AON3" s="946"/>
      <c r="AOO3" s="946"/>
      <c r="AOP3" s="946"/>
      <c r="AOQ3" s="946"/>
      <c r="AOR3" s="946"/>
      <c r="AOS3" s="946"/>
      <c r="AOT3" s="946"/>
      <c r="AOU3" s="946"/>
      <c r="AOV3" s="946"/>
      <c r="AOW3" s="946"/>
      <c r="AOX3" s="946"/>
      <c r="AOY3" s="946"/>
      <c r="AOZ3" s="946"/>
      <c r="APA3" s="946"/>
      <c r="APB3" s="946"/>
      <c r="APC3" s="946"/>
      <c r="APD3" s="946"/>
      <c r="APE3" s="946"/>
      <c r="APF3" s="946"/>
      <c r="APG3" s="946"/>
      <c r="APH3" s="946"/>
      <c r="API3" s="946"/>
      <c r="APJ3" s="946"/>
      <c r="APK3" s="946"/>
      <c r="APL3" s="946"/>
      <c r="APM3" s="946"/>
      <c r="APN3" s="946"/>
      <c r="APO3" s="946"/>
      <c r="APP3" s="946"/>
      <c r="APQ3" s="946"/>
      <c r="APR3" s="946"/>
      <c r="APS3" s="946"/>
      <c r="APT3" s="946"/>
      <c r="APU3" s="946"/>
      <c r="APV3" s="946"/>
      <c r="APW3" s="946"/>
      <c r="APX3" s="946"/>
      <c r="APY3" s="946"/>
      <c r="APZ3" s="946"/>
      <c r="AQA3" s="946"/>
      <c r="AQB3" s="946"/>
      <c r="AQC3" s="946"/>
      <c r="AQD3" s="946"/>
      <c r="AQE3" s="946"/>
      <c r="AQF3" s="946"/>
      <c r="AQG3" s="946"/>
      <c r="AQH3" s="946"/>
      <c r="AQI3" s="946"/>
      <c r="AQJ3" s="946"/>
      <c r="AQK3" s="946"/>
      <c r="AQL3" s="946"/>
      <c r="AQM3" s="946"/>
      <c r="AQN3" s="946"/>
      <c r="AQO3" s="946"/>
      <c r="AQP3" s="946"/>
      <c r="AQQ3" s="946"/>
      <c r="AQR3" s="946"/>
      <c r="AQS3" s="946"/>
      <c r="AQT3" s="946"/>
      <c r="AQU3" s="946"/>
      <c r="AQV3" s="946"/>
      <c r="AQW3" s="946"/>
      <c r="AQX3" s="946"/>
      <c r="AQY3" s="946"/>
      <c r="AQZ3" s="946"/>
      <c r="ARA3" s="946"/>
      <c r="ARB3" s="946"/>
      <c r="ARC3" s="946"/>
      <c r="ARD3" s="946"/>
      <c r="ARE3" s="946"/>
      <c r="ARF3" s="946"/>
      <c r="ARG3" s="946"/>
      <c r="ARH3" s="946"/>
      <c r="ARI3" s="946"/>
      <c r="ARJ3" s="946"/>
      <c r="ARK3" s="946"/>
      <c r="ARL3" s="946"/>
      <c r="ARM3" s="946"/>
      <c r="ARN3" s="946"/>
      <c r="ARO3" s="946"/>
      <c r="ARP3" s="946"/>
      <c r="ARQ3" s="946"/>
      <c r="ARR3" s="946"/>
      <c r="ARS3" s="946"/>
      <c r="ART3" s="946"/>
      <c r="ARU3" s="946"/>
      <c r="ARV3" s="946"/>
      <c r="ARW3" s="946"/>
      <c r="ARX3" s="946"/>
      <c r="ARY3" s="946"/>
      <c r="ARZ3" s="946"/>
      <c r="ASA3" s="946"/>
      <c r="ASB3" s="946"/>
      <c r="ASC3" s="946"/>
      <c r="ASD3" s="946"/>
      <c r="ASE3" s="946"/>
      <c r="ASF3" s="946"/>
      <c r="ASG3" s="946"/>
      <c r="ASH3" s="946"/>
      <c r="ASI3" s="946"/>
      <c r="ASJ3" s="946"/>
      <c r="ASK3" s="946"/>
      <c r="ASL3" s="946"/>
      <c r="ASM3" s="946"/>
      <c r="ASN3" s="946"/>
      <c r="ASO3" s="946"/>
      <c r="ASP3" s="946"/>
      <c r="ASQ3" s="946"/>
      <c r="ASR3" s="946"/>
      <c r="ASS3" s="946"/>
      <c r="AST3" s="946"/>
      <c r="ASU3" s="946"/>
      <c r="ASV3" s="946"/>
      <c r="ASW3" s="946"/>
      <c r="ASX3" s="946"/>
      <c r="ASY3" s="946"/>
      <c r="ASZ3" s="946"/>
      <c r="ATA3" s="946"/>
      <c r="ATB3" s="946"/>
      <c r="ATC3" s="946"/>
      <c r="ATD3" s="946"/>
      <c r="ATE3" s="946"/>
      <c r="ATF3" s="946"/>
      <c r="ATG3" s="946"/>
      <c r="ATH3" s="946"/>
      <c r="ATI3" s="946"/>
      <c r="ATJ3" s="946"/>
      <c r="ATK3" s="946"/>
      <c r="ATL3" s="946"/>
      <c r="ATM3" s="946"/>
      <c r="ATN3" s="946"/>
      <c r="ATO3" s="946"/>
      <c r="ATP3" s="946"/>
      <c r="ATQ3" s="946"/>
      <c r="ATR3" s="946"/>
      <c r="ATS3" s="946"/>
      <c r="ATT3" s="946"/>
      <c r="ATU3" s="946"/>
      <c r="ATV3" s="946"/>
      <c r="ATW3" s="946"/>
      <c r="ATX3" s="946"/>
      <c r="ATY3" s="946"/>
      <c r="ATZ3" s="946"/>
      <c r="AUA3" s="946"/>
      <c r="AUB3" s="946"/>
      <c r="AUC3" s="946"/>
      <c r="AUD3" s="946"/>
      <c r="AUE3" s="946"/>
      <c r="AUF3" s="946"/>
      <c r="AUG3" s="946"/>
      <c r="AUH3" s="946"/>
      <c r="AUI3" s="946"/>
      <c r="AUJ3" s="946"/>
      <c r="AUK3" s="946"/>
      <c r="AUL3" s="946"/>
      <c r="AUM3" s="946"/>
      <c r="AUN3" s="946"/>
      <c r="AUO3" s="946"/>
      <c r="AUP3" s="946"/>
      <c r="AUQ3" s="946"/>
      <c r="AUR3" s="946"/>
      <c r="AUS3" s="946"/>
      <c r="AUT3" s="946"/>
      <c r="AUU3" s="946"/>
      <c r="AUV3" s="946"/>
      <c r="AUW3" s="946"/>
      <c r="AUX3" s="946"/>
      <c r="AUY3" s="946"/>
      <c r="AUZ3" s="946"/>
      <c r="AVA3" s="946"/>
      <c r="AVB3" s="946"/>
      <c r="AVC3" s="946"/>
      <c r="AVD3" s="946"/>
      <c r="AVE3" s="946"/>
      <c r="AVF3" s="946"/>
      <c r="AVG3" s="946"/>
      <c r="AVH3" s="946"/>
      <c r="AVI3" s="946"/>
      <c r="AVJ3" s="946"/>
      <c r="AVK3" s="946"/>
      <c r="AVL3" s="946"/>
      <c r="AVM3" s="946"/>
      <c r="AVN3" s="946"/>
      <c r="AVO3" s="946"/>
      <c r="AVP3" s="946"/>
      <c r="AVQ3" s="946"/>
      <c r="AVR3" s="946"/>
      <c r="AVS3" s="946"/>
      <c r="AVT3" s="946"/>
      <c r="AVU3" s="946"/>
      <c r="AVV3" s="946"/>
      <c r="AVW3" s="946"/>
      <c r="AVX3" s="946"/>
      <c r="AVY3" s="946"/>
      <c r="AVZ3" s="946"/>
      <c r="AWA3" s="946"/>
      <c r="AWB3" s="946"/>
      <c r="AWC3" s="946"/>
      <c r="AWD3" s="946"/>
      <c r="AWE3" s="946"/>
      <c r="AWF3" s="946"/>
      <c r="AWG3" s="946"/>
      <c r="AWH3" s="946"/>
      <c r="AWI3" s="946"/>
      <c r="AWJ3" s="946"/>
      <c r="AWK3" s="946"/>
      <c r="AWL3" s="946"/>
      <c r="AWM3" s="946"/>
      <c r="AWN3" s="946"/>
      <c r="AWO3" s="946"/>
      <c r="AWP3" s="946"/>
      <c r="AWQ3" s="946"/>
      <c r="AWR3" s="946"/>
      <c r="AWS3" s="946"/>
      <c r="AWT3" s="946"/>
      <c r="AWU3" s="946"/>
      <c r="AWV3" s="946"/>
      <c r="AWW3" s="946"/>
      <c r="AWX3" s="946"/>
      <c r="AWY3" s="946"/>
      <c r="AWZ3" s="946"/>
      <c r="AXA3" s="946"/>
      <c r="AXB3" s="946"/>
      <c r="AXC3" s="946"/>
      <c r="AXD3" s="946"/>
      <c r="AXE3" s="946"/>
      <c r="AXF3" s="946"/>
      <c r="AXG3" s="946"/>
      <c r="AXH3" s="946"/>
      <c r="AXI3" s="946"/>
      <c r="AXJ3" s="946"/>
      <c r="AXK3" s="946"/>
      <c r="AXL3" s="946"/>
      <c r="AXM3" s="946"/>
      <c r="AXN3" s="946"/>
      <c r="AXO3" s="946"/>
      <c r="AXP3" s="946"/>
      <c r="AXQ3" s="946"/>
      <c r="AXR3" s="946"/>
      <c r="AXS3" s="946"/>
      <c r="AXT3" s="946"/>
      <c r="AXU3" s="946"/>
      <c r="AXV3" s="946"/>
      <c r="AXW3" s="946"/>
      <c r="AXX3" s="946"/>
      <c r="AXY3" s="946"/>
      <c r="AXZ3" s="946"/>
      <c r="AYA3" s="946"/>
      <c r="AYB3" s="946"/>
      <c r="AYC3" s="946"/>
      <c r="AYD3" s="946"/>
      <c r="AYE3" s="946"/>
      <c r="AYF3" s="946"/>
      <c r="AYG3" s="946"/>
      <c r="AYH3" s="946"/>
      <c r="AYI3" s="946"/>
      <c r="AYJ3" s="946"/>
      <c r="AYK3" s="946"/>
      <c r="AYL3" s="946"/>
      <c r="AYM3" s="946"/>
      <c r="AYN3" s="946"/>
      <c r="AYO3" s="946"/>
      <c r="AYP3" s="946"/>
      <c r="AYQ3" s="946"/>
      <c r="AYR3" s="946"/>
      <c r="AYS3" s="946"/>
      <c r="AYT3" s="946"/>
      <c r="AYU3" s="946"/>
      <c r="AYV3" s="946"/>
      <c r="AYW3" s="946"/>
      <c r="AYX3" s="946"/>
      <c r="AYY3" s="946"/>
      <c r="AYZ3" s="946"/>
      <c r="AZA3" s="946"/>
      <c r="AZB3" s="946"/>
      <c r="AZC3" s="946"/>
      <c r="AZD3" s="946"/>
      <c r="AZE3" s="946"/>
      <c r="AZF3" s="946"/>
      <c r="AZG3" s="946"/>
      <c r="AZH3" s="946"/>
      <c r="AZI3" s="946"/>
      <c r="AZJ3" s="946"/>
      <c r="AZK3" s="946"/>
      <c r="AZL3" s="946"/>
      <c r="AZM3" s="946"/>
      <c r="AZN3" s="946"/>
      <c r="AZO3" s="946"/>
      <c r="AZP3" s="946"/>
      <c r="AZQ3" s="946"/>
      <c r="AZR3" s="946"/>
      <c r="AZS3" s="946"/>
      <c r="AZT3" s="946"/>
      <c r="AZU3" s="946"/>
      <c r="AZV3" s="946"/>
      <c r="AZW3" s="946"/>
      <c r="AZX3" s="946"/>
      <c r="AZY3" s="946"/>
      <c r="AZZ3" s="946"/>
      <c r="BAA3" s="946"/>
      <c r="BAB3" s="946"/>
      <c r="BAC3" s="946"/>
      <c r="BAD3" s="946"/>
      <c r="BAE3" s="946"/>
      <c r="BAF3" s="946"/>
      <c r="BAG3" s="946"/>
      <c r="BAH3" s="946"/>
      <c r="BAI3" s="946"/>
      <c r="BAJ3" s="946"/>
      <c r="BAK3" s="946"/>
      <c r="BAL3" s="946"/>
      <c r="BAM3" s="946"/>
      <c r="BAN3" s="946"/>
      <c r="BAO3" s="946"/>
      <c r="BAP3" s="946"/>
      <c r="BAQ3" s="946"/>
      <c r="BAR3" s="946"/>
      <c r="BAS3" s="946"/>
      <c r="BAT3" s="946"/>
      <c r="BAU3" s="946"/>
      <c r="BAV3" s="946"/>
      <c r="BAW3" s="946"/>
      <c r="BAX3" s="946"/>
      <c r="BAY3" s="946"/>
      <c r="BAZ3" s="946"/>
      <c r="BBA3" s="946"/>
      <c r="BBB3" s="946"/>
      <c r="BBC3" s="946"/>
      <c r="BBD3" s="946"/>
      <c r="BBE3" s="946"/>
      <c r="BBF3" s="946"/>
      <c r="BBG3" s="946"/>
      <c r="BBH3" s="946"/>
      <c r="BBI3" s="946"/>
      <c r="BBJ3" s="946"/>
      <c r="BBK3" s="946"/>
      <c r="BBL3" s="946"/>
      <c r="BBM3" s="946"/>
      <c r="BBN3" s="946"/>
      <c r="BBO3" s="946"/>
      <c r="BBP3" s="946"/>
      <c r="BBQ3" s="946"/>
      <c r="BBR3" s="946"/>
      <c r="BBS3" s="946"/>
      <c r="BBT3" s="946"/>
      <c r="BBU3" s="946"/>
      <c r="BBV3" s="946"/>
      <c r="BBW3" s="946"/>
      <c r="BBX3" s="946"/>
      <c r="BBY3" s="946"/>
      <c r="BBZ3" s="946"/>
      <c r="BCA3" s="946"/>
      <c r="BCB3" s="946"/>
      <c r="BCC3" s="946"/>
      <c r="BCD3" s="946"/>
      <c r="BCE3" s="946"/>
      <c r="BCF3" s="946"/>
      <c r="BCG3" s="946"/>
      <c r="BCH3" s="946"/>
      <c r="BCI3" s="946"/>
      <c r="BCJ3" s="946"/>
      <c r="BCK3" s="946"/>
      <c r="BCL3" s="946"/>
      <c r="BCM3" s="946"/>
      <c r="BCN3" s="946"/>
      <c r="BCO3" s="946"/>
      <c r="BCP3" s="946"/>
      <c r="BCQ3" s="946"/>
      <c r="BCR3" s="946"/>
      <c r="BCS3" s="946"/>
      <c r="BCT3" s="946"/>
      <c r="BCU3" s="946"/>
      <c r="BCV3" s="946"/>
      <c r="BCW3" s="946"/>
      <c r="BCX3" s="946"/>
      <c r="BCY3" s="946"/>
      <c r="BCZ3" s="946"/>
      <c r="BDA3" s="946"/>
      <c r="BDB3" s="946"/>
      <c r="BDC3" s="946"/>
      <c r="BDD3" s="946"/>
      <c r="BDE3" s="946"/>
      <c r="BDF3" s="946"/>
      <c r="BDG3" s="946"/>
      <c r="BDH3" s="946"/>
      <c r="BDI3" s="946"/>
      <c r="BDJ3" s="946"/>
      <c r="BDK3" s="946"/>
      <c r="BDL3" s="946"/>
      <c r="BDM3" s="946"/>
      <c r="BDN3" s="946"/>
      <c r="BDO3" s="946"/>
      <c r="BDP3" s="946"/>
      <c r="BDQ3" s="946"/>
      <c r="BDR3" s="946"/>
      <c r="BDS3" s="946"/>
      <c r="BDT3" s="946"/>
      <c r="BDU3" s="946"/>
      <c r="BDV3" s="946"/>
      <c r="BDW3" s="946"/>
      <c r="BDX3" s="946"/>
      <c r="BDY3" s="946"/>
      <c r="BDZ3" s="946"/>
      <c r="BEA3" s="946"/>
      <c r="BEB3" s="946"/>
      <c r="BEC3" s="946"/>
      <c r="BED3" s="946"/>
      <c r="BEE3" s="946"/>
      <c r="BEF3" s="946"/>
      <c r="BEG3" s="946"/>
      <c r="BEH3" s="946"/>
      <c r="BEI3" s="946"/>
      <c r="BEJ3" s="946"/>
      <c r="BEK3" s="946"/>
      <c r="BEL3" s="946"/>
      <c r="BEM3" s="946"/>
      <c r="BEN3" s="946"/>
      <c r="BEO3" s="946"/>
      <c r="BEP3" s="946"/>
      <c r="BEQ3" s="946"/>
      <c r="BER3" s="946"/>
      <c r="BES3" s="946"/>
      <c r="BET3" s="946"/>
      <c r="BEU3" s="946"/>
      <c r="BEV3" s="946"/>
      <c r="BEW3" s="946"/>
      <c r="BEX3" s="946"/>
      <c r="BEY3" s="946"/>
      <c r="BEZ3" s="946"/>
      <c r="BFA3" s="946"/>
      <c r="BFB3" s="946"/>
      <c r="BFC3" s="946"/>
      <c r="BFD3" s="946"/>
      <c r="BFE3" s="946"/>
      <c r="BFF3" s="946"/>
      <c r="BFG3" s="946"/>
      <c r="BFH3" s="946"/>
      <c r="BFI3" s="946"/>
      <c r="BFJ3" s="946"/>
      <c r="BFK3" s="946"/>
      <c r="BFL3" s="946"/>
      <c r="BFM3" s="946"/>
      <c r="BFN3" s="946"/>
      <c r="BFO3" s="946"/>
      <c r="BFP3" s="946"/>
      <c r="BFQ3" s="946"/>
      <c r="BFR3" s="946"/>
      <c r="BFS3" s="946"/>
      <c r="BFT3" s="946"/>
      <c r="BFU3" s="946"/>
      <c r="BFV3" s="946"/>
      <c r="BFW3" s="946"/>
      <c r="BFX3" s="946"/>
      <c r="BFY3" s="946"/>
      <c r="BFZ3" s="946"/>
      <c r="BGA3" s="946"/>
      <c r="BGB3" s="946"/>
      <c r="BGC3" s="946"/>
      <c r="BGD3" s="946"/>
      <c r="BGE3" s="946"/>
      <c r="BGF3" s="946"/>
      <c r="BGG3" s="946"/>
      <c r="BGH3" s="946"/>
      <c r="BGI3" s="946"/>
      <c r="BGJ3" s="946"/>
      <c r="BGK3" s="946"/>
      <c r="BGL3" s="946"/>
      <c r="BGM3" s="946"/>
      <c r="BGN3" s="946"/>
      <c r="BGO3" s="946"/>
      <c r="BGP3" s="946"/>
      <c r="BGQ3" s="946"/>
      <c r="BGR3" s="946"/>
      <c r="BGS3" s="946"/>
      <c r="BGT3" s="946"/>
      <c r="BGU3" s="946"/>
      <c r="BGV3" s="946"/>
      <c r="BGW3" s="946"/>
      <c r="BGX3" s="946"/>
      <c r="BGY3" s="946"/>
      <c r="BGZ3" s="946"/>
      <c r="BHA3" s="946"/>
      <c r="BHB3" s="946"/>
      <c r="BHC3" s="946"/>
      <c r="BHD3" s="946"/>
      <c r="BHE3" s="946"/>
      <c r="BHF3" s="946"/>
      <c r="BHG3" s="946"/>
      <c r="BHH3" s="946"/>
      <c r="BHI3" s="946"/>
      <c r="BHJ3" s="946"/>
      <c r="BHK3" s="946"/>
      <c r="BHL3" s="946"/>
      <c r="BHM3" s="946"/>
      <c r="BHN3" s="946"/>
      <c r="BHO3" s="946"/>
      <c r="BHP3" s="946"/>
      <c r="BHQ3" s="946"/>
      <c r="BHR3" s="946"/>
      <c r="BHS3" s="946"/>
      <c r="BHT3" s="946"/>
      <c r="BHU3" s="946"/>
      <c r="BHV3" s="946"/>
      <c r="BHW3" s="946"/>
      <c r="BHX3" s="946"/>
      <c r="BHY3" s="946"/>
      <c r="BHZ3" s="946"/>
      <c r="BIA3" s="946"/>
      <c r="BIB3" s="946"/>
      <c r="BIC3" s="946"/>
      <c r="BID3" s="946"/>
      <c r="BIE3" s="946"/>
      <c r="BIF3" s="946"/>
      <c r="BIG3" s="946"/>
      <c r="BIH3" s="946"/>
      <c r="BII3" s="946"/>
      <c r="BIJ3" s="946"/>
      <c r="BIK3" s="946"/>
      <c r="BIL3" s="946"/>
      <c r="BIM3" s="946"/>
      <c r="BIN3" s="946"/>
      <c r="BIO3" s="946"/>
      <c r="BIP3" s="946"/>
      <c r="BIQ3" s="946"/>
      <c r="BIR3" s="946"/>
      <c r="BIS3" s="946"/>
      <c r="BIT3" s="946"/>
      <c r="BIU3" s="946"/>
      <c r="BIV3" s="946"/>
      <c r="BIW3" s="946"/>
      <c r="BIX3" s="946"/>
      <c r="BIY3" s="946"/>
      <c r="BIZ3" s="946"/>
      <c r="BJA3" s="946"/>
      <c r="BJB3" s="946"/>
      <c r="BJC3" s="946"/>
      <c r="BJD3" s="946"/>
      <c r="BJE3" s="946"/>
      <c r="BJF3" s="946"/>
      <c r="BJG3" s="946"/>
      <c r="BJH3" s="946"/>
      <c r="BJI3" s="946"/>
      <c r="BJJ3" s="946"/>
      <c r="BJK3" s="946"/>
      <c r="BJL3" s="946"/>
      <c r="BJM3" s="946"/>
      <c r="BJN3" s="946"/>
      <c r="BJO3" s="946"/>
      <c r="BJP3" s="946"/>
      <c r="BJQ3" s="946"/>
      <c r="BJR3" s="946"/>
      <c r="BJS3" s="946"/>
      <c r="BJT3" s="946"/>
      <c r="BJU3" s="946"/>
      <c r="BJV3" s="946"/>
      <c r="BJW3" s="946"/>
      <c r="BJX3" s="946"/>
      <c r="BJY3" s="946"/>
      <c r="BJZ3" s="946"/>
      <c r="BKA3" s="946"/>
      <c r="BKB3" s="946"/>
      <c r="BKC3" s="946"/>
      <c r="BKD3" s="946"/>
      <c r="BKE3" s="946"/>
      <c r="BKF3" s="946"/>
      <c r="BKG3" s="946"/>
      <c r="BKH3" s="946"/>
      <c r="BKI3" s="946"/>
      <c r="BKJ3" s="946"/>
      <c r="BKK3" s="946"/>
      <c r="BKL3" s="946"/>
      <c r="BKM3" s="946"/>
      <c r="BKN3" s="946"/>
      <c r="BKO3" s="946"/>
      <c r="BKP3" s="946"/>
      <c r="BKQ3" s="946"/>
      <c r="BKR3" s="946"/>
      <c r="BKS3" s="946"/>
      <c r="BKT3" s="946"/>
      <c r="BKU3" s="946"/>
      <c r="BKV3" s="946"/>
      <c r="BKW3" s="946"/>
      <c r="BKX3" s="946"/>
      <c r="BKY3" s="946"/>
      <c r="BKZ3" s="946"/>
      <c r="BLA3" s="946"/>
      <c r="BLB3" s="946"/>
      <c r="BLC3" s="946"/>
      <c r="BLD3" s="946"/>
      <c r="BLE3" s="946"/>
      <c r="BLF3" s="946"/>
      <c r="BLG3" s="946"/>
      <c r="BLH3" s="946"/>
      <c r="BLI3" s="946"/>
      <c r="BLJ3" s="946"/>
      <c r="BLK3" s="946"/>
      <c r="BLL3" s="946"/>
      <c r="BLM3" s="946"/>
      <c r="BLN3" s="946"/>
      <c r="BLO3" s="946"/>
      <c r="BLP3" s="946"/>
      <c r="BLQ3" s="946"/>
      <c r="BLR3" s="946"/>
      <c r="BLS3" s="946"/>
      <c r="BLT3" s="946"/>
      <c r="BLU3" s="946"/>
      <c r="BLV3" s="946"/>
      <c r="BLW3" s="946"/>
      <c r="BLX3" s="946"/>
      <c r="BLY3" s="946"/>
      <c r="BLZ3" s="946"/>
      <c r="BMA3" s="946"/>
      <c r="BMB3" s="946"/>
      <c r="BMC3" s="946"/>
      <c r="BMD3" s="946"/>
      <c r="BME3" s="946"/>
      <c r="BMF3" s="946"/>
      <c r="BMG3" s="946"/>
      <c r="BMH3" s="946"/>
      <c r="BMI3" s="946"/>
      <c r="BMJ3" s="946"/>
      <c r="BMK3" s="946"/>
      <c r="BML3" s="946"/>
      <c r="BMM3" s="946"/>
      <c r="BMN3" s="946"/>
      <c r="BMO3" s="946"/>
      <c r="BMP3" s="946"/>
      <c r="BMQ3" s="946"/>
      <c r="BMR3" s="946"/>
      <c r="BMS3" s="946"/>
      <c r="BMT3" s="946"/>
      <c r="BMU3" s="946"/>
      <c r="BMV3" s="946"/>
      <c r="BMW3" s="946"/>
      <c r="BMX3" s="946"/>
      <c r="BMY3" s="946"/>
      <c r="BMZ3" s="946"/>
      <c r="BNA3" s="946"/>
      <c r="BNB3" s="946"/>
      <c r="BNC3" s="946"/>
      <c r="BND3" s="946"/>
      <c r="BNE3" s="946"/>
      <c r="BNF3" s="946"/>
      <c r="BNG3" s="946"/>
      <c r="BNH3" s="946"/>
      <c r="BNI3" s="946"/>
      <c r="BNJ3" s="946"/>
      <c r="BNK3" s="946"/>
      <c r="BNL3" s="946"/>
      <c r="BNM3" s="946"/>
      <c r="BNN3" s="946"/>
      <c r="BNO3" s="946"/>
      <c r="BNP3" s="946"/>
      <c r="BNQ3" s="946"/>
      <c r="BNR3" s="946"/>
      <c r="BNS3" s="946"/>
      <c r="BNT3" s="946"/>
      <c r="BNU3" s="946"/>
      <c r="BNV3" s="946"/>
      <c r="BNW3" s="946"/>
      <c r="BNX3" s="946"/>
      <c r="BNY3" s="946"/>
      <c r="BNZ3" s="946"/>
      <c r="BOA3" s="946"/>
      <c r="BOB3" s="946"/>
      <c r="BOC3" s="946"/>
      <c r="BOD3" s="946"/>
      <c r="BOE3" s="946"/>
      <c r="BOF3" s="946"/>
      <c r="BOG3" s="946"/>
      <c r="BOH3" s="946"/>
      <c r="BOI3" s="946"/>
      <c r="BOJ3" s="946"/>
      <c r="BOK3" s="946"/>
      <c r="BOL3" s="946"/>
      <c r="BOM3" s="946"/>
      <c r="BON3" s="946"/>
      <c r="BOO3" s="946"/>
      <c r="BOP3" s="946"/>
      <c r="BOQ3" s="946"/>
      <c r="BOR3" s="946"/>
      <c r="BOS3" s="946"/>
      <c r="BOT3" s="946"/>
      <c r="BOU3" s="946"/>
      <c r="BOV3" s="946"/>
      <c r="BOW3" s="946"/>
      <c r="BOX3" s="946"/>
      <c r="BOY3" s="946"/>
      <c r="BOZ3" s="946"/>
      <c r="BPA3" s="946"/>
      <c r="BPB3" s="946"/>
      <c r="BPC3" s="946"/>
      <c r="BPD3" s="946"/>
      <c r="BPE3" s="946"/>
      <c r="BPF3" s="946"/>
      <c r="BPG3" s="946"/>
      <c r="BPH3" s="946"/>
      <c r="BPI3" s="946"/>
      <c r="BPJ3" s="946"/>
      <c r="BPK3" s="946"/>
      <c r="BPL3" s="946"/>
      <c r="BPM3" s="946"/>
      <c r="BPN3" s="946"/>
      <c r="BPO3" s="946"/>
      <c r="BPP3" s="946"/>
      <c r="BPQ3" s="946"/>
      <c r="BPR3" s="946"/>
      <c r="BPS3" s="946"/>
      <c r="BPT3" s="946"/>
      <c r="BPU3" s="946"/>
      <c r="BPV3" s="946"/>
      <c r="BPW3" s="946"/>
      <c r="BPX3" s="946"/>
      <c r="BPY3" s="946"/>
      <c r="BPZ3" s="946"/>
      <c r="BQA3" s="946"/>
      <c r="BQB3" s="946"/>
      <c r="BQC3" s="946"/>
      <c r="BQD3" s="946"/>
      <c r="BQE3" s="946"/>
      <c r="BQF3" s="946"/>
      <c r="BQG3" s="946"/>
      <c r="BQH3" s="946"/>
      <c r="BQI3" s="946"/>
      <c r="BQJ3" s="946"/>
      <c r="BQK3" s="946"/>
      <c r="BQL3" s="946"/>
      <c r="BQM3" s="946"/>
      <c r="BQN3" s="946"/>
      <c r="BQO3" s="946"/>
      <c r="BQP3" s="946"/>
      <c r="BQQ3" s="946"/>
      <c r="BQR3" s="946"/>
      <c r="BQS3" s="946"/>
      <c r="BQT3" s="946"/>
      <c r="BQU3" s="946"/>
      <c r="BQV3" s="946"/>
      <c r="BQW3" s="946"/>
      <c r="BQX3" s="946"/>
      <c r="BQY3" s="946"/>
      <c r="BQZ3" s="946"/>
      <c r="BRA3" s="946"/>
      <c r="BRB3" s="946"/>
      <c r="BRC3" s="946"/>
      <c r="BRD3" s="946"/>
      <c r="BRE3" s="946"/>
      <c r="BRF3" s="946"/>
      <c r="BRG3" s="946"/>
      <c r="BRH3" s="946"/>
      <c r="BRI3" s="946"/>
      <c r="BRJ3" s="946"/>
      <c r="BRK3" s="946"/>
      <c r="BRL3" s="946"/>
      <c r="BRM3" s="946"/>
      <c r="BRN3" s="946"/>
      <c r="BRO3" s="946"/>
      <c r="BRP3" s="946"/>
      <c r="BRQ3" s="946"/>
      <c r="BRR3" s="946"/>
      <c r="BRS3" s="946"/>
      <c r="BRT3" s="946"/>
      <c r="BRU3" s="946"/>
      <c r="BRV3" s="946"/>
      <c r="BRW3" s="946"/>
      <c r="BRX3" s="946"/>
      <c r="BRY3" s="946"/>
      <c r="BRZ3" s="946"/>
      <c r="BSA3" s="946"/>
      <c r="BSB3" s="946"/>
      <c r="BSC3" s="946"/>
      <c r="BSD3" s="946"/>
      <c r="BSE3" s="946"/>
      <c r="BSF3" s="946"/>
      <c r="BSG3" s="946"/>
      <c r="BSH3" s="946"/>
      <c r="BSI3" s="946"/>
      <c r="BSJ3" s="946"/>
      <c r="BSK3" s="946"/>
      <c r="BSL3" s="946"/>
      <c r="BSM3" s="946"/>
      <c r="BSN3" s="946"/>
      <c r="BSO3" s="946"/>
      <c r="BSP3" s="946"/>
      <c r="BSQ3" s="946"/>
      <c r="BSR3" s="946"/>
      <c r="BSS3" s="946"/>
      <c r="BST3" s="946"/>
      <c r="BSU3" s="946"/>
      <c r="BSV3" s="946"/>
      <c r="BSW3" s="946"/>
      <c r="BSX3" s="946"/>
      <c r="BSY3" s="946"/>
      <c r="BSZ3" s="946"/>
      <c r="BTA3" s="946"/>
      <c r="BTB3" s="946"/>
      <c r="BTC3" s="946"/>
      <c r="BTD3" s="946"/>
      <c r="BTE3" s="946"/>
      <c r="BTF3" s="946"/>
      <c r="BTG3" s="946"/>
      <c r="BTH3" s="946"/>
      <c r="BTI3" s="946"/>
      <c r="BTJ3" s="946"/>
      <c r="BTK3" s="946"/>
      <c r="BTL3" s="946"/>
      <c r="BTM3" s="946"/>
      <c r="BTN3" s="946"/>
      <c r="BTO3" s="946"/>
      <c r="BTP3" s="946"/>
      <c r="BTQ3" s="946"/>
      <c r="BTR3" s="946"/>
      <c r="BTS3" s="946"/>
      <c r="BTT3" s="946"/>
      <c r="BTU3" s="946"/>
      <c r="BTV3" s="946"/>
      <c r="BTW3" s="946"/>
      <c r="BTX3" s="946"/>
      <c r="BTY3" s="946"/>
      <c r="BTZ3" s="946"/>
      <c r="BUA3" s="946"/>
      <c r="BUB3" s="946"/>
      <c r="BUC3" s="946"/>
      <c r="BUD3" s="946"/>
      <c r="BUE3" s="946"/>
      <c r="BUF3" s="946"/>
      <c r="BUG3" s="946"/>
      <c r="BUH3" s="946"/>
      <c r="BUI3" s="946"/>
      <c r="BUJ3" s="946"/>
      <c r="BUK3" s="946"/>
      <c r="BUL3" s="946"/>
      <c r="BUM3" s="946"/>
      <c r="BUN3" s="946"/>
      <c r="BUO3" s="946"/>
      <c r="BUP3" s="946"/>
      <c r="BUQ3" s="946"/>
      <c r="BUR3" s="946"/>
      <c r="BUS3" s="946"/>
      <c r="BUT3" s="946"/>
      <c r="BUU3" s="946"/>
      <c r="BUV3" s="946"/>
      <c r="BUW3" s="946"/>
      <c r="BUX3" s="946"/>
      <c r="BUY3" s="946"/>
      <c r="BUZ3" s="946"/>
      <c r="BVA3" s="946"/>
      <c r="BVB3" s="946"/>
      <c r="BVC3" s="946"/>
      <c r="BVD3" s="946"/>
      <c r="BVE3" s="946"/>
      <c r="BVF3" s="946"/>
      <c r="BVG3" s="946"/>
      <c r="BVH3" s="946"/>
      <c r="BVI3" s="946"/>
      <c r="BVJ3" s="946"/>
      <c r="BVK3" s="946"/>
      <c r="BVL3" s="946"/>
      <c r="BVM3" s="946"/>
      <c r="BVN3" s="946"/>
      <c r="BVO3" s="946"/>
      <c r="BVP3" s="946"/>
      <c r="BVQ3" s="946"/>
      <c r="BVR3" s="946"/>
      <c r="BVS3" s="946"/>
      <c r="BVT3" s="946"/>
      <c r="BVU3" s="946"/>
      <c r="BVV3" s="946"/>
      <c r="BVW3" s="946"/>
      <c r="BVX3" s="946"/>
      <c r="BVY3" s="946"/>
      <c r="BVZ3" s="946"/>
      <c r="BWA3" s="946"/>
      <c r="BWB3" s="946"/>
      <c r="BWC3" s="946"/>
      <c r="BWD3" s="946"/>
      <c r="BWE3" s="946"/>
      <c r="BWF3" s="946"/>
      <c r="BWG3" s="946"/>
      <c r="BWH3" s="946"/>
      <c r="BWI3" s="946"/>
      <c r="BWJ3" s="946"/>
      <c r="BWK3" s="946"/>
      <c r="BWL3" s="946"/>
      <c r="BWM3" s="946"/>
      <c r="BWN3" s="946"/>
      <c r="BWO3" s="946"/>
      <c r="BWP3" s="946"/>
      <c r="BWQ3" s="946"/>
      <c r="BWR3" s="946"/>
      <c r="BWS3" s="946"/>
      <c r="BWT3" s="946"/>
      <c r="BWU3" s="946"/>
      <c r="BWV3" s="946"/>
      <c r="BWW3" s="946"/>
      <c r="BWX3" s="946"/>
      <c r="BWY3" s="946"/>
      <c r="BWZ3" s="946"/>
      <c r="BXA3" s="946"/>
      <c r="BXB3" s="946"/>
      <c r="BXC3" s="946"/>
      <c r="BXD3" s="946"/>
      <c r="BXE3" s="946"/>
      <c r="BXF3" s="946"/>
      <c r="BXG3" s="946"/>
      <c r="BXH3" s="946"/>
      <c r="BXI3" s="946"/>
      <c r="BXJ3" s="946"/>
      <c r="BXK3" s="946"/>
      <c r="BXL3" s="946"/>
      <c r="BXM3" s="946"/>
      <c r="BXN3" s="946"/>
      <c r="BXO3" s="946"/>
      <c r="BXP3" s="946"/>
      <c r="BXQ3" s="946"/>
      <c r="BXR3" s="946"/>
      <c r="BXS3" s="946"/>
      <c r="BXT3" s="946"/>
      <c r="BXU3" s="946"/>
      <c r="BXV3" s="946"/>
      <c r="BXW3" s="946"/>
      <c r="BXX3" s="946"/>
      <c r="BXY3" s="946"/>
      <c r="BXZ3" s="946"/>
      <c r="BYA3" s="946"/>
      <c r="BYB3" s="946"/>
      <c r="BYC3" s="946"/>
      <c r="BYD3" s="946"/>
      <c r="BYE3" s="946"/>
      <c r="BYF3" s="946"/>
      <c r="BYG3" s="946"/>
      <c r="BYH3" s="946"/>
      <c r="BYI3" s="946"/>
      <c r="BYJ3" s="946"/>
      <c r="BYK3" s="946"/>
      <c r="BYL3" s="946"/>
      <c r="BYM3" s="946"/>
      <c r="BYN3" s="946"/>
      <c r="BYO3" s="946"/>
      <c r="BYP3" s="946"/>
      <c r="BYQ3" s="946"/>
      <c r="BYR3" s="946"/>
      <c r="BYS3" s="946"/>
      <c r="BYT3" s="946"/>
      <c r="BYU3" s="946"/>
      <c r="BYV3" s="946"/>
      <c r="BYW3" s="946"/>
      <c r="BYX3" s="946"/>
      <c r="BYY3" s="946"/>
      <c r="BYZ3" s="946"/>
      <c r="BZA3" s="946"/>
      <c r="BZB3" s="946"/>
      <c r="BZC3" s="946"/>
      <c r="BZD3" s="946"/>
      <c r="BZE3" s="946"/>
      <c r="BZF3" s="946"/>
      <c r="BZG3" s="946"/>
      <c r="BZH3" s="946"/>
      <c r="BZI3" s="946"/>
      <c r="BZJ3" s="946"/>
      <c r="BZK3" s="946"/>
      <c r="BZL3" s="946"/>
      <c r="BZM3" s="946"/>
      <c r="BZN3" s="946"/>
      <c r="BZO3" s="946"/>
      <c r="BZP3" s="946"/>
      <c r="BZQ3" s="946"/>
      <c r="BZR3" s="946"/>
      <c r="BZS3" s="946"/>
      <c r="BZT3" s="946"/>
      <c r="BZU3" s="946"/>
      <c r="BZV3" s="946"/>
      <c r="BZW3" s="946"/>
      <c r="BZX3" s="946"/>
      <c r="BZY3" s="946"/>
      <c r="BZZ3" s="946"/>
      <c r="CAA3" s="946"/>
      <c r="CAB3" s="946"/>
      <c r="CAC3" s="946"/>
      <c r="CAD3" s="946"/>
      <c r="CAE3" s="946"/>
      <c r="CAF3" s="946"/>
      <c r="CAG3" s="946"/>
      <c r="CAH3" s="946"/>
      <c r="CAI3" s="946"/>
      <c r="CAJ3" s="946"/>
      <c r="CAK3" s="946"/>
      <c r="CAL3" s="946"/>
      <c r="CAM3" s="946"/>
      <c r="CAN3" s="946"/>
      <c r="CAO3" s="946"/>
      <c r="CAP3" s="946"/>
      <c r="CAQ3" s="946"/>
      <c r="CAR3" s="946"/>
      <c r="CAS3" s="946"/>
      <c r="CAT3" s="946"/>
      <c r="CAU3" s="946"/>
      <c r="CAV3" s="946"/>
      <c r="CAW3" s="946"/>
      <c r="CAX3" s="946"/>
      <c r="CAY3" s="946"/>
      <c r="CAZ3" s="946"/>
      <c r="CBA3" s="946"/>
      <c r="CBB3" s="946"/>
      <c r="CBC3" s="946"/>
      <c r="CBD3" s="946"/>
      <c r="CBE3" s="946"/>
      <c r="CBF3" s="946"/>
      <c r="CBG3" s="946"/>
      <c r="CBH3" s="946"/>
      <c r="CBI3" s="946"/>
      <c r="CBJ3" s="946"/>
      <c r="CBK3" s="946"/>
      <c r="CBL3" s="946"/>
      <c r="CBM3" s="946"/>
      <c r="CBN3" s="946"/>
      <c r="CBO3" s="946"/>
      <c r="CBP3" s="946"/>
      <c r="CBQ3" s="946"/>
      <c r="CBR3" s="946"/>
      <c r="CBS3" s="946"/>
      <c r="CBT3" s="946"/>
      <c r="CBU3" s="946"/>
      <c r="CBV3" s="946"/>
      <c r="CBW3" s="946"/>
      <c r="CBX3" s="946"/>
      <c r="CBY3" s="946"/>
      <c r="CBZ3" s="946"/>
      <c r="CCA3" s="946"/>
      <c r="CCB3" s="946"/>
      <c r="CCC3" s="946"/>
      <c r="CCD3" s="946"/>
      <c r="CCE3" s="946"/>
      <c r="CCF3" s="946"/>
      <c r="CCG3" s="946"/>
      <c r="CCH3" s="946"/>
      <c r="CCI3" s="946"/>
      <c r="CCJ3" s="946"/>
      <c r="CCK3" s="946"/>
      <c r="CCL3" s="946"/>
      <c r="CCM3" s="946"/>
      <c r="CCN3" s="946"/>
      <c r="CCO3" s="946"/>
      <c r="CCP3" s="946"/>
      <c r="CCQ3" s="946"/>
      <c r="CCR3" s="946"/>
      <c r="CCS3" s="946"/>
      <c r="CCT3" s="946"/>
      <c r="CCU3" s="946"/>
      <c r="CCV3" s="946"/>
      <c r="CCW3" s="946"/>
      <c r="CCX3" s="946"/>
      <c r="CCY3" s="946"/>
      <c r="CCZ3" s="946"/>
      <c r="CDA3" s="946"/>
      <c r="CDB3" s="946"/>
      <c r="CDC3" s="946"/>
      <c r="CDD3" s="946"/>
      <c r="CDE3" s="946"/>
      <c r="CDF3" s="946"/>
      <c r="CDG3" s="946"/>
      <c r="CDH3" s="946"/>
      <c r="CDI3" s="946"/>
      <c r="CDJ3" s="946"/>
      <c r="CDK3" s="946"/>
      <c r="CDL3" s="946"/>
      <c r="CDM3" s="946"/>
      <c r="CDN3" s="946"/>
      <c r="CDO3" s="946"/>
      <c r="CDP3" s="946"/>
      <c r="CDQ3" s="946"/>
      <c r="CDR3" s="946"/>
      <c r="CDS3" s="946"/>
      <c r="CDT3" s="946"/>
      <c r="CDU3" s="946"/>
      <c r="CDV3" s="946"/>
      <c r="CDW3" s="946"/>
      <c r="CDX3" s="946"/>
      <c r="CDY3" s="946"/>
      <c r="CDZ3" s="946"/>
      <c r="CEA3" s="946"/>
      <c r="CEB3" s="946"/>
      <c r="CEC3" s="946"/>
      <c r="CED3" s="946"/>
      <c r="CEE3" s="946"/>
      <c r="CEF3" s="946"/>
      <c r="CEG3" s="946"/>
      <c r="CEH3" s="946"/>
      <c r="CEI3" s="946"/>
      <c r="CEJ3" s="946"/>
      <c r="CEK3" s="946"/>
      <c r="CEL3" s="946"/>
      <c r="CEM3" s="946"/>
      <c r="CEN3" s="946"/>
      <c r="CEO3" s="946"/>
      <c r="CEP3" s="946"/>
      <c r="CEQ3" s="946"/>
      <c r="CER3" s="946"/>
      <c r="CES3" s="946"/>
      <c r="CET3" s="946"/>
      <c r="CEU3" s="946"/>
      <c r="CEV3" s="946"/>
      <c r="CEW3" s="946"/>
      <c r="CEX3" s="946"/>
      <c r="CEY3" s="946"/>
      <c r="CEZ3" s="946"/>
      <c r="CFA3" s="946"/>
      <c r="CFB3" s="946"/>
      <c r="CFC3" s="946"/>
      <c r="CFD3" s="946"/>
      <c r="CFE3" s="946"/>
      <c r="CFF3" s="946"/>
      <c r="CFG3" s="946"/>
      <c r="CFH3" s="946"/>
      <c r="CFI3" s="946"/>
      <c r="CFJ3" s="946"/>
      <c r="CFK3" s="946"/>
      <c r="CFL3" s="946"/>
      <c r="CFM3" s="946"/>
      <c r="CFN3" s="946"/>
      <c r="CFO3" s="946"/>
      <c r="CFP3" s="946"/>
      <c r="CFQ3" s="946"/>
      <c r="CFR3" s="946"/>
      <c r="CFS3" s="946"/>
      <c r="CFT3" s="946"/>
      <c r="CFU3" s="946"/>
      <c r="CFV3" s="946"/>
      <c r="CFW3" s="946"/>
      <c r="CFX3" s="946"/>
      <c r="CFY3" s="946"/>
      <c r="CFZ3" s="946"/>
      <c r="CGA3" s="946"/>
      <c r="CGB3" s="946"/>
      <c r="CGC3" s="946"/>
      <c r="CGD3" s="946"/>
      <c r="CGE3" s="946"/>
      <c r="CGF3" s="946"/>
      <c r="CGG3" s="946"/>
      <c r="CGH3" s="946"/>
      <c r="CGI3" s="946"/>
      <c r="CGJ3" s="946"/>
      <c r="CGK3" s="946"/>
      <c r="CGL3" s="946"/>
      <c r="CGM3" s="946"/>
      <c r="CGN3" s="946"/>
      <c r="CGO3" s="946"/>
      <c r="CGP3" s="946"/>
      <c r="CGQ3" s="946"/>
      <c r="CGR3" s="946"/>
      <c r="CGS3" s="946"/>
      <c r="CGT3" s="946"/>
      <c r="CGU3" s="946"/>
      <c r="CGV3" s="946"/>
      <c r="CGW3" s="946"/>
      <c r="CGX3" s="946"/>
      <c r="CGY3" s="946"/>
      <c r="CGZ3" s="946"/>
      <c r="CHA3" s="946"/>
      <c r="CHB3" s="946"/>
      <c r="CHC3" s="946"/>
      <c r="CHD3" s="946"/>
      <c r="CHE3" s="946"/>
      <c r="CHF3" s="946"/>
      <c r="CHG3" s="946"/>
      <c r="CHH3" s="946"/>
      <c r="CHI3" s="946"/>
      <c r="CHJ3" s="946"/>
      <c r="CHK3" s="946"/>
      <c r="CHL3" s="946"/>
      <c r="CHM3" s="946"/>
      <c r="CHN3" s="946"/>
      <c r="CHO3" s="946"/>
      <c r="CHP3" s="946"/>
      <c r="CHQ3" s="946"/>
      <c r="CHR3" s="946"/>
      <c r="CHS3" s="946"/>
      <c r="CHT3" s="946"/>
      <c r="CHU3" s="946"/>
      <c r="CHV3" s="946"/>
      <c r="CHW3" s="946"/>
      <c r="CHX3" s="946"/>
      <c r="CHY3" s="946"/>
      <c r="CHZ3" s="946"/>
      <c r="CIA3" s="946"/>
      <c r="CIB3" s="946"/>
      <c r="CIC3" s="946"/>
      <c r="CID3" s="946"/>
      <c r="CIE3" s="946"/>
      <c r="CIF3" s="946"/>
      <c r="CIG3" s="946"/>
      <c r="CIH3" s="946"/>
      <c r="CII3" s="946"/>
      <c r="CIJ3" s="946"/>
      <c r="CIK3" s="946"/>
      <c r="CIL3" s="946"/>
      <c r="CIM3" s="946"/>
      <c r="CIN3" s="946"/>
      <c r="CIO3" s="946"/>
      <c r="CIP3" s="946"/>
      <c r="CIQ3" s="946"/>
      <c r="CIR3" s="946"/>
      <c r="CIS3" s="946"/>
      <c r="CIT3" s="946"/>
      <c r="CIU3" s="946"/>
      <c r="CIV3" s="946"/>
      <c r="CIW3" s="946"/>
      <c r="CIX3" s="946"/>
      <c r="CIY3" s="946"/>
      <c r="CIZ3" s="946"/>
      <c r="CJA3" s="946"/>
      <c r="CJB3" s="946"/>
      <c r="CJC3" s="946"/>
      <c r="CJD3" s="946"/>
      <c r="CJE3" s="946"/>
      <c r="CJF3" s="946"/>
      <c r="CJG3" s="946"/>
      <c r="CJH3" s="946"/>
      <c r="CJI3" s="946"/>
      <c r="CJJ3" s="946"/>
      <c r="CJK3" s="946"/>
      <c r="CJL3" s="946"/>
      <c r="CJM3" s="946"/>
      <c r="CJN3" s="946"/>
      <c r="CJO3" s="946"/>
      <c r="CJP3" s="946"/>
      <c r="CJQ3" s="946"/>
      <c r="CJR3" s="946"/>
      <c r="CJS3" s="946"/>
      <c r="CJT3" s="946"/>
      <c r="CJU3" s="946"/>
      <c r="CJV3" s="946"/>
      <c r="CJW3" s="946"/>
      <c r="CJX3" s="946"/>
      <c r="CJY3" s="946"/>
      <c r="CJZ3" s="946"/>
      <c r="CKA3" s="946"/>
      <c r="CKB3" s="946"/>
      <c r="CKC3" s="946"/>
      <c r="CKD3" s="946"/>
      <c r="CKE3" s="946"/>
      <c r="CKF3" s="946"/>
      <c r="CKG3" s="946"/>
      <c r="CKH3" s="946"/>
      <c r="CKI3" s="946"/>
      <c r="CKJ3" s="946"/>
      <c r="CKK3" s="946"/>
      <c r="CKL3" s="946"/>
      <c r="CKM3" s="946"/>
      <c r="CKN3" s="946"/>
      <c r="CKO3" s="946"/>
      <c r="CKP3" s="946"/>
      <c r="CKQ3" s="946"/>
      <c r="CKR3" s="946"/>
      <c r="CKS3" s="946"/>
      <c r="CKT3" s="946"/>
      <c r="CKU3" s="946"/>
      <c r="CKV3" s="946"/>
      <c r="CKW3" s="946"/>
      <c r="CKX3" s="946"/>
      <c r="CKY3" s="946"/>
      <c r="CKZ3" s="946"/>
      <c r="CLA3" s="946"/>
      <c r="CLB3" s="946"/>
      <c r="CLC3" s="946"/>
      <c r="CLD3" s="946"/>
      <c r="CLE3" s="946"/>
      <c r="CLF3" s="946"/>
      <c r="CLG3" s="946"/>
      <c r="CLH3" s="946"/>
      <c r="CLI3" s="946"/>
      <c r="CLJ3" s="946"/>
      <c r="CLK3" s="946"/>
      <c r="CLL3" s="946"/>
      <c r="CLM3" s="946"/>
      <c r="CLN3" s="946"/>
      <c r="CLO3" s="946"/>
      <c r="CLP3" s="946"/>
      <c r="CLQ3" s="946"/>
      <c r="CLR3" s="946"/>
      <c r="CLS3" s="946"/>
      <c r="CLT3" s="946"/>
      <c r="CLU3" s="946"/>
      <c r="CLV3" s="946"/>
      <c r="CLW3" s="946"/>
      <c r="CLX3" s="946"/>
      <c r="CLY3" s="946"/>
      <c r="CLZ3" s="946"/>
      <c r="CMA3" s="946"/>
      <c r="CMB3" s="946"/>
      <c r="CMC3" s="946"/>
      <c r="CMD3" s="946"/>
      <c r="CME3" s="946"/>
      <c r="CMF3" s="946"/>
      <c r="CMG3" s="946"/>
      <c r="CMH3" s="946"/>
      <c r="CMI3" s="946"/>
      <c r="CMJ3" s="946"/>
      <c r="CMK3" s="946"/>
      <c r="CML3" s="946"/>
      <c r="CMM3" s="946"/>
      <c r="CMN3" s="946"/>
      <c r="CMO3" s="946"/>
      <c r="CMP3" s="946"/>
      <c r="CMQ3" s="946"/>
      <c r="CMR3" s="946"/>
      <c r="CMS3" s="946"/>
      <c r="CMT3" s="946"/>
      <c r="CMU3" s="946"/>
      <c r="CMV3" s="946"/>
      <c r="CMW3" s="946"/>
      <c r="CMX3" s="946"/>
      <c r="CMY3" s="946"/>
      <c r="CMZ3" s="946"/>
      <c r="CNA3" s="946"/>
      <c r="CNB3" s="946"/>
      <c r="CNC3" s="946"/>
      <c r="CND3" s="946"/>
      <c r="CNE3" s="946"/>
      <c r="CNF3" s="946"/>
      <c r="CNG3" s="946"/>
      <c r="CNH3" s="946"/>
      <c r="CNI3" s="946"/>
      <c r="CNJ3" s="946"/>
      <c r="CNK3" s="946"/>
      <c r="CNL3" s="946"/>
      <c r="CNM3" s="946"/>
      <c r="CNN3" s="946"/>
      <c r="CNO3" s="946"/>
      <c r="CNP3" s="946"/>
      <c r="CNQ3" s="946"/>
      <c r="CNR3" s="946"/>
      <c r="CNS3" s="946"/>
      <c r="CNT3" s="946"/>
      <c r="CNU3" s="946"/>
      <c r="CNV3" s="946"/>
      <c r="CNW3" s="946"/>
      <c r="CNX3" s="946"/>
      <c r="CNY3" s="946"/>
      <c r="CNZ3" s="946"/>
      <c r="COA3" s="946"/>
      <c r="COB3" s="946"/>
      <c r="COC3" s="946"/>
      <c r="COD3" s="946"/>
      <c r="COE3" s="946"/>
      <c r="COF3" s="946"/>
      <c r="COG3" s="946"/>
      <c r="COH3" s="946"/>
      <c r="COI3" s="946"/>
      <c r="COJ3" s="946"/>
      <c r="COK3" s="946"/>
      <c r="COL3" s="946"/>
      <c r="COM3" s="946"/>
      <c r="CON3" s="946"/>
      <c r="COO3" s="946"/>
      <c r="COP3" s="946"/>
      <c r="COQ3" s="946"/>
      <c r="COR3" s="946"/>
      <c r="COS3" s="946"/>
      <c r="COT3" s="946"/>
      <c r="COU3" s="946"/>
      <c r="COV3" s="946"/>
      <c r="COW3" s="946"/>
      <c r="COX3" s="946"/>
      <c r="COY3" s="946"/>
      <c r="COZ3" s="946"/>
      <c r="CPA3" s="946"/>
      <c r="CPB3" s="946"/>
      <c r="CPC3" s="946"/>
      <c r="CPD3" s="946"/>
      <c r="CPE3" s="946"/>
      <c r="CPF3" s="946"/>
      <c r="CPG3" s="946"/>
      <c r="CPH3" s="946"/>
      <c r="CPI3" s="946"/>
      <c r="CPJ3" s="946"/>
      <c r="CPK3" s="946"/>
      <c r="CPL3" s="946"/>
      <c r="CPM3" s="946"/>
      <c r="CPN3" s="946"/>
      <c r="CPO3" s="946"/>
      <c r="CPP3" s="946"/>
      <c r="CPQ3" s="946"/>
      <c r="CPR3" s="946"/>
      <c r="CPS3" s="946"/>
      <c r="CPT3" s="946"/>
      <c r="CPU3" s="946"/>
      <c r="CPV3" s="946"/>
      <c r="CPW3" s="946"/>
      <c r="CPX3" s="946"/>
      <c r="CPY3" s="946"/>
      <c r="CPZ3" s="946"/>
      <c r="CQA3" s="946"/>
      <c r="CQB3" s="946"/>
      <c r="CQC3" s="946"/>
      <c r="CQD3" s="946"/>
      <c r="CQE3" s="946"/>
      <c r="CQF3" s="946"/>
      <c r="CQG3" s="946"/>
      <c r="CQH3" s="946"/>
      <c r="CQI3" s="946"/>
      <c r="CQJ3" s="946"/>
      <c r="CQK3" s="946"/>
      <c r="CQL3" s="946"/>
      <c r="CQM3" s="946"/>
      <c r="CQN3" s="946"/>
      <c r="CQO3" s="946"/>
      <c r="CQP3" s="946"/>
      <c r="CQQ3" s="946"/>
      <c r="CQR3" s="946"/>
      <c r="CQS3" s="946"/>
      <c r="CQT3" s="946"/>
      <c r="CQU3" s="946"/>
      <c r="CQV3" s="946"/>
      <c r="CQW3" s="946"/>
      <c r="CQX3" s="946"/>
      <c r="CQY3" s="946"/>
      <c r="CQZ3" s="946"/>
      <c r="CRA3" s="946"/>
      <c r="CRB3" s="946"/>
      <c r="CRC3" s="946"/>
      <c r="CRD3" s="946"/>
      <c r="CRE3" s="946"/>
      <c r="CRF3" s="946"/>
      <c r="CRG3" s="946"/>
      <c r="CRH3" s="946"/>
      <c r="CRI3" s="946"/>
      <c r="CRJ3" s="946"/>
      <c r="CRK3" s="946"/>
      <c r="CRL3" s="946"/>
      <c r="CRM3" s="946"/>
      <c r="CRN3" s="946"/>
      <c r="CRO3" s="946"/>
      <c r="CRP3" s="946"/>
      <c r="CRQ3" s="946"/>
      <c r="CRR3" s="946"/>
      <c r="CRS3" s="946"/>
      <c r="CRT3" s="946"/>
      <c r="CRU3" s="946"/>
      <c r="CRV3" s="946"/>
      <c r="CRW3" s="946"/>
      <c r="CRX3" s="946"/>
      <c r="CRY3" s="946"/>
      <c r="CRZ3" s="946"/>
      <c r="CSA3" s="946"/>
      <c r="CSB3" s="946"/>
      <c r="CSC3" s="946"/>
      <c r="CSD3" s="946"/>
      <c r="CSE3" s="946"/>
      <c r="CSF3" s="946"/>
      <c r="CSG3" s="946"/>
      <c r="CSH3" s="946"/>
      <c r="CSI3" s="946"/>
      <c r="CSJ3" s="946"/>
      <c r="CSK3" s="946"/>
      <c r="CSL3" s="946"/>
      <c r="CSM3" s="946"/>
      <c r="CSN3" s="946"/>
      <c r="CSO3" s="946"/>
      <c r="CSP3" s="946"/>
      <c r="CSQ3" s="946"/>
      <c r="CSR3" s="946"/>
      <c r="CSS3" s="946"/>
      <c r="CST3" s="946"/>
      <c r="CSU3" s="946"/>
      <c r="CSV3" s="946"/>
      <c r="CSW3" s="946"/>
      <c r="CSX3" s="946"/>
      <c r="CSY3" s="946"/>
      <c r="CSZ3" s="946"/>
      <c r="CTA3" s="946"/>
      <c r="CTB3" s="946"/>
      <c r="CTC3" s="946"/>
      <c r="CTD3" s="946"/>
      <c r="CTE3" s="946"/>
      <c r="CTF3" s="946"/>
      <c r="CTG3" s="946"/>
      <c r="CTH3" s="946"/>
      <c r="CTI3" s="946"/>
      <c r="CTJ3" s="946"/>
      <c r="CTK3" s="946"/>
      <c r="CTL3" s="946"/>
      <c r="CTM3" s="946"/>
      <c r="CTN3" s="946"/>
      <c r="CTO3" s="946"/>
      <c r="CTP3" s="946"/>
      <c r="CTQ3" s="946"/>
      <c r="CTR3" s="946"/>
      <c r="CTS3" s="946"/>
      <c r="CTT3" s="946"/>
      <c r="CTU3" s="946"/>
      <c r="CTV3" s="946"/>
      <c r="CTW3" s="946"/>
      <c r="CTX3" s="946"/>
      <c r="CTY3" s="946"/>
      <c r="CTZ3" s="946"/>
      <c r="CUA3" s="946"/>
      <c r="CUB3" s="946"/>
      <c r="CUC3" s="946"/>
      <c r="CUD3" s="946"/>
      <c r="CUE3" s="946"/>
      <c r="CUF3" s="946"/>
      <c r="CUG3" s="946"/>
      <c r="CUH3" s="946"/>
      <c r="CUI3" s="946"/>
      <c r="CUJ3" s="946"/>
      <c r="CUK3" s="946"/>
      <c r="CUL3" s="946"/>
      <c r="CUM3" s="946"/>
      <c r="CUN3" s="946"/>
      <c r="CUO3" s="946"/>
      <c r="CUP3" s="946"/>
      <c r="CUQ3" s="946"/>
      <c r="CUR3" s="946"/>
      <c r="CUS3" s="946"/>
      <c r="CUT3" s="946"/>
      <c r="CUU3" s="946"/>
      <c r="CUV3" s="946"/>
      <c r="CUW3" s="946"/>
      <c r="CUX3" s="946"/>
      <c r="CUY3" s="946"/>
      <c r="CUZ3" s="946"/>
      <c r="CVA3" s="946"/>
      <c r="CVB3" s="946"/>
      <c r="CVC3" s="946"/>
      <c r="CVD3" s="946"/>
      <c r="CVE3" s="946"/>
      <c r="CVF3" s="946"/>
      <c r="CVG3" s="946"/>
      <c r="CVH3" s="946"/>
      <c r="CVI3" s="946"/>
      <c r="CVJ3" s="946"/>
      <c r="CVK3" s="946"/>
      <c r="CVL3" s="946"/>
      <c r="CVM3" s="946"/>
      <c r="CVN3" s="946"/>
      <c r="CVO3" s="946"/>
      <c r="CVP3" s="946"/>
      <c r="CVQ3" s="946"/>
      <c r="CVR3" s="946"/>
      <c r="CVS3" s="946"/>
      <c r="CVT3" s="946"/>
      <c r="CVU3" s="946"/>
      <c r="CVV3" s="946"/>
      <c r="CVW3" s="946"/>
      <c r="CVX3" s="946"/>
      <c r="CVY3" s="946"/>
      <c r="CVZ3" s="946"/>
      <c r="CWA3" s="946"/>
      <c r="CWB3" s="946"/>
      <c r="CWC3" s="946"/>
      <c r="CWD3" s="946"/>
      <c r="CWE3" s="946"/>
      <c r="CWF3" s="946"/>
      <c r="CWG3" s="946"/>
      <c r="CWH3" s="946"/>
      <c r="CWI3" s="946"/>
      <c r="CWJ3" s="946"/>
      <c r="CWK3" s="946"/>
      <c r="CWL3" s="946"/>
      <c r="CWM3" s="946"/>
      <c r="CWN3" s="946"/>
      <c r="CWO3" s="946"/>
      <c r="CWP3" s="946"/>
      <c r="CWQ3" s="946"/>
      <c r="CWR3" s="946"/>
      <c r="CWS3" s="946"/>
      <c r="CWT3" s="946"/>
      <c r="CWU3" s="946"/>
      <c r="CWV3" s="946"/>
      <c r="CWW3" s="946"/>
      <c r="CWX3" s="946"/>
      <c r="CWY3" s="946"/>
      <c r="CWZ3" s="946"/>
      <c r="CXA3" s="946"/>
      <c r="CXB3" s="946"/>
      <c r="CXC3" s="946"/>
      <c r="CXD3" s="946"/>
      <c r="CXE3" s="946"/>
      <c r="CXF3" s="946"/>
      <c r="CXG3" s="946"/>
      <c r="CXH3" s="946"/>
      <c r="CXI3" s="946"/>
      <c r="CXJ3" s="946"/>
      <c r="CXK3" s="946"/>
      <c r="CXL3" s="946"/>
      <c r="CXM3" s="946"/>
      <c r="CXN3" s="946"/>
      <c r="CXO3" s="946"/>
      <c r="CXP3" s="946"/>
      <c r="CXQ3" s="946"/>
      <c r="CXR3" s="946"/>
      <c r="CXS3" s="946"/>
      <c r="CXT3" s="946"/>
      <c r="CXU3" s="946"/>
      <c r="CXV3" s="946"/>
      <c r="CXW3" s="946"/>
      <c r="CXX3" s="946"/>
      <c r="CXY3" s="946"/>
      <c r="CXZ3" s="946"/>
      <c r="CYA3" s="946"/>
      <c r="CYB3" s="946"/>
      <c r="CYC3" s="946"/>
      <c r="CYD3" s="946"/>
      <c r="CYE3" s="946"/>
      <c r="CYF3" s="946"/>
      <c r="CYG3" s="946"/>
      <c r="CYH3" s="946"/>
      <c r="CYI3" s="946"/>
      <c r="CYJ3" s="946"/>
      <c r="CYK3" s="946"/>
      <c r="CYL3" s="946"/>
      <c r="CYM3" s="946"/>
      <c r="CYN3" s="946"/>
      <c r="CYO3" s="946"/>
      <c r="CYP3" s="946"/>
      <c r="CYQ3" s="946"/>
      <c r="CYR3" s="946"/>
      <c r="CYS3" s="946"/>
      <c r="CYT3" s="946"/>
      <c r="CYU3" s="946"/>
      <c r="CYV3" s="946"/>
      <c r="CYW3" s="946"/>
      <c r="CYX3" s="946"/>
      <c r="CYY3" s="946"/>
      <c r="CYZ3" s="946"/>
      <c r="CZA3" s="946"/>
      <c r="CZB3" s="946"/>
      <c r="CZC3" s="946"/>
      <c r="CZD3" s="946"/>
      <c r="CZE3" s="946"/>
      <c r="CZF3" s="946"/>
      <c r="CZG3" s="946"/>
      <c r="CZH3" s="946"/>
      <c r="CZI3" s="946"/>
      <c r="CZJ3" s="946"/>
      <c r="CZK3" s="946"/>
      <c r="CZL3" s="946"/>
      <c r="CZM3" s="946"/>
      <c r="CZN3" s="946"/>
      <c r="CZO3" s="946"/>
      <c r="CZP3" s="946"/>
      <c r="CZQ3" s="946"/>
      <c r="CZR3" s="946"/>
      <c r="CZS3" s="946"/>
      <c r="CZT3" s="946"/>
      <c r="CZU3" s="946"/>
      <c r="CZV3" s="946"/>
      <c r="CZW3" s="946"/>
      <c r="CZX3" s="946"/>
      <c r="CZY3" s="946"/>
      <c r="CZZ3" s="946"/>
      <c r="DAA3" s="946"/>
      <c r="DAB3" s="946"/>
      <c r="DAC3" s="946"/>
      <c r="DAD3" s="946"/>
      <c r="DAE3" s="946"/>
      <c r="DAF3" s="946"/>
      <c r="DAG3" s="946"/>
      <c r="DAH3" s="946"/>
      <c r="DAI3" s="946"/>
      <c r="DAJ3" s="946"/>
      <c r="DAK3" s="946"/>
      <c r="DAL3" s="946"/>
      <c r="DAM3" s="946"/>
      <c r="DAN3" s="946"/>
      <c r="DAO3" s="946"/>
      <c r="DAP3" s="946"/>
      <c r="DAQ3" s="946"/>
      <c r="DAR3" s="946"/>
      <c r="DAS3" s="946"/>
      <c r="DAT3" s="946"/>
      <c r="DAU3" s="946"/>
      <c r="DAV3" s="946"/>
      <c r="DAW3" s="946"/>
      <c r="DAX3" s="946"/>
      <c r="DAY3" s="946"/>
      <c r="DAZ3" s="946"/>
      <c r="DBA3" s="946"/>
      <c r="DBB3" s="946"/>
      <c r="DBC3" s="946"/>
      <c r="DBD3" s="946"/>
      <c r="DBE3" s="946"/>
      <c r="DBF3" s="946"/>
      <c r="DBG3" s="946"/>
      <c r="DBH3" s="946"/>
      <c r="DBI3" s="946"/>
      <c r="DBJ3" s="946"/>
      <c r="DBK3" s="946"/>
      <c r="DBL3" s="946"/>
      <c r="DBM3" s="946"/>
      <c r="DBN3" s="946"/>
      <c r="DBO3" s="946"/>
      <c r="DBP3" s="946"/>
      <c r="DBQ3" s="946"/>
      <c r="DBR3" s="946"/>
      <c r="DBS3" s="946"/>
      <c r="DBT3" s="946"/>
      <c r="DBU3" s="946"/>
      <c r="DBV3" s="946"/>
      <c r="DBW3" s="946"/>
      <c r="DBX3" s="946"/>
      <c r="DBY3" s="946"/>
      <c r="DBZ3" s="946"/>
      <c r="DCA3" s="946"/>
      <c r="DCB3" s="946"/>
      <c r="DCC3" s="946"/>
      <c r="DCD3" s="946"/>
      <c r="DCE3" s="946"/>
      <c r="DCF3" s="946"/>
      <c r="DCG3" s="946"/>
      <c r="DCH3" s="946"/>
      <c r="DCI3" s="946"/>
      <c r="DCJ3" s="946"/>
      <c r="DCK3" s="946"/>
      <c r="DCL3" s="946"/>
      <c r="DCM3" s="946"/>
      <c r="DCN3" s="946"/>
      <c r="DCO3" s="946"/>
      <c r="DCP3" s="946"/>
      <c r="DCQ3" s="946"/>
      <c r="DCR3" s="946"/>
      <c r="DCS3" s="946"/>
      <c r="DCT3" s="946"/>
      <c r="DCU3" s="946"/>
      <c r="DCV3" s="946"/>
      <c r="DCW3" s="946"/>
      <c r="DCX3" s="946"/>
      <c r="DCY3" s="946"/>
      <c r="DCZ3" s="946"/>
      <c r="DDA3" s="946"/>
      <c r="DDB3" s="946"/>
      <c r="DDC3" s="946"/>
      <c r="DDD3" s="946"/>
      <c r="DDE3" s="946"/>
      <c r="DDF3" s="946"/>
      <c r="DDG3" s="946"/>
      <c r="DDH3" s="946"/>
      <c r="DDI3" s="946"/>
      <c r="DDJ3" s="946"/>
      <c r="DDK3" s="946"/>
      <c r="DDL3" s="946"/>
      <c r="DDM3" s="946"/>
      <c r="DDN3" s="946"/>
      <c r="DDO3" s="946"/>
      <c r="DDP3" s="946"/>
      <c r="DDQ3" s="946"/>
      <c r="DDR3" s="946"/>
      <c r="DDS3" s="946"/>
      <c r="DDT3" s="946"/>
      <c r="DDU3" s="946"/>
      <c r="DDV3" s="946"/>
      <c r="DDW3" s="946"/>
      <c r="DDX3" s="946"/>
      <c r="DDY3" s="946"/>
      <c r="DDZ3" s="946"/>
      <c r="DEA3" s="946"/>
      <c r="DEB3" s="946"/>
      <c r="DEC3" s="946"/>
      <c r="DED3" s="946"/>
      <c r="DEE3" s="946"/>
      <c r="DEF3" s="946"/>
      <c r="DEG3" s="946"/>
      <c r="DEH3" s="946"/>
      <c r="DEI3" s="946"/>
      <c r="DEJ3" s="946"/>
      <c r="DEK3" s="946"/>
      <c r="DEL3" s="946"/>
      <c r="DEM3" s="946"/>
      <c r="DEN3" s="946"/>
      <c r="DEO3" s="946"/>
      <c r="DEP3" s="946"/>
      <c r="DEQ3" s="946"/>
      <c r="DER3" s="946"/>
      <c r="DES3" s="946"/>
      <c r="DET3" s="946"/>
      <c r="DEU3" s="946"/>
      <c r="DEV3" s="946"/>
      <c r="DEW3" s="946"/>
      <c r="DEX3" s="946"/>
      <c r="DEY3" s="946"/>
      <c r="DEZ3" s="946"/>
      <c r="DFA3" s="946"/>
      <c r="DFB3" s="946"/>
      <c r="DFC3" s="946"/>
      <c r="DFD3" s="946"/>
      <c r="DFE3" s="946"/>
      <c r="DFF3" s="946"/>
      <c r="DFG3" s="946"/>
      <c r="DFH3" s="946"/>
      <c r="DFI3" s="946"/>
      <c r="DFJ3" s="946"/>
      <c r="DFK3" s="946"/>
      <c r="DFL3" s="946"/>
      <c r="DFM3" s="946"/>
      <c r="DFN3" s="946"/>
      <c r="DFO3" s="946"/>
      <c r="DFP3" s="946"/>
      <c r="DFQ3" s="946"/>
      <c r="DFR3" s="946"/>
      <c r="DFS3" s="946"/>
      <c r="DFT3" s="946"/>
      <c r="DFU3" s="946"/>
      <c r="DFV3" s="946"/>
      <c r="DFW3" s="946"/>
      <c r="DFX3" s="946"/>
      <c r="DFY3" s="946"/>
      <c r="DFZ3" s="946"/>
      <c r="DGA3" s="946"/>
      <c r="DGB3" s="946"/>
      <c r="DGC3" s="946"/>
      <c r="DGD3" s="946"/>
      <c r="DGE3" s="946"/>
      <c r="DGF3" s="946"/>
      <c r="DGG3" s="946"/>
      <c r="DGH3" s="946"/>
      <c r="DGI3" s="946"/>
      <c r="DGJ3" s="946"/>
      <c r="DGK3" s="946"/>
      <c r="DGL3" s="946"/>
      <c r="DGM3" s="946"/>
      <c r="DGN3" s="946"/>
      <c r="DGO3" s="946"/>
      <c r="DGP3" s="946"/>
      <c r="DGQ3" s="946"/>
      <c r="DGR3" s="946"/>
      <c r="DGS3" s="946"/>
      <c r="DGT3" s="946"/>
      <c r="DGU3" s="946"/>
      <c r="DGV3" s="946"/>
      <c r="DGW3" s="946"/>
      <c r="DGX3" s="946"/>
      <c r="DGY3" s="946"/>
      <c r="DGZ3" s="946"/>
      <c r="DHA3" s="946"/>
      <c r="DHB3" s="946"/>
      <c r="DHC3" s="946"/>
      <c r="DHD3" s="946"/>
      <c r="DHE3" s="946"/>
      <c r="DHF3" s="946"/>
      <c r="DHG3" s="946"/>
      <c r="DHH3" s="946"/>
      <c r="DHI3" s="946"/>
      <c r="DHJ3" s="946"/>
      <c r="DHK3" s="946"/>
      <c r="DHL3" s="946"/>
      <c r="DHM3" s="946"/>
      <c r="DHN3" s="946"/>
      <c r="DHO3" s="946"/>
      <c r="DHP3" s="946"/>
      <c r="DHQ3" s="946"/>
      <c r="DHR3" s="946"/>
      <c r="DHS3" s="946"/>
      <c r="DHT3" s="946"/>
      <c r="DHU3" s="946"/>
      <c r="DHV3" s="946"/>
      <c r="DHW3" s="946"/>
      <c r="DHX3" s="946"/>
      <c r="DHY3" s="946"/>
      <c r="DHZ3" s="946"/>
      <c r="DIA3" s="946"/>
      <c r="DIB3" s="946"/>
      <c r="DIC3" s="946"/>
      <c r="DID3" s="946"/>
      <c r="DIE3" s="946"/>
      <c r="DIF3" s="946"/>
      <c r="DIG3" s="946"/>
      <c r="DIH3" s="946"/>
      <c r="DII3" s="946"/>
      <c r="DIJ3" s="946"/>
      <c r="DIK3" s="946"/>
      <c r="DIL3" s="946"/>
      <c r="DIM3" s="946"/>
      <c r="DIN3" s="946"/>
      <c r="DIO3" s="946"/>
      <c r="DIP3" s="946"/>
      <c r="DIQ3" s="946"/>
      <c r="DIR3" s="946"/>
      <c r="DIS3" s="946"/>
      <c r="DIT3" s="946"/>
      <c r="DIU3" s="946"/>
      <c r="DIV3" s="946"/>
      <c r="DIW3" s="946"/>
      <c r="DIX3" s="946"/>
      <c r="DIY3" s="946"/>
      <c r="DIZ3" s="946"/>
      <c r="DJA3" s="946"/>
      <c r="DJB3" s="946"/>
      <c r="DJC3" s="946"/>
      <c r="DJD3" s="946"/>
      <c r="DJE3" s="946"/>
      <c r="DJF3" s="946"/>
      <c r="DJG3" s="946"/>
      <c r="DJH3" s="946"/>
      <c r="DJI3" s="946"/>
      <c r="DJJ3" s="946"/>
      <c r="DJK3" s="946"/>
      <c r="DJL3" s="946"/>
      <c r="DJM3" s="946"/>
      <c r="DJN3" s="946"/>
      <c r="DJO3" s="946"/>
      <c r="DJP3" s="946"/>
      <c r="DJQ3" s="946"/>
      <c r="DJR3" s="946"/>
      <c r="DJS3" s="946"/>
      <c r="DJT3" s="946"/>
      <c r="DJU3" s="946"/>
      <c r="DJV3" s="946"/>
      <c r="DJW3" s="946"/>
      <c r="DJX3" s="946"/>
      <c r="DJY3" s="946"/>
      <c r="DJZ3" s="946"/>
      <c r="DKA3" s="946"/>
      <c r="DKB3" s="946"/>
      <c r="DKC3" s="946"/>
      <c r="DKD3" s="946"/>
      <c r="DKE3" s="946"/>
      <c r="DKF3" s="946"/>
      <c r="DKG3" s="946"/>
      <c r="DKH3" s="946"/>
      <c r="DKI3" s="946"/>
      <c r="DKJ3" s="946"/>
      <c r="DKK3" s="946"/>
      <c r="DKL3" s="946"/>
      <c r="DKM3" s="946"/>
      <c r="DKN3" s="946"/>
      <c r="DKO3" s="946"/>
      <c r="DKP3" s="946"/>
      <c r="DKQ3" s="946"/>
      <c r="DKR3" s="946"/>
      <c r="DKS3" s="946"/>
      <c r="DKT3" s="946"/>
      <c r="DKU3" s="946"/>
      <c r="DKV3" s="946"/>
      <c r="DKW3" s="946"/>
      <c r="DKX3" s="946"/>
      <c r="DKY3" s="946"/>
      <c r="DKZ3" s="946"/>
      <c r="DLA3" s="946"/>
      <c r="DLB3" s="946"/>
      <c r="DLC3" s="946"/>
      <c r="DLD3" s="946"/>
      <c r="DLE3" s="946"/>
      <c r="DLF3" s="946"/>
      <c r="DLG3" s="946"/>
      <c r="DLH3" s="946"/>
      <c r="DLI3" s="946"/>
      <c r="DLJ3" s="946"/>
      <c r="DLK3" s="946"/>
      <c r="DLL3" s="946"/>
      <c r="DLM3" s="946"/>
      <c r="DLN3" s="946"/>
      <c r="DLO3" s="946"/>
      <c r="DLP3" s="946"/>
      <c r="DLQ3" s="946"/>
      <c r="DLR3" s="946"/>
      <c r="DLS3" s="946"/>
      <c r="DLT3" s="946"/>
      <c r="DLU3" s="946"/>
      <c r="DLV3" s="946"/>
      <c r="DLW3" s="946"/>
      <c r="DLX3" s="946"/>
      <c r="DLY3" s="946"/>
      <c r="DLZ3" s="946"/>
      <c r="DMA3" s="946"/>
      <c r="DMB3" s="946"/>
      <c r="DMC3" s="946"/>
      <c r="DMD3" s="946"/>
      <c r="DME3" s="946"/>
      <c r="DMF3" s="946"/>
      <c r="DMG3" s="946"/>
      <c r="DMH3" s="946"/>
      <c r="DMI3" s="946"/>
      <c r="DMJ3" s="946"/>
      <c r="DMK3" s="946"/>
      <c r="DML3" s="946"/>
      <c r="DMM3" s="946"/>
      <c r="DMN3" s="946"/>
      <c r="DMO3" s="946"/>
      <c r="DMP3" s="946"/>
      <c r="DMQ3" s="946"/>
      <c r="DMR3" s="946"/>
      <c r="DMS3" s="946"/>
      <c r="DMT3" s="946"/>
      <c r="DMU3" s="946"/>
      <c r="DMV3" s="946"/>
      <c r="DMW3" s="946"/>
      <c r="DMX3" s="946"/>
      <c r="DMY3" s="946"/>
      <c r="DMZ3" s="946"/>
      <c r="DNA3" s="946"/>
      <c r="DNB3" s="946"/>
      <c r="DNC3" s="946"/>
      <c r="DND3" s="946"/>
      <c r="DNE3" s="946"/>
      <c r="DNF3" s="946"/>
      <c r="DNG3" s="946"/>
      <c r="DNH3" s="946"/>
      <c r="DNI3" s="946"/>
      <c r="DNJ3" s="946"/>
      <c r="DNK3" s="946"/>
      <c r="DNL3" s="946"/>
      <c r="DNM3" s="946"/>
      <c r="DNN3" s="946"/>
      <c r="DNO3" s="946"/>
      <c r="DNP3" s="946"/>
      <c r="DNQ3" s="946"/>
      <c r="DNR3" s="946"/>
      <c r="DNS3" s="946"/>
      <c r="DNT3" s="946"/>
      <c r="DNU3" s="946"/>
      <c r="DNV3" s="946"/>
      <c r="DNW3" s="946"/>
      <c r="DNX3" s="946"/>
      <c r="DNY3" s="946"/>
      <c r="DNZ3" s="946"/>
      <c r="DOA3" s="946"/>
      <c r="DOB3" s="946"/>
      <c r="DOC3" s="946"/>
      <c r="DOD3" s="946"/>
      <c r="DOE3" s="946"/>
      <c r="DOF3" s="946"/>
      <c r="DOG3" s="946"/>
      <c r="DOH3" s="946"/>
      <c r="DOI3" s="946"/>
      <c r="DOJ3" s="946"/>
      <c r="DOK3" s="946"/>
      <c r="DOL3" s="946"/>
      <c r="DOM3" s="946"/>
      <c r="DON3" s="946"/>
      <c r="DOO3" s="946"/>
      <c r="DOP3" s="946"/>
      <c r="DOQ3" s="946"/>
      <c r="DOR3" s="946"/>
      <c r="DOS3" s="946"/>
      <c r="DOT3" s="946"/>
      <c r="DOU3" s="946"/>
      <c r="DOV3" s="946"/>
      <c r="DOW3" s="946"/>
      <c r="DOX3" s="946"/>
      <c r="DOY3" s="946"/>
      <c r="DOZ3" s="946"/>
      <c r="DPA3" s="946"/>
      <c r="DPB3" s="946"/>
      <c r="DPC3" s="946"/>
      <c r="DPD3" s="946"/>
      <c r="DPE3" s="946"/>
      <c r="DPF3" s="946"/>
      <c r="DPG3" s="946"/>
      <c r="DPH3" s="946"/>
      <c r="DPI3" s="946"/>
      <c r="DPJ3" s="946"/>
      <c r="DPK3" s="946"/>
      <c r="DPL3" s="946"/>
      <c r="DPM3" s="946"/>
      <c r="DPN3" s="946"/>
      <c r="DPO3" s="946"/>
      <c r="DPP3" s="946"/>
      <c r="DPQ3" s="946"/>
      <c r="DPR3" s="946"/>
      <c r="DPS3" s="946"/>
      <c r="DPT3" s="946"/>
      <c r="DPU3" s="946"/>
      <c r="DPV3" s="946"/>
      <c r="DPW3" s="946"/>
      <c r="DPX3" s="946"/>
      <c r="DPY3" s="946"/>
      <c r="DPZ3" s="946"/>
      <c r="DQA3" s="946"/>
      <c r="DQB3" s="946"/>
      <c r="DQC3" s="946"/>
      <c r="DQD3" s="946"/>
      <c r="DQE3" s="946"/>
      <c r="DQF3" s="946"/>
      <c r="DQG3" s="946"/>
      <c r="DQH3" s="946"/>
      <c r="DQI3" s="946"/>
      <c r="DQJ3" s="946"/>
      <c r="DQK3" s="946"/>
      <c r="DQL3" s="946"/>
      <c r="DQM3" s="946"/>
      <c r="DQN3" s="946"/>
      <c r="DQO3" s="946"/>
      <c r="DQP3" s="946"/>
      <c r="DQQ3" s="946"/>
      <c r="DQR3" s="946"/>
      <c r="DQS3" s="946"/>
      <c r="DQT3" s="946"/>
      <c r="DQU3" s="946"/>
      <c r="DQV3" s="946"/>
      <c r="DQW3" s="946"/>
      <c r="DQX3" s="946"/>
      <c r="DQY3" s="946"/>
      <c r="DQZ3" s="946"/>
      <c r="DRA3" s="946"/>
      <c r="DRB3" s="946"/>
      <c r="DRC3" s="946"/>
      <c r="DRD3" s="946"/>
      <c r="DRE3" s="946"/>
      <c r="DRF3" s="946"/>
      <c r="DRG3" s="946"/>
      <c r="DRH3" s="946"/>
      <c r="DRI3" s="946"/>
      <c r="DRJ3" s="946"/>
      <c r="DRK3" s="946"/>
      <c r="DRL3" s="946"/>
      <c r="DRM3" s="946"/>
      <c r="DRN3" s="946"/>
      <c r="DRO3" s="946"/>
      <c r="DRP3" s="946"/>
      <c r="DRQ3" s="946"/>
      <c r="DRR3" s="946"/>
      <c r="DRS3" s="946"/>
      <c r="DRT3" s="946"/>
      <c r="DRU3" s="946"/>
      <c r="DRV3" s="946"/>
      <c r="DRW3" s="946"/>
      <c r="DRX3" s="946"/>
      <c r="DRY3" s="946"/>
      <c r="DRZ3" s="946"/>
      <c r="DSA3" s="946"/>
      <c r="DSB3" s="946"/>
      <c r="DSC3" s="946"/>
      <c r="DSD3" s="946"/>
      <c r="DSE3" s="946"/>
      <c r="DSF3" s="946"/>
      <c r="DSG3" s="946"/>
      <c r="DSH3" s="946"/>
      <c r="DSI3" s="946"/>
      <c r="DSJ3" s="946"/>
      <c r="DSK3" s="946"/>
      <c r="DSL3" s="946"/>
      <c r="DSM3" s="946"/>
      <c r="DSN3" s="946"/>
      <c r="DSO3" s="946"/>
      <c r="DSP3" s="946"/>
      <c r="DSQ3" s="946"/>
      <c r="DSR3" s="946"/>
      <c r="DSS3" s="946"/>
      <c r="DST3" s="946"/>
      <c r="DSU3" s="946"/>
      <c r="DSV3" s="946"/>
      <c r="DSW3" s="946"/>
      <c r="DSX3" s="946"/>
      <c r="DSY3" s="946"/>
      <c r="DSZ3" s="946"/>
      <c r="DTA3" s="946"/>
      <c r="DTB3" s="946"/>
      <c r="DTC3" s="946"/>
      <c r="DTD3" s="946"/>
      <c r="DTE3" s="946"/>
      <c r="DTF3" s="946"/>
      <c r="DTG3" s="946"/>
      <c r="DTH3" s="946"/>
      <c r="DTI3" s="946"/>
      <c r="DTJ3" s="946"/>
      <c r="DTK3" s="946"/>
      <c r="DTL3" s="946"/>
      <c r="DTM3" s="946"/>
      <c r="DTN3" s="946"/>
      <c r="DTO3" s="946"/>
      <c r="DTP3" s="946"/>
      <c r="DTQ3" s="946"/>
      <c r="DTR3" s="946"/>
      <c r="DTS3" s="946"/>
      <c r="DTT3" s="946"/>
      <c r="DTU3" s="946"/>
      <c r="DTV3" s="946"/>
      <c r="DTW3" s="946"/>
      <c r="DTX3" s="946"/>
      <c r="DTY3" s="946"/>
      <c r="DTZ3" s="946"/>
      <c r="DUA3" s="946"/>
      <c r="DUB3" s="946"/>
      <c r="DUC3" s="946"/>
      <c r="DUD3" s="946"/>
      <c r="DUE3" s="946"/>
      <c r="DUF3" s="946"/>
      <c r="DUG3" s="946"/>
      <c r="DUH3" s="946"/>
      <c r="DUI3" s="946"/>
      <c r="DUJ3" s="946"/>
      <c r="DUK3" s="946"/>
      <c r="DUL3" s="946"/>
      <c r="DUM3" s="946"/>
      <c r="DUN3" s="946"/>
      <c r="DUO3" s="946"/>
      <c r="DUP3" s="946"/>
      <c r="DUQ3" s="946"/>
      <c r="DUR3" s="946"/>
      <c r="DUS3" s="946"/>
      <c r="DUT3" s="946"/>
      <c r="DUU3" s="946"/>
      <c r="DUV3" s="946"/>
      <c r="DUW3" s="946"/>
      <c r="DUX3" s="946"/>
      <c r="DUY3" s="946"/>
      <c r="DUZ3" s="946"/>
      <c r="DVA3" s="946"/>
      <c r="DVB3" s="946"/>
      <c r="DVC3" s="946"/>
      <c r="DVD3" s="946"/>
      <c r="DVE3" s="946"/>
      <c r="DVF3" s="946"/>
      <c r="DVG3" s="946"/>
      <c r="DVH3" s="946"/>
      <c r="DVI3" s="946"/>
      <c r="DVJ3" s="946"/>
      <c r="DVK3" s="946"/>
      <c r="DVL3" s="946"/>
      <c r="DVM3" s="946"/>
      <c r="DVN3" s="946"/>
      <c r="DVO3" s="946"/>
      <c r="DVP3" s="946"/>
      <c r="DVQ3" s="946"/>
      <c r="DVR3" s="946"/>
      <c r="DVS3" s="946"/>
      <c r="DVT3" s="946"/>
      <c r="DVU3" s="946"/>
      <c r="DVV3" s="946"/>
      <c r="DVW3" s="946"/>
      <c r="DVX3" s="946"/>
      <c r="DVY3" s="946"/>
      <c r="DVZ3" s="946"/>
      <c r="DWA3" s="946"/>
      <c r="DWB3" s="946"/>
      <c r="DWC3" s="946"/>
      <c r="DWD3" s="946"/>
      <c r="DWE3" s="946"/>
      <c r="DWF3" s="946"/>
      <c r="DWG3" s="946"/>
      <c r="DWH3" s="946"/>
      <c r="DWI3" s="946"/>
      <c r="DWJ3" s="946"/>
      <c r="DWK3" s="946"/>
      <c r="DWL3" s="946"/>
      <c r="DWM3" s="946"/>
      <c r="DWN3" s="946"/>
      <c r="DWO3" s="946"/>
      <c r="DWP3" s="946"/>
      <c r="DWQ3" s="946"/>
      <c r="DWR3" s="946"/>
      <c r="DWS3" s="946"/>
      <c r="DWT3" s="946"/>
      <c r="DWU3" s="946"/>
      <c r="DWV3" s="946"/>
      <c r="DWW3" s="946"/>
      <c r="DWX3" s="946"/>
      <c r="DWY3" s="946"/>
      <c r="DWZ3" s="946"/>
      <c r="DXA3" s="946"/>
      <c r="DXB3" s="946"/>
      <c r="DXC3" s="946"/>
      <c r="DXD3" s="946"/>
      <c r="DXE3" s="946"/>
      <c r="DXF3" s="946"/>
      <c r="DXG3" s="946"/>
      <c r="DXH3" s="946"/>
      <c r="DXI3" s="946"/>
      <c r="DXJ3" s="946"/>
      <c r="DXK3" s="946"/>
      <c r="DXL3" s="946"/>
      <c r="DXM3" s="946"/>
      <c r="DXN3" s="946"/>
      <c r="DXO3" s="946"/>
      <c r="DXP3" s="946"/>
      <c r="DXQ3" s="946"/>
      <c r="DXR3" s="946"/>
      <c r="DXS3" s="946"/>
      <c r="DXT3" s="946"/>
      <c r="DXU3" s="946"/>
      <c r="DXV3" s="946"/>
      <c r="DXW3" s="946"/>
      <c r="DXX3" s="946"/>
      <c r="DXY3" s="946"/>
      <c r="DXZ3" s="946"/>
      <c r="DYA3" s="946"/>
      <c r="DYB3" s="946"/>
      <c r="DYC3" s="946"/>
      <c r="DYD3" s="946"/>
      <c r="DYE3" s="946"/>
      <c r="DYF3" s="946"/>
      <c r="DYG3" s="946"/>
      <c r="DYH3" s="946"/>
      <c r="DYI3" s="946"/>
      <c r="DYJ3" s="946"/>
      <c r="DYK3" s="946"/>
      <c r="DYL3" s="946"/>
      <c r="DYM3" s="946"/>
      <c r="DYN3" s="946"/>
      <c r="DYO3" s="946"/>
      <c r="DYP3" s="946"/>
      <c r="DYQ3" s="946"/>
      <c r="DYR3" s="946"/>
      <c r="DYS3" s="946"/>
      <c r="DYT3" s="946"/>
      <c r="DYU3" s="946"/>
      <c r="DYV3" s="946"/>
      <c r="DYW3" s="946"/>
      <c r="DYX3" s="946"/>
      <c r="DYY3" s="946"/>
      <c r="DYZ3" s="946"/>
      <c r="DZA3" s="946"/>
      <c r="DZB3" s="946"/>
      <c r="DZC3" s="946"/>
      <c r="DZD3" s="946"/>
      <c r="DZE3" s="946"/>
      <c r="DZF3" s="946"/>
      <c r="DZG3" s="946"/>
      <c r="DZH3" s="946"/>
      <c r="DZI3" s="946"/>
      <c r="DZJ3" s="946"/>
      <c r="DZK3" s="946"/>
      <c r="DZL3" s="946"/>
      <c r="DZM3" s="946"/>
      <c r="DZN3" s="946"/>
      <c r="DZO3" s="946"/>
      <c r="DZP3" s="946"/>
      <c r="DZQ3" s="946"/>
      <c r="DZR3" s="946"/>
      <c r="DZS3" s="946"/>
      <c r="DZT3" s="946"/>
      <c r="DZU3" s="946"/>
      <c r="DZV3" s="946"/>
      <c r="DZW3" s="946"/>
      <c r="DZX3" s="946"/>
      <c r="DZY3" s="946"/>
      <c r="DZZ3" s="946"/>
      <c r="EAA3" s="946"/>
      <c r="EAB3" s="946"/>
      <c r="EAC3" s="946"/>
      <c r="EAD3" s="946"/>
      <c r="EAE3" s="946"/>
      <c r="EAF3" s="946"/>
      <c r="EAG3" s="946"/>
      <c r="EAH3" s="946"/>
      <c r="EAI3" s="946"/>
      <c r="EAJ3" s="946"/>
      <c r="EAK3" s="946"/>
      <c r="EAL3" s="946"/>
      <c r="EAM3" s="946"/>
      <c r="EAN3" s="946"/>
      <c r="EAO3" s="946"/>
      <c r="EAP3" s="946"/>
      <c r="EAQ3" s="946"/>
      <c r="EAR3" s="946"/>
      <c r="EAS3" s="946"/>
      <c r="EAT3" s="946"/>
      <c r="EAU3" s="946"/>
      <c r="EAV3" s="946"/>
      <c r="EAW3" s="946"/>
      <c r="EAX3" s="946"/>
      <c r="EAY3" s="946"/>
      <c r="EAZ3" s="946"/>
      <c r="EBA3" s="946"/>
      <c r="EBB3" s="946"/>
      <c r="EBC3" s="946"/>
      <c r="EBD3" s="946"/>
      <c r="EBE3" s="946"/>
      <c r="EBF3" s="946"/>
      <c r="EBG3" s="946"/>
      <c r="EBH3" s="946"/>
      <c r="EBI3" s="946"/>
      <c r="EBJ3" s="946"/>
      <c r="EBK3" s="946"/>
      <c r="EBL3" s="946"/>
      <c r="EBM3" s="946"/>
      <c r="EBN3" s="946"/>
      <c r="EBO3" s="946"/>
      <c r="EBP3" s="946"/>
      <c r="EBQ3" s="946"/>
      <c r="EBR3" s="946"/>
      <c r="EBS3" s="946"/>
      <c r="EBT3" s="946"/>
      <c r="EBU3" s="946"/>
      <c r="EBV3" s="946"/>
      <c r="EBW3" s="946"/>
      <c r="EBX3" s="946"/>
      <c r="EBY3" s="946"/>
      <c r="EBZ3" s="946"/>
      <c r="ECA3" s="946"/>
      <c r="ECB3" s="946"/>
      <c r="ECC3" s="946"/>
      <c r="ECD3" s="946"/>
      <c r="ECE3" s="946"/>
      <c r="ECF3" s="946"/>
      <c r="ECG3" s="946"/>
      <c r="ECH3" s="946"/>
      <c r="ECI3" s="946"/>
      <c r="ECJ3" s="946"/>
      <c r="ECK3" s="946"/>
      <c r="ECL3" s="946"/>
      <c r="ECM3" s="946"/>
      <c r="ECN3" s="946"/>
      <c r="ECO3" s="946"/>
      <c r="ECP3" s="946"/>
      <c r="ECQ3" s="946"/>
      <c r="ECR3" s="946"/>
      <c r="ECS3" s="946"/>
      <c r="ECT3" s="946"/>
      <c r="ECU3" s="946"/>
      <c r="ECV3" s="946"/>
      <c r="ECW3" s="946"/>
      <c r="ECX3" s="946"/>
      <c r="ECY3" s="946"/>
      <c r="ECZ3" s="946"/>
      <c r="EDA3" s="946"/>
      <c r="EDB3" s="946"/>
      <c r="EDC3" s="946"/>
      <c r="EDD3" s="946"/>
      <c r="EDE3" s="946"/>
      <c r="EDF3" s="946"/>
      <c r="EDG3" s="946"/>
      <c r="EDH3" s="946"/>
      <c r="EDI3" s="946"/>
      <c r="EDJ3" s="946"/>
      <c r="EDK3" s="946"/>
      <c r="EDL3" s="946"/>
      <c r="EDM3" s="946"/>
      <c r="EDN3" s="946"/>
      <c r="EDO3" s="946"/>
      <c r="EDP3" s="946"/>
      <c r="EDQ3" s="946"/>
      <c r="EDR3" s="946"/>
      <c r="EDS3" s="946"/>
      <c r="EDT3" s="946"/>
      <c r="EDU3" s="946"/>
      <c r="EDV3" s="946"/>
      <c r="EDW3" s="946"/>
      <c r="EDX3" s="946"/>
      <c r="EDY3" s="946"/>
      <c r="EDZ3" s="946"/>
      <c r="EEA3" s="946"/>
      <c r="EEB3" s="946"/>
      <c r="EEC3" s="946"/>
      <c r="EED3" s="946"/>
      <c r="EEE3" s="946"/>
      <c r="EEF3" s="946"/>
      <c r="EEG3" s="946"/>
      <c r="EEH3" s="946"/>
      <c r="EEI3" s="946"/>
      <c r="EEJ3" s="946"/>
      <c r="EEK3" s="946"/>
      <c r="EEL3" s="946"/>
      <c r="EEM3" s="946"/>
      <c r="EEN3" s="946"/>
      <c r="EEO3" s="946"/>
      <c r="EEP3" s="946"/>
      <c r="EEQ3" s="946"/>
      <c r="EER3" s="946"/>
      <c r="EES3" s="946"/>
      <c r="EET3" s="946"/>
      <c r="EEU3" s="946"/>
      <c r="EEV3" s="946"/>
      <c r="EEW3" s="946"/>
      <c r="EEX3" s="946"/>
      <c r="EEY3" s="946"/>
      <c r="EEZ3" s="946"/>
      <c r="EFA3" s="946"/>
      <c r="EFB3" s="946"/>
      <c r="EFC3" s="946"/>
      <c r="EFD3" s="946"/>
      <c r="EFE3" s="946"/>
      <c r="EFF3" s="946"/>
      <c r="EFG3" s="946"/>
      <c r="EFH3" s="946"/>
      <c r="EFI3" s="946"/>
      <c r="EFJ3" s="946"/>
      <c r="EFK3" s="946"/>
      <c r="EFL3" s="946"/>
      <c r="EFM3" s="946"/>
      <c r="EFN3" s="946"/>
      <c r="EFO3" s="946"/>
      <c r="EFP3" s="946"/>
      <c r="EFQ3" s="946"/>
      <c r="EFR3" s="946"/>
      <c r="EFS3" s="946"/>
      <c r="EFT3" s="946"/>
      <c r="EFU3" s="946"/>
      <c r="EFV3" s="946"/>
      <c r="EFW3" s="946"/>
      <c r="EFX3" s="946"/>
      <c r="EFY3" s="946"/>
      <c r="EFZ3" s="946"/>
      <c r="EGA3" s="946"/>
      <c r="EGB3" s="946"/>
      <c r="EGC3" s="946"/>
      <c r="EGD3" s="946"/>
      <c r="EGE3" s="946"/>
      <c r="EGF3" s="946"/>
      <c r="EGG3" s="946"/>
      <c r="EGH3" s="946"/>
      <c r="EGI3" s="946"/>
      <c r="EGJ3" s="946"/>
      <c r="EGK3" s="946"/>
      <c r="EGL3" s="946"/>
      <c r="EGM3" s="946"/>
      <c r="EGN3" s="946"/>
      <c r="EGO3" s="946"/>
      <c r="EGP3" s="946"/>
      <c r="EGQ3" s="946"/>
      <c r="EGR3" s="946"/>
      <c r="EGS3" s="946"/>
      <c r="EGT3" s="946"/>
      <c r="EGU3" s="946"/>
      <c r="EGV3" s="946"/>
      <c r="EGW3" s="946"/>
      <c r="EGX3" s="946"/>
      <c r="EGY3" s="946"/>
      <c r="EGZ3" s="946"/>
      <c r="EHA3" s="946"/>
      <c r="EHB3" s="946"/>
      <c r="EHC3" s="946"/>
      <c r="EHD3" s="946"/>
      <c r="EHE3" s="946"/>
      <c r="EHF3" s="946"/>
      <c r="EHG3" s="946"/>
      <c r="EHH3" s="946"/>
      <c r="EHI3" s="946"/>
      <c r="EHJ3" s="946"/>
      <c r="EHK3" s="946"/>
      <c r="EHL3" s="946"/>
      <c r="EHM3" s="946"/>
      <c r="EHN3" s="946"/>
      <c r="EHO3" s="946"/>
      <c r="EHP3" s="946"/>
      <c r="EHQ3" s="946"/>
      <c r="EHR3" s="946"/>
      <c r="EHS3" s="946"/>
      <c r="EHT3" s="946"/>
      <c r="EHU3" s="946"/>
      <c r="EHV3" s="946"/>
      <c r="EHW3" s="946"/>
      <c r="EHX3" s="946"/>
      <c r="EHY3" s="946"/>
      <c r="EHZ3" s="946"/>
      <c r="EIA3" s="946"/>
      <c r="EIB3" s="946"/>
      <c r="EIC3" s="946"/>
      <c r="EID3" s="946"/>
      <c r="EIE3" s="946"/>
      <c r="EIF3" s="946"/>
      <c r="EIG3" s="946"/>
      <c r="EIH3" s="946"/>
      <c r="EII3" s="946"/>
      <c r="EIJ3" s="946"/>
      <c r="EIK3" s="946"/>
      <c r="EIL3" s="946"/>
      <c r="EIM3" s="946"/>
      <c r="EIN3" s="946"/>
      <c r="EIO3" s="946"/>
      <c r="EIP3" s="946"/>
      <c r="EIQ3" s="946"/>
      <c r="EIR3" s="946"/>
      <c r="EIS3" s="946"/>
      <c r="EIT3" s="946"/>
      <c r="EIU3" s="946"/>
      <c r="EIV3" s="946"/>
      <c r="EIW3" s="946"/>
      <c r="EIX3" s="946"/>
      <c r="EIY3" s="946"/>
      <c r="EIZ3" s="946"/>
      <c r="EJA3" s="946"/>
      <c r="EJB3" s="946"/>
      <c r="EJC3" s="946"/>
      <c r="EJD3" s="946"/>
      <c r="EJE3" s="946"/>
      <c r="EJF3" s="946"/>
      <c r="EJG3" s="946"/>
      <c r="EJH3" s="946"/>
      <c r="EJI3" s="946"/>
      <c r="EJJ3" s="946"/>
      <c r="EJK3" s="946"/>
      <c r="EJL3" s="946"/>
      <c r="EJM3" s="946"/>
      <c r="EJN3" s="946"/>
      <c r="EJO3" s="946"/>
      <c r="EJP3" s="946"/>
      <c r="EJQ3" s="946"/>
      <c r="EJR3" s="946"/>
      <c r="EJS3" s="946"/>
      <c r="EJT3" s="946"/>
      <c r="EJU3" s="946"/>
      <c r="EJV3" s="946"/>
      <c r="EJW3" s="946"/>
      <c r="EJX3" s="946"/>
      <c r="EJY3" s="946"/>
      <c r="EJZ3" s="946"/>
      <c r="EKA3" s="946"/>
      <c r="EKB3" s="946"/>
      <c r="EKC3" s="946"/>
      <c r="EKD3" s="946"/>
      <c r="EKE3" s="946"/>
      <c r="EKF3" s="946"/>
      <c r="EKG3" s="946"/>
      <c r="EKH3" s="946"/>
      <c r="EKI3" s="946"/>
      <c r="EKJ3" s="946"/>
      <c r="EKK3" s="946"/>
      <c r="EKL3" s="946"/>
      <c r="EKM3" s="946"/>
      <c r="EKN3" s="946"/>
      <c r="EKO3" s="946"/>
      <c r="EKP3" s="946"/>
      <c r="EKQ3" s="946"/>
      <c r="EKR3" s="946"/>
      <c r="EKS3" s="946"/>
      <c r="EKT3" s="946"/>
      <c r="EKU3" s="946"/>
      <c r="EKV3" s="946"/>
      <c r="EKW3" s="946"/>
      <c r="EKX3" s="946"/>
      <c r="EKY3" s="946"/>
      <c r="EKZ3" s="946"/>
      <c r="ELA3" s="946"/>
      <c r="ELB3" s="946"/>
      <c r="ELC3" s="946"/>
      <c r="ELD3" s="946"/>
      <c r="ELE3" s="946"/>
      <c r="ELF3" s="946"/>
      <c r="ELG3" s="946"/>
      <c r="ELH3" s="946"/>
      <c r="ELI3" s="946"/>
      <c r="ELJ3" s="946"/>
      <c r="ELK3" s="946"/>
      <c r="ELL3" s="946"/>
      <c r="ELM3" s="946"/>
      <c r="ELN3" s="946"/>
      <c r="ELO3" s="946"/>
      <c r="ELP3" s="946"/>
      <c r="ELQ3" s="946"/>
      <c r="ELR3" s="946"/>
      <c r="ELS3" s="946"/>
      <c r="ELT3" s="946"/>
      <c r="ELU3" s="946"/>
      <c r="ELV3" s="946"/>
      <c r="ELW3" s="946"/>
      <c r="ELX3" s="946"/>
      <c r="ELY3" s="946"/>
      <c r="ELZ3" s="946"/>
      <c r="EMA3" s="946"/>
      <c r="EMB3" s="946"/>
      <c r="EMC3" s="946"/>
      <c r="EMD3" s="946"/>
      <c r="EME3" s="946"/>
      <c r="EMF3" s="946"/>
      <c r="EMG3" s="946"/>
      <c r="EMH3" s="946"/>
      <c r="EMI3" s="946"/>
      <c r="EMJ3" s="946"/>
      <c r="EMK3" s="946"/>
      <c r="EML3" s="946"/>
      <c r="EMM3" s="946"/>
      <c r="EMN3" s="946"/>
      <c r="EMO3" s="946"/>
      <c r="EMP3" s="946"/>
      <c r="EMQ3" s="946"/>
      <c r="EMR3" s="946"/>
      <c r="EMS3" s="946"/>
      <c r="EMT3" s="946"/>
      <c r="EMU3" s="946"/>
      <c r="EMV3" s="946"/>
      <c r="EMW3" s="946"/>
      <c r="EMX3" s="946"/>
      <c r="EMY3" s="946"/>
      <c r="EMZ3" s="946"/>
      <c r="ENA3" s="946"/>
      <c r="ENB3" s="946"/>
      <c r="ENC3" s="946"/>
      <c r="END3" s="946"/>
      <c r="ENE3" s="946"/>
      <c r="ENF3" s="946"/>
      <c r="ENG3" s="946"/>
      <c r="ENH3" s="946"/>
      <c r="ENI3" s="946"/>
      <c r="ENJ3" s="946"/>
      <c r="ENK3" s="946"/>
      <c r="ENL3" s="946"/>
      <c r="ENM3" s="946"/>
      <c r="ENN3" s="946"/>
      <c r="ENO3" s="946"/>
      <c r="ENP3" s="946"/>
      <c r="ENQ3" s="946"/>
      <c r="ENR3" s="946"/>
      <c r="ENS3" s="946"/>
      <c r="ENT3" s="946"/>
      <c r="ENU3" s="946"/>
      <c r="ENV3" s="946"/>
      <c r="ENW3" s="946"/>
      <c r="ENX3" s="946"/>
      <c r="ENY3" s="946"/>
      <c r="ENZ3" s="946"/>
      <c r="EOA3" s="946"/>
      <c r="EOB3" s="946"/>
      <c r="EOC3" s="946"/>
      <c r="EOD3" s="946"/>
      <c r="EOE3" s="946"/>
      <c r="EOF3" s="946"/>
      <c r="EOG3" s="946"/>
      <c r="EOH3" s="946"/>
      <c r="EOI3" s="946"/>
      <c r="EOJ3" s="946"/>
      <c r="EOK3" s="946"/>
      <c r="EOL3" s="946"/>
      <c r="EOM3" s="946"/>
      <c r="EON3" s="946"/>
      <c r="EOO3" s="946"/>
      <c r="EOP3" s="946"/>
      <c r="EOQ3" s="946"/>
      <c r="EOR3" s="946"/>
      <c r="EOS3" s="946"/>
      <c r="EOT3" s="946"/>
      <c r="EOU3" s="946"/>
      <c r="EOV3" s="946"/>
      <c r="EOW3" s="946"/>
      <c r="EOX3" s="946"/>
      <c r="EOY3" s="946"/>
      <c r="EOZ3" s="946"/>
      <c r="EPA3" s="946"/>
      <c r="EPB3" s="946"/>
      <c r="EPC3" s="946"/>
      <c r="EPD3" s="946"/>
      <c r="EPE3" s="946"/>
      <c r="EPF3" s="946"/>
      <c r="EPG3" s="946"/>
      <c r="EPH3" s="946"/>
      <c r="EPI3" s="946"/>
      <c r="EPJ3" s="946"/>
      <c r="EPK3" s="946"/>
      <c r="EPL3" s="946"/>
      <c r="EPM3" s="946"/>
      <c r="EPN3" s="946"/>
      <c r="EPO3" s="946"/>
      <c r="EPP3" s="946"/>
      <c r="EPQ3" s="946"/>
      <c r="EPR3" s="946"/>
      <c r="EPS3" s="946"/>
      <c r="EPT3" s="946"/>
      <c r="EPU3" s="946"/>
      <c r="EPV3" s="946"/>
      <c r="EPW3" s="946"/>
      <c r="EPX3" s="946"/>
      <c r="EPY3" s="946"/>
      <c r="EPZ3" s="946"/>
      <c r="EQA3" s="946"/>
      <c r="EQB3" s="946"/>
      <c r="EQC3" s="946"/>
      <c r="EQD3" s="946"/>
      <c r="EQE3" s="946"/>
      <c r="EQF3" s="946"/>
      <c r="EQG3" s="946"/>
      <c r="EQH3" s="946"/>
      <c r="EQI3" s="946"/>
      <c r="EQJ3" s="946"/>
      <c r="EQK3" s="946"/>
      <c r="EQL3" s="946"/>
      <c r="EQM3" s="946"/>
      <c r="EQN3" s="946"/>
      <c r="EQO3" s="946"/>
      <c r="EQP3" s="946"/>
      <c r="EQQ3" s="946"/>
      <c r="EQR3" s="946"/>
      <c r="EQS3" s="946"/>
      <c r="EQT3" s="946"/>
      <c r="EQU3" s="946"/>
      <c r="EQV3" s="946"/>
      <c r="EQW3" s="946"/>
      <c r="EQX3" s="946"/>
      <c r="EQY3" s="946"/>
      <c r="EQZ3" s="946"/>
      <c r="ERA3" s="946"/>
      <c r="ERB3" s="946"/>
      <c r="ERC3" s="946"/>
      <c r="ERD3" s="946"/>
      <c r="ERE3" s="946"/>
      <c r="ERF3" s="946"/>
      <c r="ERG3" s="946"/>
      <c r="ERH3" s="946"/>
      <c r="ERI3" s="946"/>
      <c r="ERJ3" s="946"/>
      <c r="ERK3" s="946"/>
      <c r="ERL3" s="946"/>
      <c r="ERM3" s="946"/>
      <c r="ERN3" s="946"/>
      <c r="ERO3" s="946"/>
      <c r="ERP3" s="946"/>
      <c r="ERQ3" s="946"/>
      <c r="ERR3" s="946"/>
      <c r="ERS3" s="946"/>
      <c r="ERT3" s="946"/>
      <c r="ERU3" s="946"/>
      <c r="ERV3" s="946"/>
      <c r="ERW3" s="946"/>
      <c r="ERX3" s="946"/>
      <c r="ERY3" s="946"/>
      <c r="ERZ3" s="946"/>
      <c r="ESA3" s="946"/>
      <c r="ESB3" s="946"/>
      <c r="ESC3" s="946"/>
      <c r="ESD3" s="946"/>
      <c r="ESE3" s="946"/>
      <c r="ESF3" s="946"/>
      <c r="ESG3" s="946"/>
      <c r="ESH3" s="946"/>
      <c r="ESI3" s="946"/>
      <c r="ESJ3" s="946"/>
      <c r="ESK3" s="946"/>
      <c r="ESL3" s="946"/>
      <c r="ESM3" s="946"/>
      <c r="ESN3" s="946"/>
      <c r="ESO3" s="946"/>
      <c r="ESP3" s="946"/>
      <c r="ESQ3" s="946"/>
      <c r="ESR3" s="946"/>
      <c r="ESS3" s="946"/>
      <c r="EST3" s="946"/>
      <c r="ESU3" s="946"/>
      <c r="ESV3" s="946"/>
      <c r="ESW3" s="946"/>
      <c r="ESX3" s="946"/>
      <c r="ESY3" s="946"/>
      <c r="ESZ3" s="946"/>
      <c r="ETA3" s="946"/>
      <c r="ETB3" s="946"/>
      <c r="ETC3" s="946"/>
      <c r="ETD3" s="946"/>
      <c r="ETE3" s="946"/>
      <c r="ETF3" s="946"/>
      <c r="ETG3" s="946"/>
      <c r="ETH3" s="946"/>
      <c r="ETI3" s="946"/>
      <c r="ETJ3" s="946"/>
      <c r="ETK3" s="946"/>
      <c r="ETL3" s="946"/>
      <c r="ETM3" s="946"/>
      <c r="ETN3" s="946"/>
      <c r="ETO3" s="946"/>
      <c r="ETP3" s="946"/>
      <c r="ETQ3" s="946"/>
      <c r="ETR3" s="946"/>
      <c r="ETS3" s="946"/>
      <c r="ETT3" s="946"/>
      <c r="ETU3" s="946"/>
      <c r="ETV3" s="946"/>
      <c r="ETW3" s="946"/>
      <c r="ETX3" s="946"/>
      <c r="ETY3" s="946"/>
      <c r="ETZ3" s="946"/>
      <c r="EUA3" s="946"/>
      <c r="EUB3" s="946"/>
      <c r="EUC3" s="946"/>
      <c r="EUD3" s="946"/>
      <c r="EUE3" s="946"/>
      <c r="EUF3" s="946"/>
      <c r="EUG3" s="946"/>
      <c r="EUH3" s="946"/>
      <c r="EUI3" s="946"/>
      <c r="EUJ3" s="946"/>
      <c r="EUK3" s="946"/>
      <c r="EUL3" s="946"/>
      <c r="EUM3" s="946"/>
      <c r="EUN3" s="946"/>
      <c r="EUO3" s="946"/>
      <c r="EUP3" s="946"/>
      <c r="EUQ3" s="946"/>
      <c r="EUR3" s="946"/>
      <c r="EUS3" s="946"/>
      <c r="EUT3" s="946"/>
      <c r="EUU3" s="946"/>
      <c r="EUV3" s="946"/>
      <c r="EUW3" s="946"/>
      <c r="EUX3" s="946"/>
      <c r="EUY3" s="946"/>
      <c r="EUZ3" s="946"/>
      <c r="EVA3" s="946"/>
      <c r="EVB3" s="946"/>
      <c r="EVC3" s="946"/>
      <c r="EVD3" s="946"/>
      <c r="EVE3" s="946"/>
      <c r="EVF3" s="946"/>
      <c r="EVG3" s="946"/>
      <c r="EVH3" s="946"/>
      <c r="EVI3" s="946"/>
      <c r="EVJ3" s="946"/>
      <c r="EVK3" s="946"/>
      <c r="EVL3" s="946"/>
      <c r="EVM3" s="946"/>
      <c r="EVN3" s="946"/>
      <c r="EVO3" s="946"/>
      <c r="EVP3" s="946"/>
      <c r="EVQ3" s="946"/>
      <c r="EVR3" s="946"/>
      <c r="EVS3" s="946"/>
      <c r="EVT3" s="946"/>
      <c r="EVU3" s="946"/>
      <c r="EVV3" s="946"/>
      <c r="EVW3" s="946"/>
      <c r="EVX3" s="946"/>
      <c r="EVY3" s="946"/>
      <c r="EVZ3" s="946"/>
      <c r="EWA3" s="946"/>
      <c r="EWB3" s="946"/>
      <c r="EWC3" s="946"/>
      <c r="EWD3" s="946"/>
      <c r="EWE3" s="946"/>
      <c r="EWF3" s="946"/>
      <c r="EWG3" s="946"/>
      <c r="EWH3" s="946"/>
      <c r="EWI3" s="946"/>
      <c r="EWJ3" s="946"/>
      <c r="EWK3" s="946"/>
      <c r="EWL3" s="946"/>
      <c r="EWM3" s="946"/>
      <c r="EWN3" s="946"/>
      <c r="EWO3" s="946"/>
      <c r="EWP3" s="946"/>
      <c r="EWQ3" s="946"/>
      <c r="EWR3" s="946"/>
      <c r="EWS3" s="946"/>
      <c r="EWT3" s="946"/>
      <c r="EWU3" s="946"/>
      <c r="EWV3" s="946"/>
      <c r="EWW3" s="946"/>
      <c r="EWX3" s="946"/>
      <c r="EWY3" s="946"/>
      <c r="EWZ3" s="946"/>
      <c r="EXA3" s="946"/>
      <c r="EXB3" s="946"/>
      <c r="EXC3" s="946"/>
      <c r="EXD3" s="946"/>
      <c r="EXE3" s="946"/>
      <c r="EXF3" s="946"/>
      <c r="EXG3" s="946"/>
      <c r="EXH3" s="946"/>
      <c r="EXI3" s="946"/>
      <c r="EXJ3" s="946"/>
      <c r="EXK3" s="946"/>
      <c r="EXL3" s="946"/>
      <c r="EXM3" s="946"/>
      <c r="EXN3" s="946"/>
      <c r="EXO3" s="946"/>
      <c r="EXP3" s="946"/>
      <c r="EXQ3" s="946"/>
      <c r="EXR3" s="946"/>
      <c r="EXS3" s="946"/>
      <c r="EXT3" s="946"/>
      <c r="EXU3" s="946"/>
      <c r="EXV3" s="946"/>
      <c r="EXW3" s="946"/>
      <c r="EXX3" s="946"/>
      <c r="EXY3" s="946"/>
      <c r="EXZ3" s="946"/>
      <c r="EYA3" s="946"/>
      <c r="EYB3" s="946"/>
      <c r="EYC3" s="946"/>
      <c r="EYD3" s="946"/>
      <c r="EYE3" s="946"/>
      <c r="EYF3" s="946"/>
      <c r="EYG3" s="946"/>
      <c r="EYH3" s="946"/>
      <c r="EYI3" s="946"/>
      <c r="EYJ3" s="946"/>
      <c r="EYK3" s="946"/>
      <c r="EYL3" s="946"/>
      <c r="EYM3" s="946"/>
      <c r="EYN3" s="946"/>
      <c r="EYO3" s="946"/>
      <c r="EYP3" s="946"/>
      <c r="EYQ3" s="946"/>
      <c r="EYR3" s="946"/>
      <c r="EYS3" s="946"/>
      <c r="EYT3" s="946"/>
      <c r="EYU3" s="946"/>
      <c r="EYV3" s="946"/>
      <c r="EYW3" s="946"/>
      <c r="EYX3" s="946"/>
      <c r="EYY3" s="946"/>
      <c r="EYZ3" s="946"/>
      <c r="EZA3" s="946"/>
      <c r="EZB3" s="946"/>
      <c r="EZC3" s="946"/>
      <c r="EZD3" s="946"/>
      <c r="EZE3" s="946"/>
      <c r="EZF3" s="946"/>
      <c r="EZG3" s="946"/>
      <c r="EZH3" s="946"/>
      <c r="EZI3" s="946"/>
      <c r="EZJ3" s="946"/>
      <c r="EZK3" s="946"/>
      <c r="EZL3" s="946"/>
      <c r="EZM3" s="946"/>
      <c r="EZN3" s="946"/>
      <c r="EZO3" s="946"/>
      <c r="EZP3" s="946"/>
      <c r="EZQ3" s="946"/>
      <c r="EZR3" s="946"/>
      <c r="EZS3" s="946"/>
      <c r="EZT3" s="946"/>
      <c r="EZU3" s="946"/>
      <c r="EZV3" s="946"/>
      <c r="EZW3" s="946"/>
      <c r="EZX3" s="946"/>
      <c r="EZY3" s="946"/>
      <c r="EZZ3" s="946"/>
      <c r="FAA3" s="946"/>
      <c r="FAB3" s="946"/>
      <c r="FAC3" s="946"/>
      <c r="FAD3" s="946"/>
      <c r="FAE3" s="946"/>
      <c r="FAF3" s="946"/>
      <c r="FAG3" s="946"/>
      <c r="FAH3" s="946"/>
      <c r="FAI3" s="946"/>
      <c r="FAJ3" s="946"/>
      <c r="FAK3" s="946"/>
      <c r="FAL3" s="946"/>
      <c r="FAM3" s="946"/>
      <c r="FAN3" s="946"/>
      <c r="FAO3" s="946"/>
      <c r="FAP3" s="946"/>
      <c r="FAQ3" s="946"/>
      <c r="FAR3" s="946"/>
      <c r="FAS3" s="946"/>
      <c r="FAT3" s="946"/>
      <c r="FAU3" s="946"/>
      <c r="FAV3" s="946"/>
      <c r="FAW3" s="946"/>
      <c r="FAX3" s="946"/>
      <c r="FAY3" s="946"/>
      <c r="FAZ3" s="946"/>
      <c r="FBA3" s="946"/>
      <c r="FBB3" s="946"/>
      <c r="FBC3" s="946"/>
      <c r="FBD3" s="946"/>
      <c r="FBE3" s="946"/>
      <c r="FBF3" s="946"/>
      <c r="FBG3" s="946"/>
      <c r="FBH3" s="946"/>
      <c r="FBI3" s="946"/>
      <c r="FBJ3" s="946"/>
      <c r="FBK3" s="946"/>
      <c r="FBL3" s="946"/>
      <c r="FBM3" s="946"/>
      <c r="FBN3" s="946"/>
      <c r="FBO3" s="946"/>
      <c r="FBP3" s="946"/>
      <c r="FBQ3" s="946"/>
      <c r="FBR3" s="946"/>
      <c r="FBS3" s="946"/>
      <c r="FBT3" s="946"/>
      <c r="FBU3" s="946"/>
      <c r="FBV3" s="946"/>
      <c r="FBW3" s="946"/>
      <c r="FBX3" s="946"/>
      <c r="FBY3" s="946"/>
      <c r="FBZ3" s="946"/>
      <c r="FCA3" s="946"/>
      <c r="FCB3" s="946"/>
      <c r="FCC3" s="946"/>
      <c r="FCD3" s="946"/>
      <c r="FCE3" s="946"/>
      <c r="FCF3" s="946"/>
      <c r="FCG3" s="946"/>
      <c r="FCH3" s="946"/>
      <c r="FCI3" s="946"/>
      <c r="FCJ3" s="946"/>
      <c r="FCK3" s="946"/>
      <c r="FCL3" s="946"/>
      <c r="FCM3" s="946"/>
      <c r="FCN3" s="946"/>
      <c r="FCO3" s="946"/>
      <c r="FCP3" s="946"/>
      <c r="FCQ3" s="946"/>
      <c r="FCR3" s="946"/>
      <c r="FCS3" s="946"/>
      <c r="FCT3" s="946"/>
      <c r="FCU3" s="946"/>
      <c r="FCV3" s="946"/>
      <c r="FCW3" s="946"/>
      <c r="FCX3" s="946"/>
      <c r="FCY3" s="946"/>
      <c r="FCZ3" s="946"/>
      <c r="FDA3" s="946"/>
      <c r="FDB3" s="946"/>
      <c r="FDC3" s="946"/>
      <c r="FDD3" s="946"/>
      <c r="FDE3" s="946"/>
      <c r="FDF3" s="946"/>
      <c r="FDG3" s="946"/>
      <c r="FDH3" s="946"/>
      <c r="FDI3" s="946"/>
      <c r="FDJ3" s="946"/>
      <c r="FDK3" s="946"/>
      <c r="FDL3" s="946"/>
      <c r="FDM3" s="946"/>
      <c r="FDN3" s="946"/>
      <c r="FDO3" s="946"/>
      <c r="FDP3" s="946"/>
      <c r="FDQ3" s="946"/>
      <c r="FDR3" s="946"/>
      <c r="FDS3" s="946"/>
      <c r="FDT3" s="946"/>
      <c r="FDU3" s="946"/>
      <c r="FDV3" s="946"/>
      <c r="FDW3" s="946"/>
      <c r="FDX3" s="946"/>
      <c r="FDY3" s="946"/>
      <c r="FDZ3" s="946"/>
      <c r="FEA3" s="946"/>
      <c r="FEB3" s="946"/>
      <c r="FEC3" s="946"/>
      <c r="FED3" s="946"/>
      <c r="FEE3" s="946"/>
      <c r="FEF3" s="946"/>
      <c r="FEG3" s="946"/>
      <c r="FEH3" s="946"/>
      <c r="FEI3" s="946"/>
      <c r="FEJ3" s="946"/>
      <c r="FEK3" s="946"/>
      <c r="FEL3" s="946"/>
      <c r="FEM3" s="946"/>
      <c r="FEN3" s="946"/>
      <c r="FEO3" s="946"/>
      <c r="FEP3" s="946"/>
      <c r="FEQ3" s="946"/>
      <c r="FER3" s="946"/>
      <c r="FES3" s="946"/>
      <c r="FET3" s="946"/>
      <c r="FEU3" s="946"/>
      <c r="FEV3" s="946"/>
      <c r="FEW3" s="946"/>
      <c r="FEX3" s="946"/>
      <c r="FEY3" s="946"/>
      <c r="FEZ3" s="946"/>
      <c r="FFA3" s="946"/>
      <c r="FFB3" s="946"/>
      <c r="FFC3" s="946"/>
      <c r="FFD3" s="946"/>
      <c r="FFE3" s="946"/>
      <c r="FFF3" s="946"/>
      <c r="FFG3" s="946"/>
      <c r="FFH3" s="946"/>
      <c r="FFI3" s="946"/>
      <c r="FFJ3" s="946"/>
      <c r="FFK3" s="946"/>
      <c r="FFL3" s="946"/>
      <c r="FFM3" s="946"/>
      <c r="FFN3" s="946"/>
      <c r="FFO3" s="946"/>
      <c r="FFP3" s="946"/>
      <c r="FFQ3" s="946"/>
      <c r="FFR3" s="946"/>
      <c r="FFS3" s="946"/>
      <c r="FFT3" s="946"/>
      <c r="FFU3" s="946"/>
      <c r="FFV3" s="946"/>
      <c r="FFW3" s="946"/>
      <c r="FFX3" s="946"/>
      <c r="FFY3" s="946"/>
      <c r="FFZ3" s="946"/>
      <c r="FGA3" s="946"/>
      <c r="FGB3" s="946"/>
      <c r="FGC3" s="946"/>
      <c r="FGD3" s="946"/>
      <c r="FGE3" s="946"/>
      <c r="FGF3" s="946"/>
      <c r="FGG3" s="946"/>
      <c r="FGH3" s="946"/>
      <c r="FGI3" s="946"/>
      <c r="FGJ3" s="946"/>
      <c r="FGK3" s="946"/>
      <c r="FGL3" s="946"/>
      <c r="FGM3" s="946"/>
      <c r="FGN3" s="946"/>
      <c r="FGO3" s="946"/>
      <c r="FGP3" s="946"/>
      <c r="FGQ3" s="946"/>
      <c r="FGR3" s="946"/>
      <c r="FGS3" s="946"/>
      <c r="FGT3" s="946"/>
      <c r="FGU3" s="946"/>
      <c r="FGV3" s="946"/>
      <c r="FGW3" s="946"/>
      <c r="FGX3" s="946"/>
      <c r="FGY3" s="946"/>
      <c r="FGZ3" s="946"/>
      <c r="FHA3" s="946"/>
      <c r="FHB3" s="946"/>
      <c r="FHC3" s="946"/>
      <c r="FHD3" s="946"/>
      <c r="FHE3" s="946"/>
      <c r="FHF3" s="946"/>
      <c r="FHG3" s="946"/>
      <c r="FHH3" s="946"/>
      <c r="FHI3" s="946"/>
      <c r="FHJ3" s="946"/>
      <c r="FHK3" s="946"/>
      <c r="FHL3" s="946"/>
      <c r="FHM3" s="946"/>
      <c r="FHN3" s="946"/>
      <c r="FHO3" s="946"/>
      <c r="FHP3" s="946"/>
      <c r="FHQ3" s="946"/>
      <c r="FHR3" s="946"/>
      <c r="FHS3" s="946"/>
      <c r="FHT3" s="946"/>
      <c r="FHU3" s="946"/>
      <c r="FHV3" s="946"/>
      <c r="FHW3" s="946"/>
      <c r="FHX3" s="946"/>
      <c r="FHY3" s="946"/>
      <c r="FHZ3" s="946"/>
      <c r="FIA3" s="946"/>
      <c r="FIB3" s="946"/>
      <c r="FIC3" s="946"/>
      <c r="FID3" s="946"/>
      <c r="FIE3" s="946"/>
      <c r="FIF3" s="946"/>
      <c r="FIG3" s="946"/>
      <c r="FIH3" s="946"/>
      <c r="FII3" s="946"/>
      <c r="FIJ3" s="946"/>
      <c r="FIK3" s="946"/>
      <c r="FIL3" s="946"/>
      <c r="FIM3" s="946"/>
      <c r="FIN3" s="946"/>
      <c r="FIO3" s="946"/>
      <c r="FIP3" s="946"/>
      <c r="FIQ3" s="946"/>
      <c r="FIR3" s="946"/>
      <c r="FIS3" s="946"/>
      <c r="FIT3" s="946"/>
      <c r="FIU3" s="946"/>
      <c r="FIV3" s="946"/>
      <c r="FIW3" s="946"/>
      <c r="FIX3" s="946"/>
      <c r="FIY3" s="946"/>
      <c r="FIZ3" s="946"/>
      <c r="FJA3" s="946"/>
      <c r="FJB3" s="946"/>
      <c r="FJC3" s="946"/>
      <c r="FJD3" s="946"/>
      <c r="FJE3" s="946"/>
      <c r="FJF3" s="946"/>
      <c r="FJG3" s="946"/>
      <c r="FJH3" s="946"/>
      <c r="FJI3" s="946"/>
      <c r="FJJ3" s="946"/>
      <c r="FJK3" s="946"/>
      <c r="FJL3" s="946"/>
      <c r="FJM3" s="946"/>
      <c r="FJN3" s="946"/>
      <c r="FJO3" s="946"/>
      <c r="FJP3" s="946"/>
      <c r="FJQ3" s="946"/>
      <c r="FJR3" s="946"/>
      <c r="FJS3" s="946"/>
      <c r="FJT3" s="946"/>
      <c r="FJU3" s="946"/>
      <c r="FJV3" s="946"/>
      <c r="FJW3" s="946"/>
      <c r="FJX3" s="946"/>
      <c r="FJY3" s="946"/>
      <c r="FJZ3" s="946"/>
      <c r="FKA3" s="946"/>
      <c r="FKB3" s="946"/>
      <c r="FKC3" s="946"/>
      <c r="FKD3" s="946"/>
      <c r="FKE3" s="946"/>
      <c r="FKF3" s="946"/>
      <c r="FKG3" s="946"/>
      <c r="FKH3" s="946"/>
      <c r="FKI3" s="946"/>
      <c r="FKJ3" s="946"/>
      <c r="FKK3" s="946"/>
      <c r="FKL3" s="946"/>
      <c r="FKM3" s="946"/>
      <c r="FKN3" s="946"/>
      <c r="FKO3" s="946"/>
      <c r="FKP3" s="946"/>
      <c r="FKQ3" s="946"/>
      <c r="FKR3" s="946"/>
      <c r="FKS3" s="946"/>
      <c r="FKT3" s="946"/>
      <c r="FKU3" s="946"/>
      <c r="FKV3" s="946"/>
      <c r="FKW3" s="946"/>
      <c r="FKX3" s="946"/>
      <c r="FKY3" s="946"/>
      <c r="FKZ3" s="946"/>
      <c r="FLA3" s="946"/>
      <c r="FLB3" s="946"/>
      <c r="FLC3" s="946"/>
      <c r="FLD3" s="946"/>
      <c r="FLE3" s="946"/>
      <c r="FLF3" s="946"/>
      <c r="FLG3" s="946"/>
      <c r="FLH3" s="946"/>
      <c r="FLI3" s="946"/>
      <c r="FLJ3" s="946"/>
      <c r="FLK3" s="946"/>
      <c r="FLL3" s="946"/>
      <c r="FLM3" s="946"/>
      <c r="FLN3" s="946"/>
      <c r="FLO3" s="946"/>
      <c r="FLP3" s="946"/>
      <c r="FLQ3" s="946"/>
      <c r="FLR3" s="946"/>
      <c r="FLS3" s="946"/>
      <c r="FLT3" s="946"/>
      <c r="FLU3" s="946"/>
      <c r="FLV3" s="946"/>
      <c r="FLW3" s="946"/>
      <c r="FLX3" s="946"/>
      <c r="FLY3" s="946"/>
      <c r="FLZ3" s="946"/>
      <c r="FMA3" s="946"/>
      <c r="FMB3" s="946"/>
      <c r="FMC3" s="946"/>
      <c r="FMD3" s="946"/>
      <c r="FME3" s="946"/>
      <c r="FMF3" s="946"/>
      <c r="FMG3" s="946"/>
      <c r="FMH3" s="946"/>
      <c r="FMI3" s="946"/>
      <c r="FMJ3" s="946"/>
      <c r="FMK3" s="946"/>
      <c r="FML3" s="946"/>
      <c r="FMM3" s="946"/>
      <c r="FMN3" s="946"/>
      <c r="FMO3" s="946"/>
      <c r="FMP3" s="946"/>
      <c r="FMQ3" s="946"/>
      <c r="FMR3" s="946"/>
      <c r="FMS3" s="946"/>
      <c r="FMT3" s="946"/>
      <c r="FMU3" s="946"/>
      <c r="FMV3" s="946"/>
      <c r="FMW3" s="946"/>
      <c r="FMX3" s="946"/>
      <c r="FMY3" s="946"/>
      <c r="FMZ3" s="946"/>
      <c r="FNA3" s="946"/>
      <c r="FNB3" s="946"/>
      <c r="FNC3" s="946"/>
      <c r="FND3" s="946"/>
      <c r="FNE3" s="946"/>
      <c r="FNF3" s="946"/>
      <c r="FNG3" s="946"/>
      <c r="FNH3" s="946"/>
      <c r="FNI3" s="946"/>
      <c r="FNJ3" s="946"/>
      <c r="FNK3" s="946"/>
      <c r="FNL3" s="946"/>
      <c r="FNM3" s="946"/>
      <c r="FNN3" s="946"/>
      <c r="FNO3" s="946"/>
      <c r="FNP3" s="946"/>
      <c r="FNQ3" s="946"/>
      <c r="FNR3" s="946"/>
      <c r="FNS3" s="946"/>
      <c r="FNT3" s="946"/>
      <c r="FNU3" s="946"/>
      <c r="FNV3" s="946"/>
      <c r="FNW3" s="946"/>
      <c r="FNX3" s="946"/>
      <c r="FNY3" s="946"/>
      <c r="FNZ3" s="946"/>
      <c r="FOA3" s="946"/>
      <c r="FOB3" s="946"/>
      <c r="FOC3" s="946"/>
      <c r="FOD3" s="946"/>
      <c r="FOE3" s="946"/>
      <c r="FOF3" s="946"/>
      <c r="FOG3" s="946"/>
      <c r="FOH3" s="946"/>
      <c r="FOI3" s="946"/>
      <c r="FOJ3" s="946"/>
      <c r="FOK3" s="946"/>
      <c r="FOL3" s="946"/>
      <c r="FOM3" s="946"/>
      <c r="FON3" s="946"/>
      <c r="FOO3" s="946"/>
      <c r="FOP3" s="946"/>
      <c r="FOQ3" s="946"/>
      <c r="FOR3" s="946"/>
      <c r="FOS3" s="946"/>
      <c r="FOT3" s="946"/>
      <c r="FOU3" s="946"/>
      <c r="FOV3" s="946"/>
      <c r="FOW3" s="946"/>
      <c r="FOX3" s="946"/>
      <c r="FOY3" s="946"/>
      <c r="FOZ3" s="946"/>
      <c r="FPA3" s="946"/>
      <c r="FPB3" s="946"/>
      <c r="FPC3" s="946"/>
      <c r="FPD3" s="946"/>
      <c r="FPE3" s="946"/>
      <c r="FPF3" s="946"/>
      <c r="FPG3" s="946"/>
      <c r="FPH3" s="946"/>
      <c r="FPI3" s="946"/>
      <c r="FPJ3" s="946"/>
      <c r="FPK3" s="946"/>
      <c r="FPL3" s="946"/>
      <c r="FPM3" s="946"/>
      <c r="FPN3" s="946"/>
      <c r="FPO3" s="946"/>
      <c r="FPP3" s="946"/>
      <c r="FPQ3" s="946"/>
      <c r="FPR3" s="946"/>
      <c r="FPS3" s="946"/>
      <c r="FPT3" s="946"/>
      <c r="FPU3" s="946"/>
      <c r="FPV3" s="946"/>
      <c r="FPW3" s="946"/>
      <c r="FPX3" s="946"/>
      <c r="FPY3" s="946"/>
      <c r="FPZ3" s="946"/>
      <c r="FQA3" s="946"/>
      <c r="FQB3" s="946"/>
      <c r="FQC3" s="946"/>
      <c r="FQD3" s="946"/>
      <c r="FQE3" s="946"/>
      <c r="FQF3" s="946"/>
      <c r="FQG3" s="946"/>
      <c r="FQH3" s="946"/>
      <c r="FQI3" s="946"/>
      <c r="FQJ3" s="946"/>
      <c r="FQK3" s="946"/>
      <c r="FQL3" s="946"/>
      <c r="FQM3" s="946"/>
      <c r="FQN3" s="946"/>
      <c r="FQO3" s="946"/>
      <c r="FQP3" s="946"/>
      <c r="FQQ3" s="946"/>
      <c r="FQR3" s="946"/>
      <c r="FQS3" s="946"/>
      <c r="FQT3" s="946"/>
      <c r="FQU3" s="946"/>
      <c r="FQV3" s="946"/>
      <c r="FQW3" s="946"/>
      <c r="FQX3" s="946"/>
      <c r="FQY3" s="946"/>
      <c r="FQZ3" s="946"/>
      <c r="FRA3" s="946"/>
      <c r="FRB3" s="946"/>
      <c r="FRC3" s="946"/>
      <c r="FRD3" s="946"/>
      <c r="FRE3" s="946"/>
      <c r="FRF3" s="946"/>
      <c r="FRG3" s="946"/>
      <c r="FRH3" s="946"/>
      <c r="FRI3" s="946"/>
      <c r="FRJ3" s="946"/>
      <c r="FRK3" s="946"/>
      <c r="FRL3" s="946"/>
      <c r="FRM3" s="946"/>
      <c r="FRN3" s="946"/>
      <c r="FRO3" s="946"/>
      <c r="FRP3" s="946"/>
      <c r="FRQ3" s="946"/>
      <c r="FRR3" s="946"/>
      <c r="FRS3" s="946"/>
      <c r="FRT3" s="946"/>
      <c r="FRU3" s="946"/>
      <c r="FRV3" s="946"/>
      <c r="FRW3" s="946"/>
      <c r="FRX3" s="946"/>
      <c r="FRY3" s="946"/>
      <c r="FRZ3" s="946"/>
      <c r="FSA3" s="946"/>
      <c r="FSB3" s="946"/>
      <c r="FSC3" s="946"/>
      <c r="FSD3" s="946"/>
      <c r="FSE3" s="946"/>
      <c r="FSF3" s="946"/>
      <c r="FSG3" s="946"/>
      <c r="FSH3" s="946"/>
      <c r="FSI3" s="946"/>
      <c r="FSJ3" s="946"/>
      <c r="FSK3" s="946"/>
      <c r="FSL3" s="946"/>
      <c r="FSM3" s="946"/>
      <c r="FSN3" s="946"/>
      <c r="FSO3" s="946"/>
      <c r="FSP3" s="946"/>
      <c r="FSQ3" s="946"/>
      <c r="FSR3" s="946"/>
      <c r="FSS3" s="946"/>
      <c r="FST3" s="946"/>
      <c r="FSU3" s="946"/>
      <c r="FSV3" s="946"/>
      <c r="FSW3" s="946"/>
      <c r="FSX3" s="946"/>
      <c r="FSY3" s="946"/>
      <c r="FSZ3" s="946"/>
      <c r="FTA3" s="946"/>
      <c r="FTB3" s="946"/>
      <c r="FTC3" s="946"/>
      <c r="FTD3" s="946"/>
      <c r="FTE3" s="946"/>
      <c r="FTF3" s="946"/>
      <c r="FTG3" s="946"/>
      <c r="FTH3" s="946"/>
      <c r="FTI3" s="946"/>
      <c r="FTJ3" s="946"/>
      <c r="FTK3" s="946"/>
      <c r="FTL3" s="946"/>
      <c r="FTM3" s="946"/>
      <c r="FTN3" s="946"/>
      <c r="FTO3" s="946"/>
      <c r="FTP3" s="946"/>
      <c r="FTQ3" s="946"/>
      <c r="FTR3" s="946"/>
      <c r="FTS3" s="946"/>
      <c r="FTT3" s="946"/>
      <c r="FTU3" s="946"/>
      <c r="FTV3" s="946"/>
      <c r="FTW3" s="946"/>
      <c r="FTX3" s="946"/>
      <c r="FTY3" s="946"/>
      <c r="FTZ3" s="946"/>
      <c r="FUA3" s="946"/>
      <c r="FUB3" s="946"/>
      <c r="FUC3" s="946"/>
      <c r="FUD3" s="946"/>
      <c r="FUE3" s="946"/>
      <c r="FUF3" s="946"/>
      <c r="FUG3" s="946"/>
      <c r="FUH3" s="946"/>
      <c r="FUI3" s="946"/>
      <c r="FUJ3" s="946"/>
      <c r="FUK3" s="946"/>
      <c r="FUL3" s="946"/>
      <c r="FUM3" s="946"/>
      <c r="FUN3" s="946"/>
      <c r="FUO3" s="946"/>
      <c r="FUP3" s="946"/>
      <c r="FUQ3" s="946"/>
      <c r="FUR3" s="946"/>
      <c r="FUS3" s="946"/>
      <c r="FUT3" s="946"/>
      <c r="FUU3" s="946"/>
      <c r="FUV3" s="946"/>
      <c r="FUW3" s="946"/>
      <c r="FUX3" s="946"/>
      <c r="FUY3" s="946"/>
      <c r="FUZ3" s="946"/>
      <c r="FVA3" s="946"/>
      <c r="FVB3" s="946"/>
      <c r="FVC3" s="946"/>
      <c r="FVD3" s="946"/>
      <c r="FVE3" s="946"/>
      <c r="FVF3" s="946"/>
      <c r="FVG3" s="946"/>
      <c r="FVH3" s="946"/>
      <c r="FVI3" s="946"/>
      <c r="FVJ3" s="946"/>
      <c r="FVK3" s="946"/>
      <c r="FVL3" s="946"/>
      <c r="FVM3" s="946"/>
      <c r="FVN3" s="946"/>
      <c r="FVO3" s="946"/>
      <c r="FVP3" s="946"/>
      <c r="FVQ3" s="946"/>
      <c r="FVR3" s="946"/>
      <c r="FVS3" s="946"/>
      <c r="FVT3" s="946"/>
      <c r="FVU3" s="946"/>
      <c r="FVV3" s="946"/>
      <c r="FVW3" s="946"/>
      <c r="FVX3" s="946"/>
      <c r="FVY3" s="946"/>
      <c r="FVZ3" s="946"/>
      <c r="FWA3" s="946"/>
      <c r="FWB3" s="946"/>
      <c r="FWC3" s="946"/>
      <c r="FWD3" s="946"/>
      <c r="FWE3" s="946"/>
      <c r="FWF3" s="946"/>
      <c r="FWG3" s="946"/>
      <c r="FWH3" s="946"/>
      <c r="FWI3" s="946"/>
      <c r="FWJ3" s="946"/>
      <c r="FWK3" s="946"/>
      <c r="FWL3" s="946"/>
      <c r="FWM3" s="946"/>
      <c r="FWN3" s="946"/>
      <c r="FWO3" s="946"/>
      <c r="FWP3" s="946"/>
      <c r="FWQ3" s="946"/>
      <c r="FWR3" s="946"/>
      <c r="FWS3" s="946"/>
      <c r="FWT3" s="946"/>
      <c r="FWU3" s="946"/>
      <c r="FWV3" s="946"/>
      <c r="FWW3" s="946"/>
      <c r="FWX3" s="946"/>
      <c r="FWY3" s="946"/>
      <c r="FWZ3" s="946"/>
      <c r="FXA3" s="946"/>
      <c r="FXB3" s="946"/>
      <c r="FXC3" s="946"/>
      <c r="FXD3" s="946"/>
      <c r="FXE3" s="946"/>
      <c r="FXF3" s="946"/>
      <c r="FXG3" s="946"/>
      <c r="FXH3" s="946"/>
      <c r="FXI3" s="946"/>
      <c r="FXJ3" s="946"/>
      <c r="FXK3" s="946"/>
      <c r="FXL3" s="946"/>
      <c r="FXM3" s="946"/>
      <c r="FXN3" s="946"/>
      <c r="FXO3" s="946"/>
      <c r="FXP3" s="946"/>
      <c r="FXQ3" s="946"/>
      <c r="FXR3" s="946"/>
      <c r="FXS3" s="946"/>
      <c r="FXT3" s="946"/>
      <c r="FXU3" s="946"/>
      <c r="FXV3" s="946"/>
      <c r="FXW3" s="946"/>
      <c r="FXX3" s="946"/>
      <c r="FXY3" s="946"/>
      <c r="FXZ3" s="946"/>
      <c r="FYA3" s="946"/>
      <c r="FYB3" s="946"/>
      <c r="FYC3" s="946"/>
      <c r="FYD3" s="946"/>
      <c r="FYE3" s="946"/>
      <c r="FYF3" s="946"/>
      <c r="FYG3" s="946"/>
      <c r="FYH3" s="946"/>
      <c r="FYI3" s="946"/>
      <c r="FYJ3" s="946"/>
      <c r="FYK3" s="946"/>
      <c r="FYL3" s="946"/>
      <c r="FYM3" s="946"/>
      <c r="FYN3" s="946"/>
      <c r="FYO3" s="946"/>
      <c r="FYP3" s="946"/>
      <c r="FYQ3" s="946"/>
      <c r="FYR3" s="946"/>
      <c r="FYS3" s="946"/>
      <c r="FYT3" s="946"/>
      <c r="FYU3" s="946"/>
      <c r="FYV3" s="946"/>
      <c r="FYW3" s="946"/>
      <c r="FYX3" s="946"/>
      <c r="FYY3" s="946"/>
      <c r="FYZ3" s="946"/>
      <c r="FZA3" s="946"/>
      <c r="FZB3" s="946"/>
      <c r="FZC3" s="946"/>
      <c r="FZD3" s="946"/>
      <c r="FZE3" s="946"/>
      <c r="FZF3" s="946"/>
      <c r="FZG3" s="946"/>
      <c r="FZH3" s="946"/>
      <c r="FZI3" s="946"/>
      <c r="FZJ3" s="946"/>
      <c r="FZK3" s="946"/>
      <c r="FZL3" s="946"/>
      <c r="FZM3" s="946"/>
      <c r="FZN3" s="946"/>
      <c r="FZO3" s="946"/>
      <c r="FZP3" s="946"/>
      <c r="FZQ3" s="946"/>
      <c r="FZR3" s="946"/>
      <c r="FZS3" s="946"/>
      <c r="FZT3" s="946"/>
      <c r="FZU3" s="946"/>
      <c r="FZV3" s="946"/>
      <c r="FZW3" s="946"/>
      <c r="FZX3" s="946"/>
      <c r="FZY3" s="946"/>
      <c r="FZZ3" s="946"/>
      <c r="GAA3" s="946"/>
      <c r="GAB3" s="946"/>
      <c r="GAC3" s="946"/>
      <c r="GAD3" s="946"/>
      <c r="GAE3" s="946"/>
      <c r="GAF3" s="946"/>
      <c r="GAG3" s="946"/>
      <c r="GAH3" s="946"/>
      <c r="GAI3" s="946"/>
      <c r="GAJ3" s="946"/>
      <c r="GAK3" s="946"/>
      <c r="GAL3" s="946"/>
      <c r="GAM3" s="946"/>
      <c r="GAN3" s="946"/>
      <c r="GAO3" s="946"/>
      <c r="GAP3" s="946"/>
      <c r="GAQ3" s="946"/>
      <c r="GAR3" s="946"/>
      <c r="GAS3" s="946"/>
      <c r="GAT3" s="946"/>
      <c r="GAU3" s="946"/>
      <c r="GAV3" s="946"/>
      <c r="GAW3" s="946"/>
      <c r="GAX3" s="946"/>
      <c r="GAY3" s="946"/>
      <c r="GAZ3" s="946"/>
      <c r="GBA3" s="946"/>
      <c r="GBB3" s="946"/>
      <c r="GBC3" s="946"/>
      <c r="GBD3" s="946"/>
      <c r="GBE3" s="946"/>
      <c r="GBF3" s="946"/>
      <c r="GBG3" s="946"/>
      <c r="GBH3" s="946"/>
      <c r="GBI3" s="946"/>
      <c r="GBJ3" s="946"/>
      <c r="GBK3" s="946"/>
      <c r="GBL3" s="946"/>
      <c r="GBM3" s="946"/>
      <c r="GBN3" s="946"/>
      <c r="GBO3" s="946"/>
      <c r="GBP3" s="946"/>
      <c r="GBQ3" s="946"/>
      <c r="GBR3" s="946"/>
      <c r="GBS3" s="946"/>
      <c r="GBT3" s="946"/>
      <c r="GBU3" s="946"/>
      <c r="GBV3" s="946"/>
      <c r="GBW3" s="946"/>
      <c r="GBX3" s="946"/>
      <c r="GBY3" s="946"/>
      <c r="GBZ3" s="946"/>
      <c r="GCA3" s="946"/>
      <c r="GCB3" s="946"/>
      <c r="GCC3" s="946"/>
      <c r="GCD3" s="946"/>
      <c r="GCE3" s="946"/>
      <c r="GCF3" s="946"/>
      <c r="GCG3" s="946"/>
      <c r="GCH3" s="946"/>
      <c r="GCI3" s="946"/>
      <c r="GCJ3" s="946"/>
      <c r="GCK3" s="946"/>
      <c r="GCL3" s="946"/>
      <c r="GCM3" s="946"/>
      <c r="GCN3" s="946"/>
      <c r="GCO3" s="946"/>
      <c r="GCP3" s="946"/>
      <c r="GCQ3" s="946"/>
      <c r="GCR3" s="946"/>
      <c r="GCS3" s="946"/>
      <c r="GCT3" s="946"/>
      <c r="GCU3" s="946"/>
      <c r="GCV3" s="946"/>
      <c r="GCW3" s="946"/>
      <c r="GCX3" s="946"/>
      <c r="GCY3" s="946"/>
      <c r="GCZ3" s="946"/>
      <c r="GDA3" s="946"/>
      <c r="GDB3" s="946"/>
      <c r="GDC3" s="946"/>
      <c r="GDD3" s="946"/>
      <c r="GDE3" s="946"/>
      <c r="GDF3" s="946"/>
      <c r="GDG3" s="946"/>
      <c r="GDH3" s="946"/>
      <c r="GDI3" s="946"/>
      <c r="GDJ3" s="946"/>
      <c r="GDK3" s="946"/>
      <c r="GDL3" s="946"/>
      <c r="GDM3" s="946"/>
      <c r="GDN3" s="946"/>
      <c r="GDO3" s="946"/>
      <c r="GDP3" s="946"/>
      <c r="GDQ3" s="946"/>
      <c r="GDR3" s="946"/>
      <c r="GDS3" s="946"/>
      <c r="GDT3" s="946"/>
      <c r="GDU3" s="946"/>
      <c r="GDV3" s="946"/>
      <c r="GDW3" s="946"/>
      <c r="GDX3" s="946"/>
      <c r="GDY3" s="946"/>
      <c r="GDZ3" s="946"/>
      <c r="GEA3" s="946"/>
      <c r="GEB3" s="946"/>
      <c r="GEC3" s="946"/>
      <c r="GED3" s="946"/>
      <c r="GEE3" s="946"/>
      <c r="GEF3" s="946"/>
      <c r="GEG3" s="946"/>
      <c r="GEH3" s="946"/>
      <c r="GEI3" s="946"/>
      <c r="GEJ3" s="946"/>
      <c r="GEK3" s="946"/>
      <c r="GEL3" s="946"/>
      <c r="GEM3" s="946"/>
      <c r="GEN3" s="946"/>
      <c r="GEO3" s="946"/>
      <c r="GEP3" s="946"/>
      <c r="GEQ3" s="946"/>
      <c r="GER3" s="946"/>
      <c r="GES3" s="946"/>
      <c r="GET3" s="946"/>
      <c r="GEU3" s="946"/>
      <c r="GEV3" s="946"/>
      <c r="GEW3" s="946"/>
      <c r="GEX3" s="946"/>
      <c r="GEY3" s="946"/>
      <c r="GEZ3" s="946"/>
      <c r="GFA3" s="946"/>
      <c r="GFB3" s="946"/>
      <c r="GFC3" s="946"/>
      <c r="GFD3" s="946"/>
      <c r="GFE3" s="946"/>
      <c r="GFF3" s="946"/>
      <c r="GFG3" s="946"/>
      <c r="GFH3" s="946"/>
      <c r="GFI3" s="946"/>
      <c r="GFJ3" s="946"/>
      <c r="GFK3" s="946"/>
      <c r="GFL3" s="946"/>
      <c r="GFM3" s="946"/>
      <c r="GFN3" s="946"/>
      <c r="GFO3" s="946"/>
      <c r="GFP3" s="946"/>
      <c r="GFQ3" s="946"/>
      <c r="GFR3" s="946"/>
      <c r="GFS3" s="946"/>
      <c r="GFT3" s="946"/>
      <c r="GFU3" s="946"/>
      <c r="GFV3" s="946"/>
      <c r="GFW3" s="946"/>
      <c r="GFX3" s="946"/>
      <c r="GFY3" s="946"/>
      <c r="GFZ3" s="946"/>
      <c r="GGA3" s="946"/>
      <c r="GGB3" s="946"/>
      <c r="GGC3" s="946"/>
      <c r="GGD3" s="946"/>
      <c r="GGE3" s="946"/>
      <c r="GGF3" s="946"/>
      <c r="GGG3" s="946"/>
      <c r="GGH3" s="946"/>
      <c r="GGI3" s="946"/>
      <c r="GGJ3" s="946"/>
      <c r="GGK3" s="946"/>
      <c r="GGL3" s="946"/>
      <c r="GGM3" s="946"/>
      <c r="GGN3" s="946"/>
      <c r="GGO3" s="946"/>
      <c r="GGP3" s="946"/>
      <c r="GGQ3" s="946"/>
      <c r="GGR3" s="946"/>
      <c r="GGS3" s="946"/>
      <c r="GGT3" s="946"/>
      <c r="GGU3" s="946"/>
      <c r="GGV3" s="946"/>
      <c r="GGW3" s="946"/>
      <c r="GGX3" s="946"/>
      <c r="GGY3" s="946"/>
      <c r="GGZ3" s="946"/>
      <c r="GHA3" s="946"/>
      <c r="GHB3" s="946"/>
      <c r="GHC3" s="946"/>
      <c r="GHD3" s="946"/>
      <c r="GHE3" s="946"/>
      <c r="GHF3" s="946"/>
      <c r="GHG3" s="946"/>
      <c r="GHH3" s="946"/>
      <c r="GHI3" s="946"/>
      <c r="GHJ3" s="946"/>
      <c r="GHK3" s="946"/>
      <c r="GHL3" s="946"/>
      <c r="GHM3" s="946"/>
      <c r="GHN3" s="946"/>
      <c r="GHO3" s="946"/>
      <c r="GHP3" s="946"/>
      <c r="GHQ3" s="946"/>
      <c r="GHR3" s="946"/>
      <c r="GHS3" s="946"/>
      <c r="GHT3" s="946"/>
      <c r="GHU3" s="946"/>
      <c r="GHV3" s="946"/>
      <c r="GHW3" s="946"/>
      <c r="GHX3" s="946"/>
      <c r="GHY3" s="946"/>
      <c r="GHZ3" s="946"/>
      <c r="GIA3" s="946"/>
      <c r="GIB3" s="946"/>
      <c r="GIC3" s="946"/>
      <c r="GID3" s="946"/>
      <c r="GIE3" s="946"/>
      <c r="GIF3" s="946"/>
      <c r="GIG3" s="946"/>
      <c r="GIH3" s="946"/>
      <c r="GII3" s="946"/>
      <c r="GIJ3" s="946"/>
      <c r="GIK3" s="946"/>
      <c r="GIL3" s="946"/>
      <c r="GIM3" s="946"/>
      <c r="GIN3" s="946"/>
      <c r="GIO3" s="946"/>
      <c r="GIP3" s="946"/>
      <c r="GIQ3" s="946"/>
      <c r="GIR3" s="946"/>
      <c r="GIS3" s="946"/>
      <c r="GIT3" s="946"/>
      <c r="GIU3" s="946"/>
      <c r="GIV3" s="946"/>
      <c r="GIW3" s="946"/>
      <c r="GIX3" s="946"/>
      <c r="GIY3" s="946"/>
      <c r="GIZ3" s="946"/>
      <c r="GJA3" s="946"/>
      <c r="GJB3" s="946"/>
      <c r="GJC3" s="946"/>
      <c r="GJD3" s="946"/>
      <c r="GJE3" s="946"/>
      <c r="GJF3" s="946"/>
      <c r="GJG3" s="946"/>
      <c r="GJH3" s="946"/>
      <c r="GJI3" s="946"/>
      <c r="GJJ3" s="946"/>
      <c r="GJK3" s="946"/>
      <c r="GJL3" s="946"/>
      <c r="GJM3" s="946"/>
      <c r="GJN3" s="946"/>
      <c r="GJO3" s="946"/>
      <c r="GJP3" s="946"/>
      <c r="GJQ3" s="946"/>
      <c r="GJR3" s="946"/>
      <c r="GJS3" s="946"/>
      <c r="GJT3" s="946"/>
      <c r="GJU3" s="946"/>
      <c r="GJV3" s="946"/>
      <c r="GJW3" s="946"/>
      <c r="GJX3" s="946"/>
      <c r="GJY3" s="946"/>
      <c r="GJZ3" s="946"/>
      <c r="GKA3" s="946"/>
      <c r="GKB3" s="946"/>
      <c r="GKC3" s="946"/>
      <c r="GKD3" s="946"/>
      <c r="GKE3" s="946"/>
      <c r="GKF3" s="946"/>
      <c r="GKG3" s="946"/>
      <c r="GKH3" s="946"/>
      <c r="GKI3" s="946"/>
      <c r="GKJ3" s="946"/>
      <c r="GKK3" s="946"/>
      <c r="GKL3" s="946"/>
      <c r="GKM3" s="946"/>
      <c r="GKN3" s="946"/>
      <c r="GKO3" s="946"/>
      <c r="GKP3" s="946"/>
      <c r="GKQ3" s="946"/>
      <c r="GKR3" s="946"/>
      <c r="GKS3" s="946"/>
      <c r="GKT3" s="946"/>
      <c r="GKU3" s="946"/>
      <c r="GKV3" s="946"/>
      <c r="GKW3" s="946"/>
      <c r="GKX3" s="946"/>
      <c r="GKY3" s="946"/>
      <c r="GKZ3" s="946"/>
      <c r="GLA3" s="946"/>
      <c r="GLB3" s="946"/>
      <c r="GLC3" s="946"/>
      <c r="GLD3" s="946"/>
      <c r="GLE3" s="946"/>
      <c r="GLF3" s="946"/>
      <c r="GLG3" s="946"/>
      <c r="GLH3" s="946"/>
      <c r="GLI3" s="946"/>
      <c r="GLJ3" s="946"/>
      <c r="GLK3" s="946"/>
      <c r="GLL3" s="946"/>
      <c r="GLM3" s="946"/>
      <c r="GLN3" s="946"/>
      <c r="GLO3" s="946"/>
      <c r="GLP3" s="946"/>
      <c r="GLQ3" s="946"/>
      <c r="GLR3" s="946"/>
      <c r="GLS3" s="946"/>
      <c r="GLT3" s="946"/>
      <c r="GLU3" s="946"/>
      <c r="GLV3" s="946"/>
      <c r="GLW3" s="946"/>
      <c r="GLX3" s="946"/>
      <c r="GLY3" s="946"/>
      <c r="GLZ3" s="946"/>
      <c r="GMA3" s="946"/>
      <c r="GMB3" s="946"/>
      <c r="GMC3" s="946"/>
      <c r="GMD3" s="946"/>
      <c r="GME3" s="946"/>
      <c r="GMF3" s="946"/>
      <c r="GMG3" s="946"/>
      <c r="GMH3" s="946"/>
      <c r="GMI3" s="946"/>
      <c r="GMJ3" s="946"/>
      <c r="GMK3" s="946"/>
      <c r="GML3" s="946"/>
      <c r="GMM3" s="946"/>
      <c r="GMN3" s="946"/>
      <c r="GMO3" s="946"/>
      <c r="GMP3" s="946"/>
      <c r="GMQ3" s="946"/>
      <c r="GMR3" s="946"/>
      <c r="GMS3" s="946"/>
      <c r="GMT3" s="946"/>
      <c r="GMU3" s="946"/>
      <c r="GMV3" s="946"/>
      <c r="GMW3" s="946"/>
      <c r="GMX3" s="946"/>
      <c r="GMY3" s="946"/>
      <c r="GMZ3" s="946"/>
      <c r="GNA3" s="946"/>
      <c r="GNB3" s="946"/>
      <c r="GNC3" s="946"/>
      <c r="GND3" s="946"/>
      <c r="GNE3" s="946"/>
      <c r="GNF3" s="946"/>
      <c r="GNG3" s="946"/>
      <c r="GNH3" s="946"/>
      <c r="GNI3" s="946"/>
      <c r="GNJ3" s="946"/>
      <c r="GNK3" s="946"/>
      <c r="GNL3" s="946"/>
      <c r="GNM3" s="946"/>
      <c r="GNN3" s="946"/>
      <c r="GNO3" s="946"/>
      <c r="GNP3" s="946"/>
      <c r="GNQ3" s="946"/>
      <c r="GNR3" s="946"/>
      <c r="GNS3" s="946"/>
      <c r="GNT3" s="946"/>
      <c r="GNU3" s="946"/>
      <c r="GNV3" s="946"/>
      <c r="GNW3" s="946"/>
      <c r="GNX3" s="946"/>
      <c r="GNY3" s="946"/>
      <c r="GNZ3" s="946"/>
      <c r="GOA3" s="946"/>
      <c r="GOB3" s="946"/>
      <c r="GOC3" s="946"/>
      <c r="GOD3" s="946"/>
      <c r="GOE3" s="946"/>
      <c r="GOF3" s="946"/>
      <c r="GOG3" s="946"/>
      <c r="GOH3" s="946"/>
      <c r="GOI3" s="946"/>
      <c r="GOJ3" s="946"/>
      <c r="GOK3" s="946"/>
      <c r="GOL3" s="946"/>
      <c r="GOM3" s="946"/>
      <c r="GON3" s="946"/>
      <c r="GOO3" s="946"/>
      <c r="GOP3" s="946"/>
      <c r="GOQ3" s="946"/>
      <c r="GOR3" s="946"/>
      <c r="GOS3" s="946"/>
      <c r="GOT3" s="946"/>
      <c r="GOU3" s="946"/>
      <c r="GOV3" s="946"/>
      <c r="GOW3" s="946"/>
      <c r="GOX3" s="946"/>
      <c r="GOY3" s="946"/>
      <c r="GOZ3" s="946"/>
      <c r="GPA3" s="946"/>
      <c r="GPB3" s="946"/>
      <c r="GPC3" s="946"/>
      <c r="GPD3" s="946"/>
      <c r="GPE3" s="946"/>
      <c r="GPF3" s="946"/>
      <c r="GPG3" s="946"/>
      <c r="GPH3" s="946"/>
      <c r="GPI3" s="946"/>
      <c r="GPJ3" s="946"/>
      <c r="GPK3" s="946"/>
      <c r="GPL3" s="946"/>
      <c r="GPM3" s="946"/>
      <c r="GPN3" s="946"/>
      <c r="GPO3" s="946"/>
      <c r="GPP3" s="946"/>
      <c r="GPQ3" s="946"/>
      <c r="GPR3" s="946"/>
      <c r="GPS3" s="946"/>
      <c r="GPT3" s="946"/>
      <c r="GPU3" s="946"/>
      <c r="GPV3" s="946"/>
      <c r="GPW3" s="946"/>
      <c r="GPX3" s="946"/>
      <c r="GPY3" s="946"/>
      <c r="GPZ3" s="946"/>
      <c r="GQA3" s="946"/>
      <c r="GQB3" s="946"/>
      <c r="GQC3" s="946"/>
      <c r="GQD3" s="946"/>
      <c r="GQE3" s="946"/>
      <c r="GQF3" s="946"/>
      <c r="GQG3" s="946"/>
      <c r="GQH3" s="946"/>
      <c r="GQI3" s="946"/>
      <c r="GQJ3" s="946"/>
      <c r="GQK3" s="946"/>
      <c r="GQL3" s="946"/>
      <c r="GQM3" s="946"/>
      <c r="GQN3" s="946"/>
      <c r="GQO3" s="946"/>
      <c r="GQP3" s="946"/>
      <c r="GQQ3" s="946"/>
      <c r="GQR3" s="946"/>
      <c r="GQS3" s="946"/>
      <c r="GQT3" s="946"/>
      <c r="GQU3" s="946"/>
      <c r="GQV3" s="946"/>
      <c r="GQW3" s="946"/>
      <c r="GQX3" s="946"/>
      <c r="GQY3" s="946"/>
      <c r="GQZ3" s="946"/>
      <c r="GRA3" s="946"/>
      <c r="GRB3" s="946"/>
      <c r="GRC3" s="946"/>
      <c r="GRD3" s="946"/>
      <c r="GRE3" s="946"/>
      <c r="GRF3" s="946"/>
      <c r="GRG3" s="946"/>
      <c r="GRH3" s="946"/>
      <c r="GRI3" s="946"/>
      <c r="GRJ3" s="946"/>
      <c r="GRK3" s="946"/>
      <c r="GRL3" s="946"/>
      <c r="GRM3" s="946"/>
      <c r="GRN3" s="946"/>
      <c r="GRO3" s="946"/>
      <c r="GRP3" s="946"/>
      <c r="GRQ3" s="946"/>
      <c r="GRR3" s="946"/>
      <c r="GRS3" s="946"/>
      <c r="GRT3" s="946"/>
      <c r="GRU3" s="946"/>
      <c r="GRV3" s="946"/>
      <c r="GRW3" s="946"/>
      <c r="GRX3" s="946"/>
      <c r="GRY3" s="946"/>
      <c r="GRZ3" s="946"/>
      <c r="GSA3" s="946"/>
      <c r="GSB3" s="946"/>
      <c r="GSC3" s="946"/>
      <c r="GSD3" s="946"/>
      <c r="GSE3" s="946"/>
      <c r="GSF3" s="946"/>
      <c r="GSG3" s="946"/>
      <c r="GSH3" s="946"/>
      <c r="GSI3" s="946"/>
      <c r="GSJ3" s="946"/>
      <c r="GSK3" s="946"/>
      <c r="GSL3" s="946"/>
      <c r="GSM3" s="946"/>
      <c r="GSN3" s="946"/>
      <c r="GSO3" s="946"/>
      <c r="GSP3" s="946"/>
      <c r="GSQ3" s="946"/>
      <c r="GSR3" s="946"/>
      <c r="GSS3" s="946"/>
      <c r="GST3" s="946"/>
      <c r="GSU3" s="946"/>
      <c r="GSV3" s="946"/>
      <c r="GSW3" s="946"/>
      <c r="GSX3" s="946"/>
      <c r="GSY3" s="946"/>
      <c r="GSZ3" s="946"/>
      <c r="GTA3" s="946"/>
      <c r="GTB3" s="946"/>
      <c r="GTC3" s="946"/>
      <c r="GTD3" s="946"/>
      <c r="GTE3" s="946"/>
      <c r="GTF3" s="946"/>
      <c r="GTG3" s="946"/>
      <c r="GTH3" s="946"/>
      <c r="GTI3" s="946"/>
      <c r="GTJ3" s="946"/>
      <c r="GTK3" s="946"/>
      <c r="GTL3" s="946"/>
      <c r="GTM3" s="946"/>
      <c r="GTN3" s="946"/>
      <c r="GTO3" s="946"/>
      <c r="GTP3" s="946"/>
      <c r="GTQ3" s="946"/>
      <c r="GTR3" s="946"/>
      <c r="GTS3" s="946"/>
      <c r="GTT3" s="946"/>
      <c r="GTU3" s="946"/>
      <c r="GTV3" s="946"/>
      <c r="GTW3" s="946"/>
      <c r="GTX3" s="946"/>
      <c r="GTY3" s="946"/>
      <c r="GTZ3" s="946"/>
      <c r="GUA3" s="946"/>
      <c r="GUB3" s="946"/>
      <c r="GUC3" s="946"/>
      <c r="GUD3" s="946"/>
      <c r="GUE3" s="946"/>
      <c r="GUF3" s="946"/>
      <c r="GUG3" s="946"/>
      <c r="GUH3" s="946"/>
      <c r="GUI3" s="946"/>
      <c r="GUJ3" s="946"/>
      <c r="GUK3" s="946"/>
      <c r="GUL3" s="946"/>
      <c r="GUM3" s="946"/>
      <c r="GUN3" s="946"/>
      <c r="GUO3" s="946"/>
      <c r="GUP3" s="946"/>
      <c r="GUQ3" s="946"/>
      <c r="GUR3" s="946"/>
      <c r="GUS3" s="946"/>
      <c r="GUT3" s="946"/>
      <c r="GUU3" s="946"/>
      <c r="GUV3" s="946"/>
      <c r="GUW3" s="946"/>
      <c r="GUX3" s="946"/>
      <c r="GUY3" s="946"/>
      <c r="GUZ3" s="946"/>
      <c r="GVA3" s="946"/>
      <c r="GVB3" s="946"/>
      <c r="GVC3" s="946"/>
      <c r="GVD3" s="946"/>
      <c r="GVE3" s="946"/>
      <c r="GVF3" s="946"/>
      <c r="GVG3" s="946"/>
      <c r="GVH3" s="946"/>
      <c r="GVI3" s="946"/>
      <c r="GVJ3" s="946"/>
      <c r="GVK3" s="946"/>
      <c r="GVL3" s="946"/>
      <c r="GVM3" s="946"/>
      <c r="GVN3" s="946"/>
      <c r="GVO3" s="946"/>
      <c r="GVP3" s="946"/>
      <c r="GVQ3" s="946"/>
      <c r="GVR3" s="946"/>
      <c r="GVS3" s="946"/>
      <c r="GVT3" s="946"/>
      <c r="GVU3" s="946"/>
      <c r="GVV3" s="946"/>
      <c r="GVW3" s="946"/>
      <c r="GVX3" s="946"/>
      <c r="GVY3" s="946"/>
      <c r="GVZ3" s="946"/>
      <c r="GWA3" s="946"/>
      <c r="GWB3" s="946"/>
      <c r="GWC3" s="946"/>
      <c r="GWD3" s="946"/>
      <c r="GWE3" s="946"/>
      <c r="GWF3" s="946"/>
      <c r="GWG3" s="946"/>
      <c r="GWH3" s="946"/>
      <c r="GWI3" s="946"/>
      <c r="GWJ3" s="946"/>
      <c r="GWK3" s="946"/>
      <c r="GWL3" s="946"/>
      <c r="GWM3" s="946"/>
      <c r="GWN3" s="946"/>
      <c r="GWO3" s="946"/>
      <c r="GWP3" s="946"/>
      <c r="GWQ3" s="946"/>
      <c r="GWR3" s="946"/>
      <c r="GWS3" s="946"/>
      <c r="GWT3" s="946"/>
      <c r="GWU3" s="946"/>
      <c r="GWV3" s="946"/>
      <c r="GWW3" s="946"/>
      <c r="GWX3" s="946"/>
      <c r="GWY3" s="946"/>
      <c r="GWZ3" s="946"/>
      <c r="GXA3" s="946"/>
      <c r="GXB3" s="946"/>
      <c r="GXC3" s="946"/>
      <c r="GXD3" s="946"/>
      <c r="GXE3" s="946"/>
      <c r="GXF3" s="946"/>
      <c r="GXG3" s="946"/>
      <c r="GXH3" s="946"/>
      <c r="GXI3" s="946"/>
      <c r="GXJ3" s="946"/>
      <c r="GXK3" s="946"/>
      <c r="GXL3" s="946"/>
      <c r="GXM3" s="946"/>
      <c r="GXN3" s="946"/>
      <c r="GXO3" s="946"/>
      <c r="GXP3" s="946"/>
      <c r="GXQ3" s="946"/>
      <c r="GXR3" s="946"/>
      <c r="GXS3" s="946"/>
      <c r="GXT3" s="946"/>
      <c r="GXU3" s="946"/>
      <c r="GXV3" s="946"/>
      <c r="GXW3" s="946"/>
      <c r="GXX3" s="946"/>
      <c r="GXY3" s="946"/>
      <c r="GXZ3" s="946"/>
      <c r="GYA3" s="946"/>
      <c r="GYB3" s="946"/>
      <c r="GYC3" s="946"/>
      <c r="GYD3" s="946"/>
      <c r="GYE3" s="946"/>
      <c r="GYF3" s="946"/>
      <c r="GYG3" s="946"/>
      <c r="GYH3" s="946"/>
      <c r="GYI3" s="946"/>
      <c r="GYJ3" s="946"/>
      <c r="GYK3" s="946"/>
      <c r="GYL3" s="946"/>
      <c r="GYM3" s="946"/>
      <c r="GYN3" s="946"/>
      <c r="GYO3" s="946"/>
      <c r="GYP3" s="946"/>
      <c r="GYQ3" s="946"/>
      <c r="GYR3" s="946"/>
      <c r="GYS3" s="946"/>
      <c r="GYT3" s="946"/>
      <c r="GYU3" s="946"/>
      <c r="GYV3" s="946"/>
      <c r="GYW3" s="946"/>
      <c r="GYX3" s="946"/>
      <c r="GYY3" s="946"/>
      <c r="GYZ3" s="946"/>
      <c r="GZA3" s="946"/>
      <c r="GZB3" s="946"/>
      <c r="GZC3" s="946"/>
      <c r="GZD3" s="946"/>
      <c r="GZE3" s="946"/>
      <c r="GZF3" s="946"/>
      <c r="GZG3" s="946"/>
      <c r="GZH3" s="946"/>
      <c r="GZI3" s="946"/>
      <c r="GZJ3" s="946"/>
      <c r="GZK3" s="946"/>
      <c r="GZL3" s="946"/>
      <c r="GZM3" s="946"/>
      <c r="GZN3" s="946"/>
      <c r="GZO3" s="946"/>
      <c r="GZP3" s="946"/>
      <c r="GZQ3" s="946"/>
      <c r="GZR3" s="946"/>
      <c r="GZS3" s="946"/>
      <c r="GZT3" s="946"/>
      <c r="GZU3" s="946"/>
      <c r="GZV3" s="946"/>
      <c r="GZW3" s="946"/>
      <c r="GZX3" s="946"/>
      <c r="GZY3" s="946"/>
      <c r="GZZ3" s="946"/>
      <c r="HAA3" s="946"/>
      <c r="HAB3" s="946"/>
      <c r="HAC3" s="946"/>
      <c r="HAD3" s="946"/>
      <c r="HAE3" s="946"/>
      <c r="HAF3" s="946"/>
      <c r="HAG3" s="946"/>
      <c r="HAH3" s="946"/>
      <c r="HAI3" s="946"/>
      <c r="HAJ3" s="946"/>
      <c r="HAK3" s="946"/>
      <c r="HAL3" s="946"/>
      <c r="HAM3" s="946"/>
      <c r="HAN3" s="946"/>
      <c r="HAO3" s="946"/>
      <c r="HAP3" s="946"/>
      <c r="HAQ3" s="946"/>
      <c r="HAR3" s="946"/>
      <c r="HAS3" s="946"/>
      <c r="HAT3" s="946"/>
      <c r="HAU3" s="946"/>
      <c r="HAV3" s="946"/>
      <c r="HAW3" s="946"/>
      <c r="HAX3" s="946"/>
      <c r="HAY3" s="946"/>
      <c r="HAZ3" s="946"/>
      <c r="HBA3" s="946"/>
      <c r="HBB3" s="946"/>
      <c r="HBC3" s="946"/>
      <c r="HBD3" s="946"/>
      <c r="HBE3" s="946"/>
      <c r="HBF3" s="946"/>
      <c r="HBG3" s="946"/>
      <c r="HBH3" s="946"/>
      <c r="HBI3" s="946"/>
      <c r="HBJ3" s="946"/>
      <c r="HBK3" s="946"/>
      <c r="HBL3" s="946"/>
      <c r="HBM3" s="946"/>
      <c r="HBN3" s="946"/>
      <c r="HBO3" s="946"/>
      <c r="HBP3" s="946"/>
      <c r="HBQ3" s="946"/>
      <c r="HBR3" s="946"/>
      <c r="HBS3" s="946"/>
      <c r="HBT3" s="946"/>
      <c r="HBU3" s="946"/>
      <c r="HBV3" s="946"/>
      <c r="HBW3" s="946"/>
      <c r="HBX3" s="946"/>
      <c r="HBY3" s="946"/>
      <c r="HBZ3" s="946"/>
      <c r="HCA3" s="946"/>
      <c r="HCB3" s="946"/>
      <c r="HCC3" s="946"/>
      <c r="HCD3" s="946"/>
      <c r="HCE3" s="946"/>
      <c r="HCF3" s="946"/>
      <c r="HCG3" s="946"/>
      <c r="HCH3" s="946"/>
      <c r="HCI3" s="946"/>
      <c r="HCJ3" s="946"/>
      <c r="HCK3" s="946"/>
      <c r="HCL3" s="946"/>
      <c r="HCM3" s="946"/>
      <c r="HCN3" s="946"/>
      <c r="HCO3" s="946"/>
      <c r="HCP3" s="946"/>
      <c r="HCQ3" s="946"/>
      <c r="HCR3" s="946"/>
      <c r="HCS3" s="946"/>
      <c r="HCT3" s="946"/>
      <c r="HCU3" s="946"/>
      <c r="HCV3" s="946"/>
      <c r="HCW3" s="946"/>
      <c r="HCX3" s="946"/>
      <c r="HCY3" s="946"/>
      <c r="HCZ3" s="946"/>
      <c r="HDA3" s="946"/>
      <c r="HDB3" s="946"/>
      <c r="HDC3" s="946"/>
      <c r="HDD3" s="946"/>
      <c r="HDE3" s="946"/>
      <c r="HDF3" s="946"/>
      <c r="HDG3" s="946"/>
      <c r="HDH3" s="946"/>
      <c r="HDI3" s="946"/>
      <c r="HDJ3" s="946"/>
      <c r="HDK3" s="946"/>
      <c r="HDL3" s="946"/>
      <c r="HDM3" s="946"/>
      <c r="HDN3" s="946"/>
      <c r="HDO3" s="946"/>
      <c r="HDP3" s="946"/>
      <c r="HDQ3" s="946"/>
      <c r="HDR3" s="946"/>
      <c r="HDS3" s="946"/>
      <c r="HDT3" s="946"/>
      <c r="HDU3" s="946"/>
      <c r="HDV3" s="946"/>
      <c r="HDW3" s="946"/>
      <c r="HDX3" s="946"/>
      <c r="HDY3" s="946"/>
      <c r="HDZ3" s="946"/>
      <c r="HEA3" s="946"/>
      <c r="HEB3" s="946"/>
      <c r="HEC3" s="946"/>
      <c r="HED3" s="946"/>
      <c r="HEE3" s="946"/>
      <c r="HEF3" s="946"/>
      <c r="HEG3" s="946"/>
      <c r="HEH3" s="946"/>
      <c r="HEI3" s="946"/>
      <c r="HEJ3" s="946"/>
      <c r="HEK3" s="946"/>
      <c r="HEL3" s="946"/>
      <c r="HEM3" s="946"/>
      <c r="HEN3" s="946"/>
      <c r="HEO3" s="946"/>
      <c r="HEP3" s="946"/>
      <c r="HEQ3" s="946"/>
      <c r="HER3" s="946"/>
      <c r="HES3" s="946"/>
      <c r="HET3" s="946"/>
      <c r="HEU3" s="946"/>
      <c r="HEV3" s="946"/>
      <c r="HEW3" s="946"/>
      <c r="HEX3" s="946"/>
      <c r="HEY3" s="946"/>
      <c r="HEZ3" s="946"/>
      <c r="HFA3" s="946"/>
      <c r="HFB3" s="946"/>
      <c r="HFC3" s="946"/>
      <c r="HFD3" s="946"/>
      <c r="HFE3" s="946"/>
      <c r="HFF3" s="946"/>
      <c r="HFG3" s="946"/>
      <c r="HFH3" s="946"/>
      <c r="HFI3" s="946"/>
      <c r="HFJ3" s="946"/>
      <c r="HFK3" s="946"/>
      <c r="HFL3" s="946"/>
      <c r="HFM3" s="946"/>
      <c r="HFN3" s="946"/>
      <c r="HFO3" s="946"/>
      <c r="HFP3" s="946"/>
      <c r="HFQ3" s="946"/>
      <c r="HFR3" s="946"/>
      <c r="HFS3" s="946"/>
      <c r="HFT3" s="946"/>
      <c r="HFU3" s="946"/>
      <c r="HFV3" s="946"/>
      <c r="HFW3" s="946"/>
      <c r="HFX3" s="946"/>
      <c r="HFY3" s="946"/>
      <c r="HFZ3" s="946"/>
      <c r="HGA3" s="946"/>
      <c r="HGB3" s="946"/>
      <c r="HGC3" s="946"/>
      <c r="HGD3" s="946"/>
      <c r="HGE3" s="946"/>
      <c r="HGF3" s="946"/>
      <c r="HGG3" s="946"/>
      <c r="HGH3" s="946"/>
      <c r="HGI3" s="946"/>
      <c r="HGJ3" s="946"/>
      <c r="HGK3" s="946"/>
      <c r="HGL3" s="946"/>
      <c r="HGM3" s="946"/>
      <c r="HGN3" s="946"/>
      <c r="HGO3" s="946"/>
      <c r="HGP3" s="946"/>
      <c r="HGQ3" s="946"/>
      <c r="HGR3" s="946"/>
      <c r="HGS3" s="946"/>
      <c r="HGT3" s="946"/>
      <c r="HGU3" s="946"/>
      <c r="HGV3" s="946"/>
      <c r="HGW3" s="946"/>
      <c r="HGX3" s="946"/>
      <c r="HGY3" s="946"/>
      <c r="HGZ3" s="946"/>
      <c r="HHA3" s="946"/>
      <c r="HHB3" s="946"/>
      <c r="HHC3" s="946"/>
      <c r="HHD3" s="946"/>
      <c r="HHE3" s="946"/>
      <c r="HHF3" s="946"/>
      <c r="HHG3" s="946"/>
      <c r="HHH3" s="946"/>
      <c r="HHI3" s="946"/>
      <c r="HHJ3" s="946"/>
      <c r="HHK3" s="946"/>
      <c r="HHL3" s="946"/>
      <c r="HHM3" s="946"/>
      <c r="HHN3" s="946"/>
      <c r="HHO3" s="946"/>
      <c r="HHP3" s="946"/>
      <c r="HHQ3" s="946"/>
      <c r="HHR3" s="946"/>
      <c r="HHS3" s="946"/>
      <c r="HHT3" s="946"/>
      <c r="HHU3" s="946"/>
      <c r="HHV3" s="946"/>
      <c r="HHW3" s="946"/>
      <c r="HHX3" s="946"/>
      <c r="HHY3" s="946"/>
      <c r="HHZ3" s="946"/>
      <c r="HIA3" s="946"/>
      <c r="HIB3" s="946"/>
      <c r="HIC3" s="946"/>
      <c r="HID3" s="946"/>
      <c r="HIE3" s="946"/>
      <c r="HIF3" s="946"/>
      <c r="HIG3" s="946"/>
      <c r="HIH3" s="946"/>
      <c r="HII3" s="946"/>
      <c r="HIJ3" s="946"/>
      <c r="HIK3" s="946"/>
      <c r="HIL3" s="946"/>
      <c r="HIM3" s="946"/>
      <c r="HIN3" s="946"/>
      <c r="HIO3" s="946"/>
      <c r="HIP3" s="946"/>
      <c r="HIQ3" s="946"/>
      <c r="HIR3" s="946"/>
      <c r="HIS3" s="946"/>
      <c r="HIT3" s="946"/>
      <c r="HIU3" s="946"/>
      <c r="HIV3" s="946"/>
      <c r="HIW3" s="946"/>
      <c r="HIX3" s="946"/>
      <c r="HIY3" s="946"/>
      <c r="HIZ3" s="946"/>
      <c r="HJA3" s="946"/>
      <c r="HJB3" s="946"/>
      <c r="HJC3" s="946"/>
      <c r="HJD3" s="946"/>
      <c r="HJE3" s="946"/>
      <c r="HJF3" s="946"/>
      <c r="HJG3" s="946"/>
      <c r="HJH3" s="946"/>
      <c r="HJI3" s="946"/>
      <c r="HJJ3" s="946"/>
      <c r="HJK3" s="946"/>
      <c r="HJL3" s="946"/>
      <c r="HJM3" s="946"/>
      <c r="HJN3" s="946"/>
      <c r="HJO3" s="946"/>
      <c r="HJP3" s="946"/>
      <c r="HJQ3" s="946"/>
      <c r="HJR3" s="946"/>
      <c r="HJS3" s="946"/>
      <c r="HJT3" s="946"/>
      <c r="HJU3" s="946"/>
      <c r="HJV3" s="946"/>
      <c r="HJW3" s="946"/>
      <c r="HJX3" s="946"/>
      <c r="HJY3" s="946"/>
      <c r="HJZ3" s="946"/>
      <c r="HKA3" s="946"/>
      <c r="HKB3" s="946"/>
      <c r="HKC3" s="946"/>
      <c r="HKD3" s="946"/>
      <c r="HKE3" s="946"/>
      <c r="HKF3" s="946"/>
      <c r="HKG3" s="946"/>
      <c r="HKH3" s="946"/>
      <c r="HKI3" s="946"/>
      <c r="HKJ3" s="946"/>
      <c r="HKK3" s="946"/>
      <c r="HKL3" s="946"/>
      <c r="HKM3" s="946"/>
      <c r="HKN3" s="946"/>
      <c r="HKO3" s="946"/>
      <c r="HKP3" s="946"/>
      <c r="HKQ3" s="946"/>
      <c r="HKR3" s="946"/>
      <c r="HKS3" s="946"/>
      <c r="HKT3" s="946"/>
      <c r="HKU3" s="946"/>
      <c r="HKV3" s="946"/>
      <c r="HKW3" s="946"/>
      <c r="HKX3" s="946"/>
      <c r="HKY3" s="946"/>
      <c r="HKZ3" s="946"/>
      <c r="HLA3" s="946"/>
      <c r="HLB3" s="946"/>
      <c r="HLC3" s="946"/>
      <c r="HLD3" s="946"/>
      <c r="HLE3" s="946"/>
      <c r="HLF3" s="946"/>
      <c r="HLG3" s="946"/>
      <c r="HLH3" s="946"/>
      <c r="HLI3" s="946"/>
      <c r="HLJ3" s="946"/>
      <c r="HLK3" s="946"/>
      <c r="HLL3" s="946"/>
      <c r="HLM3" s="946"/>
      <c r="HLN3" s="946"/>
      <c r="HLO3" s="946"/>
      <c r="HLP3" s="946"/>
      <c r="HLQ3" s="946"/>
      <c r="HLR3" s="946"/>
      <c r="HLS3" s="946"/>
      <c r="HLT3" s="946"/>
      <c r="HLU3" s="946"/>
      <c r="HLV3" s="946"/>
      <c r="HLW3" s="946"/>
      <c r="HLX3" s="946"/>
      <c r="HLY3" s="946"/>
      <c r="HLZ3" s="946"/>
      <c r="HMA3" s="946"/>
      <c r="HMB3" s="946"/>
      <c r="HMC3" s="946"/>
      <c r="HMD3" s="946"/>
      <c r="HME3" s="946"/>
      <c r="HMF3" s="946"/>
      <c r="HMG3" s="946"/>
      <c r="HMH3" s="946"/>
      <c r="HMI3" s="946"/>
      <c r="HMJ3" s="946"/>
      <c r="HMK3" s="946"/>
      <c r="HML3" s="946"/>
      <c r="HMM3" s="946"/>
      <c r="HMN3" s="946"/>
      <c r="HMO3" s="946"/>
      <c r="HMP3" s="946"/>
      <c r="HMQ3" s="946"/>
      <c r="HMR3" s="946"/>
      <c r="HMS3" s="946"/>
      <c r="HMT3" s="946"/>
      <c r="HMU3" s="946"/>
      <c r="HMV3" s="946"/>
      <c r="HMW3" s="946"/>
      <c r="HMX3" s="946"/>
      <c r="HMY3" s="946"/>
      <c r="HMZ3" s="946"/>
      <c r="HNA3" s="946"/>
      <c r="HNB3" s="946"/>
      <c r="HNC3" s="946"/>
      <c r="HND3" s="946"/>
      <c r="HNE3" s="946"/>
      <c r="HNF3" s="946"/>
      <c r="HNG3" s="946"/>
      <c r="HNH3" s="946"/>
      <c r="HNI3" s="946"/>
      <c r="HNJ3" s="946"/>
      <c r="HNK3" s="946"/>
      <c r="HNL3" s="946"/>
      <c r="HNM3" s="946"/>
      <c r="HNN3" s="946"/>
      <c r="HNO3" s="946"/>
      <c r="HNP3" s="946"/>
      <c r="HNQ3" s="946"/>
      <c r="HNR3" s="946"/>
      <c r="HNS3" s="946"/>
      <c r="HNT3" s="946"/>
      <c r="HNU3" s="946"/>
      <c r="HNV3" s="946"/>
      <c r="HNW3" s="946"/>
      <c r="HNX3" s="946"/>
      <c r="HNY3" s="946"/>
      <c r="HNZ3" s="946"/>
      <c r="HOA3" s="946"/>
      <c r="HOB3" s="946"/>
      <c r="HOC3" s="946"/>
      <c r="HOD3" s="946"/>
      <c r="HOE3" s="946"/>
      <c r="HOF3" s="946"/>
      <c r="HOG3" s="946"/>
      <c r="HOH3" s="946"/>
      <c r="HOI3" s="946"/>
      <c r="HOJ3" s="946"/>
      <c r="HOK3" s="946"/>
      <c r="HOL3" s="946"/>
      <c r="HOM3" s="946"/>
      <c r="HON3" s="946"/>
      <c r="HOO3" s="946"/>
      <c r="HOP3" s="946"/>
      <c r="HOQ3" s="946"/>
      <c r="HOR3" s="946"/>
      <c r="HOS3" s="946"/>
      <c r="HOT3" s="946"/>
      <c r="HOU3" s="946"/>
      <c r="HOV3" s="946"/>
      <c r="HOW3" s="946"/>
      <c r="HOX3" s="946"/>
      <c r="HOY3" s="946"/>
      <c r="HOZ3" s="946"/>
      <c r="HPA3" s="946"/>
      <c r="HPB3" s="946"/>
      <c r="HPC3" s="946"/>
      <c r="HPD3" s="946"/>
      <c r="HPE3" s="946"/>
      <c r="HPF3" s="946"/>
      <c r="HPG3" s="946"/>
      <c r="HPH3" s="946"/>
      <c r="HPI3" s="946"/>
      <c r="HPJ3" s="946"/>
      <c r="HPK3" s="946"/>
      <c r="HPL3" s="946"/>
      <c r="HPM3" s="946"/>
      <c r="HPN3" s="946"/>
      <c r="HPO3" s="946"/>
      <c r="HPP3" s="946"/>
      <c r="HPQ3" s="946"/>
      <c r="HPR3" s="946"/>
      <c r="HPS3" s="946"/>
      <c r="HPT3" s="946"/>
      <c r="HPU3" s="946"/>
      <c r="HPV3" s="946"/>
      <c r="HPW3" s="946"/>
      <c r="HPX3" s="946"/>
      <c r="HPY3" s="946"/>
      <c r="HPZ3" s="946"/>
      <c r="HQA3" s="946"/>
      <c r="HQB3" s="946"/>
      <c r="HQC3" s="946"/>
      <c r="HQD3" s="946"/>
      <c r="HQE3" s="946"/>
      <c r="HQF3" s="946"/>
      <c r="HQG3" s="946"/>
      <c r="HQH3" s="946"/>
      <c r="HQI3" s="946"/>
      <c r="HQJ3" s="946"/>
      <c r="HQK3" s="946"/>
      <c r="HQL3" s="946"/>
      <c r="HQM3" s="946"/>
      <c r="HQN3" s="946"/>
      <c r="HQO3" s="946"/>
      <c r="HQP3" s="946"/>
      <c r="HQQ3" s="946"/>
      <c r="HQR3" s="946"/>
      <c r="HQS3" s="946"/>
      <c r="HQT3" s="946"/>
      <c r="HQU3" s="946"/>
      <c r="HQV3" s="946"/>
      <c r="HQW3" s="946"/>
      <c r="HQX3" s="946"/>
      <c r="HQY3" s="946"/>
      <c r="HQZ3" s="946"/>
      <c r="HRA3" s="946"/>
      <c r="HRB3" s="946"/>
      <c r="HRC3" s="946"/>
      <c r="HRD3" s="946"/>
      <c r="HRE3" s="946"/>
      <c r="HRF3" s="946"/>
      <c r="HRG3" s="946"/>
      <c r="HRH3" s="946"/>
      <c r="HRI3" s="946"/>
      <c r="HRJ3" s="946"/>
      <c r="HRK3" s="946"/>
      <c r="HRL3" s="946"/>
      <c r="HRM3" s="946"/>
      <c r="HRN3" s="946"/>
      <c r="HRO3" s="946"/>
      <c r="HRP3" s="946"/>
      <c r="HRQ3" s="946"/>
      <c r="HRR3" s="946"/>
      <c r="HRS3" s="946"/>
      <c r="HRT3" s="946"/>
      <c r="HRU3" s="946"/>
      <c r="HRV3" s="946"/>
      <c r="HRW3" s="946"/>
      <c r="HRX3" s="946"/>
      <c r="HRY3" s="946"/>
      <c r="HRZ3" s="946"/>
      <c r="HSA3" s="946"/>
      <c r="HSB3" s="946"/>
      <c r="HSC3" s="946"/>
      <c r="HSD3" s="946"/>
      <c r="HSE3" s="946"/>
      <c r="HSF3" s="946"/>
      <c r="HSG3" s="946"/>
      <c r="HSH3" s="946"/>
      <c r="HSI3" s="946"/>
      <c r="HSJ3" s="946"/>
      <c r="HSK3" s="946"/>
      <c r="HSL3" s="946"/>
      <c r="HSM3" s="946"/>
      <c r="HSN3" s="946"/>
      <c r="HSO3" s="946"/>
      <c r="HSP3" s="946"/>
      <c r="HSQ3" s="946"/>
      <c r="HSR3" s="946"/>
      <c r="HSS3" s="946"/>
      <c r="HST3" s="946"/>
      <c r="HSU3" s="946"/>
      <c r="HSV3" s="946"/>
      <c r="HSW3" s="946"/>
      <c r="HSX3" s="946"/>
      <c r="HSY3" s="946"/>
      <c r="HSZ3" s="946"/>
      <c r="HTA3" s="946"/>
      <c r="HTB3" s="946"/>
      <c r="HTC3" s="946"/>
      <c r="HTD3" s="946"/>
      <c r="HTE3" s="946"/>
      <c r="HTF3" s="946"/>
      <c r="HTG3" s="946"/>
      <c r="HTH3" s="946"/>
      <c r="HTI3" s="946"/>
      <c r="HTJ3" s="946"/>
      <c r="HTK3" s="946"/>
      <c r="HTL3" s="946"/>
      <c r="HTM3" s="946"/>
      <c r="HTN3" s="946"/>
      <c r="HTO3" s="946"/>
      <c r="HTP3" s="946"/>
      <c r="HTQ3" s="946"/>
      <c r="HTR3" s="946"/>
      <c r="HTS3" s="946"/>
      <c r="HTT3" s="946"/>
      <c r="HTU3" s="946"/>
      <c r="HTV3" s="946"/>
      <c r="HTW3" s="946"/>
      <c r="HTX3" s="946"/>
      <c r="HTY3" s="946"/>
      <c r="HTZ3" s="946"/>
      <c r="HUA3" s="946"/>
      <c r="HUB3" s="946"/>
      <c r="HUC3" s="946"/>
      <c r="HUD3" s="946"/>
      <c r="HUE3" s="946"/>
      <c r="HUF3" s="946"/>
      <c r="HUG3" s="946"/>
      <c r="HUH3" s="946"/>
      <c r="HUI3" s="946"/>
      <c r="HUJ3" s="946"/>
      <c r="HUK3" s="946"/>
      <c r="HUL3" s="946"/>
      <c r="HUM3" s="946"/>
      <c r="HUN3" s="946"/>
      <c r="HUO3" s="946"/>
      <c r="HUP3" s="946"/>
      <c r="HUQ3" s="946"/>
      <c r="HUR3" s="946"/>
      <c r="HUS3" s="946"/>
      <c r="HUT3" s="946"/>
      <c r="HUU3" s="946"/>
      <c r="HUV3" s="946"/>
      <c r="HUW3" s="946"/>
      <c r="HUX3" s="946"/>
      <c r="HUY3" s="946"/>
      <c r="HUZ3" s="946"/>
      <c r="HVA3" s="946"/>
      <c r="HVB3" s="946"/>
      <c r="HVC3" s="946"/>
      <c r="HVD3" s="946"/>
      <c r="HVE3" s="946"/>
      <c r="HVF3" s="946"/>
      <c r="HVG3" s="946"/>
      <c r="HVH3" s="946"/>
      <c r="HVI3" s="946"/>
      <c r="HVJ3" s="946"/>
      <c r="HVK3" s="946"/>
      <c r="HVL3" s="946"/>
      <c r="HVM3" s="946"/>
      <c r="HVN3" s="946"/>
      <c r="HVO3" s="946"/>
      <c r="HVP3" s="946"/>
      <c r="HVQ3" s="946"/>
      <c r="HVR3" s="946"/>
      <c r="HVS3" s="946"/>
      <c r="HVT3" s="946"/>
      <c r="HVU3" s="946"/>
      <c r="HVV3" s="946"/>
      <c r="HVW3" s="946"/>
      <c r="HVX3" s="946"/>
      <c r="HVY3" s="946"/>
      <c r="HVZ3" s="946"/>
      <c r="HWA3" s="946"/>
      <c r="HWB3" s="946"/>
      <c r="HWC3" s="946"/>
      <c r="HWD3" s="946"/>
      <c r="HWE3" s="946"/>
      <c r="HWF3" s="946"/>
      <c r="HWG3" s="946"/>
      <c r="HWH3" s="946"/>
      <c r="HWI3" s="946"/>
      <c r="HWJ3" s="946"/>
      <c r="HWK3" s="946"/>
      <c r="HWL3" s="946"/>
      <c r="HWM3" s="946"/>
      <c r="HWN3" s="946"/>
      <c r="HWO3" s="946"/>
      <c r="HWP3" s="946"/>
      <c r="HWQ3" s="946"/>
      <c r="HWR3" s="946"/>
      <c r="HWS3" s="946"/>
      <c r="HWT3" s="946"/>
      <c r="HWU3" s="946"/>
      <c r="HWV3" s="946"/>
      <c r="HWW3" s="946"/>
      <c r="HWX3" s="946"/>
      <c r="HWY3" s="946"/>
      <c r="HWZ3" s="946"/>
      <c r="HXA3" s="946"/>
      <c r="HXB3" s="946"/>
      <c r="HXC3" s="946"/>
      <c r="HXD3" s="946"/>
      <c r="HXE3" s="946"/>
      <c r="HXF3" s="946"/>
      <c r="HXG3" s="946"/>
      <c r="HXH3" s="946"/>
      <c r="HXI3" s="946"/>
      <c r="HXJ3" s="946"/>
      <c r="HXK3" s="946"/>
      <c r="HXL3" s="946"/>
      <c r="HXM3" s="946"/>
      <c r="HXN3" s="946"/>
      <c r="HXO3" s="946"/>
      <c r="HXP3" s="946"/>
      <c r="HXQ3" s="946"/>
      <c r="HXR3" s="946"/>
      <c r="HXS3" s="946"/>
      <c r="HXT3" s="946"/>
      <c r="HXU3" s="946"/>
      <c r="HXV3" s="946"/>
      <c r="HXW3" s="946"/>
      <c r="HXX3" s="946"/>
      <c r="HXY3" s="946"/>
      <c r="HXZ3" s="946"/>
      <c r="HYA3" s="946"/>
      <c r="HYB3" s="946"/>
      <c r="HYC3" s="946"/>
      <c r="HYD3" s="946"/>
      <c r="HYE3" s="946"/>
      <c r="HYF3" s="946"/>
      <c r="HYG3" s="946"/>
      <c r="HYH3" s="946"/>
      <c r="HYI3" s="946"/>
      <c r="HYJ3" s="946"/>
      <c r="HYK3" s="946"/>
      <c r="HYL3" s="946"/>
      <c r="HYM3" s="946"/>
      <c r="HYN3" s="946"/>
      <c r="HYO3" s="946"/>
      <c r="HYP3" s="946"/>
      <c r="HYQ3" s="946"/>
      <c r="HYR3" s="946"/>
      <c r="HYS3" s="946"/>
      <c r="HYT3" s="946"/>
      <c r="HYU3" s="946"/>
      <c r="HYV3" s="946"/>
      <c r="HYW3" s="946"/>
      <c r="HYX3" s="946"/>
      <c r="HYY3" s="946"/>
      <c r="HYZ3" s="946"/>
      <c r="HZA3" s="946"/>
      <c r="HZB3" s="946"/>
      <c r="HZC3" s="946"/>
      <c r="HZD3" s="946"/>
      <c r="HZE3" s="946"/>
      <c r="HZF3" s="946"/>
      <c r="HZG3" s="946"/>
      <c r="HZH3" s="946"/>
      <c r="HZI3" s="946"/>
      <c r="HZJ3" s="946"/>
      <c r="HZK3" s="946"/>
      <c r="HZL3" s="946"/>
      <c r="HZM3" s="946"/>
      <c r="HZN3" s="946"/>
      <c r="HZO3" s="946"/>
      <c r="HZP3" s="946"/>
      <c r="HZQ3" s="946"/>
      <c r="HZR3" s="946"/>
      <c r="HZS3" s="946"/>
      <c r="HZT3" s="946"/>
      <c r="HZU3" s="946"/>
      <c r="HZV3" s="946"/>
      <c r="HZW3" s="946"/>
      <c r="HZX3" s="946"/>
      <c r="HZY3" s="946"/>
      <c r="HZZ3" s="946"/>
      <c r="IAA3" s="946"/>
      <c r="IAB3" s="946"/>
      <c r="IAC3" s="946"/>
      <c r="IAD3" s="946"/>
      <c r="IAE3" s="946"/>
      <c r="IAF3" s="946"/>
      <c r="IAG3" s="946"/>
      <c r="IAH3" s="946"/>
      <c r="IAI3" s="946"/>
      <c r="IAJ3" s="946"/>
      <c r="IAK3" s="946"/>
      <c r="IAL3" s="946"/>
      <c r="IAM3" s="946"/>
      <c r="IAN3" s="946"/>
      <c r="IAO3" s="946"/>
      <c r="IAP3" s="946"/>
      <c r="IAQ3" s="946"/>
      <c r="IAR3" s="946"/>
      <c r="IAS3" s="946"/>
      <c r="IAT3" s="946"/>
      <c r="IAU3" s="946"/>
      <c r="IAV3" s="946"/>
      <c r="IAW3" s="946"/>
      <c r="IAX3" s="946"/>
      <c r="IAY3" s="946"/>
      <c r="IAZ3" s="946"/>
      <c r="IBA3" s="946"/>
      <c r="IBB3" s="946"/>
      <c r="IBC3" s="946"/>
      <c r="IBD3" s="946"/>
      <c r="IBE3" s="946"/>
      <c r="IBF3" s="946"/>
      <c r="IBG3" s="946"/>
      <c r="IBH3" s="946"/>
      <c r="IBI3" s="946"/>
      <c r="IBJ3" s="946"/>
      <c r="IBK3" s="946"/>
      <c r="IBL3" s="946"/>
      <c r="IBM3" s="946"/>
      <c r="IBN3" s="946"/>
      <c r="IBO3" s="946"/>
      <c r="IBP3" s="946"/>
      <c r="IBQ3" s="946"/>
      <c r="IBR3" s="946"/>
      <c r="IBS3" s="946"/>
      <c r="IBT3" s="946"/>
      <c r="IBU3" s="946"/>
      <c r="IBV3" s="946"/>
      <c r="IBW3" s="946"/>
      <c r="IBX3" s="946"/>
      <c r="IBY3" s="946"/>
      <c r="IBZ3" s="946"/>
      <c r="ICA3" s="946"/>
      <c r="ICB3" s="946"/>
      <c r="ICC3" s="946"/>
      <c r="ICD3" s="946"/>
      <c r="ICE3" s="946"/>
      <c r="ICF3" s="946"/>
      <c r="ICG3" s="946"/>
      <c r="ICH3" s="946"/>
      <c r="ICI3" s="946"/>
      <c r="ICJ3" s="946"/>
      <c r="ICK3" s="946"/>
      <c r="ICL3" s="946"/>
      <c r="ICM3" s="946"/>
      <c r="ICN3" s="946"/>
      <c r="ICO3" s="946"/>
      <c r="ICP3" s="946"/>
      <c r="ICQ3" s="946"/>
      <c r="ICR3" s="946"/>
      <c r="ICS3" s="946"/>
      <c r="ICT3" s="946"/>
      <c r="ICU3" s="946"/>
      <c r="ICV3" s="946"/>
      <c r="ICW3" s="946"/>
      <c r="ICX3" s="946"/>
      <c r="ICY3" s="946"/>
      <c r="ICZ3" s="946"/>
      <c r="IDA3" s="946"/>
      <c r="IDB3" s="946"/>
      <c r="IDC3" s="946"/>
      <c r="IDD3" s="946"/>
      <c r="IDE3" s="946"/>
      <c r="IDF3" s="946"/>
      <c r="IDG3" s="946"/>
      <c r="IDH3" s="946"/>
      <c r="IDI3" s="946"/>
      <c r="IDJ3" s="946"/>
      <c r="IDK3" s="946"/>
      <c r="IDL3" s="946"/>
      <c r="IDM3" s="946"/>
      <c r="IDN3" s="946"/>
      <c r="IDO3" s="946"/>
      <c r="IDP3" s="946"/>
      <c r="IDQ3" s="946"/>
      <c r="IDR3" s="946"/>
      <c r="IDS3" s="946"/>
      <c r="IDT3" s="946"/>
      <c r="IDU3" s="946"/>
      <c r="IDV3" s="946"/>
      <c r="IDW3" s="946"/>
      <c r="IDX3" s="946"/>
      <c r="IDY3" s="946"/>
      <c r="IDZ3" s="946"/>
      <c r="IEA3" s="946"/>
      <c r="IEB3" s="946"/>
      <c r="IEC3" s="946"/>
      <c r="IED3" s="946"/>
      <c r="IEE3" s="946"/>
      <c r="IEF3" s="946"/>
      <c r="IEG3" s="946"/>
      <c r="IEH3" s="946"/>
      <c r="IEI3" s="946"/>
      <c r="IEJ3" s="946"/>
      <c r="IEK3" s="946"/>
      <c r="IEL3" s="946"/>
      <c r="IEM3" s="946"/>
      <c r="IEN3" s="946"/>
      <c r="IEO3" s="946"/>
      <c r="IEP3" s="946"/>
      <c r="IEQ3" s="946"/>
      <c r="IER3" s="946"/>
      <c r="IES3" s="946"/>
      <c r="IET3" s="946"/>
      <c r="IEU3" s="946"/>
      <c r="IEV3" s="946"/>
      <c r="IEW3" s="946"/>
      <c r="IEX3" s="946"/>
      <c r="IEY3" s="946"/>
      <c r="IEZ3" s="946"/>
      <c r="IFA3" s="946"/>
      <c r="IFB3" s="946"/>
      <c r="IFC3" s="946"/>
      <c r="IFD3" s="946"/>
      <c r="IFE3" s="946"/>
      <c r="IFF3" s="946"/>
      <c r="IFG3" s="946"/>
      <c r="IFH3" s="946"/>
      <c r="IFI3" s="946"/>
      <c r="IFJ3" s="946"/>
      <c r="IFK3" s="946"/>
      <c r="IFL3" s="946"/>
      <c r="IFM3" s="946"/>
      <c r="IFN3" s="946"/>
      <c r="IFO3" s="946"/>
      <c r="IFP3" s="946"/>
      <c r="IFQ3" s="946"/>
      <c r="IFR3" s="946"/>
      <c r="IFS3" s="946"/>
      <c r="IFT3" s="946"/>
      <c r="IFU3" s="946"/>
      <c r="IFV3" s="946"/>
      <c r="IFW3" s="946"/>
      <c r="IFX3" s="946"/>
      <c r="IFY3" s="946"/>
      <c r="IFZ3" s="946"/>
      <c r="IGA3" s="946"/>
      <c r="IGB3" s="946"/>
      <c r="IGC3" s="946"/>
      <c r="IGD3" s="946"/>
      <c r="IGE3" s="946"/>
      <c r="IGF3" s="946"/>
      <c r="IGG3" s="946"/>
      <c r="IGH3" s="946"/>
      <c r="IGI3" s="946"/>
      <c r="IGJ3" s="946"/>
      <c r="IGK3" s="946"/>
      <c r="IGL3" s="946"/>
      <c r="IGM3" s="946"/>
      <c r="IGN3" s="946"/>
      <c r="IGO3" s="946"/>
      <c r="IGP3" s="946"/>
      <c r="IGQ3" s="946"/>
      <c r="IGR3" s="946"/>
      <c r="IGS3" s="946"/>
      <c r="IGT3" s="946"/>
      <c r="IGU3" s="946"/>
      <c r="IGV3" s="946"/>
      <c r="IGW3" s="946"/>
      <c r="IGX3" s="946"/>
      <c r="IGY3" s="946"/>
      <c r="IGZ3" s="946"/>
      <c r="IHA3" s="946"/>
      <c r="IHB3" s="946"/>
      <c r="IHC3" s="946"/>
      <c r="IHD3" s="946"/>
      <c r="IHE3" s="946"/>
      <c r="IHF3" s="946"/>
      <c r="IHG3" s="946"/>
      <c r="IHH3" s="946"/>
      <c r="IHI3" s="946"/>
      <c r="IHJ3" s="946"/>
      <c r="IHK3" s="946"/>
      <c r="IHL3" s="946"/>
      <c r="IHM3" s="946"/>
      <c r="IHN3" s="946"/>
      <c r="IHO3" s="946"/>
      <c r="IHP3" s="946"/>
      <c r="IHQ3" s="946"/>
      <c r="IHR3" s="946"/>
      <c r="IHS3" s="946"/>
      <c r="IHT3" s="946"/>
      <c r="IHU3" s="946"/>
      <c r="IHV3" s="946"/>
      <c r="IHW3" s="946"/>
      <c r="IHX3" s="946"/>
      <c r="IHY3" s="946"/>
      <c r="IHZ3" s="946"/>
      <c r="IIA3" s="946"/>
      <c r="IIB3" s="946"/>
      <c r="IIC3" s="946"/>
      <c r="IID3" s="946"/>
      <c r="IIE3" s="946"/>
      <c r="IIF3" s="946"/>
      <c r="IIG3" s="946"/>
      <c r="IIH3" s="946"/>
      <c r="III3" s="946"/>
      <c r="IIJ3" s="946"/>
      <c r="IIK3" s="946"/>
      <c r="IIL3" s="946"/>
      <c r="IIM3" s="946"/>
      <c r="IIN3" s="946"/>
      <c r="IIO3" s="946"/>
      <c r="IIP3" s="946"/>
      <c r="IIQ3" s="946"/>
      <c r="IIR3" s="946"/>
      <c r="IIS3" s="946"/>
      <c r="IIT3" s="946"/>
      <c r="IIU3" s="946"/>
      <c r="IIV3" s="946"/>
      <c r="IIW3" s="946"/>
      <c r="IIX3" s="946"/>
      <c r="IIY3" s="946"/>
      <c r="IIZ3" s="946"/>
      <c r="IJA3" s="946"/>
      <c r="IJB3" s="946"/>
      <c r="IJC3" s="946"/>
      <c r="IJD3" s="946"/>
      <c r="IJE3" s="946"/>
      <c r="IJF3" s="946"/>
      <c r="IJG3" s="946"/>
      <c r="IJH3" s="946"/>
      <c r="IJI3" s="946"/>
      <c r="IJJ3" s="946"/>
      <c r="IJK3" s="946"/>
      <c r="IJL3" s="946"/>
      <c r="IJM3" s="946"/>
      <c r="IJN3" s="946"/>
      <c r="IJO3" s="946"/>
      <c r="IJP3" s="946"/>
      <c r="IJQ3" s="946"/>
      <c r="IJR3" s="946"/>
      <c r="IJS3" s="946"/>
      <c r="IJT3" s="946"/>
      <c r="IJU3" s="946"/>
      <c r="IJV3" s="946"/>
      <c r="IJW3" s="946"/>
      <c r="IJX3" s="946"/>
      <c r="IJY3" s="946"/>
      <c r="IJZ3" s="946"/>
      <c r="IKA3" s="946"/>
      <c r="IKB3" s="946"/>
      <c r="IKC3" s="946"/>
      <c r="IKD3" s="946"/>
      <c r="IKE3" s="946"/>
      <c r="IKF3" s="946"/>
      <c r="IKG3" s="946"/>
      <c r="IKH3" s="946"/>
      <c r="IKI3" s="946"/>
      <c r="IKJ3" s="946"/>
      <c r="IKK3" s="946"/>
      <c r="IKL3" s="946"/>
      <c r="IKM3" s="946"/>
      <c r="IKN3" s="946"/>
      <c r="IKO3" s="946"/>
      <c r="IKP3" s="946"/>
      <c r="IKQ3" s="946"/>
      <c r="IKR3" s="946"/>
      <c r="IKS3" s="946"/>
      <c r="IKT3" s="946"/>
      <c r="IKU3" s="946"/>
      <c r="IKV3" s="946"/>
      <c r="IKW3" s="946"/>
      <c r="IKX3" s="946"/>
      <c r="IKY3" s="946"/>
      <c r="IKZ3" s="946"/>
      <c r="ILA3" s="946"/>
      <c r="ILB3" s="946"/>
      <c r="ILC3" s="946"/>
      <c r="ILD3" s="946"/>
      <c r="ILE3" s="946"/>
      <c r="ILF3" s="946"/>
      <c r="ILG3" s="946"/>
      <c r="ILH3" s="946"/>
      <c r="ILI3" s="946"/>
      <c r="ILJ3" s="946"/>
      <c r="ILK3" s="946"/>
      <c r="ILL3" s="946"/>
      <c r="ILM3" s="946"/>
      <c r="ILN3" s="946"/>
      <c r="ILO3" s="946"/>
      <c r="ILP3" s="946"/>
      <c r="ILQ3" s="946"/>
      <c r="ILR3" s="946"/>
      <c r="ILS3" s="946"/>
      <c r="ILT3" s="946"/>
      <c r="ILU3" s="946"/>
      <c r="ILV3" s="946"/>
      <c r="ILW3" s="946"/>
      <c r="ILX3" s="946"/>
      <c r="ILY3" s="946"/>
      <c r="ILZ3" s="946"/>
      <c r="IMA3" s="946"/>
      <c r="IMB3" s="946"/>
      <c r="IMC3" s="946"/>
      <c r="IMD3" s="946"/>
      <c r="IME3" s="946"/>
      <c r="IMF3" s="946"/>
      <c r="IMG3" s="946"/>
      <c r="IMH3" s="946"/>
      <c r="IMI3" s="946"/>
      <c r="IMJ3" s="946"/>
      <c r="IMK3" s="946"/>
      <c r="IML3" s="946"/>
      <c r="IMM3" s="946"/>
      <c r="IMN3" s="946"/>
      <c r="IMO3" s="946"/>
      <c r="IMP3" s="946"/>
      <c r="IMQ3" s="946"/>
      <c r="IMR3" s="946"/>
      <c r="IMS3" s="946"/>
      <c r="IMT3" s="946"/>
      <c r="IMU3" s="946"/>
      <c r="IMV3" s="946"/>
      <c r="IMW3" s="946"/>
      <c r="IMX3" s="946"/>
      <c r="IMY3" s="946"/>
      <c r="IMZ3" s="946"/>
      <c r="INA3" s="946"/>
      <c r="INB3" s="946"/>
      <c r="INC3" s="946"/>
      <c r="IND3" s="946"/>
      <c r="INE3" s="946"/>
      <c r="INF3" s="946"/>
      <c r="ING3" s="946"/>
      <c r="INH3" s="946"/>
      <c r="INI3" s="946"/>
      <c r="INJ3" s="946"/>
      <c r="INK3" s="946"/>
      <c r="INL3" s="946"/>
      <c r="INM3" s="946"/>
      <c r="INN3" s="946"/>
      <c r="INO3" s="946"/>
      <c r="INP3" s="946"/>
      <c r="INQ3" s="946"/>
      <c r="INR3" s="946"/>
      <c r="INS3" s="946"/>
      <c r="INT3" s="946"/>
      <c r="INU3" s="946"/>
      <c r="INV3" s="946"/>
      <c r="INW3" s="946"/>
      <c r="INX3" s="946"/>
      <c r="INY3" s="946"/>
      <c r="INZ3" s="946"/>
      <c r="IOA3" s="946"/>
      <c r="IOB3" s="946"/>
      <c r="IOC3" s="946"/>
      <c r="IOD3" s="946"/>
      <c r="IOE3" s="946"/>
      <c r="IOF3" s="946"/>
      <c r="IOG3" s="946"/>
      <c r="IOH3" s="946"/>
      <c r="IOI3" s="946"/>
      <c r="IOJ3" s="946"/>
      <c r="IOK3" s="946"/>
      <c r="IOL3" s="946"/>
      <c r="IOM3" s="946"/>
      <c r="ION3" s="946"/>
      <c r="IOO3" s="946"/>
      <c r="IOP3" s="946"/>
      <c r="IOQ3" s="946"/>
      <c r="IOR3" s="946"/>
      <c r="IOS3" s="946"/>
      <c r="IOT3" s="946"/>
      <c r="IOU3" s="946"/>
      <c r="IOV3" s="946"/>
      <c r="IOW3" s="946"/>
      <c r="IOX3" s="946"/>
      <c r="IOY3" s="946"/>
      <c r="IOZ3" s="946"/>
      <c r="IPA3" s="946"/>
      <c r="IPB3" s="946"/>
      <c r="IPC3" s="946"/>
      <c r="IPD3" s="946"/>
      <c r="IPE3" s="946"/>
      <c r="IPF3" s="946"/>
      <c r="IPG3" s="946"/>
      <c r="IPH3" s="946"/>
      <c r="IPI3" s="946"/>
      <c r="IPJ3" s="946"/>
      <c r="IPK3" s="946"/>
      <c r="IPL3" s="946"/>
      <c r="IPM3" s="946"/>
      <c r="IPN3" s="946"/>
      <c r="IPO3" s="946"/>
      <c r="IPP3" s="946"/>
      <c r="IPQ3" s="946"/>
      <c r="IPR3" s="946"/>
      <c r="IPS3" s="946"/>
      <c r="IPT3" s="946"/>
      <c r="IPU3" s="946"/>
      <c r="IPV3" s="946"/>
      <c r="IPW3" s="946"/>
      <c r="IPX3" s="946"/>
      <c r="IPY3" s="946"/>
      <c r="IPZ3" s="946"/>
      <c r="IQA3" s="946"/>
      <c r="IQB3" s="946"/>
      <c r="IQC3" s="946"/>
      <c r="IQD3" s="946"/>
      <c r="IQE3" s="946"/>
      <c r="IQF3" s="946"/>
      <c r="IQG3" s="946"/>
      <c r="IQH3" s="946"/>
      <c r="IQI3" s="946"/>
      <c r="IQJ3" s="946"/>
      <c r="IQK3" s="946"/>
      <c r="IQL3" s="946"/>
      <c r="IQM3" s="946"/>
      <c r="IQN3" s="946"/>
      <c r="IQO3" s="946"/>
      <c r="IQP3" s="946"/>
      <c r="IQQ3" s="946"/>
      <c r="IQR3" s="946"/>
      <c r="IQS3" s="946"/>
      <c r="IQT3" s="946"/>
      <c r="IQU3" s="946"/>
      <c r="IQV3" s="946"/>
      <c r="IQW3" s="946"/>
      <c r="IQX3" s="946"/>
      <c r="IQY3" s="946"/>
      <c r="IQZ3" s="946"/>
      <c r="IRA3" s="946"/>
      <c r="IRB3" s="946"/>
      <c r="IRC3" s="946"/>
      <c r="IRD3" s="946"/>
      <c r="IRE3" s="946"/>
      <c r="IRF3" s="946"/>
      <c r="IRG3" s="946"/>
      <c r="IRH3" s="946"/>
      <c r="IRI3" s="946"/>
      <c r="IRJ3" s="946"/>
      <c r="IRK3" s="946"/>
      <c r="IRL3" s="946"/>
      <c r="IRM3" s="946"/>
      <c r="IRN3" s="946"/>
      <c r="IRO3" s="946"/>
      <c r="IRP3" s="946"/>
      <c r="IRQ3" s="946"/>
      <c r="IRR3" s="946"/>
      <c r="IRS3" s="946"/>
      <c r="IRT3" s="946"/>
      <c r="IRU3" s="946"/>
      <c r="IRV3" s="946"/>
      <c r="IRW3" s="946"/>
      <c r="IRX3" s="946"/>
      <c r="IRY3" s="946"/>
      <c r="IRZ3" s="946"/>
      <c r="ISA3" s="946"/>
      <c r="ISB3" s="946"/>
      <c r="ISC3" s="946"/>
      <c r="ISD3" s="946"/>
      <c r="ISE3" s="946"/>
      <c r="ISF3" s="946"/>
      <c r="ISG3" s="946"/>
      <c r="ISH3" s="946"/>
      <c r="ISI3" s="946"/>
      <c r="ISJ3" s="946"/>
      <c r="ISK3" s="946"/>
      <c r="ISL3" s="946"/>
      <c r="ISM3" s="946"/>
      <c r="ISN3" s="946"/>
      <c r="ISO3" s="946"/>
      <c r="ISP3" s="946"/>
      <c r="ISQ3" s="946"/>
      <c r="ISR3" s="946"/>
      <c r="ISS3" s="946"/>
      <c r="IST3" s="946"/>
      <c r="ISU3" s="946"/>
      <c r="ISV3" s="946"/>
      <c r="ISW3" s="946"/>
      <c r="ISX3" s="946"/>
      <c r="ISY3" s="946"/>
      <c r="ISZ3" s="946"/>
      <c r="ITA3" s="946"/>
      <c r="ITB3" s="946"/>
      <c r="ITC3" s="946"/>
      <c r="ITD3" s="946"/>
      <c r="ITE3" s="946"/>
      <c r="ITF3" s="946"/>
      <c r="ITG3" s="946"/>
      <c r="ITH3" s="946"/>
      <c r="ITI3" s="946"/>
      <c r="ITJ3" s="946"/>
      <c r="ITK3" s="946"/>
      <c r="ITL3" s="946"/>
      <c r="ITM3" s="946"/>
      <c r="ITN3" s="946"/>
      <c r="ITO3" s="946"/>
      <c r="ITP3" s="946"/>
      <c r="ITQ3" s="946"/>
      <c r="ITR3" s="946"/>
      <c r="ITS3" s="946"/>
      <c r="ITT3" s="946"/>
      <c r="ITU3" s="946"/>
      <c r="ITV3" s="946"/>
      <c r="ITW3" s="946"/>
      <c r="ITX3" s="946"/>
      <c r="ITY3" s="946"/>
      <c r="ITZ3" s="946"/>
      <c r="IUA3" s="946"/>
      <c r="IUB3" s="946"/>
      <c r="IUC3" s="946"/>
      <c r="IUD3" s="946"/>
      <c r="IUE3" s="946"/>
      <c r="IUF3" s="946"/>
      <c r="IUG3" s="946"/>
      <c r="IUH3" s="946"/>
      <c r="IUI3" s="946"/>
      <c r="IUJ3" s="946"/>
      <c r="IUK3" s="946"/>
      <c r="IUL3" s="946"/>
      <c r="IUM3" s="946"/>
      <c r="IUN3" s="946"/>
      <c r="IUO3" s="946"/>
      <c r="IUP3" s="946"/>
      <c r="IUQ3" s="946"/>
      <c r="IUR3" s="946"/>
      <c r="IUS3" s="946"/>
      <c r="IUT3" s="946"/>
      <c r="IUU3" s="946"/>
      <c r="IUV3" s="946"/>
      <c r="IUW3" s="946"/>
      <c r="IUX3" s="946"/>
      <c r="IUY3" s="946"/>
      <c r="IUZ3" s="946"/>
      <c r="IVA3" s="946"/>
      <c r="IVB3" s="946"/>
      <c r="IVC3" s="946"/>
      <c r="IVD3" s="946"/>
      <c r="IVE3" s="946"/>
      <c r="IVF3" s="946"/>
      <c r="IVG3" s="946"/>
      <c r="IVH3" s="946"/>
      <c r="IVI3" s="946"/>
      <c r="IVJ3" s="946"/>
      <c r="IVK3" s="946"/>
      <c r="IVL3" s="946"/>
      <c r="IVM3" s="946"/>
      <c r="IVN3" s="946"/>
      <c r="IVO3" s="946"/>
      <c r="IVP3" s="946"/>
      <c r="IVQ3" s="946"/>
      <c r="IVR3" s="946"/>
      <c r="IVS3" s="946"/>
      <c r="IVT3" s="946"/>
      <c r="IVU3" s="946"/>
      <c r="IVV3" s="946"/>
      <c r="IVW3" s="946"/>
      <c r="IVX3" s="946"/>
      <c r="IVY3" s="946"/>
      <c r="IVZ3" s="946"/>
      <c r="IWA3" s="946"/>
      <c r="IWB3" s="946"/>
      <c r="IWC3" s="946"/>
      <c r="IWD3" s="946"/>
      <c r="IWE3" s="946"/>
      <c r="IWF3" s="946"/>
      <c r="IWG3" s="946"/>
      <c r="IWH3" s="946"/>
      <c r="IWI3" s="946"/>
      <c r="IWJ3" s="946"/>
      <c r="IWK3" s="946"/>
      <c r="IWL3" s="946"/>
      <c r="IWM3" s="946"/>
      <c r="IWN3" s="946"/>
      <c r="IWO3" s="946"/>
      <c r="IWP3" s="946"/>
      <c r="IWQ3" s="946"/>
      <c r="IWR3" s="946"/>
      <c r="IWS3" s="946"/>
      <c r="IWT3" s="946"/>
      <c r="IWU3" s="946"/>
      <c r="IWV3" s="946"/>
      <c r="IWW3" s="946"/>
      <c r="IWX3" s="946"/>
      <c r="IWY3" s="946"/>
      <c r="IWZ3" s="946"/>
      <c r="IXA3" s="946"/>
      <c r="IXB3" s="946"/>
      <c r="IXC3" s="946"/>
      <c r="IXD3" s="946"/>
      <c r="IXE3" s="946"/>
      <c r="IXF3" s="946"/>
      <c r="IXG3" s="946"/>
      <c r="IXH3" s="946"/>
      <c r="IXI3" s="946"/>
      <c r="IXJ3" s="946"/>
      <c r="IXK3" s="946"/>
      <c r="IXL3" s="946"/>
      <c r="IXM3" s="946"/>
      <c r="IXN3" s="946"/>
      <c r="IXO3" s="946"/>
      <c r="IXP3" s="946"/>
      <c r="IXQ3" s="946"/>
      <c r="IXR3" s="946"/>
      <c r="IXS3" s="946"/>
      <c r="IXT3" s="946"/>
      <c r="IXU3" s="946"/>
      <c r="IXV3" s="946"/>
      <c r="IXW3" s="946"/>
      <c r="IXX3" s="946"/>
      <c r="IXY3" s="946"/>
      <c r="IXZ3" s="946"/>
      <c r="IYA3" s="946"/>
      <c r="IYB3" s="946"/>
      <c r="IYC3" s="946"/>
      <c r="IYD3" s="946"/>
      <c r="IYE3" s="946"/>
      <c r="IYF3" s="946"/>
      <c r="IYG3" s="946"/>
      <c r="IYH3" s="946"/>
      <c r="IYI3" s="946"/>
      <c r="IYJ3" s="946"/>
      <c r="IYK3" s="946"/>
      <c r="IYL3" s="946"/>
      <c r="IYM3" s="946"/>
      <c r="IYN3" s="946"/>
      <c r="IYO3" s="946"/>
      <c r="IYP3" s="946"/>
      <c r="IYQ3" s="946"/>
      <c r="IYR3" s="946"/>
      <c r="IYS3" s="946"/>
      <c r="IYT3" s="946"/>
      <c r="IYU3" s="946"/>
      <c r="IYV3" s="946"/>
      <c r="IYW3" s="946"/>
      <c r="IYX3" s="946"/>
      <c r="IYY3" s="946"/>
      <c r="IYZ3" s="946"/>
      <c r="IZA3" s="946"/>
      <c r="IZB3" s="946"/>
      <c r="IZC3" s="946"/>
      <c r="IZD3" s="946"/>
      <c r="IZE3" s="946"/>
      <c r="IZF3" s="946"/>
      <c r="IZG3" s="946"/>
      <c r="IZH3" s="946"/>
      <c r="IZI3" s="946"/>
      <c r="IZJ3" s="946"/>
      <c r="IZK3" s="946"/>
      <c r="IZL3" s="946"/>
      <c r="IZM3" s="946"/>
      <c r="IZN3" s="946"/>
      <c r="IZO3" s="946"/>
      <c r="IZP3" s="946"/>
      <c r="IZQ3" s="946"/>
      <c r="IZR3" s="946"/>
      <c r="IZS3" s="946"/>
      <c r="IZT3" s="946"/>
      <c r="IZU3" s="946"/>
      <c r="IZV3" s="946"/>
      <c r="IZW3" s="946"/>
      <c r="IZX3" s="946"/>
      <c r="IZY3" s="946"/>
      <c r="IZZ3" s="946"/>
      <c r="JAA3" s="946"/>
      <c r="JAB3" s="946"/>
      <c r="JAC3" s="946"/>
      <c r="JAD3" s="946"/>
      <c r="JAE3" s="946"/>
      <c r="JAF3" s="946"/>
      <c r="JAG3" s="946"/>
      <c r="JAH3" s="946"/>
      <c r="JAI3" s="946"/>
      <c r="JAJ3" s="946"/>
      <c r="JAK3" s="946"/>
      <c r="JAL3" s="946"/>
      <c r="JAM3" s="946"/>
      <c r="JAN3" s="946"/>
      <c r="JAO3" s="946"/>
      <c r="JAP3" s="946"/>
      <c r="JAQ3" s="946"/>
      <c r="JAR3" s="946"/>
      <c r="JAS3" s="946"/>
      <c r="JAT3" s="946"/>
      <c r="JAU3" s="946"/>
      <c r="JAV3" s="946"/>
      <c r="JAW3" s="946"/>
      <c r="JAX3" s="946"/>
      <c r="JAY3" s="946"/>
      <c r="JAZ3" s="946"/>
      <c r="JBA3" s="946"/>
      <c r="JBB3" s="946"/>
      <c r="JBC3" s="946"/>
      <c r="JBD3" s="946"/>
      <c r="JBE3" s="946"/>
      <c r="JBF3" s="946"/>
      <c r="JBG3" s="946"/>
      <c r="JBH3" s="946"/>
      <c r="JBI3" s="946"/>
      <c r="JBJ3" s="946"/>
      <c r="JBK3" s="946"/>
      <c r="JBL3" s="946"/>
      <c r="JBM3" s="946"/>
      <c r="JBN3" s="946"/>
      <c r="JBO3" s="946"/>
      <c r="JBP3" s="946"/>
      <c r="JBQ3" s="946"/>
      <c r="JBR3" s="946"/>
      <c r="JBS3" s="946"/>
      <c r="JBT3" s="946"/>
      <c r="JBU3" s="946"/>
      <c r="JBV3" s="946"/>
      <c r="JBW3" s="946"/>
      <c r="JBX3" s="946"/>
      <c r="JBY3" s="946"/>
      <c r="JBZ3" s="946"/>
      <c r="JCA3" s="946"/>
      <c r="JCB3" s="946"/>
      <c r="JCC3" s="946"/>
      <c r="JCD3" s="946"/>
      <c r="JCE3" s="946"/>
      <c r="JCF3" s="946"/>
      <c r="JCG3" s="946"/>
      <c r="JCH3" s="946"/>
      <c r="JCI3" s="946"/>
      <c r="JCJ3" s="946"/>
      <c r="JCK3" s="946"/>
      <c r="JCL3" s="946"/>
      <c r="JCM3" s="946"/>
      <c r="JCN3" s="946"/>
      <c r="JCO3" s="946"/>
      <c r="JCP3" s="946"/>
      <c r="JCQ3" s="946"/>
      <c r="JCR3" s="946"/>
      <c r="JCS3" s="946"/>
      <c r="JCT3" s="946"/>
      <c r="JCU3" s="946"/>
      <c r="JCV3" s="946"/>
      <c r="JCW3" s="946"/>
      <c r="JCX3" s="946"/>
      <c r="JCY3" s="946"/>
      <c r="JCZ3" s="946"/>
      <c r="JDA3" s="946"/>
      <c r="JDB3" s="946"/>
      <c r="JDC3" s="946"/>
      <c r="JDD3" s="946"/>
      <c r="JDE3" s="946"/>
      <c r="JDF3" s="946"/>
      <c r="JDG3" s="946"/>
      <c r="JDH3" s="946"/>
      <c r="JDI3" s="946"/>
      <c r="JDJ3" s="946"/>
      <c r="JDK3" s="946"/>
      <c r="JDL3" s="946"/>
      <c r="JDM3" s="946"/>
      <c r="JDN3" s="946"/>
      <c r="JDO3" s="946"/>
      <c r="JDP3" s="946"/>
      <c r="JDQ3" s="946"/>
      <c r="JDR3" s="946"/>
      <c r="JDS3" s="946"/>
      <c r="JDT3" s="946"/>
      <c r="JDU3" s="946"/>
      <c r="JDV3" s="946"/>
      <c r="JDW3" s="946"/>
      <c r="JDX3" s="946"/>
      <c r="JDY3" s="946"/>
      <c r="JDZ3" s="946"/>
      <c r="JEA3" s="946"/>
      <c r="JEB3" s="946"/>
      <c r="JEC3" s="946"/>
      <c r="JED3" s="946"/>
      <c r="JEE3" s="946"/>
      <c r="JEF3" s="946"/>
      <c r="JEG3" s="946"/>
      <c r="JEH3" s="946"/>
      <c r="JEI3" s="946"/>
      <c r="JEJ3" s="946"/>
      <c r="JEK3" s="946"/>
      <c r="JEL3" s="946"/>
      <c r="JEM3" s="946"/>
      <c r="JEN3" s="946"/>
      <c r="JEO3" s="946"/>
      <c r="JEP3" s="946"/>
      <c r="JEQ3" s="946"/>
      <c r="JER3" s="946"/>
      <c r="JES3" s="946"/>
      <c r="JET3" s="946"/>
      <c r="JEU3" s="946"/>
      <c r="JEV3" s="946"/>
      <c r="JEW3" s="946"/>
      <c r="JEX3" s="946"/>
      <c r="JEY3" s="946"/>
      <c r="JEZ3" s="946"/>
      <c r="JFA3" s="946"/>
      <c r="JFB3" s="946"/>
      <c r="JFC3" s="946"/>
      <c r="JFD3" s="946"/>
      <c r="JFE3" s="946"/>
      <c r="JFF3" s="946"/>
      <c r="JFG3" s="946"/>
      <c r="JFH3" s="946"/>
      <c r="JFI3" s="946"/>
      <c r="JFJ3" s="946"/>
      <c r="JFK3" s="946"/>
      <c r="JFL3" s="946"/>
      <c r="JFM3" s="946"/>
      <c r="JFN3" s="946"/>
      <c r="JFO3" s="946"/>
      <c r="JFP3" s="946"/>
      <c r="JFQ3" s="946"/>
      <c r="JFR3" s="946"/>
      <c r="JFS3" s="946"/>
      <c r="JFT3" s="946"/>
      <c r="JFU3" s="946"/>
      <c r="JFV3" s="946"/>
      <c r="JFW3" s="946"/>
      <c r="JFX3" s="946"/>
      <c r="JFY3" s="946"/>
      <c r="JFZ3" s="946"/>
      <c r="JGA3" s="946"/>
      <c r="JGB3" s="946"/>
      <c r="JGC3" s="946"/>
      <c r="JGD3" s="946"/>
      <c r="JGE3" s="946"/>
      <c r="JGF3" s="946"/>
      <c r="JGG3" s="946"/>
      <c r="JGH3" s="946"/>
      <c r="JGI3" s="946"/>
      <c r="JGJ3" s="946"/>
      <c r="JGK3" s="946"/>
      <c r="JGL3" s="946"/>
      <c r="JGM3" s="946"/>
      <c r="JGN3" s="946"/>
      <c r="JGO3" s="946"/>
      <c r="JGP3" s="946"/>
      <c r="JGQ3" s="946"/>
      <c r="JGR3" s="946"/>
      <c r="JGS3" s="946"/>
      <c r="JGT3" s="946"/>
      <c r="JGU3" s="946"/>
      <c r="JGV3" s="946"/>
      <c r="JGW3" s="946"/>
      <c r="JGX3" s="946"/>
      <c r="JGY3" s="946"/>
      <c r="JGZ3" s="946"/>
      <c r="JHA3" s="946"/>
      <c r="JHB3" s="946"/>
      <c r="JHC3" s="946"/>
      <c r="JHD3" s="946"/>
      <c r="JHE3" s="946"/>
      <c r="JHF3" s="946"/>
      <c r="JHG3" s="946"/>
      <c r="JHH3" s="946"/>
      <c r="JHI3" s="946"/>
      <c r="JHJ3" s="946"/>
      <c r="JHK3" s="946"/>
      <c r="JHL3" s="946"/>
      <c r="JHM3" s="946"/>
      <c r="JHN3" s="946"/>
      <c r="JHO3" s="946"/>
      <c r="JHP3" s="946"/>
      <c r="JHQ3" s="946"/>
      <c r="JHR3" s="946"/>
      <c r="JHS3" s="946"/>
      <c r="JHT3" s="946"/>
      <c r="JHU3" s="946"/>
      <c r="JHV3" s="946"/>
      <c r="JHW3" s="946"/>
      <c r="JHX3" s="946"/>
      <c r="JHY3" s="946"/>
      <c r="JHZ3" s="946"/>
      <c r="JIA3" s="946"/>
      <c r="JIB3" s="946"/>
      <c r="JIC3" s="946"/>
      <c r="JID3" s="946"/>
      <c r="JIE3" s="946"/>
      <c r="JIF3" s="946"/>
      <c r="JIG3" s="946"/>
      <c r="JIH3" s="946"/>
      <c r="JII3" s="946"/>
      <c r="JIJ3" s="946"/>
      <c r="JIK3" s="946"/>
      <c r="JIL3" s="946"/>
      <c r="JIM3" s="946"/>
      <c r="JIN3" s="946"/>
      <c r="JIO3" s="946"/>
      <c r="JIP3" s="946"/>
      <c r="JIQ3" s="946"/>
      <c r="JIR3" s="946"/>
      <c r="JIS3" s="946"/>
      <c r="JIT3" s="946"/>
      <c r="JIU3" s="946"/>
      <c r="JIV3" s="946"/>
      <c r="JIW3" s="946"/>
      <c r="JIX3" s="946"/>
      <c r="JIY3" s="946"/>
      <c r="JIZ3" s="946"/>
      <c r="JJA3" s="946"/>
      <c r="JJB3" s="946"/>
      <c r="JJC3" s="946"/>
      <c r="JJD3" s="946"/>
      <c r="JJE3" s="946"/>
      <c r="JJF3" s="946"/>
      <c r="JJG3" s="946"/>
      <c r="JJH3" s="946"/>
      <c r="JJI3" s="946"/>
      <c r="JJJ3" s="946"/>
      <c r="JJK3" s="946"/>
      <c r="JJL3" s="946"/>
      <c r="JJM3" s="946"/>
      <c r="JJN3" s="946"/>
      <c r="JJO3" s="946"/>
      <c r="JJP3" s="946"/>
      <c r="JJQ3" s="946"/>
      <c r="JJR3" s="946"/>
      <c r="JJS3" s="946"/>
      <c r="JJT3" s="946"/>
      <c r="JJU3" s="946"/>
      <c r="JJV3" s="946"/>
      <c r="JJW3" s="946"/>
      <c r="JJX3" s="946"/>
      <c r="JJY3" s="946"/>
      <c r="JJZ3" s="946"/>
      <c r="JKA3" s="946"/>
      <c r="JKB3" s="946"/>
      <c r="JKC3" s="946"/>
      <c r="JKD3" s="946"/>
      <c r="JKE3" s="946"/>
      <c r="JKF3" s="946"/>
      <c r="JKG3" s="946"/>
      <c r="JKH3" s="946"/>
      <c r="JKI3" s="946"/>
      <c r="JKJ3" s="946"/>
      <c r="JKK3" s="946"/>
      <c r="JKL3" s="946"/>
      <c r="JKM3" s="946"/>
      <c r="JKN3" s="946"/>
      <c r="JKO3" s="946"/>
      <c r="JKP3" s="946"/>
      <c r="JKQ3" s="946"/>
      <c r="JKR3" s="946"/>
      <c r="JKS3" s="946"/>
      <c r="JKT3" s="946"/>
      <c r="JKU3" s="946"/>
      <c r="JKV3" s="946"/>
      <c r="JKW3" s="946"/>
      <c r="JKX3" s="946"/>
      <c r="JKY3" s="946"/>
      <c r="JKZ3" s="946"/>
      <c r="JLA3" s="946"/>
      <c r="JLB3" s="946"/>
      <c r="JLC3" s="946"/>
      <c r="JLD3" s="946"/>
      <c r="JLE3" s="946"/>
      <c r="JLF3" s="946"/>
      <c r="JLG3" s="946"/>
      <c r="JLH3" s="946"/>
      <c r="JLI3" s="946"/>
      <c r="JLJ3" s="946"/>
      <c r="JLK3" s="946"/>
      <c r="JLL3" s="946"/>
      <c r="JLM3" s="946"/>
      <c r="JLN3" s="946"/>
      <c r="JLO3" s="946"/>
      <c r="JLP3" s="946"/>
      <c r="JLQ3" s="946"/>
      <c r="JLR3" s="946"/>
      <c r="JLS3" s="946"/>
      <c r="JLT3" s="946"/>
      <c r="JLU3" s="946"/>
      <c r="JLV3" s="946"/>
      <c r="JLW3" s="946"/>
      <c r="JLX3" s="946"/>
      <c r="JLY3" s="946"/>
      <c r="JLZ3" s="946"/>
      <c r="JMA3" s="946"/>
      <c r="JMB3" s="946"/>
      <c r="JMC3" s="946"/>
      <c r="JMD3" s="946"/>
      <c r="JME3" s="946"/>
      <c r="JMF3" s="946"/>
      <c r="JMG3" s="946"/>
      <c r="JMH3" s="946"/>
      <c r="JMI3" s="946"/>
      <c r="JMJ3" s="946"/>
      <c r="JMK3" s="946"/>
      <c r="JML3" s="946"/>
      <c r="JMM3" s="946"/>
      <c r="JMN3" s="946"/>
      <c r="JMO3" s="946"/>
      <c r="JMP3" s="946"/>
      <c r="JMQ3" s="946"/>
      <c r="JMR3" s="946"/>
      <c r="JMS3" s="946"/>
      <c r="JMT3" s="946"/>
      <c r="JMU3" s="946"/>
      <c r="JMV3" s="946"/>
      <c r="JMW3" s="946"/>
      <c r="JMX3" s="946"/>
      <c r="JMY3" s="946"/>
      <c r="JMZ3" s="946"/>
      <c r="JNA3" s="946"/>
      <c r="JNB3" s="946"/>
      <c r="JNC3" s="946"/>
      <c r="JND3" s="946"/>
      <c r="JNE3" s="946"/>
      <c r="JNF3" s="946"/>
      <c r="JNG3" s="946"/>
      <c r="JNH3" s="946"/>
      <c r="JNI3" s="946"/>
      <c r="JNJ3" s="946"/>
      <c r="JNK3" s="946"/>
      <c r="JNL3" s="946"/>
      <c r="JNM3" s="946"/>
      <c r="JNN3" s="946"/>
      <c r="JNO3" s="946"/>
      <c r="JNP3" s="946"/>
      <c r="JNQ3" s="946"/>
      <c r="JNR3" s="946"/>
      <c r="JNS3" s="946"/>
      <c r="JNT3" s="946"/>
      <c r="JNU3" s="946"/>
      <c r="JNV3" s="946"/>
      <c r="JNW3" s="946"/>
      <c r="JNX3" s="946"/>
      <c r="JNY3" s="946"/>
      <c r="JNZ3" s="946"/>
      <c r="JOA3" s="946"/>
      <c r="JOB3" s="946"/>
      <c r="JOC3" s="946"/>
      <c r="JOD3" s="946"/>
      <c r="JOE3" s="946"/>
      <c r="JOF3" s="946"/>
      <c r="JOG3" s="946"/>
      <c r="JOH3" s="946"/>
      <c r="JOI3" s="946"/>
      <c r="JOJ3" s="946"/>
      <c r="JOK3" s="946"/>
      <c r="JOL3" s="946"/>
      <c r="JOM3" s="946"/>
      <c r="JON3" s="946"/>
      <c r="JOO3" s="946"/>
      <c r="JOP3" s="946"/>
      <c r="JOQ3" s="946"/>
      <c r="JOR3" s="946"/>
      <c r="JOS3" s="946"/>
      <c r="JOT3" s="946"/>
      <c r="JOU3" s="946"/>
      <c r="JOV3" s="946"/>
      <c r="JOW3" s="946"/>
      <c r="JOX3" s="946"/>
      <c r="JOY3" s="946"/>
      <c r="JOZ3" s="946"/>
      <c r="JPA3" s="946"/>
      <c r="JPB3" s="946"/>
      <c r="JPC3" s="946"/>
      <c r="JPD3" s="946"/>
      <c r="JPE3" s="946"/>
      <c r="JPF3" s="946"/>
      <c r="JPG3" s="946"/>
      <c r="JPH3" s="946"/>
      <c r="JPI3" s="946"/>
      <c r="JPJ3" s="946"/>
      <c r="JPK3" s="946"/>
      <c r="JPL3" s="946"/>
      <c r="JPM3" s="946"/>
      <c r="JPN3" s="946"/>
      <c r="JPO3" s="946"/>
      <c r="JPP3" s="946"/>
      <c r="JPQ3" s="946"/>
      <c r="JPR3" s="946"/>
      <c r="JPS3" s="946"/>
      <c r="JPT3" s="946"/>
      <c r="JPU3" s="946"/>
      <c r="JPV3" s="946"/>
      <c r="JPW3" s="946"/>
      <c r="JPX3" s="946"/>
      <c r="JPY3" s="946"/>
      <c r="JPZ3" s="946"/>
      <c r="JQA3" s="946"/>
      <c r="JQB3" s="946"/>
      <c r="JQC3" s="946"/>
      <c r="JQD3" s="946"/>
      <c r="JQE3" s="946"/>
      <c r="JQF3" s="946"/>
      <c r="JQG3" s="946"/>
      <c r="JQH3" s="946"/>
      <c r="JQI3" s="946"/>
      <c r="JQJ3" s="946"/>
      <c r="JQK3" s="946"/>
      <c r="JQL3" s="946"/>
      <c r="JQM3" s="946"/>
      <c r="JQN3" s="946"/>
      <c r="JQO3" s="946"/>
      <c r="JQP3" s="946"/>
      <c r="JQQ3" s="946"/>
      <c r="JQR3" s="946"/>
      <c r="JQS3" s="946"/>
      <c r="JQT3" s="946"/>
      <c r="JQU3" s="946"/>
      <c r="JQV3" s="946"/>
      <c r="JQW3" s="946"/>
      <c r="JQX3" s="946"/>
      <c r="JQY3" s="946"/>
      <c r="JQZ3" s="946"/>
      <c r="JRA3" s="946"/>
      <c r="JRB3" s="946"/>
      <c r="JRC3" s="946"/>
      <c r="JRD3" s="946"/>
      <c r="JRE3" s="946"/>
      <c r="JRF3" s="946"/>
      <c r="JRG3" s="946"/>
      <c r="JRH3" s="946"/>
      <c r="JRI3" s="946"/>
      <c r="JRJ3" s="946"/>
      <c r="JRK3" s="946"/>
      <c r="JRL3" s="946"/>
      <c r="JRM3" s="946"/>
      <c r="JRN3" s="946"/>
      <c r="JRO3" s="946"/>
      <c r="JRP3" s="946"/>
      <c r="JRQ3" s="946"/>
      <c r="JRR3" s="946"/>
      <c r="JRS3" s="946"/>
      <c r="JRT3" s="946"/>
      <c r="JRU3" s="946"/>
      <c r="JRV3" s="946"/>
      <c r="JRW3" s="946"/>
      <c r="JRX3" s="946"/>
      <c r="JRY3" s="946"/>
      <c r="JRZ3" s="946"/>
      <c r="JSA3" s="946"/>
      <c r="JSB3" s="946"/>
      <c r="JSC3" s="946"/>
      <c r="JSD3" s="946"/>
      <c r="JSE3" s="946"/>
      <c r="JSF3" s="946"/>
      <c r="JSG3" s="946"/>
      <c r="JSH3" s="946"/>
      <c r="JSI3" s="946"/>
      <c r="JSJ3" s="946"/>
      <c r="JSK3" s="946"/>
      <c r="JSL3" s="946"/>
      <c r="JSM3" s="946"/>
      <c r="JSN3" s="946"/>
      <c r="JSO3" s="946"/>
      <c r="JSP3" s="946"/>
      <c r="JSQ3" s="946"/>
      <c r="JSR3" s="946"/>
      <c r="JSS3" s="946"/>
      <c r="JST3" s="946"/>
      <c r="JSU3" s="946"/>
      <c r="JSV3" s="946"/>
      <c r="JSW3" s="946"/>
      <c r="JSX3" s="946"/>
      <c r="JSY3" s="946"/>
      <c r="JSZ3" s="946"/>
      <c r="JTA3" s="946"/>
      <c r="JTB3" s="946"/>
      <c r="JTC3" s="946"/>
      <c r="JTD3" s="946"/>
      <c r="JTE3" s="946"/>
      <c r="JTF3" s="946"/>
      <c r="JTG3" s="946"/>
      <c r="JTH3" s="946"/>
      <c r="JTI3" s="946"/>
      <c r="JTJ3" s="946"/>
      <c r="JTK3" s="946"/>
      <c r="JTL3" s="946"/>
      <c r="JTM3" s="946"/>
      <c r="JTN3" s="946"/>
      <c r="JTO3" s="946"/>
      <c r="JTP3" s="946"/>
      <c r="JTQ3" s="946"/>
      <c r="JTR3" s="946"/>
      <c r="JTS3" s="946"/>
      <c r="JTT3" s="946"/>
      <c r="JTU3" s="946"/>
      <c r="JTV3" s="946"/>
      <c r="JTW3" s="946"/>
      <c r="JTX3" s="946"/>
      <c r="JTY3" s="946"/>
      <c r="JTZ3" s="946"/>
      <c r="JUA3" s="946"/>
      <c r="JUB3" s="946"/>
      <c r="JUC3" s="946"/>
      <c r="JUD3" s="946"/>
      <c r="JUE3" s="946"/>
      <c r="JUF3" s="946"/>
      <c r="JUG3" s="946"/>
      <c r="JUH3" s="946"/>
      <c r="JUI3" s="946"/>
      <c r="JUJ3" s="946"/>
      <c r="JUK3" s="946"/>
      <c r="JUL3" s="946"/>
      <c r="JUM3" s="946"/>
      <c r="JUN3" s="946"/>
      <c r="JUO3" s="946"/>
      <c r="JUP3" s="946"/>
      <c r="JUQ3" s="946"/>
      <c r="JUR3" s="946"/>
      <c r="JUS3" s="946"/>
      <c r="JUT3" s="946"/>
      <c r="JUU3" s="946"/>
      <c r="JUV3" s="946"/>
      <c r="JUW3" s="946"/>
      <c r="JUX3" s="946"/>
      <c r="JUY3" s="946"/>
      <c r="JUZ3" s="946"/>
      <c r="JVA3" s="946"/>
      <c r="JVB3" s="946"/>
      <c r="JVC3" s="946"/>
      <c r="JVD3" s="946"/>
      <c r="JVE3" s="946"/>
      <c r="JVF3" s="946"/>
      <c r="JVG3" s="946"/>
      <c r="JVH3" s="946"/>
      <c r="JVI3" s="946"/>
      <c r="JVJ3" s="946"/>
      <c r="JVK3" s="946"/>
      <c r="JVL3" s="946"/>
      <c r="JVM3" s="946"/>
      <c r="JVN3" s="946"/>
      <c r="JVO3" s="946"/>
      <c r="JVP3" s="946"/>
      <c r="JVQ3" s="946"/>
      <c r="JVR3" s="946"/>
      <c r="JVS3" s="946"/>
      <c r="JVT3" s="946"/>
      <c r="JVU3" s="946"/>
      <c r="JVV3" s="946"/>
      <c r="JVW3" s="946"/>
      <c r="JVX3" s="946"/>
      <c r="JVY3" s="946"/>
      <c r="JVZ3" s="946"/>
      <c r="JWA3" s="946"/>
      <c r="JWB3" s="946"/>
      <c r="JWC3" s="946"/>
      <c r="JWD3" s="946"/>
      <c r="JWE3" s="946"/>
      <c r="JWF3" s="946"/>
      <c r="JWG3" s="946"/>
      <c r="JWH3" s="946"/>
      <c r="JWI3" s="946"/>
      <c r="JWJ3" s="946"/>
      <c r="JWK3" s="946"/>
      <c r="JWL3" s="946"/>
      <c r="JWM3" s="946"/>
      <c r="JWN3" s="946"/>
      <c r="JWO3" s="946"/>
      <c r="JWP3" s="946"/>
      <c r="JWQ3" s="946"/>
      <c r="JWR3" s="946"/>
      <c r="JWS3" s="946"/>
      <c r="JWT3" s="946"/>
      <c r="JWU3" s="946"/>
      <c r="JWV3" s="946"/>
      <c r="JWW3" s="946"/>
      <c r="JWX3" s="946"/>
      <c r="JWY3" s="946"/>
      <c r="JWZ3" s="946"/>
      <c r="JXA3" s="946"/>
      <c r="JXB3" s="946"/>
      <c r="JXC3" s="946"/>
      <c r="JXD3" s="946"/>
      <c r="JXE3" s="946"/>
      <c r="JXF3" s="946"/>
      <c r="JXG3" s="946"/>
      <c r="JXH3" s="946"/>
      <c r="JXI3" s="946"/>
      <c r="JXJ3" s="946"/>
      <c r="JXK3" s="946"/>
      <c r="JXL3" s="946"/>
      <c r="JXM3" s="946"/>
      <c r="JXN3" s="946"/>
      <c r="JXO3" s="946"/>
      <c r="JXP3" s="946"/>
      <c r="JXQ3" s="946"/>
      <c r="JXR3" s="946"/>
      <c r="JXS3" s="946"/>
      <c r="JXT3" s="946"/>
      <c r="JXU3" s="946"/>
      <c r="JXV3" s="946"/>
      <c r="JXW3" s="946"/>
      <c r="JXX3" s="946"/>
      <c r="JXY3" s="946"/>
      <c r="JXZ3" s="946"/>
      <c r="JYA3" s="946"/>
      <c r="JYB3" s="946"/>
      <c r="JYC3" s="946"/>
      <c r="JYD3" s="946"/>
      <c r="JYE3" s="946"/>
      <c r="JYF3" s="946"/>
      <c r="JYG3" s="946"/>
      <c r="JYH3" s="946"/>
      <c r="JYI3" s="946"/>
      <c r="JYJ3" s="946"/>
      <c r="JYK3" s="946"/>
      <c r="JYL3" s="946"/>
      <c r="JYM3" s="946"/>
      <c r="JYN3" s="946"/>
      <c r="JYO3" s="946"/>
      <c r="JYP3" s="946"/>
      <c r="JYQ3" s="946"/>
      <c r="JYR3" s="946"/>
      <c r="JYS3" s="946"/>
      <c r="JYT3" s="946"/>
      <c r="JYU3" s="946"/>
      <c r="JYV3" s="946"/>
      <c r="JYW3" s="946"/>
      <c r="JYX3" s="946"/>
      <c r="JYY3" s="946"/>
      <c r="JYZ3" s="946"/>
      <c r="JZA3" s="946"/>
      <c r="JZB3" s="946"/>
      <c r="JZC3" s="946"/>
      <c r="JZD3" s="946"/>
      <c r="JZE3" s="946"/>
      <c r="JZF3" s="946"/>
      <c r="JZG3" s="946"/>
      <c r="JZH3" s="946"/>
      <c r="JZI3" s="946"/>
      <c r="JZJ3" s="946"/>
      <c r="JZK3" s="946"/>
      <c r="JZL3" s="946"/>
      <c r="JZM3" s="946"/>
      <c r="JZN3" s="946"/>
      <c r="JZO3" s="946"/>
      <c r="JZP3" s="946"/>
      <c r="JZQ3" s="946"/>
      <c r="JZR3" s="946"/>
      <c r="JZS3" s="946"/>
      <c r="JZT3" s="946"/>
      <c r="JZU3" s="946"/>
      <c r="JZV3" s="946"/>
      <c r="JZW3" s="946"/>
      <c r="JZX3" s="946"/>
      <c r="JZY3" s="946"/>
      <c r="JZZ3" s="946"/>
      <c r="KAA3" s="946"/>
      <c r="KAB3" s="946"/>
      <c r="KAC3" s="946"/>
      <c r="KAD3" s="946"/>
      <c r="KAE3" s="946"/>
      <c r="KAF3" s="946"/>
      <c r="KAG3" s="946"/>
      <c r="KAH3" s="946"/>
      <c r="KAI3" s="946"/>
      <c r="KAJ3" s="946"/>
      <c r="KAK3" s="946"/>
      <c r="KAL3" s="946"/>
      <c r="KAM3" s="946"/>
      <c r="KAN3" s="946"/>
      <c r="KAO3" s="946"/>
      <c r="KAP3" s="946"/>
      <c r="KAQ3" s="946"/>
      <c r="KAR3" s="946"/>
      <c r="KAS3" s="946"/>
      <c r="KAT3" s="946"/>
      <c r="KAU3" s="946"/>
      <c r="KAV3" s="946"/>
      <c r="KAW3" s="946"/>
      <c r="KAX3" s="946"/>
      <c r="KAY3" s="946"/>
      <c r="KAZ3" s="946"/>
      <c r="KBA3" s="946"/>
      <c r="KBB3" s="946"/>
      <c r="KBC3" s="946"/>
      <c r="KBD3" s="946"/>
      <c r="KBE3" s="946"/>
      <c r="KBF3" s="946"/>
      <c r="KBG3" s="946"/>
      <c r="KBH3" s="946"/>
      <c r="KBI3" s="946"/>
      <c r="KBJ3" s="946"/>
      <c r="KBK3" s="946"/>
      <c r="KBL3" s="946"/>
      <c r="KBM3" s="946"/>
      <c r="KBN3" s="946"/>
      <c r="KBO3" s="946"/>
      <c r="KBP3" s="946"/>
      <c r="KBQ3" s="946"/>
      <c r="KBR3" s="946"/>
      <c r="KBS3" s="946"/>
      <c r="KBT3" s="946"/>
      <c r="KBU3" s="946"/>
      <c r="KBV3" s="946"/>
      <c r="KBW3" s="946"/>
      <c r="KBX3" s="946"/>
      <c r="KBY3" s="946"/>
      <c r="KBZ3" s="946"/>
      <c r="KCA3" s="946"/>
      <c r="KCB3" s="946"/>
      <c r="KCC3" s="946"/>
      <c r="KCD3" s="946"/>
      <c r="KCE3" s="946"/>
      <c r="KCF3" s="946"/>
      <c r="KCG3" s="946"/>
      <c r="KCH3" s="946"/>
      <c r="KCI3" s="946"/>
      <c r="KCJ3" s="946"/>
      <c r="KCK3" s="946"/>
      <c r="KCL3" s="946"/>
      <c r="KCM3" s="946"/>
      <c r="KCN3" s="946"/>
      <c r="KCO3" s="946"/>
      <c r="KCP3" s="946"/>
      <c r="KCQ3" s="946"/>
      <c r="KCR3" s="946"/>
      <c r="KCS3" s="946"/>
      <c r="KCT3" s="946"/>
      <c r="KCU3" s="946"/>
      <c r="KCV3" s="946"/>
      <c r="KCW3" s="946"/>
      <c r="KCX3" s="946"/>
      <c r="KCY3" s="946"/>
      <c r="KCZ3" s="946"/>
      <c r="KDA3" s="946"/>
      <c r="KDB3" s="946"/>
      <c r="KDC3" s="946"/>
      <c r="KDD3" s="946"/>
      <c r="KDE3" s="946"/>
      <c r="KDF3" s="946"/>
      <c r="KDG3" s="946"/>
      <c r="KDH3" s="946"/>
      <c r="KDI3" s="946"/>
      <c r="KDJ3" s="946"/>
      <c r="KDK3" s="946"/>
      <c r="KDL3" s="946"/>
      <c r="KDM3" s="946"/>
      <c r="KDN3" s="946"/>
      <c r="KDO3" s="946"/>
      <c r="KDP3" s="946"/>
      <c r="KDQ3" s="946"/>
      <c r="KDR3" s="946"/>
      <c r="KDS3" s="946"/>
      <c r="KDT3" s="946"/>
      <c r="KDU3" s="946"/>
      <c r="KDV3" s="946"/>
      <c r="KDW3" s="946"/>
      <c r="KDX3" s="946"/>
      <c r="KDY3" s="946"/>
      <c r="KDZ3" s="946"/>
      <c r="KEA3" s="946"/>
      <c r="KEB3" s="946"/>
      <c r="KEC3" s="946"/>
      <c r="KED3" s="946"/>
      <c r="KEE3" s="946"/>
      <c r="KEF3" s="946"/>
      <c r="KEG3" s="946"/>
      <c r="KEH3" s="946"/>
      <c r="KEI3" s="946"/>
      <c r="KEJ3" s="946"/>
      <c r="KEK3" s="946"/>
      <c r="KEL3" s="946"/>
      <c r="KEM3" s="946"/>
      <c r="KEN3" s="946"/>
      <c r="KEO3" s="946"/>
      <c r="KEP3" s="946"/>
      <c r="KEQ3" s="946"/>
      <c r="KER3" s="946"/>
      <c r="KES3" s="946"/>
      <c r="KET3" s="946"/>
      <c r="KEU3" s="946"/>
      <c r="KEV3" s="946"/>
      <c r="KEW3" s="946"/>
      <c r="KEX3" s="946"/>
      <c r="KEY3" s="946"/>
      <c r="KEZ3" s="946"/>
      <c r="KFA3" s="946"/>
      <c r="KFB3" s="946"/>
      <c r="KFC3" s="946"/>
      <c r="KFD3" s="946"/>
      <c r="KFE3" s="946"/>
      <c r="KFF3" s="946"/>
      <c r="KFG3" s="946"/>
      <c r="KFH3" s="946"/>
      <c r="KFI3" s="946"/>
      <c r="KFJ3" s="946"/>
      <c r="KFK3" s="946"/>
      <c r="KFL3" s="946"/>
      <c r="KFM3" s="946"/>
      <c r="KFN3" s="946"/>
      <c r="KFO3" s="946"/>
      <c r="KFP3" s="946"/>
      <c r="KFQ3" s="946"/>
      <c r="KFR3" s="946"/>
      <c r="KFS3" s="946"/>
      <c r="KFT3" s="946"/>
      <c r="KFU3" s="946"/>
      <c r="KFV3" s="946"/>
      <c r="KFW3" s="946"/>
      <c r="KFX3" s="946"/>
      <c r="KFY3" s="946"/>
      <c r="KFZ3" s="946"/>
      <c r="KGA3" s="946"/>
      <c r="KGB3" s="946"/>
      <c r="KGC3" s="946"/>
      <c r="KGD3" s="946"/>
      <c r="KGE3" s="946"/>
      <c r="KGF3" s="946"/>
      <c r="KGG3" s="946"/>
      <c r="KGH3" s="946"/>
      <c r="KGI3" s="946"/>
      <c r="KGJ3" s="946"/>
      <c r="KGK3" s="946"/>
      <c r="KGL3" s="946"/>
      <c r="KGM3" s="946"/>
      <c r="KGN3" s="946"/>
      <c r="KGO3" s="946"/>
      <c r="KGP3" s="946"/>
      <c r="KGQ3" s="946"/>
      <c r="KGR3" s="946"/>
      <c r="KGS3" s="946"/>
      <c r="KGT3" s="946"/>
      <c r="KGU3" s="946"/>
      <c r="KGV3" s="946"/>
      <c r="KGW3" s="946"/>
      <c r="KGX3" s="946"/>
      <c r="KGY3" s="946"/>
      <c r="KGZ3" s="946"/>
      <c r="KHA3" s="946"/>
      <c r="KHB3" s="946"/>
      <c r="KHC3" s="946"/>
      <c r="KHD3" s="946"/>
      <c r="KHE3" s="946"/>
      <c r="KHF3" s="946"/>
      <c r="KHG3" s="946"/>
      <c r="KHH3" s="946"/>
      <c r="KHI3" s="946"/>
      <c r="KHJ3" s="946"/>
      <c r="KHK3" s="946"/>
      <c r="KHL3" s="946"/>
      <c r="KHM3" s="946"/>
      <c r="KHN3" s="946"/>
      <c r="KHO3" s="946"/>
      <c r="KHP3" s="946"/>
      <c r="KHQ3" s="946"/>
      <c r="KHR3" s="946"/>
      <c r="KHS3" s="946"/>
      <c r="KHT3" s="946"/>
      <c r="KHU3" s="946"/>
      <c r="KHV3" s="946"/>
      <c r="KHW3" s="946"/>
      <c r="KHX3" s="946"/>
      <c r="KHY3" s="946"/>
      <c r="KHZ3" s="946"/>
      <c r="KIA3" s="946"/>
      <c r="KIB3" s="946"/>
      <c r="KIC3" s="946"/>
      <c r="KID3" s="946"/>
      <c r="KIE3" s="946"/>
      <c r="KIF3" s="946"/>
      <c r="KIG3" s="946"/>
      <c r="KIH3" s="946"/>
      <c r="KII3" s="946"/>
      <c r="KIJ3" s="946"/>
      <c r="KIK3" s="946"/>
      <c r="KIL3" s="946"/>
      <c r="KIM3" s="946"/>
      <c r="KIN3" s="946"/>
      <c r="KIO3" s="946"/>
      <c r="KIP3" s="946"/>
      <c r="KIQ3" s="946"/>
      <c r="KIR3" s="946"/>
      <c r="KIS3" s="946"/>
      <c r="KIT3" s="946"/>
      <c r="KIU3" s="946"/>
      <c r="KIV3" s="946"/>
      <c r="KIW3" s="946"/>
      <c r="KIX3" s="946"/>
      <c r="KIY3" s="946"/>
      <c r="KIZ3" s="946"/>
      <c r="KJA3" s="946"/>
      <c r="KJB3" s="946"/>
      <c r="KJC3" s="946"/>
      <c r="KJD3" s="946"/>
      <c r="KJE3" s="946"/>
      <c r="KJF3" s="946"/>
      <c r="KJG3" s="946"/>
      <c r="KJH3" s="946"/>
      <c r="KJI3" s="946"/>
      <c r="KJJ3" s="946"/>
      <c r="KJK3" s="946"/>
      <c r="KJL3" s="946"/>
      <c r="KJM3" s="946"/>
      <c r="KJN3" s="946"/>
      <c r="KJO3" s="946"/>
      <c r="KJP3" s="946"/>
      <c r="KJQ3" s="946"/>
      <c r="KJR3" s="946"/>
      <c r="KJS3" s="946"/>
      <c r="KJT3" s="946"/>
      <c r="KJU3" s="946"/>
      <c r="KJV3" s="946"/>
      <c r="KJW3" s="946"/>
      <c r="KJX3" s="946"/>
      <c r="KJY3" s="946"/>
      <c r="KJZ3" s="946"/>
      <c r="KKA3" s="946"/>
      <c r="KKB3" s="946"/>
      <c r="KKC3" s="946"/>
      <c r="KKD3" s="946"/>
      <c r="KKE3" s="946"/>
      <c r="KKF3" s="946"/>
      <c r="KKG3" s="946"/>
      <c r="KKH3" s="946"/>
      <c r="KKI3" s="946"/>
      <c r="KKJ3" s="946"/>
      <c r="KKK3" s="946"/>
      <c r="KKL3" s="946"/>
      <c r="KKM3" s="946"/>
      <c r="KKN3" s="946"/>
      <c r="KKO3" s="946"/>
      <c r="KKP3" s="946"/>
      <c r="KKQ3" s="946"/>
      <c r="KKR3" s="946"/>
      <c r="KKS3" s="946"/>
      <c r="KKT3" s="946"/>
      <c r="KKU3" s="946"/>
      <c r="KKV3" s="946"/>
      <c r="KKW3" s="946"/>
      <c r="KKX3" s="946"/>
      <c r="KKY3" s="946"/>
      <c r="KKZ3" s="946"/>
      <c r="KLA3" s="946"/>
      <c r="KLB3" s="946"/>
      <c r="KLC3" s="946"/>
      <c r="KLD3" s="946"/>
      <c r="KLE3" s="946"/>
      <c r="KLF3" s="946"/>
      <c r="KLG3" s="946"/>
      <c r="KLH3" s="946"/>
      <c r="KLI3" s="946"/>
      <c r="KLJ3" s="946"/>
      <c r="KLK3" s="946"/>
      <c r="KLL3" s="946"/>
      <c r="KLM3" s="946"/>
      <c r="KLN3" s="946"/>
      <c r="KLO3" s="946"/>
      <c r="KLP3" s="946"/>
      <c r="KLQ3" s="946"/>
      <c r="KLR3" s="946"/>
      <c r="KLS3" s="946"/>
      <c r="KLT3" s="946"/>
      <c r="KLU3" s="946"/>
      <c r="KLV3" s="946"/>
      <c r="KLW3" s="946"/>
      <c r="KLX3" s="946"/>
      <c r="KLY3" s="946"/>
      <c r="KLZ3" s="946"/>
      <c r="KMA3" s="946"/>
      <c r="KMB3" s="946"/>
      <c r="KMC3" s="946"/>
      <c r="KMD3" s="946"/>
      <c r="KME3" s="946"/>
      <c r="KMF3" s="946"/>
      <c r="KMG3" s="946"/>
      <c r="KMH3" s="946"/>
      <c r="KMI3" s="946"/>
      <c r="KMJ3" s="946"/>
      <c r="KMK3" s="946"/>
      <c r="KML3" s="946"/>
      <c r="KMM3" s="946"/>
      <c r="KMN3" s="946"/>
      <c r="KMO3" s="946"/>
      <c r="KMP3" s="946"/>
      <c r="KMQ3" s="946"/>
      <c r="KMR3" s="946"/>
      <c r="KMS3" s="946"/>
      <c r="KMT3" s="946"/>
      <c r="KMU3" s="946"/>
      <c r="KMV3" s="946"/>
      <c r="KMW3" s="946"/>
      <c r="KMX3" s="946"/>
      <c r="KMY3" s="946"/>
      <c r="KMZ3" s="946"/>
      <c r="KNA3" s="946"/>
      <c r="KNB3" s="946"/>
      <c r="KNC3" s="946"/>
      <c r="KND3" s="946"/>
      <c r="KNE3" s="946"/>
      <c r="KNF3" s="946"/>
      <c r="KNG3" s="946"/>
      <c r="KNH3" s="946"/>
      <c r="KNI3" s="946"/>
      <c r="KNJ3" s="946"/>
      <c r="KNK3" s="946"/>
      <c r="KNL3" s="946"/>
      <c r="KNM3" s="946"/>
      <c r="KNN3" s="946"/>
      <c r="KNO3" s="946"/>
      <c r="KNP3" s="946"/>
      <c r="KNQ3" s="946"/>
      <c r="KNR3" s="946"/>
      <c r="KNS3" s="946"/>
      <c r="KNT3" s="946"/>
      <c r="KNU3" s="946"/>
      <c r="KNV3" s="946"/>
      <c r="KNW3" s="946"/>
      <c r="KNX3" s="946"/>
      <c r="KNY3" s="946"/>
      <c r="KNZ3" s="946"/>
      <c r="KOA3" s="946"/>
      <c r="KOB3" s="946"/>
      <c r="KOC3" s="946"/>
      <c r="KOD3" s="946"/>
      <c r="KOE3" s="946"/>
      <c r="KOF3" s="946"/>
      <c r="KOG3" s="946"/>
      <c r="KOH3" s="946"/>
      <c r="KOI3" s="946"/>
      <c r="KOJ3" s="946"/>
      <c r="KOK3" s="946"/>
      <c r="KOL3" s="946"/>
      <c r="KOM3" s="946"/>
      <c r="KON3" s="946"/>
      <c r="KOO3" s="946"/>
      <c r="KOP3" s="946"/>
      <c r="KOQ3" s="946"/>
      <c r="KOR3" s="946"/>
      <c r="KOS3" s="946"/>
      <c r="KOT3" s="946"/>
      <c r="KOU3" s="946"/>
      <c r="KOV3" s="946"/>
      <c r="KOW3" s="946"/>
      <c r="KOX3" s="946"/>
      <c r="KOY3" s="946"/>
      <c r="KOZ3" s="946"/>
      <c r="KPA3" s="946"/>
      <c r="KPB3" s="946"/>
      <c r="KPC3" s="946"/>
      <c r="KPD3" s="946"/>
      <c r="KPE3" s="946"/>
      <c r="KPF3" s="946"/>
      <c r="KPG3" s="946"/>
      <c r="KPH3" s="946"/>
      <c r="KPI3" s="946"/>
      <c r="KPJ3" s="946"/>
      <c r="KPK3" s="946"/>
      <c r="KPL3" s="946"/>
      <c r="KPM3" s="946"/>
      <c r="KPN3" s="946"/>
      <c r="KPO3" s="946"/>
      <c r="KPP3" s="946"/>
      <c r="KPQ3" s="946"/>
      <c r="KPR3" s="946"/>
      <c r="KPS3" s="946"/>
      <c r="KPT3" s="946"/>
      <c r="KPU3" s="946"/>
      <c r="KPV3" s="946"/>
      <c r="KPW3" s="946"/>
      <c r="KPX3" s="946"/>
      <c r="KPY3" s="946"/>
      <c r="KPZ3" s="946"/>
      <c r="KQA3" s="946"/>
      <c r="KQB3" s="946"/>
      <c r="KQC3" s="946"/>
      <c r="KQD3" s="946"/>
      <c r="KQE3" s="946"/>
      <c r="KQF3" s="946"/>
      <c r="KQG3" s="946"/>
      <c r="KQH3" s="946"/>
      <c r="KQI3" s="946"/>
      <c r="KQJ3" s="946"/>
      <c r="KQK3" s="946"/>
      <c r="KQL3" s="946"/>
      <c r="KQM3" s="946"/>
      <c r="KQN3" s="946"/>
      <c r="KQO3" s="946"/>
      <c r="KQP3" s="946"/>
      <c r="KQQ3" s="946"/>
      <c r="KQR3" s="946"/>
      <c r="KQS3" s="946"/>
      <c r="KQT3" s="946"/>
      <c r="KQU3" s="946"/>
      <c r="KQV3" s="946"/>
      <c r="KQW3" s="946"/>
      <c r="KQX3" s="946"/>
      <c r="KQY3" s="946"/>
      <c r="KQZ3" s="946"/>
      <c r="KRA3" s="946"/>
      <c r="KRB3" s="946"/>
      <c r="KRC3" s="946"/>
      <c r="KRD3" s="946"/>
      <c r="KRE3" s="946"/>
      <c r="KRF3" s="946"/>
      <c r="KRG3" s="946"/>
      <c r="KRH3" s="946"/>
      <c r="KRI3" s="946"/>
      <c r="KRJ3" s="946"/>
      <c r="KRK3" s="946"/>
      <c r="KRL3" s="946"/>
      <c r="KRM3" s="946"/>
      <c r="KRN3" s="946"/>
      <c r="KRO3" s="946"/>
      <c r="KRP3" s="946"/>
      <c r="KRQ3" s="946"/>
      <c r="KRR3" s="946"/>
      <c r="KRS3" s="946"/>
      <c r="KRT3" s="946"/>
      <c r="KRU3" s="946"/>
      <c r="KRV3" s="946"/>
      <c r="KRW3" s="946"/>
      <c r="KRX3" s="946"/>
      <c r="KRY3" s="946"/>
      <c r="KRZ3" s="946"/>
      <c r="KSA3" s="946"/>
      <c r="KSB3" s="946"/>
      <c r="KSC3" s="946"/>
      <c r="KSD3" s="946"/>
      <c r="KSE3" s="946"/>
      <c r="KSF3" s="946"/>
      <c r="KSG3" s="946"/>
      <c r="KSH3" s="946"/>
      <c r="KSI3" s="946"/>
      <c r="KSJ3" s="946"/>
      <c r="KSK3" s="946"/>
      <c r="KSL3" s="946"/>
      <c r="KSM3" s="946"/>
      <c r="KSN3" s="946"/>
      <c r="KSO3" s="946"/>
      <c r="KSP3" s="946"/>
      <c r="KSQ3" s="946"/>
      <c r="KSR3" s="946"/>
      <c r="KSS3" s="946"/>
      <c r="KST3" s="946"/>
      <c r="KSU3" s="946"/>
      <c r="KSV3" s="946"/>
      <c r="KSW3" s="946"/>
      <c r="KSX3" s="946"/>
      <c r="KSY3" s="946"/>
      <c r="KSZ3" s="946"/>
      <c r="KTA3" s="946"/>
      <c r="KTB3" s="946"/>
      <c r="KTC3" s="946"/>
      <c r="KTD3" s="946"/>
      <c r="KTE3" s="946"/>
      <c r="KTF3" s="946"/>
      <c r="KTG3" s="946"/>
      <c r="KTH3" s="946"/>
      <c r="KTI3" s="946"/>
      <c r="KTJ3" s="946"/>
      <c r="KTK3" s="946"/>
      <c r="KTL3" s="946"/>
      <c r="KTM3" s="946"/>
      <c r="KTN3" s="946"/>
      <c r="KTO3" s="946"/>
      <c r="KTP3" s="946"/>
      <c r="KTQ3" s="946"/>
      <c r="KTR3" s="946"/>
      <c r="KTS3" s="946"/>
      <c r="KTT3" s="946"/>
      <c r="KTU3" s="946"/>
      <c r="KTV3" s="946"/>
      <c r="KTW3" s="946"/>
      <c r="KTX3" s="946"/>
      <c r="KTY3" s="946"/>
      <c r="KTZ3" s="946"/>
      <c r="KUA3" s="946"/>
      <c r="KUB3" s="946"/>
      <c r="KUC3" s="946"/>
      <c r="KUD3" s="946"/>
      <c r="KUE3" s="946"/>
      <c r="KUF3" s="946"/>
      <c r="KUG3" s="946"/>
      <c r="KUH3" s="946"/>
      <c r="KUI3" s="946"/>
      <c r="KUJ3" s="946"/>
      <c r="KUK3" s="946"/>
      <c r="KUL3" s="946"/>
      <c r="KUM3" s="946"/>
      <c r="KUN3" s="946"/>
      <c r="KUO3" s="946"/>
      <c r="KUP3" s="946"/>
      <c r="KUQ3" s="946"/>
      <c r="KUR3" s="946"/>
      <c r="KUS3" s="946"/>
      <c r="KUT3" s="946"/>
      <c r="KUU3" s="946"/>
      <c r="KUV3" s="946"/>
      <c r="KUW3" s="946"/>
      <c r="KUX3" s="946"/>
      <c r="KUY3" s="946"/>
      <c r="KUZ3" s="946"/>
      <c r="KVA3" s="946"/>
      <c r="KVB3" s="946"/>
      <c r="KVC3" s="946"/>
      <c r="KVD3" s="946"/>
      <c r="KVE3" s="946"/>
      <c r="KVF3" s="946"/>
      <c r="KVG3" s="946"/>
      <c r="KVH3" s="946"/>
      <c r="KVI3" s="946"/>
      <c r="KVJ3" s="946"/>
      <c r="KVK3" s="946"/>
      <c r="KVL3" s="946"/>
      <c r="KVM3" s="946"/>
      <c r="KVN3" s="946"/>
      <c r="KVO3" s="946"/>
      <c r="KVP3" s="946"/>
      <c r="KVQ3" s="946"/>
      <c r="KVR3" s="946"/>
      <c r="KVS3" s="946"/>
      <c r="KVT3" s="946"/>
      <c r="KVU3" s="946"/>
      <c r="KVV3" s="946"/>
      <c r="KVW3" s="946"/>
      <c r="KVX3" s="946"/>
      <c r="KVY3" s="946"/>
      <c r="KVZ3" s="946"/>
      <c r="KWA3" s="946"/>
      <c r="KWB3" s="946"/>
      <c r="KWC3" s="946"/>
      <c r="KWD3" s="946"/>
      <c r="KWE3" s="946"/>
      <c r="KWF3" s="946"/>
      <c r="KWG3" s="946"/>
      <c r="KWH3" s="946"/>
      <c r="KWI3" s="946"/>
      <c r="KWJ3" s="946"/>
      <c r="KWK3" s="946"/>
      <c r="KWL3" s="946"/>
      <c r="KWM3" s="946"/>
      <c r="KWN3" s="946"/>
      <c r="KWO3" s="946"/>
      <c r="KWP3" s="946"/>
      <c r="KWQ3" s="946"/>
      <c r="KWR3" s="946"/>
      <c r="KWS3" s="946"/>
      <c r="KWT3" s="946"/>
      <c r="KWU3" s="946"/>
      <c r="KWV3" s="946"/>
      <c r="KWW3" s="946"/>
      <c r="KWX3" s="946"/>
      <c r="KWY3" s="946"/>
      <c r="KWZ3" s="946"/>
      <c r="KXA3" s="946"/>
      <c r="KXB3" s="946"/>
      <c r="KXC3" s="946"/>
      <c r="KXD3" s="946"/>
      <c r="KXE3" s="946"/>
      <c r="KXF3" s="946"/>
      <c r="KXG3" s="946"/>
      <c r="KXH3" s="946"/>
      <c r="KXI3" s="946"/>
      <c r="KXJ3" s="946"/>
      <c r="KXK3" s="946"/>
      <c r="KXL3" s="946"/>
      <c r="KXM3" s="946"/>
      <c r="KXN3" s="946"/>
      <c r="KXO3" s="946"/>
      <c r="KXP3" s="946"/>
      <c r="KXQ3" s="946"/>
      <c r="KXR3" s="946"/>
      <c r="KXS3" s="946"/>
      <c r="KXT3" s="946"/>
      <c r="KXU3" s="946"/>
      <c r="KXV3" s="946"/>
      <c r="KXW3" s="946"/>
      <c r="KXX3" s="946"/>
      <c r="KXY3" s="946"/>
      <c r="KXZ3" s="946"/>
      <c r="KYA3" s="946"/>
      <c r="KYB3" s="946"/>
      <c r="KYC3" s="946"/>
      <c r="KYD3" s="946"/>
      <c r="KYE3" s="946"/>
      <c r="KYF3" s="946"/>
      <c r="KYG3" s="946"/>
      <c r="KYH3" s="946"/>
      <c r="KYI3" s="946"/>
      <c r="KYJ3" s="946"/>
      <c r="KYK3" s="946"/>
      <c r="KYL3" s="946"/>
      <c r="KYM3" s="946"/>
      <c r="KYN3" s="946"/>
      <c r="KYO3" s="946"/>
      <c r="KYP3" s="946"/>
      <c r="KYQ3" s="946"/>
      <c r="KYR3" s="946"/>
      <c r="KYS3" s="946"/>
      <c r="KYT3" s="946"/>
      <c r="KYU3" s="946"/>
      <c r="KYV3" s="946"/>
      <c r="KYW3" s="946"/>
      <c r="KYX3" s="946"/>
      <c r="KYY3" s="946"/>
      <c r="KYZ3" s="946"/>
      <c r="KZA3" s="946"/>
      <c r="KZB3" s="946"/>
      <c r="KZC3" s="946"/>
      <c r="KZD3" s="946"/>
      <c r="KZE3" s="946"/>
      <c r="KZF3" s="946"/>
      <c r="KZG3" s="946"/>
      <c r="KZH3" s="946"/>
      <c r="KZI3" s="946"/>
      <c r="KZJ3" s="946"/>
      <c r="KZK3" s="946"/>
      <c r="KZL3" s="946"/>
      <c r="KZM3" s="946"/>
      <c r="KZN3" s="946"/>
      <c r="KZO3" s="946"/>
      <c r="KZP3" s="946"/>
      <c r="KZQ3" s="946"/>
      <c r="KZR3" s="946"/>
      <c r="KZS3" s="946"/>
      <c r="KZT3" s="946"/>
      <c r="KZU3" s="946"/>
      <c r="KZV3" s="946"/>
      <c r="KZW3" s="946"/>
      <c r="KZX3" s="946"/>
      <c r="KZY3" s="946"/>
      <c r="KZZ3" s="946"/>
      <c r="LAA3" s="946"/>
      <c r="LAB3" s="946"/>
      <c r="LAC3" s="946"/>
      <c r="LAD3" s="946"/>
      <c r="LAE3" s="946"/>
      <c r="LAF3" s="946"/>
      <c r="LAG3" s="946"/>
      <c r="LAH3" s="946"/>
      <c r="LAI3" s="946"/>
      <c r="LAJ3" s="946"/>
      <c r="LAK3" s="946"/>
      <c r="LAL3" s="946"/>
      <c r="LAM3" s="946"/>
      <c r="LAN3" s="946"/>
      <c r="LAO3" s="946"/>
      <c r="LAP3" s="946"/>
      <c r="LAQ3" s="946"/>
      <c r="LAR3" s="946"/>
      <c r="LAS3" s="946"/>
      <c r="LAT3" s="946"/>
      <c r="LAU3" s="946"/>
      <c r="LAV3" s="946"/>
      <c r="LAW3" s="946"/>
      <c r="LAX3" s="946"/>
      <c r="LAY3" s="946"/>
      <c r="LAZ3" s="946"/>
      <c r="LBA3" s="946"/>
      <c r="LBB3" s="946"/>
      <c r="LBC3" s="946"/>
      <c r="LBD3" s="946"/>
      <c r="LBE3" s="946"/>
      <c r="LBF3" s="946"/>
      <c r="LBG3" s="946"/>
      <c r="LBH3" s="946"/>
      <c r="LBI3" s="946"/>
      <c r="LBJ3" s="946"/>
      <c r="LBK3" s="946"/>
      <c r="LBL3" s="946"/>
      <c r="LBM3" s="946"/>
      <c r="LBN3" s="946"/>
      <c r="LBO3" s="946"/>
      <c r="LBP3" s="946"/>
      <c r="LBQ3" s="946"/>
      <c r="LBR3" s="946"/>
      <c r="LBS3" s="946"/>
      <c r="LBT3" s="946"/>
      <c r="LBU3" s="946"/>
      <c r="LBV3" s="946"/>
      <c r="LBW3" s="946"/>
      <c r="LBX3" s="946"/>
      <c r="LBY3" s="946"/>
      <c r="LBZ3" s="946"/>
      <c r="LCA3" s="946"/>
      <c r="LCB3" s="946"/>
      <c r="LCC3" s="946"/>
      <c r="LCD3" s="946"/>
      <c r="LCE3" s="946"/>
      <c r="LCF3" s="946"/>
      <c r="LCG3" s="946"/>
      <c r="LCH3" s="946"/>
      <c r="LCI3" s="946"/>
      <c r="LCJ3" s="946"/>
      <c r="LCK3" s="946"/>
      <c r="LCL3" s="946"/>
      <c r="LCM3" s="946"/>
      <c r="LCN3" s="946"/>
      <c r="LCO3" s="946"/>
      <c r="LCP3" s="946"/>
      <c r="LCQ3" s="946"/>
      <c r="LCR3" s="946"/>
      <c r="LCS3" s="946"/>
      <c r="LCT3" s="946"/>
      <c r="LCU3" s="946"/>
      <c r="LCV3" s="946"/>
      <c r="LCW3" s="946"/>
      <c r="LCX3" s="946"/>
      <c r="LCY3" s="946"/>
      <c r="LCZ3" s="946"/>
      <c r="LDA3" s="946"/>
      <c r="LDB3" s="946"/>
      <c r="LDC3" s="946"/>
      <c r="LDD3" s="946"/>
      <c r="LDE3" s="946"/>
      <c r="LDF3" s="946"/>
      <c r="LDG3" s="946"/>
      <c r="LDH3" s="946"/>
      <c r="LDI3" s="946"/>
      <c r="LDJ3" s="946"/>
      <c r="LDK3" s="946"/>
      <c r="LDL3" s="946"/>
      <c r="LDM3" s="946"/>
      <c r="LDN3" s="946"/>
      <c r="LDO3" s="946"/>
      <c r="LDP3" s="946"/>
      <c r="LDQ3" s="946"/>
      <c r="LDR3" s="946"/>
      <c r="LDS3" s="946"/>
      <c r="LDT3" s="946"/>
      <c r="LDU3" s="946"/>
      <c r="LDV3" s="946"/>
      <c r="LDW3" s="946"/>
      <c r="LDX3" s="946"/>
      <c r="LDY3" s="946"/>
      <c r="LDZ3" s="946"/>
      <c r="LEA3" s="946"/>
      <c r="LEB3" s="946"/>
      <c r="LEC3" s="946"/>
      <c r="LED3" s="946"/>
      <c r="LEE3" s="946"/>
      <c r="LEF3" s="946"/>
      <c r="LEG3" s="946"/>
      <c r="LEH3" s="946"/>
      <c r="LEI3" s="946"/>
      <c r="LEJ3" s="946"/>
      <c r="LEK3" s="946"/>
      <c r="LEL3" s="946"/>
      <c r="LEM3" s="946"/>
      <c r="LEN3" s="946"/>
      <c r="LEO3" s="946"/>
      <c r="LEP3" s="946"/>
      <c r="LEQ3" s="946"/>
      <c r="LER3" s="946"/>
      <c r="LES3" s="946"/>
      <c r="LET3" s="946"/>
      <c r="LEU3" s="946"/>
      <c r="LEV3" s="946"/>
      <c r="LEW3" s="946"/>
      <c r="LEX3" s="946"/>
      <c r="LEY3" s="946"/>
      <c r="LEZ3" s="946"/>
      <c r="LFA3" s="946"/>
      <c r="LFB3" s="946"/>
      <c r="LFC3" s="946"/>
      <c r="LFD3" s="946"/>
      <c r="LFE3" s="946"/>
      <c r="LFF3" s="946"/>
      <c r="LFG3" s="946"/>
      <c r="LFH3" s="946"/>
      <c r="LFI3" s="946"/>
      <c r="LFJ3" s="946"/>
      <c r="LFK3" s="946"/>
      <c r="LFL3" s="946"/>
      <c r="LFM3" s="946"/>
      <c r="LFN3" s="946"/>
      <c r="LFO3" s="946"/>
      <c r="LFP3" s="946"/>
      <c r="LFQ3" s="946"/>
      <c r="LFR3" s="946"/>
      <c r="LFS3" s="946"/>
      <c r="LFT3" s="946"/>
      <c r="LFU3" s="946"/>
      <c r="LFV3" s="946"/>
      <c r="LFW3" s="946"/>
      <c r="LFX3" s="946"/>
      <c r="LFY3" s="946"/>
      <c r="LFZ3" s="946"/>
      <c r="LGA3" s="946"/>
      <c r="LGB3" s="946"/>
      <c r="LGC3" s="946"/>
      <c r="LGD3" s="946"/>
      <c r="LGE3" s="946"/>
      <c r="LGF3" s="946"/>
      <c r="LGG3" s="946"/>
      <c r="LGH3" s="946"/>
      <c r="LGI3" s="946"/>
      <c r="LGJ3" s="946"/>
      <c r="LGK3" s="946"/>
      <c r="LGL3" s="946"/>
      <c r="LGM3" s="946"/>
      <c r="LGN3" s="946"/>
      <c r="LGO3" s="946"/>
      <c r="LGP3" s="946"/>
      <c r="LGQ3" s="946"/>
      <c r="LGR3" s="946"/>
      <c r="LGS3" s="946"/>
      <c r="LGT3" s="946"/>
      <c r="LGU3" s="946"/>
      <c r="LGV3" s="946"/>
      <c r="LGW3" s="946"/>
      <c r="LGX3" s="946"/>
      <c r="LGY3" s="946"/>
      <c r="LGZ3" s="946"/>
      <c r="LHA3" s="946"/>
      <c r="LHB3" s="946"/>
      <c r="LHC3" s="946"/>
      <c r="LHD3" s="946"/>
      <c r="LHE3" s="946"/>
      <c r="LHF3" s="946"/>
      <c r="LHG3" s="946"/>
      <c r="LHH3" s="946"/>
      <c r="LHI3" s="946"/>
      <c r="LHJ3" s="946"/>
      <c r="LHK3" s="946"/>
      <c r="LHL3" s="946"/>
      <c r="LHM3" s="946"/>
      <c r="LHN3" s="946"/>
      <c r="LHO3" s="946"/>
      <c r="LHP3" s="946"/>
      <c r="LHQ3" s="946"/>
      <c r="LHR3" s="946"/>
      <c r="LHS3" s="946"/>
      <c r="LHT3" s="946"/>
      <c r="LHU3" s="946"/>
      <c r="LHV3" s="946"/>
      <c r="LHW3" s="946"/>
      <c r="LHX3" s="946"/>
      <c r="LHY3" s="946"/>
      <c r="LHZ3" s="946"/>
      <c r="LIA3" s="946"/>
      <c r="LIB3" s="946"/>
      <c r="LIC3" s="946"/>
      <c r="LID3" s="946"/>
      <c r="LIE3" s="946"/>
      <c r="LIF3" s="946"/>
      <c r="LIG3" s="946"/>
      <c r="LIH3" s="946"/>
      <c r="LII3" s="946"/>
      <c r="LIJ3" s="946"/>
      <c r="LIK3" s="946"/>
      <c r="LIL3" s="946"/>
      <c r="LIM3" s="946"/>
      <c r="LIN3" s="946"/>
      <c r="LIO3" s="946"/>
      <c r="LIP3" s="946"/>
      <c r="LIQ3" s="946"/>
      <c r="LIR3" s="946"/>
      <c r="LIS3" s="946"/>
      <c r="LIT3" s="946"/>
      <c r="LIU3" s="946"/>
      <c r="LIV3" s="946"/>
      <c r="LIW3" s="946"/>
      <c r="LIX3" s="946"/>
      <c r="LIY3" s="946"/>
      <c r="LIZ3" s="946"/>
      <c r="LJA3" s="946"/>
      <c r="LJB3" s="946"/>
      <c r="LJC3" s="946"/>
      <c r="LJD3" s="946"/>
      <c r="LJE3" s="946"/>
      <c r="LJF3" s="946"/>
      <c r="LJG3" s="946"/>
      <c r="LJH3" s="946"/>
      <c r="LJI3" s="946"/>
      <c r="LJJ3" s="946"/>
      <c r="LJK3" s="946"/>
      <c r="LJL3" s="946"/>
      <c r="LJM3" s="946"/>
      <c r="LJN3" s="946"/>
      <c r="LJO3" s="946"/>
      <c r="LJP3" s="946"/>
      <c r="LJQ3" s="946"/>
      <c r="LJR3" s="946"/>
      <c r="LJS3" s="946"/>
      <c r="LJT3" s="946"/>
      <c r="LJU3" s="946"/>
      <c r="LJV3" s="946"/>
      <c r="LJW3" s="946"/>
      <c r="LJX3" s="946"/>
      <c r="LJY3" s="946"/>
      <c r="LJZ3" s="946"/>
      <c r="LKA3" s="946"/>
      <c r="LKB3" s="946"/>
      <c r="LKC3" s="946"/>
      <c r="LKD3" s="946"/>
      <c r="LKE3" s="946"/>
      <c r="LKF3" s="946"/>
      <c r="LKG3" s="946"/>
      <c r="LKH3" s="946"/>
      <c r="LKI3" s="946"/>
      <c r="LKJ3" s="946"/>
      <c r="LKK3" s="946"/>
      <c r="LKL3" s="946"/>
      <c r="LKM3" s="946"/>
      <c r="LKN3" s="946"/>
      <c r="LKO3" s="946"/>
      <c r="LKP3" s="946"/>
      <c r="LKQ3" s="946"/>
      <c r="LKR3" s="946"/>
      <c r="LKS3" s="946"/>
      <c r="LKT3" s="946"/>
      <c r="LKU3" s="946"/>
      <c r="LKV3" s="946"/>
      <c r="LKW3" s="946"/>
      <c r="LKX3" s="946"/>
      <c r="LKY3" s="946"/>
      <c r="LKZ3" s="946"/>
      <c r="LLA3" s="946"/>
      <c r="LLB3" s="946"/>
      <c r="LLC3" s="946"/>
      <c r="LLD3" s="946"/>
      <c r="LLE3" s="946"/>
      <c r="LLF3" s="946"/>
      <c r="LLG3" s="946"/>
      <c r="LLH3" s="946"/>
      <c r="LLI3" s="946"/>
      <c r="LLJ3" s="946"/>
      <c r="LLK3" s="946"/>
      <c r="LLL3" s="946"/>
      <c r="LLM3" s="946"/>
      <c r="LLN3" s="946"/>
      <c r="LLO3" s="946"/>
      <c r="LLP3" s="946"/>
      <c r="LLQ3" s="946"/>
      <c r="LLR3" s="946"/>
      <c r="LLS3" s="946"/>
      <c r="LLT3" s="946"/>
      <c r="LLU3" s="946"/>
      <c r="LLV3" s="946"/>
      <c r="LLW3" s="946"/>
      <c r="LLX3" s="946"/>
      <c r="LLY3" s="946"/>
      <c r="LLZ3" s="946"/>
      <c r="LMA3" s="946"/>
      <c r="LMB3" s="946"/>
      <c r="LMC3" s="946"/>
      <c r="LMD3" s="946"/>
      <c r="LME3" s="946"/>
      <c r="LMF3" s="946"/>
      <c r="LMG3" s="946"/>
      <c r="LMH3" s="946"/>
      <c r="LMI3" s="946"/>
      <c r="LMJ3" s="946"/>
      <c r="LMK3" s="946"/>
      <c r="LML3" s="946"/>
      <c r="LMM3" s="946"/>
      <c r="LMN3" s="946"/>
      <c r="LMO3" s="946"/>
      <c r="LMP3" s="946"/>
      <c r="LMQ3" s="946"/>
      <c r="LMR3" s="946"/>
      <c r="LMS3" s="946"/>
      <c r="LMT3" s="946"/>
      <c r="LMU3" s="946"/>
      <c r="LMV3" s="946"/>
      <c r="LMW3" s="946"/>
      <c r="LMX3" s="946"/>
      <c r="LMY3" s="946"/>
      <c r="LMZ3" s="946"/>
      <c r="LNA3" s="946"/>
      <c r="LNB3" s="946"/>
      <c r="LNC3" s="946"/>
      <c r="LND3" s="946"/>
      <c r="LNE3" s="946"/>
      <c r="LNF3" s="946"/>
      <c r="LNG3" s="946"/>
      <c r="LNH3" s="946"/>
      <c r="LNI3" s="946"/>
      <c r="LNJ3" s="946"/>
      <c r="LNK3" s="946"/>
      <c r="LNL3" s="946"/>
      <c r="LNM3" s="946"/>
      <c r="LNN3" s="946"/>
      <c r="LNO3" s="946"/>
      <c r="LNP3" s="946"/>
      <c r="LNQ3" s="946"/>
      <c r="LNR3" s="946"/>
      <c r="LNS3" s="946"/>
      <c r="LNT3" s="946"/>
      <c r="LNU3" s="946"/>
      <c r="LNV3" s="946"/>
      <c r="LNW3" s="946"/>
      <c r="LNX3" s="946"/>
      <c r="LNY3" s="946"/>
      <c r="LNZ3" s="946"/>
      <c r="LOA3" s="946"/>
      <c r="LOB3" s="946"/>
      <c r="LOC3" s="946"/>
      <c r="LOD3" s="946"/>
      <c r="LOE3" s="946"/>
      <c r="LOF3" s="946"/>
      <c r="LOG3" s="946"/>
      <c r="LOH3" s="946"/>
      <c r="LOI3" s="946"/>
      <c r="LOJ3" s="946"/>
      <c r="LOK3" s="946"/>
      <c r="LOL3" s="946"/>
      <c r="LOM3" s="946"/>
      <c r="LON3" s="946"/>
      <c r="LOO3" s="946"/>
      <c r="LOP3" s="946"/>
      <c r="LOQ3" s="946"/>
      <c r="LOR3" s="946"/>
      <c r="LOS3" s="946"/>
      <c r="LOT3" s="946"/>
      <c r="LOU3" s="946"/>
      <c r="LOV3" s="946"/>
      <c r="LOW3" s="946"/>
      <c r="LOX3" s="946"/>
      <c r="LOY3" s="946"/>
      <c r="LOZ3" s="946"/>
      <c r="LPA3" s="946"/>
      <c r="LPB3" s="946"/>
      <c r="LPC3" s="946"/>
      <c r="LPD3" s="946"/>
      <c r="LPE3" s="946"/>
      <c r="LPF3" s="946"/>
      <c r="LPG3" s="946"/>
      <c r="LPH3" s="946"/>
      <c r="LPI3" s="946"/>
      <c r="LPJ3" s="946"/>
      <c r="LPK3" s="946"/>
      <c r="LPL3" s="946"/>
      <c r="LPM3" s="946"/>
      <c r="LPN3" s="946"/>
      <c r="LPO3" s="946"/>
      <c r="LPP3" s="946"/>
      <c r="LPQ3" s="946"/>
      <c r="LPR3" s="946"/>
      <c r="LPS3" s="946"/>
      <c r="LPT3" s="946"/>
      <c r="LPU3" s="946"/>
      <c r="LPV3" s="946"/>
      <c r="LPW3" s="946"/>
      <c r="LPX3" s="946"/>
      <c r="LPY3" s="946"/>
      <c r="LPZ3" s="946"/>
      <c r="LQA3" s="946"/>
      <c r="LQB3" s="946"/>
      <c r="LQC3" s="946"/>
      <c r="LQD3" s="946"/>
      <c r="LQE3" s="946"/>
      <c r="LQF3" s="946"/>
      <c r="LQG3" s="946"/>
      <c r="LQH3" s="946"/>
      <c r="LQI3" s="946"/>
      <c r="LQJ3" s="946"/>
      <c r="LQK3" s="946"/>
      <c r="LQL3" s="946"/>
      <c r="LQM3" s="946"/>
      <c r="LQN3" s="946"/>
      <c r="LQO3" s="946"/>
      <c r="LQP3" s="946"/>
      <c r="LQQ3" s="946"/>
      <c r="LQR3" s="946"/>
      <c r="LQS3" s="946"/>
      <c r="LQT3" s="946"/>
      <c r="LQU3" s="946"/>
      <c r="LQV3" s="946"/>
      <c r="LQW3" s="946"/>
      <c r="LQX3" s="946"/>
      <c r="LQY3" s="946"/>
      <c r="LQZ3" s="946"/>
      <c r="LRA3" s="946"/>
      <c r="LRB3" s="946"/>
      <c r="LRC3" s="946"/>
      <c r="LRD3" s="946"/>
      <c r="LRE3" s="946"/>
      <c r="LRF3" s="946"/>
      <c r="LRG3" s="946"/>
      <c r="LRH3" s="946"/>
      <c r="LRI3" s="946"/>
      <c r="LRJ3" s="946"/>
      <c r="LRK3" s="946"/>
      <c r="LRL3" s="946"/>
      <c r="LRM3" s="946"/>
      <c r="LRN3" s="946"/>
      <c r="LRO3" s="946"/>
      <c r="LRP3" s="946"/>
      <c r="LRQ3" s="946"/>
      <c r="LRR3" s="946"/>
      <c r="LRS3" s="946"/>
      <c r="LRT3" s="946"/>
      <c r="LRU3" s="946"/>
      <c r="LRV3" s="946"/>
      <c r="LRW3" s="946"/>
      <c r="LRX3" s="946"/>
      <c r="LRY3" s="946"/>
      <c r="LRZ3" s="946"/>
      <c r="LSA3" s="946"/>
      <c r="LSB3" s="946"/>
      <c r="LSC3" s="946"/>
      <c r="LSD3" s="946"/>
      <c r="LSE3" s="946"/>
      <c r="LSF3" s="946"/>
      <c r="LSG3" s="946"/>
      <c r="LSH3" s="946"/>
      <c r="LSI3" s="946"/>
      <c r="LSJ3" s="946"/>
      <c r="LSK3" s="946"/>
      <c r="LSL3" s="946"/>
      <c r="LSM3" s="946"/>
      <c r="LSN3" s="946"/>
      <c r="LSO3" s="946"/>
      <c r="LSP3" s="946"/>
      <c r="LSQ3" s="946"/>
      <c r="LSR3" s="946"/>
      <c r="LSS3" s="946"/>
      <c r="LST3" s="946"/>
      <c r="LSU3" s="946"/>
      <c r="LSV3" s="946"/>
      <c r="LSW3" s="946"/>
      <c r="LSX3" s="946"/>
      <c r="LSY3" s="946"/>
      <c r="LSZ3" s="946"/>
      <c r="LTA3" s="946"/>
      <c r="LTB3" s="946"/>
      <c r="LTC3" s="946"/>
      <c r="LTD3" s="946"/>
      <c r="LTE3" s="946"/>
      <c r="LTF3" s="946"/>
      <c r="LTG3" s="946"/>
      <c r="LTH3" s="946"/>
      <c r="LTI3" s="946"/>
      <c r="LTJ3" s="946"/>
      <c r="LTK3" s="946"/>
      <c r="LTL3" s="946"/>
      <c r="LTM3" s="946"/>
      <c r="LTN3" s="946"/>
      <c r="LTO3" s="946"/>
      <c r="LTP3" s="946"/>
      <c r="LTQ3" s="946"/>
      <c r="LTR3" s="946"/>
      <c r="LTS3" s="946"/>
      <c r="LTT3" s="946"/>
      <c r="LTU3" s="946"/>
      <c r="LTV3" s="946"/>
      <c r="LTW3" s="946"/>
      <c r="LTX3" s="946"/>
      <c r="LTY3" s="946"/>
      <c r="LTZ3" s="946"/>
      <c r="LUA3" s="946"/>
      <c r="LUB3" s="946"/>
      <c r="LUC3" s="946"/>
      <c r="LUD3" s="946"/>
      <c r="LUE3" s="946"/>
      <c r="LUF3" s="946"/>
      <c r="LUG3" s="946"/>
      <c r="LUH3" s="946"/>
      <c r="LUI3" s="946"/>
      <c r="LUJ3" s="946"/>
      <c r="LUK3" s="946"/>
      <c r="LUL3" s="946"/>
      <c r="LUM3" s="946"/>
      <c r="LUN3" s="946"/>
      <c r="LUO3" s="946"/>
      <c r="LUP3" s="946"/>
      <c r="LUQ3" s="946"/>
      <c r="LUR3" s="946"/>
      <c r="LUS3" s="946"/>
      <c r="LUT3" s="946"/>
      <c r="LUU3" s="946"/>
      <c r="LUV3" s="946"/>
      <c r="LUW3" s="946"/>
      <c r="LUX3" s="946"/>
      <c r="LUY3" s="946"/>
      <c r="LUZ3" s="946"/>
      <c r="LVA3" s="946"/>
      <c r="LVB3" s="946"/>
      <c r="LVC3" s="946"/>
      <c r="LVD3" s="946"/>
      <c r="LVE3" s="946"/>
      <c r="LVF3" s="946"/>
      <c r="LVG3" s="946"/>
      <c r="LVH3" s="946"/>
      <c r="LVI3" s="946"/>
      <c r="LVJ3" s="946"/>
      <c r="LVK3" s="946"/>
      <c r="LVL3" s="946"/>
      <c r="LVM3" s="946"/>
      <c r="LVN3" s="946"/>
      <c r="LVO3" s="946"/>
      <c r="LVP3" s="946"/>
      <c r="LVQ3" s="946"/>
      <c r="LVR3" s="946"/>
      <c r="LVS3" s="946"/>
      <c r="LVT3" s="946"/>
      <c r="LVU3" s="946"/>
      <c r="LVV3" s="946"/>
      <c r="LVW3" s="946"/>
      <c r="LVX3" s="946"/>
      <c r="LVY3" s="946"/>
      <c r="LVZ3" s="946"/>
      <c r="LWA3" s="946"/>
      <c r="LWB3" s="946"/>
      <c r="LWC3" s="946"/>
      <c r="LWD3" s="946"/>
      <c r="LWE3" s="946"/>
      <c r="LWF3" s="946"/>
      <c r="LWG3" s="946"/>
      <c r="LWH3" s="946"/>
      <c r="LWI3" s="946"/>
      <c r="LWJ3" s="946"/>
      <c r="LWK3" s="946"/>
      <c r="LWL3" s="946"/>
      <c r="LWM3" s="946"/>
      <c r="LWN3" s="946"/>
      <c r="LWO3" s="946"/>
      <c r="LWP3" s="946"/>
      <c r="LWQ3" s="946"/>
      <c r="LWR3" s="946"/>
      <c r="LWS3" s="946"/>
      <c r="LWT3" s="946"/>
      <c r="LWU3" s="946"/>
      <c r="LWV3" s="946"/>
      <c r="LWW3" s="946"/>
      <c r="LWX3" s="946"/>
      <c r="LWY3" s="946"/>
      <c r="LWZ3" s="946"/>
      <c r="LXA3" s="946"/>
      <c r="LXB3" s="946"/>
      <c r="LXC3" s="946"/>
      <c r="LXD3" s="946"/>
      <c r="LXE3" s="946"/>
      <c r="LXF3" s="946"/>
      <c r="LXG3" s="946"/>
      <c r="LXH3" s="946"/>
      <c r="LXI3" s="946"/>
      <c r="LXJ3" s="946"/>
      <c r="LXK3" s="946"/>
      <c r="LXL3" s="946"/>
      <c r="LXM3" s="946"/>
      <c r="LXN3" s="946"/>
      <c r="LXO3" s="946"/>
      <c r="LXP3" s="946"/>
      <c r="LXQ3" s="946"/>
      <c r="LXR3" s="946"/>
      <c r="LXS3" s="946"/>
      <c r="LXT3" s="946"/>
      <c r="LXU3" s="946"/>
      <c r="LXV3" s="946"/>
      <c r="LXW3" s="946"/>
      <c r="LXX3" s="946"/>
      <c r="LXY3" s="946"/>
      <c r="LXZ3" s="946"/>
      <c r="LYA3" s="946"/>
      <c r="LYB3" s="946"/>
      <c r="LYC3" s="946"/>
      <c r="LYD3" s="946"/>
      <c r="LYE3" s="946"/>
      <c r="LYF3" s="946"/>
      <c r="LYG3" s="946"/>
      <c r="LYH3" s="946"/>
      <c r="LYI3" s="946"/>
      <c r="LYJ3" s="946"/>
      <c r="LYK3" s="946"/>
      <c r="LYL3" s="946"/>
      <c r="LYM3" s="946"/>
      <c r="LYN3" s="946"/>
      <c r="LYO3" s="946"/>
      <c r="LYP3" s="946"/>
      <c r="LYQ3" s="946"/>
      <c r="LYR3" s="946"/>
      <c r="LYS3" s="946"/>
      <c r="LYT3" s="946"/>
      <c r="LYU3" s="946"/>
      <c r="LYV3" s="946"/>
      <c r="LYW3" s="946"/>
      <c r="LYX3" s="946"/>
      <c r="LYY3" s="946"/>
      <c r="LYZ3" s="946"/>
      <c r="LZA3" s="946"/>
      <c r="LZB3" s="946"/>
      <c r="LZC3" s="946"/>
      <c r="LZD3" s="946"/>
      <c r="LZE3" s="946"/>
      <c r="LZF3" s="946"/>
      <c r="LZG3" s="946"/>
      <c r="LZH3" s="946"/>
      <c r="LZI3" s="946"/>
      <c r="LZJ3" s="946"/>
      <c r="LZK3" s="946"/>
      <c r="LZL3" s="946"/>
      <c r="LZM3" s="946"/>
      <c r="LZN3" s="946"/>
      <c r="LZO3" s="946"/>
      <c r="LZP3" s="946"/>
      <c r="LZQ3" s="946"/>
      <c r="LZR3" s="946"/>
      <c r="LZS3" s="946"/>
      <c r="LZT3" s="946"/>
      <c r="LZU3" s="946"/>
      <c r="LZV3" s="946"/>
      <c r="LZW3" s="946"/>
      <c r="LZX3" s="946"/>
      <c r="LZY3" s="946"/>
      <c r="LZZ3" s="946"/>
      <c r="MAA3" s="946"/>
      <c r="MAB3" s="946"/>
      <c r="MAC3" s="946"/>
      <c r="MAD3" s="946"/>
      <c r="MAE3" s="946"/>
      <c r="MAF3" s="946"/>
      <c r="MAG3" s="946"/>
      <c r="MAH3" s="946"/>
      <c r="MAI3" s="946"/>
      <c r="MAJ3" s="946"/>
      <c r="MAK3" s="946"/>
      <c r="MAL3" s="946"/>
      <c r="MAM3" s="946"/>
      <c r="MAN3" s="946"/>
      <c r="MAO3" s="946"/>
      <c r="MAP3" s="946"/>
      <c r="MAQ3" s="946"/>
      <c r="MAR3" s="946"/>
      <c r="MAS3" s="946"/>
      <c r="MAT3" s="946"/>
      <c r="MAU3" s="946"/>
      <c r="MAV3" s="946"/>
      <c r="MAW3" s="946"/>
      <c r="MAX3" s="946"/>
      <c r="MAY3" s="946"/>
      <c r="MAZ3" s="946"/>
      <c r="MBA3" s="946"/>
      <c r="MBB3" s="946"/>
      <c r="MBC3" s="946"/>
      <c r="MBD3" s="946"/>
      <c r="MBE3" s="946"/>
      <c r="MBF3" s="946"/>
      <c r="MBG3" s="946"/>
      <c r="MBH3" s="946"/>
      <c r="MBI3" s="946"/>
      <c r="MBJ3" s="946"/>
      <c r="MBK3" s="946"/>
      <c r="MBL3" s="946"/>
      <c r="MBM3" s="946"/>
      <c r="MBN3" s="946"/>
      <c r="MBO3" s="946"/>
      <c r="MBP3" s="946"/>
      <c r="MBQ3" s="946"/>
      <c r="MBR3" s="946"/>
      <c r="MBS3" s="946"/>
      <c r="MBT3" s="946"/>
      <c r="MBU3" s="946"/>
      <c r="MBV3" s="946"/>
      <c r="MBW3" s="946"/>
      <c r="MBX3" s="946"/>
      <c r="MBY3" s="946"/>
      <c r="MBZ3" s="946"/>
      <c r="MCA3" s="946"/>
      <c r="MCB3" s="946"/>
      <c r="MCC3" s="946"/>
      <c r="MCD3" s="946"/>
      <c r="MCE3" s="946"/>
      <c r="MCF3" s="946"/>
      <c r="MCG3" s="946"/>
      <c r="MCH3" s="946"/>
      <c r="MCI3" s="946"/>
      <c r="MCJ3" s="946"/>
      <c r="MCK3" s="946"/>
      <c r="MCL3" s="946"/>
      <c r="MCM3" s="946"/>
      <c r="MCN3" s="946"/>
      <c r="MCO3" s="946"/>
      <c r="MCP3" s="946"/>
      <c r="MCQ3" s="946"/>
      <c r="MCR3" s="946"/>
      <c r="MCS3" s="946"/>
      <c r="MCT3" s="946"/>
      <c r="MCU3" s="946"/>
      <c r="MCV3" s="946"/>
      <c r="MCW3" s="946"/>
      <c r="MCX3" s="946"/>
      <c r="MCY3" s="946"/>
      <c r="MCZ3" s="946"/>
      <c r="MDA3" s="946"/>
      <c r="MDB3" s="946"/>
      <c r="MDC3" s="946"/>
      <c r="MDD3" s="946"/>
      <c r="MDE3" s="946"/>
      <c r="MDF3" s="946"/>
      <c r="MDG3" s="946"/>
      <c r="MDH3" s="946"/>
      <c r="MDI3" s="946"/>
      <c r="MDJ3" s="946"/>
      <c r="MDK3" s="946"/>
      <c r="MDL3" s="946"/>
      <c r="MDM3" s="946"/>
      <c r="MDN3" s="946"/>
      <c r="MDO3" s="946"/>
      <c r="MDP3" s="946"/>
      <c r="MDQ3" s="946"/>
      <c r="MDR3" s="946"/>
      <c r="MDS3" s="946"/>
      <c r="MDT3" s="946"/>
      <c r="MDU3" s="946"/>
      <c r="MDV3" s="946"/>
      <c r="MDW3" s="946"/>
      <c r="MDX3" s="946"/>
      <c r="MDY3" s="946"/>
      <c r="MDZ3" s="946"/>
      <c r="MEA3" s="946"/>
      <c r="MEB3" s="946"/>
      <c r="MEC3" s="946"/>
      <c r="MED3" s="946"/>
      <c r="MEE3" s="946"/>
      <c r="MEF3" s="946"/>
      <c r="MEG3" s="946"/>
      <c r="MEH3" s="946"/>
      <c r="MEI3" s="946"/>
      <c r="MEJ3" s="946"/>
      <c r="MEK3" s="946"/>
      <c r="MEL3" s="946"/>
      <c r="MEM3" s="946"/>
      <c r="MEN3" s="946"/>
      <c r="MEO3" s="946"/>
      <c r="MEP3" s="946"/>
      <c r="MEQ3" s="946"/>
      <c r="MER3" s="946"/>
      <c r="MES3" s="946"/>
      <c r="MET3" s="946"/>
      <c r="MEU3" s="946"/>
      <c r="MEV3" s="946"/>
      <c r="MEW3" s="946"/>
      <c r="MEX3" s="946"/>
      <c r="MEY3" s="946"/>
      <c r="MEZ3" s="946"/>
      <c r="MFA3" s="946"/>
      <c r="MFB3" s="946"/>
      <c r="MFC3" s="946"/>
      <c r="MFD3" s="946"/>
      <c r="MFE3" s="946"/>
      <c r="MFF3" s="946"/>
      <c r="MFG3" s="946"/>
      <c r="MFH3" s="946"/>
      <c r="MFI3" s="946"/>
      <c r="MFJ3" s="946"/>
      <c r="MFK3" s="946"/>
      <c r="MFL3" s="946"/>
      <c r="MFM3" s="946"/>
      <c r="MFN3" s="946"/>
      <c r="MFO3" s="946"/>
      <c r="MFP3" s="946"/>
      <c r="MFQ3" s="946"/>
      <c r="MFR3" s="946"/>
      <c r="MFS3" s="946"/>
      <c r="MFT3" s="946"/>
      <c r="MFU3" s="946"/>
      <c r="MFV3" s="946"/>
      <c r="MFW3" s="946"/>
      <c r="MFX3" s="946"/>
      <c r="MFY3" s="946"/>
      <c r="MFZ3" s="946"/>
      <c r="MGA3" s="946"/>
      <c r="MGB3" s="946"/>
      <c r="MGC3" s="946"/>
      <c r="MGD3" s="946"/>
      <c r="MGE3" s="946"/>
      <c r="MGF3" s="946"/>
      <c r="MGG3" s="946"/>
      <c r="MGH3" s="946"/>
      <c r="MGI3" s="946"/>
      <c r="MGJ3" s="946"/>
      <c r="MGK3" s="946"/>
      <c r="MGL3" s="946"/>
      <c r="MGM3" s="946"/>
      <c r="MGN3" s="946"/>
      <c r="MGO3" s="946"/>
      <c r="MGP3" s="946"/>
      <c r="MGQ3" s="946"/>
      <c r="MGR3" s="946"/>
      <c r="MGS3" s="946"/>
      <c r="MGT3" s="946"/>
      <c r="MGU3" s="946"/>
      <c r="MGV3" s="946"/>
      <c r="MGW3" s="946"/>
      <c r="MGX3" s="946"/>
      <c r="MGY3" s="946"/>
      <c r="MGZ3" s="946"/>
      <c r="MHA3" s="946"/>
      <c r="MHB3" s="946"/>
      <c r="MHC3" s="946"/>
      <c r="MHD3" s="946"/>
      <c r="MHE3" s="946"/>
      <c r="MHF3" s="946"/>
      <c r="MHG3" s="946"/>
      <c r="MHH3" s="946"/>
      <c r="MHI3" s="946"/>
      <c r="MHJ3" s="946"/>
      <c r="MHK3" s="946"/>
      <c r="MHL3" s="946"/>
      <c r="MHM3" s="946"/>
      <c r="MHN3" s="946"/>
      <c r="MHO3" s="946"/>
      <c r="MHP3" s="946"/>
      <c r="MHQ3" s="946"/>
      <c r="MHR3" s="946"/>
      <c r="MHS3" s="946"/>
      <c r="MHT3" s="946"/>
      <c r="MHU3" s="946"/>
      <c r="MHV3" s="946"/>
      <c r="MHW3" s="946"/>
      <c r="MHX3" s="946"/>
      <c r="MHY3" s="946"/>
      <c r="MHZ3" s="946"/>
      <c r="MIA3" s="946"/>
      <c r="MIB3" s="946"/>
      <c r="MIC3" s="946"/>
      <c r="MID3" s="946"/>
      <c r="MIE3" s="946"/>
      <c r="MIF3" s="946"/>
      <c r="MIG3" s="946"/>
      <c r="MIH3" s="946"/>
      <c r="MII3" s="946"/>
      <c r="MIJ3" s="946"/>
      <c r="MIK3" s="946"/>
      <c r="MIL3" s="946"/>
      <c r="MIM3" s="946"/>
      <c r="MIN3" s="946"/>
      <c r="MIO3" s="946"/>
      <c r="MIP3" s="946"/>
      <c r="MIQ3" s="946"/>
      <c r="MIR3" s="946"/>
      <c r="MIS3" s="946"/>
      <c r="MIT3" s="946"/>
      <c r="MIU3" s="946"/>
      <c r="MIV3" s="946"/>
      <c r="MIW3" s="946"/>
      <c r="MIX3" s="946"/>
      <c r="MIY3" s="946"/>
      <c r="MIZ3" s="946"/>
      <c r="MJA3" s="946"/>
      <c r="MJB3" s="946"/>
      <c r="MJC3" s="946"/>
      <c r="MJD3" s="946"/>
      <c r="MJE3" s="946"/>
      <c r="MJF3" s="946"/>
      <c r="MJG3" s="946"/>
      <c r="MJH3" s="946"/>
      <c r="MJI3" s="946"/>
      <c r="MJJ3" s="946"/>
      <c r="MJK3" s="946"/>
      <c r="MJL3" s="946"/>
      <c r="MJM3" s="946"/>
      <c r="MJN3" s="946"/>
      <c r="MJO3" s="946"/>
      <c r="MJP3" s="946"/>
      <c r="MJQ3" s="946"/>
      <c r="MJR3" s="946"/>
      <c r="MJS3" s="946"/>
      <c r="MJT3" s="946"/>
      <c r="MJU3" s="946"/>
      <c r="MJV3" s="946"/>
      <c r="MJW3" s="946"/>
      <c r="MJX3" s="946"/>
      <c r="MJY3" s="946"/>
      <c r="MJZ3" s="946"/>
      <c r="MKA3" s="946"/>
      <c r="MKB3" s="946"/>
      <c r="MKC3" s="946"/>
      <c r="MKD3" s="946"/>
      <c r="MKE3" s="946"/>
      <c r="MKF3" s="946"/>
      <c r="MKG3" s="946"/>
      <c r="MKH3" s="946"/>
      <c r="MKI3" s="946"/>
      <c r="MKJ3" s="946"/>
      <c r="MKK3" s="946"/>
      <c r="MKL3" s="946"/>
      <c r="MKM3" s="946"/>
      <c r="MKN3" s="946"/>
      <c r="MKO3" s="946"/>
      <c r="MKP3" s="946"/>
      <c r="MKQ3" s="946"/>
      <c r="MKR3" s="946"/>
      <c r="MKS3" s="946"/>
      <c r="MKT3" s="946"/>
      <c r="MKU3" s="946"/>
      <c r="MKV3" s="946"/>
      <c r="MKW3" s="946"/>
      <c r="MKX3" s="946"/>
      <c r="MKY3" s="946"/>
      <c r="MKZ3" s="946"/>
      <c r="MLA3" s="946"/>
      <c r="MLB3" s="946"/>
      <c r="MLC3" s="946"/>
      <c r="MLD3" s="946"/>
      <c r="MLE3" s="946"/>
      <c r="MLF3" s="946"/>
      <c r="MLG3" s="946"/>
      <c r="MLH3" s="946"/>
      <c r="MLI3" s="946"/>
      <c r="MLJ3" s="946"/>
      <c r="MLK3" s="946"/>
      <c r="MLL3" s="946"/>
      <c r="MLM3" s="946"/>
      <c r="MLN3" s="946"/>
      <c r="MLO3" s="946"/>
      <c r="MLP3" s="946"/>
      <c r="MLQ3" s="946"/>
      <c r="MLR3" s="946"/>
      <c r="MLS3" s="946"/>
      <c r="MLT3" s="946"/>
      <c r="MLU3" s="946"/>
      <c r="MLV3" s="946"/>
      <c r="MLW3" s="946"/>
      <c r="MLX3" s="946"/>
      <c r="MLY3" s="946"/>
      <c r="MLZ3" s="946"/>
      <c r="MMA3" s="946"/>
      <c r="MMB3" s="946"/>
      <c r="MMC3" s="946"/>
      <c r="MMD3" s="946"/>
      <c r="MME3" s="946"/>
      <c r="MMF3" s="946"/>
      <c r="MMG3" s="946"/>
      <c r="MMH3" s="946"/>
      <c r="MMI3" s="946"/>
      <c r="MMJ3" s="946"/>
      <c r="MMK3" s="946"/>
      <c r="MML3" s="946"/>
      <c r="MMM3" s="946"/>
      <c r="MMN3" s="946"/>
      <c r="MMO3" s="946"/>
      <c r="MMP3" s="946"/>
      <c r="MMQ3" s="946"/>
      <c r="MMR3" s="946"/>
      <c r="MMS3" s="946"/>
      <c r="MMT3" s="946"/>
      <c r="MMU3" s="946"/>
      <c r="MMV3" s="946"/>
      <c r="MMW3" s="946"/>
      <c r="MMX3" s="946"/>
      <c r="MMY3" s="946"/>
      <c r="MMZ3" s="946"/>
      <c r="MNA3" s="946"/>
      <c r="MNB3" s="946"/>
      <c r="MNC3" s="946"/>
      <c r="MND3" s="946"/>
      <c r="MNE3" s="946"/>
      <c r="MNF3" s="946"/>
      <c r="MNG3" s="946"/>
      <c r="MNH3" s="946"/>
      <c r="MNI3" s="946"/>
      <c r="MNJ3" s="946"/>
      <c r="MNK3" s="946"/>
      <c r="MNL3" s="946"/>
      <c r="MNM3" s="946"/>
      <c r="MNN3" s="946"/>
      <c r="MNO3" s="946"/>
      <c r="MNP3" s="946"/>
      <c r="MNQ3" s="946"/>
      <c r="MNR3" s="946"/>
      <c r="MNS3" s="946"/>
      <c r="MNT3" s="946"/>
      <c r="MNU3" s="946"/>
      <c r="MNV3" s="946"/>
      <c r="MNW3" s="946"/>
      <c r="MNX3" s="946"/>
      <c r="MNY3" s="946"/>
      <c r="MNZ3" s="946"/>
      <c r="MOA3" s="946"/>
      <c r="MOB3" s="946"/>
      <c r="MOC3" s="946"/>
      <c r="MOD3" s="946"/>
      <c r="MOE3" s="946"/>
      <c r="MOF3" s="946"/>
      <c r="MOG3" s="946"/>
      <c r="MOH3" s="946"/>
      <c r="MOI3" s="946"/>
      <c r="MOJ3" s="946"/>
      <c r="MOK3" s="946"/>
      <c r="MOL3" s="946"/>
      <c r="MOM3" s="946"/>
      <c r="MON3" s="946"/>
      <c r="MOO3" s="946"/>
      <c r="MOP3" s="946"/>
      <c r="MOQ3" s="946"/>
      <c r="MOR3" s="946"/>
      <c r="MOS3" s="946"/>
      <c r="MOT3" s="946"/>
      <c r="MOU3" s="946"/>
      <c r="MOV3" s="946"/>
      <c r="MOW3" s="946"/>
      <c r="MOX3" s="946"/>
      <c r="MOY3" s="946"/>
      <c r="MOZ3" s="946"/>
      <c r="MPA3" s="946"/>
      <c r="MPB3" s="946"/>
      <c r="MPC3" s="946"/>
      <c r="MPD3" s="946"/>
      <c r="MPE3" s="946"/>
      <c r="MPF3" s="946"/>
      <c r="MPG3" s="946"/>
      <c r="MPH3" s="946"/>
      <c r="MPI3" s="946"/>
      <c r="MPJ3" s="946"/>
      <c r="MPK3" s="946"/>
      <c r="MPL3" s="946"/>
      <c r="MPM3" s="946"/>
      <c r="MPN3" s="946"/>
      <c r="MPO3" s="946"/>
      <c r="MPP3" s="946"/>
      <c r="MPQ3" s="946"/>
      <c r="MPR3" s="946"/>
      <c r="MPS3" s="946"/>
      <c r="MPT3" s="946"/>
      <c r="MPU3" s="946"/>
      <c r="MPV3" s="946"/>
      <c r="MPW3" s="946"/>
      <c r="MPX3" s="946"/>
      <c r="MPY3" s="946"/>
      <c r="MPZ3" s="946"/>
      <c r="MQA3" s="946"/>
      <c r="MQB3" s="946"/>
      <c r="MQC3" s="946"/>
      <c r="MQD3" s="946"/>
      <c r="MQE3" s="946"/>
      <c r="MQF3" s="946"/>
      <c r="MQG3" s="946"/>
      <c r="MQH3" s="946"/>
      <c r="MQI3" s="946"/>
      <c r="MQJ3" s="946"/>
      <c r="MQK3" s="946"/>
      <c r="MQL3" s="946"/>
      <c r="MQM3" s="946"/>
      <c r="MQN3" s="946"/>
      <c r="MQO3" s="946"/>
      <c r="MQP3" s="946"/>
      <c r="MQQ3" s="946"/>
      <c r="MQR3" s="946"/>
      <c r="MQS3" s="946"/>
      <c r="MQT3" s="946"/>
      <c r="MQU3" s="946"/>
      <c r="MQV3" s="946"/>
      <c r="MQW3" s="946"/>
      <c r="MQX3" s="946"/>
      <c r="MQY3" s="946"/>
      <c r="MQZ3" s="946"/>
      <c r="MRA3" s="946"/>
      <c r="MRB3" s="946"/>
      <c r="MRC3" s="946"/>
      <c r="MRD3" s="946"/>
      <c r="MRE3" s="946"/>
      <c r="MRF3" s="946"/>
      <c r="MRG3" s="946"/>
      <c r="MRH3" s="946"/>
      <c r="MRI3" s="946"/>
      <c r="MRJ3" s="946"/>
      <c r="MRK3" s="946"/>
      <c r="MRL3" s="946"/>
      <c r="MRM3" s="946"/>
      <c r="MRN3" s="946"/>
      <c r="MRO3" s="946"/>
      <c r="MRP3" s="946"/>
      <c r="MRQ3" s="946"/>
      <c r="MRR3" s="946"/>
      <c r="MRS3" s="946"/>
      <c r="MRT3" s="946"/>
      <c r="MRU3" s="946"/>
      <c r="MRV3" s="946"/>
      <c r="MRW3" s="946"/>
      <c r="MRX3" s="946"/>
      <c r="MRY3" s="946"/>
      <c r="MRZ3" s="946"/>
      <c r="MSA3" s="946"/>
      <c r="MSB3" s="946"/>
      <c r="MSC3" s="946"/>
      <c r="MSD3" s="946"/>
      <c r="MSE3" s="946"/>
      <c r="MSF3" s="946"/>
      <c r="MSG3" s="946"/>
      <c r="MSH3" s="946"/>
      <c r="MSI3" s="946"/>
      <c r="MSJ3" s="946"/>
      <c r="MSK3" s="946"/>
      <c r="MSL3" s="946"/>
      <c r="MSM3" s="946"/>
      <c r="MSN3" s="946"/>
      <c r="MSO3" s="946"/>
      <c r="MSP3" s="946"/>
      <c r="MSQ3" s="946"/>
      <c r="MSR3" s="946"/>
      <c r="MSS3" s="946"/>
      <c r="MST3" s="946"/>
      <c r="MSU3" s="946"/>
      <c r="MSV3" s="946"/>
      <c r="MSW3" s="946"/>
      <c r="MSX3" s="946"/>
      <c r="MSY3" s="946"/>
      <c r="MSZ3" s="946"/>
      <c r="MTA3" s="946"/>
      <c r="MTB3" s="946"/>
      <c r="MTC3" s="946"/>
      <c r="MTD3" s="946"/>
      <c r="MTE3" s="946"/>
      <c r="MTF3" s="946"/>
      <c r="MTG3" s="946"/>
      <c r="MTH3" s="946"/>
      <c r="MTI3" s="946"/>
      <c r="MTJ3" s="946"/>
      <c r="MTK3" s="946"/>
      <c r="MTL3" s="946"/>
      <c r="MTM3" s="946"/>
      <c r="MTN3" s="946"/>
      <c r="MTO3" s="946"/>
      <c r="MTP3" s="946"/>
      <c r="MTQ3" s="946"/>
      <c r="MTR3" s="946"/>
      <c r="MTS3" s="946"/>
      <c r="MTT3" s="946"/>
      <c r="MTU3" s="946"/>
      <c r="MTV3" s="946"/>
      <c r="MTW3" s="946"/>
      <c r="MTX3" s="946"/>
      <c r="MTY3" s="946"/>
      <c r="MTZ3" s="946"/>
      <c r="MUA3" s="946"/>
      <c r="MUB3" s="946"/>
      <c r="MUC3" s="946"/>
      <c r="MUD3" s="946"/>
      <c r="MUE3" s="946"/>
      <c r="MUF3" s="946"/>
      <c r="MUG3" s="946"/>
      <c r="MUH3" s="946"/>
      <c r="MUI3" s="946"/>
      <c r="MUJ3" s="946"/>
      <c r="MUK3" s="946"/>
      <c r="MUL3" s="946"/>
      <c r="MUM3" s="946"/>
      <c r="MUN3" s="946"/>
      <c r="MUO3" s="946"/>
      <c r="MUP3" s="946"/>
      <c r="MUQ3" s="946"/>
      <c r="MUR3" s="946"/>
      <c r="MUS3" s="946"/>
      <c r="MUT3" s="946"/>
      <c r="MUU3" s="946"/>
      <c r="MUV3" s="946"/>
      <c r="MUW3" s="946"/>
      <c r="MUX3" s="946"/>
      <c r="MUY3" s="946"/>
      <c r="MUZ3" s="946"/>
      <c r="MVA3" s="946"/>
      <c r="MVB3" s="946"/>
      <c r="MVC3" s="946"/>
      <c r="MVD3" s="946"/>
      <c r="MVE3" s="946"/>
      <c r="MVF3" s="946"/>
      <c r="MVG3" s="946"/>
      <c r="MVH3" s="946"/>
      <c r="MVI3" s="946"/>
      <c r="MVJ3" s="946"/>
      <c r="MVK3" s="946"/>
      <c r="MVL3" s="946"/>
      <c r="MVM3" s="946"/>
      <c r="MVN3" s="946"/>
      <c r="MVO3" s="946"/>
      <c r="MVP3" s="946"/>
      <c r="MVQ3" s="946"/>
      <c r="MVR3" s="946"/>
      <c r="MVS3" s="946"/>
      <c r="MVT3" s="946"/>
      <c r="MVU3" s="946"/>
      <c r="MVV3" s="946"/>
      <c r="MVW3" s="946"/>
      <c r="MVX3" s="946"/>
      <c r="MVY3" s="946"/>
      <c r="MVZ3" s="946"/>
      <c r="MWA3" s="946"/>
      <c r="MWB3" s="946"/>
      <c r="MWC3" s="946"/>
      <c r="MWD3" s="946"/>
      <c r="MWE3" s="946"/>
      <c r="MWF3" s="946"/>
      <c r="MWG3" s="946"/>
      <c r="MWH3" s="946"/>
      <c r="MWI3" s="946"/>
      <c r="MWJ3" s="946"/>
      <c r="MWK3" s="946"/>
      <c r="MWL3" s="946"/>
      <c r="MWM3" s="946"/>
      <c r="MWN3" s="946"/>
      <c r="MWO3" s="946"/>
      <c r="MWP3" s="946"/>
      <c r="MWQ3" s="946"/>
      <c r="MWR3" s="946"/>
      <c r="MWS3" s="946"/>
      <c r="MWT3" s="946"/>
      <c r="MWU3" s="946"/>
      <c r="MWV3" s="946"/>
      <c r="MWW3" s="946"/>
      <c r="MWX3" s="946"/>
      <c r="MWY3" s="946"/>
      <c r="MWZ3" s="946"/>
      <c r="MXA3" s="946"/>
      <c r="MXB3" s="946"/>
      <c r="MXC3" s="946"/>
      <c r="MXD3" s="946"/>
      <c r="MXE3" s="946"/>
      <c r="MXF3" s="946"/>
      <c r="MXG3" s="946"/>
      <c r="MXH3" s="946"/>
      <c r="MXI3" s="946"/>
      <c r="MXJ3" s="946"/>
      <c r="MXK3" s="946"/>
      <c r="MXL3" s="946"/>
      <c r="MXM3" s="946"/>
      <c r="MXN3" s="946"/>
      <c r="MXO3" s="946"/>
      <c r="MXP3" s="946"/>
      <c r="MXQ3" s="946"/>
      <c r="MXR3" s="946"/>
      <c r="MXS3" s="946"/>
      <c r="MXT3" s="946"/>
      <c r="MXU3" s="946"/>
      <c r="MXV3" s="946"/>
      <c r="MXW3" s="946"/>
      <c r="MXX3" s="946"/>
      <c r="MXY3" s="946"/>
      <c r="MXZ3" s="946"/>
      <c r="MYA3" s="946"/>
      <c r="MYB3" s="946"/>
      <c r="MYC3" s="946"/>
      <c r="MYD3" s="946"/>
      <c r="MYE3" s="946"/>
      <c r="MYF3" s="946"/>
      <c r="MYG3" s="946"/>
      <c r="MYH3" s="946"/>
      <c r="MYI3" s="946"/>
      <c r="MYJ3" s="946"/>
      <c r="MYK3" s="946"/>
      <c r="MYL3" s="946"/>
      <c r="MYM3" s="946"/>
      <c r="MYN3" s="946"/>
      <c r="MYO3" s="946"/>
      <c r="MYP3" s="946"/>
      <c r="MYQ3" s="946"/>
      <c r="MYR3" s="946"/>
      <c r="MYS3" s="946"/>
      <c r="MYT3" s="946"/>
      <c r="MYU3" s="946"/>
      <c r="MYV3" s="946"/>
      <c r="MYW3" s="946"/>
      <c r="MYX3" s="946"/>
      <c r="MYY3" s="946"/>
      <c r="MYZ3" s="946"/>
      <c r="MZA3" s="946"/>
      <c r="MZB3" s="946"/>
      <c r="MZC3" s="946"/>
      <c r="MZD3" s="946"/>
      <c r="MZE3" s="946"/>
      <c r="MZF3" s="946"/>
      <c r="MZG3" s="946"/>
      <c r="MZH3" s="946"/>
      <c r="MZI3" s="946"/>
      <c r="MZJ3" s="946"/>
      <c r="MZK3" s="946"/>
      <c r="MZL3" s="946"/>
      <c r="MZM3" s="946"/>
      <c r="MZN3" s="946"/>
      <c r="MZO3" s="946"/>
      <c r="MZP3" s="946"/>
      <c r="MZQ3" s="946"/>
      <c r="MZR3" s="946"/>
      <c r="MZS3" s="946"/>
      <c r="MZT3" s="946"/>
      <c r="MZU3" s="946"/>
      <c r="MZV3" s="946"/>
      <c r="MZW3" s="946"/>
      <c r="MZX3" s="946"/>
      <c r="MZY3" s="946"/>
      <c r="MZZ3" s="946"/>
      <c r="NAA3" s="946"/>
      <c r="NAB3" s="946"/>
      <c r="NAC3" s="946"/>
      <c r="NAD3" s="946"/>
      <c r="NAE3" s="946"/>
      <c r="NAF3" s="946"/>
      <c r="NAG3" s="946"/>
      <c r="NAH3" s="946"/>
      <c r="NAI3" s="946"/>
      <c r="NAJ3" s="946"/>
      <c r="NAK3" s="946"/>
      <c r="NAL3" s="946"/>
      <c r="NAM3" s="946"/>
      <c r="NAN3" s="946"/>
      <c r="NAO3" s="946"/>
      <c r="NAP3" s="946"/>
      <c r="NAQ3" s="946"/>
      <c r="NAR3" s="946"/>
      <c r="NAS3" s="946"/>
      <c r="NAT3" s="946"/>
      <c r="NAU3" s="946"/>
      <c r="NAV3" s="946"/>
      <c r="NAW3" s="946"/>
      <c r="NAX3" s="946"/>
      <c r="NAY3" s="946"/>
      <c r="NAZ3" s="946"/>
      <c r="NBA3" s="946"/>
      <c r="NBB3" s="946"/>
      <c r="NBC3" s="946"/>
      <c r="NBD3" s="946"/>
      <c r="NBE3" s="946"/>
      <c r="NBF3" s="946"/>
      <c r="NBG3" s="946"/>
      <c r="NBH3" s="946"/>
      <c r="NBI3" s="946"/>
      <c r="NBJ3" s="946"/>
      <c r="NBK3" s="946"/>
      <c r="NBL3" s="946"/>
      <c r="NBM3" s="946"/>
      <c r="NBN3" s="946"/>
      <c r="NBO3" s="946"/>
      <c r="NBP3" s="946"/>
      <c r="NBQ3" s="946"/>
      <c r="NBR3" s="946"/>
      <c r="NBS3" s="946"/>
      <c r="NBT3" s="946"/>
      <c r="NBU3" s="946"/>
      <c r="NBV3" s="946"/>
      <c r="NBW3" s="946"/>
      <c r="NBX3" s="946"/>
      <c r="NBY3" s="946"/>
      <c r="NBZ3" s="946"/>
      <c r="NCA3" s="946"/>
      <c r="NCB3" s="946"/>
      <c r="NCC3" s="946"/>
      <c r="NCD3" s="946"/>
      <c r="NCE3" s="946"/>
      <c r="NCF3" s="946"/>
      <c r="NCG3" s="946"/>
      <c r="NCH3" s="946"/>
      <c r="NCI3" s="946"/>
      <c r="NCJ3" s="946"/>
      <c r="NCK3" s="946"/>
      <c r="NCL3" s="946"/>
      <c r="NCM3" s="946"/>
      <c r="NCN3" s="946"/>
      <c r="NCO3" s="946"/>
      <c r="NCP3" s="946"/>
      <c r="NCQ3" s="946"/>
      <c r="NCR3" s="946"/>
      <c r="NCS3" s="946"/>
      <c r="NCT3" s="946"/>
      <c r="NCU3" s="946"/>
      <c r="NCV3" s="946"/>
      <c r="NCW3" s="946"/>
      <c r="NCX3" s="946"/>
      <c r="NCY3" s="946"/>
      <c r="NCZ3" s="946"/>
      <c r="NDA3" s="946"/>
      <c r="NDB3" s="946"/>
      <c r="NDC3" s="946"/>
      <c r="NDD3" s="946"/>
      <c r="NDE3" s="946"/>
      <c r="NDF3" s="946"/>
      <c r="NDG3" s="946"/>
      <c r="NDH3" s="946"/>
      <c r="NDI3" s="946"/>
      <c r="NDJ3" s="946"/>
      <c r="NDK3" s="946"/>
      <c r="NDL3" s="946"/>
      <c r="NDM3" s="946"/>
      <c r="NDN3" s="946"/>
      <c r="NDO3" s="946"/>
      <c r="NDP3" s="946"/>
      <c r="NDQ3" s="946"/>
      <c r="NDR3" s="946"/>
      <c r="NDS3" s="946"/>
      <c r="NDT3" s="946"/>
      <c r="NDU3" s="946"/>
      <c r="NDV3" s="946"/>
      <c r="NDW3" s="946"/>
      <c r="NDX3" s="946"/>
      <c r="NDY3" s="946"/>
      <c r="NDZ3" s="946"/>
      <c r="NEA3" s="946"/>
      <c r="NEB3" s="946"/>
      <c r="NEC3" s="946"/>
      <c r="NED3" s="946"/>
      <c r="NEE3" s="946"/>
      <c r="NEF3" s="946"/>
      <c r="NEG3" s="946"/>
      <c r="NEH3" s="946"/>
      <c r="NEI3" s="946"/>
      <c r="NEJ3" s="946"/>
      <c r="NEK3" s="946"/>
      <c r="NEL3" s="946"/>
      <c r="NEM3" s="946"/>
      <c r="NEN3" s="946"/>
      <c r="NEO3" s="946"/>
      <c r="NEP3" s="946"/>
      <c r="NEQ3" s="946"/>
      <c r="NER3" s="946"/>
      <c r="NES3" s="946"/>
      <c r="NET3" s="946"/>
      <c r="NEU3" s="946"/>
      <c r="NEV3" s="946"/>
      <c r="NEW3" s="946"/>
      <c r="NEX3" s="946"/>
      <c r="NEY3" s="946"/>
      <c r="NEZ3" s="946"/>
      <c r="NFA3" s="946"/>
      <c r="NFB3" s="946"/>
      <c r="NFC3" s="946"/>
      <c r="NFD3" s="946"/>
      <c r="NFE3" s="946"/>
      <c r="NFF3" s="946"/>
      <c r="NFG3" s="946"/>
      <c r="NFH3" s="946"/>
      <c r="NFI3" s="946"/>
      <c r="NFJ3" s="946"/>
      <c r="NFK3" s="946"/>
      <c r="NFL3" s="946"/>
      <c r="NFM3" s="946"/>
      <c r="NFN3" s="946"/>
      <c r="NFO3" s="946"/>
      <c r="NFP3" s="946"/>
      <c r="NFQ3" s="946"/>
      <c r="NFR3" s="946"/>
      <c r="NFS3" s="946"/>
      <c r="NFT3" s="946"/>
      <c r="NFU3" s="946"/>
      <c r="NFV3" s="946"/>
      <c r="NFW3" s="946"/>
      <c r="NFX3" s="946"/>
      <c r="NFY3" s="946"/>
      <c r="NFZ3" s="946"/>
      <c r="NGA3" s="946"/>
      <c r="NGB3" s="946"/>
      <c r="NGC3" s="946"/>
      <c r="NGD3" s="946"/>
      <c r="NGE3" s="946"/>
      <c r="NGF3" s="946"/>
      <c r="NGG3" s="946"/>
      <c r="NGH3" s="946"/>
      <c r="NGI3" s="946"/>
      <c r="NGJ3" s="946"/>
      <c r="NGK3" s="946"/>
      <c r="NGL3" s="946"/>
      <c r="NGM3" s="946"/>
      <c r="NGN3" s="946"/>
      <c r="NGO3" s="946"/>
      <c r="NGP3" s="946"/>
      <c r="NGQ3" s="946"/>
      <c r="NGR3" s="946"/>
      <c r="NGS3" s="946"/>
      <c r="NGT3" s="946"/>
      <c r="NGU3" s="946"/>
      <c r="NGV3" s="946"/>
      <c r="NGW3" s="946"/>
      <c r="NGX3" s="946"/>
      <c r="NGY3" s="946"/>
      <c r="NGZ3" s="946"/>
      <c r="NHA3" s="946"/>
      <c r="NHB3" s="946"/>
      <c r="NHC3" s="946"/>
      <c r="NHD3" s="946"/>
      <c r="NHE3" s="946"/>
      <c r="NHF3" s="946"/>
      <c r="NHG3" s="946"/>
      <c r="NHH3" s="946"/>
      <c r="NHI3" s="946"/>
      <c r="NHJ3" s="946"/>
      <c r="NHK3" s="946"/>
      <c r="NHL3" s="946"/>
      <c r="NHM3" s="946"/>
      <c r="NHN3" s="946"/>
      <c r="NHO3" s="946"/>
      <c r="NHP3" s="946"/>
      <c r="NHQ3" s="946"/>
      <c r="NHR3" s="946"/>
      <c r="NHS3" s="946"/>
      <c r="NHT3" s="946"/>
      <c r="NHU3" s="946"/>
      <c r="NHV3" s="946"/>
      <c r="NHW3" s="946"/>
      <c r="NHX3" s="946"/>
      <c r="NHY3" s="946"/>
      <c r="NHZ3" s="946"/>
      <c r="NIA3" s="946"/>
      <c r="NIB3" s="946"/>
      <c r="NIC3" s="946"/>
      <c r="NID3" s="946"/>
      <c r="NIE3" s="946"/>
      <c r="NIF3" s="946"/>
      <c r="NIG3" s="946"/>
      <c r="NIH3" s="946"/>
      <c r="NII3" s="946"/>
      <c r="NIJ3" s="946"/>
      <c r="NIK3" s="946"/>
      <c r="NIL3" s="946"/>
      <c r="NIM3" s="946"/>
      <c r="NIN3" s="946"/>
      <c r="NIO3" s="946"/>
      <c r="NIP3" s="946"/>
      <c r="NIQ3" s="946"/>
      <c r="NIR3" s="946"/>
      <c r="NIS3" s="946"/>
      <c r="NIT3" s="946"/>
      <c r="NIU3" s="946"/>
      <c r="NIV3" s="946"/>
      <c r="NIW3" s="946"/>
      <c r="NIX3" s="946"/>
      <c r="NIY3" s="946"/>
      <c r="NIZ3" s="946"/>
      <c r="NJA3" s="946"/>
      <c r="NJB3" s="946"/>
      <c r="NJC3" s="946"/>
      <c r="NJD3" s="946"/>
      <c r="NJE3" s="946"/>
      <c r="NJF3" s="946"/>
      <c r="NJG3" s="946"/>
      <c r="NJH3" s="946"/>
      <c r="NJI3" s="946"/>
      <c r="NJJ3" s="946"/>
      <c r="NJK3" s="946"/>
      <c r="NJL3" s="946"/>
      <c r="NJM3" s="946"/>
      <c r="NJN3" s="946"/>
      <c r="NJO3" s="946"/>
      <c r="NJP3" s="946"/>
      <c r="NJQ3" s="946"/>
      <c r="NJR3" s="946"/>
      <c r="NJS3" s="946"/>
      <c r="NJT3" s="946"/>
      <c r="NJU3" s="946"/>
      <c r="NJV3" s="946"/>
      <c r="NJW3" s="946"/>
      <c r="NJX3" s="946"/>
      <c r="NJY3" s="946"/>
      <c r="NJZ3" s="946"/>
      <c r="NKA3" s="946"/>
      <c r="NKB3" s="946"/>
      <c r="NKC3" s="946"/>
      <c r="NKD3" s="946"/>
      <c r="NKE3" s="946"/>
      <c r="NKF3" s="946"/>
      <c r="NKG3" s="946"/>
      <c r="NKH3" s="946"/>
      <c r="NKI3" s="946"/>
      <c r="NKJ3" s="946"/>
      <c r="NKK3" s="946"/>
      <c r="NKL3" s="946"/>
      <c r="NKM3" s="946"/>
      <c r="NKN3" s="946"/>
      <c r="NKO3" s="946"/>
      <c r="NKP3" s="946"/>
      <c r="NKQ3" s="946"/>
      <c r="NKR3" s="946"/>
      <c r="NKS3" s="946"/>
      <c r="NKT3" s="946"/>
      <c r="NKU3" s="946"/>
      <c r="NKV3" s="946"/>
      <c r="NKW3" s="946"/>
      <c r="NKX3" s="946"/>
      <c r="NKY3" s="946"/>
      <c r="NKZ3" s="946"/>
      <c r="NLA3" s="946"/>
      <c r="NLB3" s="946"/>
      <c r="NLC3" s="946"/>
      <c r="NLD3" s="946"/>
      <c r="NLE3" s="946"/>
      <c r="NLF3" s="946"/>
      <c r="NLG3" s="946"/>
      <c r="NLH3" s="946"/>
      <c r="NLI3" s="946"/>
      <c r="NLJ3" s="946"/>
      <c r="NLK3" s="946"/>
      <c r="NLL3" s="946"/>
      <c r="NLM3" s="946"/>
      <c r="NLN3" s="946"/>
      <c r="NLO3" s="946"/>
      <c r="NLP3" s="946"/>
      <c r="NLQ3" s="946"/>
      <c r="NLR3" s="946"/>
      <c r="NLS3" s="946"/>
      <c r="NLT3" s="946"/>
      <c r="NLU3" s="946"/>
      <c r="NLV3" s="946"/>
      <c r="NLW3" s="946"/>
      <c r="NLX3" s="946"/>
      <c r="NLY3" s="946"/>
      <c r="NLZ3" s="946"/>
      <c r="NMA3" s="946"/>
      <c r="NMB3" s="946"/>
      <c r="NMC3" s="946"/>
      <c r="NMD3" s="946"/>
      <c r="NME3" s="946"/>
      <c r="NMF3" s="946"/>
      <c r="NMG3" s="946"/>
      <c r="NMH3" s="946"/>
      <c r="NMI3" s="946"/>
      <c r="NMJ3" s="946"/>
      <c r="NMK3" s="946"/>
      <c r="NML3" s="946"/>
      <c r="NMM3" s="946"/>
      <c r="NMN3" s="946"/>
      <c r="NMO3" s="946"/>
      <c r="NMP3" s="946"/>
      <c r="NMQ3" s="946"/>
      <c r="NMR3" s="946"/>
      <c r="NMS3" s="946"/>
      <c r="NMT3" s="946"/>
      <c r="NMU3" s="946"/>
      <c r="NMV3" s="946"/>
      <c r="NMW3" s="946"/>
      <c r="NMX3" s="946"/>
      <c r="NMY3" s="946"/>
      <c r="NMZ3" s="946"/>
      <c r="NNA3" s="946"/>
      <c r="NNB3" s="946"/>
      <c r="NNC3" s="946"/>
      <c r="NND3" s="946"/>
      <c r="NNE3" s="946"/>
      <c r="NNF3" s="946"/>
      <c r="NNG3" s="946"/>
      <c r="NNH3" s="946"/>
      <c r="NNI3" s="946"/>
      <c r="NNJ3" s="946"/>
      <c r="NNK3" s="946"/>
      <c r="NNL3" s="946"/>
      <c r="NNM3" s="946"/>
      <c r="NNN3" s="946"/>
      <c r="NNO3" s="946"/>
      <c r="NNP3" s="946"/>
      <c r="NNQ3" s="946"/>
      <c r="NNR3" s="946"/>
      <c r="NNS3" s="946"/>
      <c r="NNT3" s="946"/>
      <c r="NNU3" s="946"/>
      <c r="NNV3" s="946"/>
      <c r="NNW3" s="946"/>
      <c r="NNX3" s="946"/>
      <c r="NNY3" s="946"/>
      <c r="NNZ3" s="946"/>
      <c r="NOA3" s="946"/>
      <c r="NOB3" s="946"/>
      <c r="NOC3" s="946"/>
      <c r="NOD3" s="946"/>
      <c r="NOE3" s="946"/>
      <c r="NOF3" s="946"/>
      <c r="NOG3" s="946"/>
      <c r="NOH3" s="946"/>
      <c r="NOI3" s="946"/>
      <c r="NOJ3" s="946"/>
      <c r="NOK3" s="946"/>
      <c r="NOL3" s="946"/>
      <c r="NOM3" s="946"/>
      <c r="NON3" s="946"/>
      <c r="NOO3" s="946"/>
      <c r="NOP3" s="946"/>
      <c r="NOQ3" s="946"/>
      <c r="NOR3" s="946"/>
      <c r="NOS3" s="946"/>
      <c r="NOT3" s="946"/>
      <c r="NOU3" s="946"/>
      <c r="NOV3" s="946"/>
      <c r="NOW3" s="946"/>
      <c r="NOX3" s="946"/>
      <c r="NOY3" s="946"/>
      <c r="NOZ3" s="946"/>
      <c r="NPA3" s="946"/>
      <c r="NPB3" s="946"/>
      <c r="NPC3" s="946"/>
      <c r="NPD3" s="946"/>
      <c r="NPE3" s="946"/>
      <c r="NPF3" s="946"/>
      <c r="NPG3" s="946"/>
      <c r="NPH3" s="946"/>
      <c r="NPI3" s="946"/>
      <c r="NPJ3" s="946"/>
      <c r="NPK3" s="946"/>
      <c r="NPL3" s="946"/>
      <c r="NPM3" s="946"/>
      <c r="NPN3" s="946"/>
      <c r="NPO3" s="946"/>
      <c r="NPP3" s="946"/>
      <c r="NPQ3" s="946"/>
      <c r="NPR3" s="946"/>
      <c r="NPS3" s="946"/>
      <c r="NPT3" s="946"/>
      <c r="NPU3" s="946"/>
      <c r="NPV3" s="946"/>
      <c r="NPW3" s="946"/>
      <c r="NPX3" s="946"/>
      <c r="NPY3" s="946"/>
      <c r="NPZ3" s="946"/>
      <c r="NQA3" s="946"/>
      <c r="NQB3" s="946"/>
      <c r="NQC3" s="946"/>
      <c r="NQD3" s="946"/>
      <c r="NQE3" s="946"/>
      <c r="NQF3" s="946"/>
      <c r="NQG3" s="946"/>
      <c r="NQH3" s="946"/>
      <c r="NQI3" s="946"/>
      <c r="NQJ3" s="946"/>
      <c r="NQK3" s="946"/>
      <c r="NQL3" s="946"/>
      <c r="NQM3" s="946"/>
      <c r="NQN3" s="946"/>
      <c r="NQO3" s="946"/>
      <c r="NQP3" s="946"/>
      <c r="NQQ3" s="946"/>
      <c r="NQR3" s="946"/>
      <c r="NQS3" s="946"/>
      <c r="NQT3" s="946"/>
      <c r="NQU3" s="946"/>
      <c r="NQV3" s="946"/>
      <c r="NQW3" s="946"/>
      <c r="NQX3" s="946"/>
      <c r="NQY3" s="946"/>
      <c r="NQZ3" s="946"/>
      <c r="NRA3" s="946"/>
      <c r="NRB3" s="946"/>
      <c r="NRC3" s="946"/>
      <c r="NRD3" s="946"/>
      <c r="NRE3" s="946"/>
      <c r="NRF3" s="946"/>
      <c r="NRG3" s="946"/>
      <c r="NRH3" s="946"/>
      <c r="NRI3" s="946"/>
      <c r="NRJ3" s="946"/>
      <c r="NRK3" s="946"/>
      <c r="NRL3" s="946"/>
      <c r="NRM3" s="946"/>
      <c r="NRN3" s="946"/>
      <c r="NRO3" s="946"/>
      <c r="NRP3" s="946"/>
      <c r="NRQ3" s="946"/>
      <c r="NRR3" s="946"/>
      <c r="NRS3" s="946"/>
      <c r="NRT3" s="946"/>
      <c r="NRU3" s="946"/>
      <c r="NRV3" s="946"/>
      <c r="NRW3" s="946"/>
      <c r="NRX3" s="946"/>
      <c r="NRY3" s="946"/>
      <c r="NRZ3" s="946"/>
      <c r="NSA3" s="946"/>
      <c r="NSB3" s="946"/>
      <c r="NSC3" s="946"/>
      <c r="NSD3" s="946"/>
      <c r="NSE3" s="946"/>
      <c r="NSF3" s="946"/>
      <c r="NSG3" s="946"/>
      <c r="NSH3" s="946"/>
      <c r="NSI3" s="946"/>
      <c r="NSJ3" s="946"/>
      <c r="NSK3" s="946"/>
      <c r="NSL3" s="946"/>
      <c r="NSM3" s="946"/>
      <c r="NSN3" s="946"/>
      <c r="NSO3" s="946"/>
      <c r="NSP3" s="946"/>
      <c r="NSQ3" s="946"/>
      <c r="NSR3" s="946"/>
      <c r="NSS3" s="946"/>
      <c r="NST3" s="946"/>
      <c r="NSU3" s="946"/>
      <c r="NSV3" s="946"/>
      <c r="NSW3" s="946"/>
      <c r="NSX3" s="946"/>
      <c r="NSY3" s="946"/>
      <c r="NSZ3" s="946"/>
      <c r="NTA3" s="946"/>
      <c r="NTB3" s="946"/>
      <c r="NTC3" s="946"/>
      <c r="NTD3" s="946"/>
      <c r="NTE3" s="946"/>
      <c r="NTF3" s="946"/>
      <c r="NTG3" s="946"/>
      <c r="NTH3" s="946"/>
      <c r="NTI3" s="946"/>
      <c r="NTJ3" s="946"/>
      <c r="NTK3" s="946"/>
      <c r="NTL3" s="946"/>
      <c r="NTM3" s="946"/>
      <c r="NTN3" s="946"/>
      <c r="NTO3" s="946"/>
      <c r="NTP3" s="946"/>
      <c r="NTQ3" s="946"/>
      <c r="NTR3" s="946"/>
      <c r="NTS3" s="946"/>
      <c r="NTT3" s="946"/>
      <c r="NTU3" s="946"/>
      <c r="NTV3" s="946"/>
      <c r="NTW3" s="946"/>
      <c r="NTX3" s="946"/>
      <c r="NTY3" s="946"/>
      <c r="NTZ3" s="946"/>
      <c r="NUA3" s="946"/>
      <c r="NUB3" s="946"/>
      <c r="NUC3" s="946"/>
      <c r="NUD3" s="946"/>
      <c r="NUE3" s="946"/>
      <c r="NUF3" s="946"/>
      <c r="NUG3" s="946"/>
      <c r="NUH3" s="946"/>
      <c r="NUI3" s="946"/>
      <c r="NUJ3" s="946"/>
      <c r="NUK3" s="946"/>
      <c r="NUL3" s="946"/>
      <c r="NUM3" s="946"/>
      <c r="NUN3" s="946"/>
      <c r="NUO3" s="946"/>
      <c r="NUP3" s="946"/>
      <c r="NUQ3" s="946"/>
      <c r="NUR3" s="946"/>
      <c r="NUS3" s="946"/>
      <c r="NUT3" s="946"/>
      <c r="NUU3" s="946"/>
      <c r="NUV3" s="946"/>
      <c r="NUW3" s="946"/>
      <c r="NUX3" s="946"/>
      <c r="NUY3" s="946"/>
      <c r="NUZ3" s="946"/>
      <c r="NVA3" s="946"/>
      <c r="NVB3" s="946"/>
      <c r="NVC3" s="946"/>
      <c r="NVD3" s="946"/>
      <c r="NVE3" s="946"/>
      <c r="NVF3" s="946"/>
      <c r="NVG3" s="946"/>
      <c r="NVH3" s="946"/>
      <c r="NVI3" s="946"/>
      <c r="NVJ3" s="946"/>
      <c r="NVK3" s="946"/>
      <c r="NVL3" s="946"/>
      <c r="NVM3" s="946"/>
      <c r="NVN3" s="946"/>
      <c r="NVO3" s="946"/>
      <c r="NVP3" s="946"/>
      <c r="NVQ3" s="946"/>
      <c r="NVR3" s="946"/>
      <c r="NVS3" s="946"/>
      <c r="NVT3" s="946"/>
      <c r="NVU3" s="946"/>
      <c r="NVV3" s="946"/>
      <c r="NVW3" s="946"/>
      <c r="NVX3" s="946"/>
      <c r="NVY3" s="946"/>
      <c r="NVZ3" s="946"/>
      <c r="NWA3" s="946"/>
      <c r="NWB3" s="946"/>
      <c r="NWC3" s="946"/>
      <c r="NWD3" s="946"/>
      <c r="NWE3" s="946"/>
      <c r="NWF3" s="946"/>
      <c r="NWG3" s="946"/>
      <c r="NWH3" s="946"/>
      <c r="NWI3" s="946"/>
      <c r="NWJ3" s="946"/>
      <c r="NWK3" s="946"/>
      <c r="NWL3" s="946"/>
      <c r="NWM3" s="946"/>
      <c r="NWN3" s="946"/>
      <c r="NWO3" s="946"/>
      <c r="NWP3" s="946"/>
      <c r="NWQ3" s="946"/>
      <c r="NWR3" s="946"/>
      <c r="NWS3" s="946"/>
      <c r="NWT3" s="946"/>
      <c r="NWU3" s="946"/>
      <c r="NWV3" s="946"/>
      <c r="NWW3" s="946"/>
      <c r="NWX3" s="946"/>
      <c r="NWY3" s="946"/>
      <c r="NWZ3" s="946"/>
      <c r="NXA3" s="946"/>
      <c r="NXB3" s="946"/>
      <c r="NXC3" s="946"/>
      <c r="NXD3" s="946"/>
      <c r="NXE3" s="946"/>
      <c r="NXF3" s="946"/>
      <c r="NXG3" s="946"/>
      <c r="NXH3" s="946"/>
      <c r="NXI3" s="946"/>
      <c r="NXJ3" s="946"/>
      <c r="NXK3" s="946"/>
      <c r="NXL3" s="946"/>
      <c r="NXM3" s="946"/>
      <c r="NXN3" s="946"/>
      <c r="NXO3" s="946"/>
      <c r="NXP3" s="946"/>
      <c r="NXQ3" s="946"/>
      <c r="NXR3" s="946"/>
      <c r="NXS3" s="946"/>
      <c r="NXT3" s="946"/>
      <c r="NXU3" s="946"/>
      <c r="NXV3" s="946"/>
      <c r="NXW3" s="946"/>
      <c r="NXX3" s="946"/>
      <c r="NXY3" s="946"/>
      <c r="NXZ3" s="946"/>
      <c r="NYA3" s="946"/>
      <c r="NYB3" s="946"/>
      <c r="NYC3" s="946"/>
      <c r="NYD3" s="946"/>
      <c r="NYE3" s="946"/>
      <c r="NYF3" s="946"/>
      <c r="NYG3" s="946"/>
      <c r="NYH3" s="946"/>
      <c r="NYI3" s="946"/>
      <c r="NYJ3" s="946"/>
      <c r="NYK3" s="946"/>
      <c r="NYL3" s="946"/>
      <c r="NYM3" s="946"/>
      <c r="NYN3" s="946"/>
      <c r="NYO3" s="946"/>
      <c r="NYP3" s="946"/>
      <c r="NYQ3" s="946"/>
      <c r="NYR3" s="946"/>
      <c r="NYS3" s="946"/>
      <c r="NYT3" s="946"/>
      <c r="NYU3" s="946"/>
      <c r="NYV3" s="946"/>
      <c r="NYW3" s="946"/>
      <c r="NYX3" s="946"/>
      <c r="NYY3" s="946"/>
      <c r="NYZ3" s="946"/>
      <c r="NZA3" s="946"/>
      <c r="NZB3" s="946"/>
      <c r="NZC3" s="946"/>
      <c r="NZD3" s="946"/>
      <c r="NZE3" s="946"/>
      <c r="NZF3" s="946"/>
      <c r="NZG3" s="946"/>
      <c r="NZH3" s="946"/>
      <c r="NZI3" s="946"/>
      <c r="NZJ3" s="946"/>
      <c r="NZK3" s="946"/>
      <c r="NZL3" s="946"/>
      <c r="NZM3" s="946"/>
      <c r="NZN3" s="946"/>
      <c r="NZO3" s="946"/>
      <c r="NZP3" s="946"/>
      <c r="NZQ3" s="946"/>
      <c r="NZR3" s="946"/>
      <c r="NZS3" s="946"/>
      <c r="NZT3" s="946"/>
      <c r="NZU3" s="946"/>
      <c r="NZV3" s="946"/>
      <c r="NZW3" s="946"/>
      <c r="NZX3" s="946"/>
      <c r="NZY3" s="946"/>
      <c r="NZZ3" s="946"/>
      <c r="OAA3" s="946"/>
      <c r="OAB3" s="946"/>
      <c r="OAC3" s="946"/>
      <c r="OAD3" s="946"/>
      <c r="OAE3" s="946"/>
      <c r="OAF3" s="946"/>
      <c r="OAG3" s="946"/>
      <c r="OAH3" s="946"/>
      <c r="OAI3" s="946"/>
      <c r="OAJ3" s="946"/>
      <c r="OAK3" s="946"/>
      <c r="OAL3" s="946"/>
      <c r="OAM3" s="946"/>
      <c r="OAN3" s="946"/>
      <c r="OAO3" s="946"/>
      <c r="OAP3" s="946"/>
      <c r="OAQ3" s="946"/>
      <c r="OAR3" s="946"/>
      <c r="OAS3" s="946"/>
      <c r="OAT3" s="946"/>
      <c r="OAU3" s="946"/>
      <c r="OAV3" s="946"/>
      <c r="OAW3" s="946"/>
      <c r="OAX3" s="946"/>
      <c r="OAY3" s="946"/>
      <c r="OAZ3" s="946"/>
      <c r="OBA3" s="946"/>
      <c r="OBB3" s="946"/>
      <c r="OBC3" s="946"/>
      <c r="OBD3" s="946"/>
      <c r="OBE3" s="946"/>
      <c r="OBF3" s="946"/>
      <c r="OBG3" s="946"/>
      <c r="OBH3" s="946"/>
      <c r="OBI3" s="946"/>
      <c r="OBJ3" s="946"/>
      <c r="OBK3" s="946"/>
      <c r="OBL3" s="946"/>
      <c r="OBM3" s="946"/>
      <c r="OBN3" s="946"/>
      <c r="OBO3" s="946"/>
      <c r="OBP3" s="946"/>
      <c r="OBQ3" s="946"/>
      <c r="OBR3" s="946"/>
      <c r="OBS3" s="946"/>
      <c r="OBT3" s="946"/>
      <c r="OBU3" s="946"/>
      <c r="OBV3" s="946"/>
      <c r="OBW3" s="946"/>
      <c r="OBX3" s="946"/>
      <c r="OBY3" s="946"/>
      <c r="OBZ3" s="946"/>
      <c r="OCA3" s="946"/>
      <c r="OCB3" s="946"/>
      <c r="OCC3" s="946"/>
      <c r="OCD3" s="946"/>
      <c r="OCE3" s="946"/>
      <c r="OCF3" s="946"/>
      <c r="OCG3" s="946"/>
      <c r="OCH3" s="946"/>
      <c r="OCI3" s="946"/>
      <c r="OCJ3" s="946"/>
      <c r="OCK3" s="946"/>
      <c r="OCL3" s="946"/>
      <c r="OCM3" s="946"/>
      <c r="OCN3" s="946"/>
      <c r="OCO3" s="946"/>
      <c r="OCP3" s="946"/>
      <c r="OCQ3" s="946"/>
      <c r="OCR3" s="946"/>
      <c r="OCS3" s="946"/>
      <c r="OCT3" s="946"/>
      <c r="OCU3" s="946"/>
      <c r="OCV3" s="946"/>
      <c r="OCW3" s="946"/>
      <c r="OCX3" s="946"/>
      <c r="OCY3" s="946"/>
      <c r="OCZ3" s="946"/>
      <c r="ODA3" s="946"/>
      <c r="ODB3" s="946"/>
      <c r="ODC3" s="946"/>
      <c r="ODD3" s="946"/>
      <c r="ODE3" s="946"/>
      <c r="ODF3" s="946"/>
      <c r="ODG3" s="946"/>
      <c r="ODH3" s="946"/>
      <c r="ODI3" s="946"/>
      <c r="ODJ3" s="946"/>
      <c r="ODK3" s="946"/>
      <c r="ODL3" s="946"/>
      <c r="ODM3" s="946"/>
      <c r="ODN3" s="946"/>
      <c r="ODO3" s="946"/>
      <c r="ODP3" s="946"/>
      <c r="ODQ3" s="946"/>
      <c r="ODR3" s="946"/>
      <c r="ODS3" s="946"/>
      <c r="ODT3" s="946"/>
      <c r="ODU3" s="946"/>
      <c r="ODV3" s="946"/>
      <c r="ODW3" s="946"/>
      <c r="ODX3" s="946"/>
      <c r="ODY3" s="946"/>
      <c r="ODZ3" s="946"/>
      <c r="OEA3" s="946"/>
      <c r="OEB3" s="946"/>
      <c r="OEC3" s="946"/>
      <c r="OED3" s="946"/>
      <c r="OEE3" s="946"/>
      <c r="OEF3" s="946"/>
      <c r="OEG3" s="946"/>
      <c r="OEH3" s="946"/>
      <c r="OEI3" s="946"/>
      <c r="OEJ3" s="946"/>
      <c r="OEK3" s="946"/>
      <c r="OEL3" s="946"/>
      <c r="OEM3" s="946"/>
      <c r="OEN3" s="946"/>
      <c r="OEO3" s="946"/>
      <c r="OEP3" s="946"/>
      <c r="OEQ3" s="946"/>
      <c r="OER3" s="946"/>
      <c r="OES3" s="946"/>
      <c r="OET3" s="946"/>
      <c r="OEU3" s="946"/>
      <c r="OEV3" s="946"/>
      <c r="OEW3" s="946"/>
      <c r="OEX3" s="946"/>
      <c r="OEY3" s="946"/>
      <c r="OEZ3" s="946"/>
      <c r="OFA3" s="946"/>
      <c r="OFB3" s="946"/>
      <c r="OFC3" s="946"/>
      <c r="OFD3" s="946"/>
      <c r="OFE3" s="946"/>
      <c r="OFF3" s="946"/>
      <c r="OFG3" s="946"/>
      <c r="OFH3" s="946"/>
      <c r="OFI3" s="946"/>
      <c r="OFJ3" s="946"/>
      <c r="OFK3" s="946"/>
      <c r="OFL3" s="946"/>
      <c r="OFM3" s="946"/>
      <c r="OFN3" s="946"/>
      <c r="OFO3" s="946"/>
      <c r="OFP3" s="946"/>
      <c r="OFQ3" s="946"/>
      <c r="OFR3" s="946"/>
      <c r="OFS3" s="946"/>
      <c r="OFT3" s="946"/>
      <c r="OFU3" s="946"/>
      <c r="OFV3" s="946"/>
      <c r="OFW3" s="946"/>
      <c r="OFX3" s="946"/>
      <c r="OFY3" s="946"/>
      <c r="OFZ3" s="946"/>
      <c r="OGA3" s="946"/>
      <c r="OGB3" s="946"/>
      <c r="OGC3" s="946"/>
      <c r="OGD3" s="946"/>
      <c r="OGE3" s="946"/>
      <c r="OGF3" s="946"/>
      <c r="OGG3" s="946"/>
      <c r="OGH3" s="946"/>
      <c r="OGI3" s="946"/>
      <c r="OGJ3" s="946"/>
      <c r="OGK3" s="946"/>
      <c r="OGL3" s="946"/>
      <c r="OGM3" s="946"/>
      <c r="OGN3" s="946"/>
      <c r="OGO3" s="946"/>
      <c r="OGP3" s="946"/>
      <c r="OGQ3" s="946"/>
      <c r="OGR3" s="946"/>
      <c r="OGS3" s="946"/>
      <c r="OGT3" s="946"/>
      <c r="OGU3" s="946"/>
      <c r="OGV3" s="946"/>
      <c r="OGW3" s="946"/>
      <c r="OGX3" s="946"/>
      <c r="OGY3" s="946"/>
      <c r="OGZ3" s="946"/>
      <c r="OHA3" s="946"/>
      <c r="OHB3" s="946"/>
      <c r="OHC3" s="946"/>
      <c r="OHD3" s="946"/>
      <c r="OHE3" s="946"/>
      <c r="OHF3" s="946"/>
      <c r="OHG3" s="946"/>
      <c r="OHH3" s="946"/>
      <c r="OHI3" s="946"/>
      <c r="OHJ3" s="946"/>
      <c r="OHK3" s="946"/>
      <c r="OHL3" s="946"/>
      <c r="OHM3" s="946"/>
      <c r="OHN3" s="946"/>
      <c r="OHO3" s="946"/>
      <c r="OHP3" s="946"/>
      <c r="OHQ3" s="946"/>
      <c r="OHR3" s="946"/>
      <c r="OHS3" s="946"/>
      <c r="OHT3" s="946"/>
      <c r="OHU3" s="946"/>
      <c r="OHV3" s="946"/>
      <c r="OHW3" s="946"/>
      <c r="OHX3" s="946"/>
      <c r="OHY3" s="946"/>
      <c r="OHZ3" s="946"/>
      <c r="OIA3" s="946"/>
      <c r="OIB3" s="946"/>
      <c r="OIC3" s="946"/>
      <c r="OID3" s="946"/>
      <c r="OIE3" s="946"/>
      <c r="OIF3" s="946"/>
      <c r="OIG3" s="946"/>
      <c r="OIH3" s="946"/>
      <c r="OII3" s="946"/>
      <c r="OIJ3" s="946"/>
      <c r="OIK3" s="946"/>
      <c r="OIL3" s="946"/>
      <c r="OIM3" s="946"/>
      <c r="OIN3" s="946"/>
      <c r="OIO3" s="946"/>
      <c r="OIP3" s="946"/>
      <c r="OIQ3" s="946"/>
      <c r="OIR3" s="946"/>
      <c r="OIS3" s="946"/>
      <c r="OIT3" s="946"/>
      <c r="OIU3" s="946"/>
      <c r="OIV3" s="946"/>
      <c r="OIW3" s="946"/>
      <c r="OIX3" s="946"/>
      <c r="OIY3" s="946"/>
      <c r="OIZ3" s="946"/>
      <c r="OJA3" s="946"/>
      <c r="OJB3" s="946"/>
      <c r="OJC3" s="946"/>
      <c r="OJD3" s="946"/>
      <c r="OJE3" s="946"/>
      <c r="OJF3" s="946"/>
      <c r="OJG3" s="946"/>
      <c r="OJH3" s="946"/>
      <c r="OJI3" s="946"/>
      <c r="OJJ3" s="946"/>
      <c r="OJK3" s="946"/>
      <c r="OJL3" s="946"/>
      <c r="OJM3" s="946"/>
      <c r="OJN3" s="946"/>
      <c r="OJO3" s="946"/>
      <c r="OJP3" s="946"/>
      <c r="OJQ3" s="946"/>
      <c r="OJR3" s="946"/>
      <c r="OJS3" s="946"/>
      <c r="OJT3" s="946"/>
      <c r="OJU3" s="946"/>
      <c r="OJV3" s="946"/>
      <c r="OJW3" s="946"/>
      <c r="OJX3" s="946"/>
      <c r="OJY3" s="946"/>
      <c r="OJZ3" s="946"/>
      <c r="OKA3" s="946"/>
      <c r="OKB3" s="946"/>
      <c r="OKC3" s="946"/>
      <c r="OKD3" s="946"/>
      <c r="OKE3" s="946"/>
      <c r="OKF3" s="946"/>
      <c r="OKG3" s="946"/>
      <c r="OKH3" s="946"/>
      <c r="OKI3" s="946"/>
      <c r="OKJ3" s="946"/>
      <c r="OKK3" s="946"/>
      <c r="OKL3" s="946"/>
      <c r="OKM3" s="946"/>
      <c r="OKN3" s="946"/>
      <c r="OKO3" s="946"/>
      <c r="OKP3" s="946"/>
      <c r="OKQ3" s="946"/>
      <c r="OKR3" s="946"/>
      <c r="OKS3" s="946"/>
      <c r="OKT3" s="946"/>
      <c r="OKU3" s="946"/>
      <c r="OKV3" s="946"/>
      <c r="OKW3" s="946"/>
      <c r="OKX3" s="946"/>
      <c r="OKY3" s="946"/>
      <c r="OKZ3" s="946"/>
      <c r="OLA3" s="946"/>
      <c r="OLB3" s="946"/>
      <c r="OLC3" s="946"/>
      <c r="OLD3" s="946"/>
      <c r="OLE3" s="946"/>
      <c r="OLF3" s="946"/>
      <c r="OLG3" s="946"/>
      <c r="OLH3" s="946"/>
      <c r="OLI3" s="946"/>
      <c r="OLJ3" s="946"/>
      <c r="OLK3" s="946"/>
      <c r="OLL3" s="946"/>
      <c r="OLM3" s="946"/>
      <c r="OLN3" s="946"/>
      <c r="OLO3" s="946"/>
      <c r="OLP3" s="946"/>
      <c r="OLQ3" s="946"/>
      <c r="OLR3" s="946"/>
      <c r="OLS3" s="946"/>
      <c r="OLT3" s="946"/>
      <c r="OLU3" s="946"/>
      <c r="OLV3" s="946"/>
      <c r="OLW3" s="946"/>
      <c r="OLX3" s="946"/>
      <c r="OLY3" s="946"/>
      <c r="OLZ3" s="946"/>
      <c r="OMA3" s="946"/>
      <c r="OMB3" s="946"/>
      <c r="OMC3" s="946"/>
      <c r="OMD3" s="946"/>
      <c r="OME3" s="946"/>
      <c r="OMF3" s="946"/>
      <c r="OMG3" s="946"/>
      <c r="OMH3" s="946"/>
      <c r="OMI3" s="946"/>
      <c r="OMJ3" s="946"/>
      <c r="OMK3" s="946"/>
      <c r="OML3" s="946"/>
      <c r="OMM3" s="946"/>
      <c r="OMN3" s="946"/>
      <c r="OMO3" s="946"/>
      <c r="OMP3" s="946"/>
      <c r="OMQ3" s="946"/>
      <c r="OMR3" s="946"/>
      <c r="OMS3" s="946"/>
      <c r="OMT3" s="946"/>
      <c r="OMU3" s="946"/>
      <c r="OMV3" s="946"/>
      <c r="OMW3" s="946"/>
      <c r="OMX3" s="946"/>
      <c r="OMY3" s="946"/>
      <c r="OMZ3" s="946"/>
      <c r="ONA3" s="946"/>
      <c r="ONB3" s="946"/>
      <c r="ONC3" s="946"/>
      <c r="OND3" s="946"/>
      <c r="ONE3" s="946"/>
      <c r="ONF3" s="946"/>
      <c r="ONG3" s="946"/>
      <c r="ONH3" s="946"/>
      <c r="ONI3" s="946"/>
      <c r="ONJ3" s="946"/>
      <c r="ONK3" s="946"/>
      <c r="ONL3" s="946"/>
      <c r="ONM3" s="946"/>
      <c r="ONN3" s="946"/>
      <c r="ONO3" s="946"/>
      <c r="ONP3" s="946"/>
      <c r="ONQ3" s="946"/>
      <c r="ONR3" s="946"/>
      <c r="ONS3" s="946"/>
      <c r="ONT3" s="946"/>
      <c r="ONU3" s="946"/>
      <c r="ONV3" s="946"/>
      <c r="ONW3" s="946"/>
      <c r="ONX3" s="946"/>
      <c r="ONY3" s="946"/>
      <c r="ONZ3" s="946"/>
      <c r="OOA3" s="946"/>
      <c r="OOB3" s="946"/>
      <c r="OOC3" s="946"/>
      <c r="OOD3" s="946"/>
      <c r="OOE3" s="946"/>
      <c r="OOF3" s="946"/>
      <c r="OOG3" s="946"/>
      <c r="OOH3" s="946"/>
      <c r="OOI3" s="946"/>
      <c r="OOJ3" s="946"/>
      <c r="OOK3" s="946"/>
      <c r="OOL3" s="946"/>
      <c r="OOM3" s="946"/>
      <c r="OON3" s="946"/>
      <c r="OOO3" s="946"/>
      <c r="OOP3" s="946"/>
      <c r="OOQ3" s="946"/>
      <c r="OOR3" s="946"/>
      <c r="OOS3" s="946"/>
      <c r="OOT3" s="946"/>
      <c r="OOU3" s="946"/>
      <c r="OOV3" s="946"/>
      <c r="OOW3" s="946"/>
      <c r="OOX3" s="946"/>
      <c r="OOY3" s="946"/>
      <c r="OOZ3" s="946"/>
      <c r="OPA3" s="946"/>
      <c r="OPB3" s="946"/>
      <c r="OPC3" s="946"/>
      <c r="OPD3" s="946"/>
      <c r="OPE3" s="946"/>
      <c r="OPF3" s="946"/>
      <c r="OPG3" s="946"/>
      <c r="OPH3" s="946"/>
      <c r="OPI3" s="946"/>
      <c r="OPJ3" s="946"/>
      <c r="OPK3" s="946"/>
      <c r="OPL3" s="946"/>
      <c r="OPM3" s="946"/>
      <c r="OPN3" s="946"/>
      <c r="OPO3" s="946"/>
      <c r="OPP3" s="946"/>
      <c r="OPQ3" s="946"/>
      <c r="OPR3" s="946"/>
      <c r="OPS3" s="946"/>
      <c r="OPT3" s="946"/>
      <c r="OPU3" s="946"/>
      <c r="OPV3" s="946"/>
      <c r="OPW3" s="946"/>
      <c r="OPX3" s="946"/>
      <c r="OPY3" s="946"/>
      <c r="OPZ3" s="946"/>
      <c r="OQA3" s="946"/>
      <c r="OQB3" s="946"/>
      <c r="OQC3" s="946"/>
      <c r="OQD3" s="946"/>
      <c r="OQE3" s="946"/>
      <c r="OQF3" s="946"/>
      <c r="OQG3" s="946"/>
      <c r="OQH3" s="946"/>
      <c r="OQI3" s="946"/>
      <c r="OQJ3" s="946"/>
      <c r="OQK3" s="946"/>
      <c r="OQL3" s="946"/>
      <c r="OQM3" s="946"/>
      <c r="OQN3" s="946"/>
      <c r="OQO3" s="946"/>
      <c r="OQP3" s="946"/>
      <c r="OQQ3" s="946"/>
      <c r="OQR3" s="946"/>
      <c r="OQS3" s="946"/>
      <c r="OQT3" s="946"/>
      <c r="OQU3" s="946"/>
      <c r="OQV3" s="946"/>
      <c r="OQW3" s="946"/>
      <c r="OQX3" s="946"/>
      <c r="OQY3" s="946"/>
      <c r="OQZ3" s="946"/>
      <c r="ORA3" s="946"/>
      <c r="ORB3" s="946"/>
      <c r="ORC3" s="946"/>
      <c r="ORD3" s="946"/>
      <c r="ORE3" s="946"/>
      <c r="ORF3" s="946"/>
      <c r="ORG3" s="946"/>
      <c r="ORH3" s="946"/>
      <c r="ORI3" s="946"/>
      <c r="ORJ3" s="946"/>
      <c r="ORK3" s="946"/>
      <c r="ORL3" s="946"/>
      <c r="ORM3" s="946"/>
      <c r="ORN3" s="946"/>
      <c r="ORO3" s="946"/>
      <c r="ORP3" s="946"/>
      <c r="ORQ3" s="946"/>
      <c r="ORR3" s="946"/>
      <c r="ORS3" s="946"/>
      <c r="ORT3" s="946"/>
      <c r="ORU3" s="946"/>
      <c r="ORV3" s="946"/>
      <c r="ORW3" s="946"/>
      <c r="ORX3" s="946"/>
      <c r="ORY3" s="946"/>
      <c r="ORZ3" s="946"/>
      <c r="OSA3" s="946"/>
      <c r="OSB3" s="946"/>
      <c r="OSC3" s="946"/>
      <c r="OSD3" s="946"/>
      <c r="OSE3" s="946"/>
      <c r="OSF3" s="946"/>
      <c r="OSG3" s="946"/>
      <c r="OSH3" s="946"/>
      <c r="OSI3" s="946"/>
      <c r="OSJ3" s="946"/>
      <c r="OSK3" s="946"/>
      <c r="OSL3" s="946"/>
      <c r="OSM3" s="946"/>
      <c r="OSN3" s="946"/>
      <c r="OSO3" s="946"/>
      <c r="OSP3" s="946"/>
      <c r="OSQ3" s="946"/>
      <c r="OSR3" s="946"/>
      <c r="OSS3" s="946"/>
      <c r="OST3" s="946"/>
      <c r="OSU3" s="946"/>
      <c r="OSV3" s="946"/>
      <c r="OSW3" s="946"/>
      <c r="OSX3" s="946"/>
      <c r="OSY3" s="946"/>
      <c r="OSZ3" s="946"/>
      <c r="OTA3" s="946"/>
      <c r="OTB3" s="946"/>
      <c r="OTC3" s="946"/>
      <c r="OTD3" s="946"/>
      <c r="OTE3" s="946"/>
      <c r="OTF3" s="946"/>
      <c r="OTG3" s="946"/>
      <c r="OTH3" s="946"/>
      <c r="OTI3" s="946"/>
      <c r="OTJ3" s="946"/>
      <c r="OTK3" s="946"/>
      <c r="OTL3" s="946"/>
      <c r="OTM3" s="946"/>
      <c r="OTN3" s="946"/>
      <c r="OTO3" s="946"/>
      <c r="OTP3" s="946"/>
      <c r="OTQ3" s="946"/>
      <c r="OTR3" s="946"/>
      <c r="OTS3" s="946"/>
      <c r="OTT3" s="946"/>
      <c r="OTU3" s="946"/>
      <c r="OTV3" s="946"/>
      <c r="OTW3" s="946"/>
      <c r="OTX3" s="946"/>
      <c r="OTY3" s="946"/>
      <c r="OTZ3" s="946"/>
      <c r="OUA3" s="946"/>
      <c r="OUB3" s="946"/>
      <c r="OUC3" s="946"/>
      <c r="OUD3" s="946"/>
      <c r="OUE3" s="946"/>
      <c r="OUF3" s="946"/>
      <c r="OUG3" s="946"/>
      <c r="OUH3" s="946"/>
      <c r="OUI3" s="946"/>
      <c r="OUJ3" s="946"/>
      <c r="OUK3" s="946"/>
      <c r="OUL3" s="946"/>
      <c r="OUM3" s="946"/>
      <c r="OUN3" s="946"/>
      <c r="OUO3" s="946"/>
      <c r="OUP3" s="946"/>
      <c r="OUQ3" s="946"/>
      <c r="OUR3" s="946"/>
      <c r="OUS3" s="946"/>
      <c r="OUT3" s="946"/>
      <c r="OUU3" s="946"/>
      <c r="OUV3" s="946"/>
      <c r="OUW3" s="946"/>
      <c r="OUX3" s="946"/>
      <c r="OUY3" s="946"/>
      <c r="OUZ3" s="946"/>
      <c r="OVA3" s="946"/>
      <c r="OVB3" s="946"/>
      <c r="OVC3" s="946"/>
      <c r="OVD3" s="946"/>
      <c r="OVE3" s="946"/>
      <c r="OVF3" s="946"/>
      <c r="OVG3" s="946"/>
      <c r="OVH3" s="946"/>
      <c r="OVI3" s="946"/>
      <c r="OVJ3" s="946"/>
      <c r="OVK3" s="946"/>
      <c r="OVL3" s="946"/>
      <c r="OVM3" s="946"/>
      <c r="OVN3" s="946"/>
      <c r="OVO3" s="946"/>
      <c r="OVP3" s="946"/>
      <c r="OVQ3" s="946"/>
      <c r="OVR3" s="946"/>
      <c r="OVS3" s="946"/>
      <c r="OVT3" s="946"/>
      <c r="OVU3" s="946"/>
      <c r="OVV3" s="946"/>
      <c r="OVW3" s="946"/>
      <c r="OVX3" s="946"/>
      <c r="OVY3" s="946"/>
      <c r="OVZ3" s="946"/>
      <c r="OWA3" s="946"/>
      <c r="OWB3" s="946"/>
      <c r="OWC3" s="946"/>
      <c r="OWD3" s="946"/>
      <c r="OWE3" s="946"/>
      <c r="OWF3" s="946"/>
      <c r="OWG3" s="946"/>
      <c r="OWH3" s="946"/>
      <c r="OWI3" s="946"/>
      <c r="OWJ3" s="946"/>
      <c r="OWK3" s="946"/>
      <c r="OWL3" s="946"/>
      <c r="OWM3" s="946"/>
      <c r="OWN3" s="946"/>
      <c r="OWO3" s="946"/>
      <c r="OWP3" s="946"/>
      <c r="OWQ3" s="946"/>
      <c r="OWR3" s="946"/>
      <c r="OWS3" s="946"/>
      <c r="OWT3" s="946"/>
      <c r="OWU3" s="946"/>
      <c r="OWV3" s="946"/>
      <c r="OWW3" s="946"/>
      <c r="OWX3" s="946"/>
      <c r="OWY3" s="946"/>
      <c r="OWZ3" s="946"/>
      <c r="OXA3" s="946"/>
      <c r="OXB3" s="946"/>
      <c r="OXC3" s="946"/>
      <c r="OXD3" s="946"/>
      <c r="OXE3" s="946"/>
      <c r="OXF3" s="946"/>
      <c r="OXG3" s="946"/>
      <c r="OXH3" s="946"/>
      <c r="OXI3" s="946"/>
      <c r="OXJ3" s="946"/>
      <c r="OXK3" s="946"/>
      <c r="OXL3" s="946"/>
      <c r="OXM3" s="946"/>
      <c r="OXN3" s="946"/>
      <c r="OXO3" s="946"/>
      <c r="OXP3" s="946"/>
      <c r="OXQ3" s="946"/>
      <c r="OXR3" s="946"/>
      <c r="OXS3" s="946"/>
      <c r="OXT3" s="946"/>
      <c r="OXU3" s="946"/>
      <c r="OXV3" s="946"/>
      <c r="OXW3" s="946"/>
      <c r="OXX3" s="946"/>
      <c r="OXY3" s="946"/>
      <c r="OXZ3" s="946"/>
      <c r="OYA3" s="946"/>
      <c r="OYB3" s="946"/>
      <c r="OYC3" s="946"/>
      <c r="OYD3" s="946"/>
      <c r="OYE3" s="946"/>
      <c r="OYF3" s="946"/>
      <c r="OYG3" s="946"/>
      <c r="OYH3" s="946"/>
      <c r="OYI3" s="946"/>
      <c r="OYJ3" s="946"/>
      <c r="OYK3" s="946"/>
      <c r="OYL3" s="946"/>
      <c r="OYM3" s="946"/>
      <c r="OYN3" s="946"/>
      <c r="OYO3" s="946"/>
      <c r="OYP3" s="946"/>
      <c r="OYQ3" s="946"/>
      <c r="OYR3" s="946"/>
      <c r="OYS3" s="946"/>
      <c r="OYT3" s="946"/>
      <c r="OYU3" s="946"/>
      <c r="OYV3" s="946"/>
      <c r="OYW3" s="946"/>
      <c r="OYX3" s="946"/>
      <c r="OYY3" s="946"/>
      <c r="OYZ3" s="946"/>
      <c r="OZA3" s="946"/>
      <c r="OZB3" s="946"/>
      <c r="OZC3" s="946"/>
      <c r="OZD3" s="946"/>
      <c r="OZE3" s="946"/>
      <c r="OZF3" s="946"/>
      <c r="OZG3" s="946"/>
      <c r="OZH3" s="946"/>
      <c r="OZI3" s="946"/>
      <c r="OZJ3" s="946"/>
      <c r="OZK3" s="946"/>
      <c r="OZL3" s="946"/>
      <c r="OZM3" s="946"/>
      <c r="OZN3" s="946"/>
      <c r="OZO3" s="946"/>
      <c r="OZP3" s="946"/>
      <c r="OZQ3" s="946"/>
      <c r="OZR3" s="946"/>
      <c r="OZS3" s="946"/>
      <c r="OZT3" s="946"/>
      <c r="OZU3" s="946"/>
      <c r="OZV3" s="946"/>
      <c r="OZW3" s="946"/>
      <c r="OZX3" s="946"/>
      <c r="OZY3" s="946"/>
      <c r="OZZ3" s="946"/>
      <c r="PAA3" s="946"/>
      <c r="PAB3" s="946"/>
      <c r="PAC3" s="946"/>
      <c r="PAD3" s="946"/>
      <c r="PAE3" s="946"/>
      <c r="PAF3" s="946"/>
      <c r="PAG3" s="946"/>
      <c r="PAH3" s="946"/>
      <c r="PAI3" s="946"/>
      <c r="PAJ3" s="946"/>
      <c r="PAK3" s="946"/>
      <c r="PAL3" s="946"/>
      <c r="PAM3" s="946"/>
      <c r="PAN3" s="946"/>
      <c r="PAO3" s="946"/>
      <c r="PAP3" s="946"/>
      <c r="PAQ3" s="946"/>
      <c r="PAR3" s="946"/>
      <c r="PAS3" s="946"/>
      <c r="PAT3" s="946"/>
      <c r="PAU3" s="946"/>
      <c r="PAV3" s="946"/>
      <c r="PAW3" s="946"/>
      <c r="PAX3" s="946"/>
      <c r="PAY3" s="946"/>
      <c r="PAZ3" s="946"/>
      <c r="PBA3" s="946"/>
      <c r="PBB3" s="946"/>
      <c r="PBC3" s="946"/>
      <c r="PBD3" s="946"/>
      <c r="PBE3" s="946"/>
      <c r="PBF3" s="946"/>
      <c r="PBG3" s="946"/>
      <c r="PBH3" s="946"/>
      <c r="PBI3" s="946"/>
      <c r="PBJ3" s="946"/>
      <c r="PBK3" s="946"/>
      <c r="PBL3" s="946"/>
      <c r="PBM3" s="946"/>
      <c r="PBN3" s="946"/>
      <c r="PBO3" s="946"/>
      <c r="PBP3" s="946"/>
      <c r="PBQ3" s="946"/>
      <c r="PBR3" s="946"/>
      <c r="PBS3" s="946"/>
      <c r="PBT3" s="946"/>
      <c r="PBU3" s="946"/>
      <c r="PBV3" s="946"/>
      <c r="PBW3" s="946"/>
      <c r="PBX3" s="946"/>
      <c r="PBY3" s="946"/>
      <c r="PBZ3" s="946"/>
      <c r="PCA3" s="946"/>
      <c r="PCB3" s="946"/>
      <c r="PCC3" s="946"/>
      <c r="PCD3" s="946"/>
      <c r="PCE3" s="946"/>
      <c r="PCF3" s="946"/>
      <c r="PCG3" s="946"/>
      <c r="PCH3" s="946"/>
      <c r="PCI3" s="946"/>
      <c r="PCJ3" s="946"/>
      <c r="PCK3" s="946"/>
      <c r="PCL3" s="946"/>
      <c r="PCM3" s="946"/>
      <c r="PCN3" s="946"/>
      <c r="PCO3" s="946"/>
      <c r="PCP3" s="946"/>
      <c r="PCQ3" s="946"/>
      <c r="PCR3" s="946"/>
      <c r="PCS3" s="946"/>
      <c r="PCT3" s="946"/>
      <c r="PCU3" s="946"/>
      <c r="PCV3" s="946"/>
      <c r="PCW3" s="946"/>
      <c r="PCX3" s="946"/>
      <c r="PCY3" s="946"/>
      <c r="PCZ3" s="946"/>
      <c r="PDA3" s="946"/>
      <c r="PDB3" s="946"/>
      <c r="PDC3" s="946"/>
      <c r="PDD3" s="946"/>
      <c r="PDE3" s="946"/>
      <c r="PDF3" s="946"/>
      <c r="PDG3" s="946"/>
      <c r="PDH3" s="946"/>
      <c r="PDI3" s="946"/>
      <c r="PDJ3" s="946"/>
      <c r="PDK3" s="946"/>
      <c r="PDL3" s="946"/>
      <c r="PDM3" s="946"/>
      <c r="PDN3" s="946"/>
      <c r="PDO3" s="946"/>
      <c r="PDP3" s="946"/>
      <c r="PDQ3" s="946"/>
      <c r="PDR3" s="946"/>
      <c r="PDS3" s="946"/>
      <c r="PDT3" s="946"/>
      <c r="PDU3" s="946"/>
      <c r="PDV3" s="946"/>
      <c r="PDW3" s="946"/>
      <c r="PDX3" s="946"/>
      <c r="PDY3" s="946"/>
      <c r="PDZ3" s="946"/>
      <c r="PEA3" s="946"/>
      <c r="PEB3" s="946"/>
      <c r="PEC3" s="946"/>
      <c r="PED3" s="946"/>
      <c r="PEE3" s="946"/>
      <c r="PEF3" s="946"/>
      <c r="PEG3" s="946"/>
      <c r="PEH3" s="946"/>
      <c r="PEI3" s="946"/>
      <c r="PEJ3" s="946"/>
      <c r="PEK3" s="946"/>
      <c r="PEL3" s="946"/>
      <c r="PEM3" s="946"/>
      <c r="PEN3" s="946"/>
      <c r="PEO3" s="946"/>
      <c r="PEP3" s="946"/>
      <c r="PEQ3" s="946"/>
      <c r="PER3" s="946"/>
      <c r="PES3" s="946"/>
      <c r="PET3" s="946"/>
      <c r="PEU3" s="946"/>
      <c r="PEV3" s="946"/>
      <c r="PEW3" s="946"/>
      <c r="PEX3" s="946"/>
      <c r="PEY3" s="946"/>
      <c r="PEZ3" s="946"/>
      <c r="PFA3" s="946"/>
      <c r="PFB3" s="946"/>
      <c r="PFC3" s="946"/>
      <c r="PFD3" s="946"/>
      <c r="PFE3" s="946"/>
      <c r="PFF3" s="946"/>
      <c r="PFG3" s="946"/>
      <c r="PFH3" s="946"/>
      <c r="PFI3" s="946"/>
      <c r="PFJ3" s="946"/>
      <c r="PFK3" s="946"/>
      <c r="PFL3" s="946"/>
      <c r="PFM3" s="946"/>
      <c r="PFN3" s="946"/>
      <c r="PFO3" s="946"/>
      <c r="PFP3" s="946"/>
      <c r="PFQ3" s="946"/>
      <c r="PFR3" s="946"/>
      <c r="PFS3" s="946"/>
      <c r="PFT3" s="946"/>
      <c r="PFU3" s="946"/>
      <c r="PFV3" s="946"/>
      <c r="PFW3" s="946"/>
      <c r="PFX3" s="946"/>
      <c r="PFY3" s="946"/>
      <c r="PFZ3" s="946"/>
      <c r="PGA3" s="946"/>
      <c r="PGB3" s="946"/>
      <c r="PGC3" s="946"/>
      <c r="PGD3" s="946"/>
      <c r="PGE3" s="946"/>
      <c r="PGF3" s="946"/>
      <c r="PGG3" s="946"/>
      <c r="PGH3" s="946"/>
      <c r="PGI3" s="946"/>
      <c r="PGJ3" s="946"/>
      <c r="PGK3" s="946"/>
      <c r="PGL3" s="946"/>
      <c r="PGM3" s="946"/>
      <c r="PGN3" s="946"/>
      <c r="PGO3" s="946"/>
      <c r="PGP3" s="946"/>
      <c r="PGQ3" s="946"/>
      <c r="PGR3" s="946"/>
      <c r="PGS3" s="946"/>
      <c r="PGT3" s="946"/>
      <c r="PGU3" s="946"/>
      <c r="PGV3" s="946"/>
      <c r="PGW3" s="946"/>
      <c r="PGX3" s="946"/>
      <c r="PGY3" s="946"/>
      <c r="PGZ3" s="946"/>
      <c r="PHA3" s="946"/>
      <c r="PHB3" s="946"/>
      <c r="PHC3" s="946"/>
      <c r="PHD3" s="946"/>
      <c r="PHE3" s="946"/>
      <c r="PHF3" s="946"/>
      <c r="PHG3" s="946"/>
      <c r="PHH3" s="946"/>
      <c r="PHI3" s="946"/>
      <c r="PHJ3" s="946"/>
      <c r="PHK3" s="946"/>
      <c r="PHL3" s="946"/>
      <c r="PHM3" s="946"/>
      <c r="PHN3" s="946"/>
      <c r="PHO3" s="946"/>
      <c r="PHP3" s="946"/>
      <c r="PHQ3" s="946"/>
      <c r="PHR3" s="946"/>
      <c r="PHS3" s="946"/>
      <c r="PHT3" s="946"/>
      <c r="PHU3" s="946"/>
      <c r="PHV3" s="946"/>
      <c r="PHW3" s="946"/>
      <c r="PHX3" s="946"/>
      <c r="PHY3" s="946"/>
      <c r="PHZ3" s="946"/>
      <c r="PIA3" s="946"/>
      <c r="PIB3" s="946"/>
      <c r="PIC3" s="946"/>
      <c r="PID3" s="946"/>
      <c r="PIE3" s="946"/>
      <c r="PIF3" s="946"/>
      <c r="PIG3" s="946"/>
      <c r="PIH3" s="946"/>
      <c r="PII3" s="946"/>
      <c r="PIJ3" s="946"/>
      <c r="PIK3" s="946"/>
      <c r="PIL3" s="946"/>
      <c r="PIM3" s="946"/>
      <c r="PIN3" s="946"/>
      <c r="PIO3" s="946"/>
      <c r="PIP3" s="946"/>
      <c r="PIQ3" s="946"/>
      <c r="PIR3" s="946"/>
      <c r="PIS3" s="946"/>
      <c r="PIT3" s="946"/>
      <c r="PIU3" s="946"/>
      <c r="PIV3" s="946"/>
      <c r="PIW3" s="946"/>
      <c r="PIX3" s="946"/>
      <c r="PIY3" s="946"/>
      <c r="PIZ3" s="946"/>
      <c r="PJA3" s="946"/>
      <c r="PJB3" s="946"/>
      <c r="PJC3" s="946"/>
      <c r="PJD3" s="946"/>
      <c r="PJE3" s="946"/>
      <c r="PJF3" s="946"/>
      <c r="PJG3" s="946"/>
      <c r="PJH3" s="946"/>
      <c r="PJI3" s="946"/>
      <c r="PJJ3" s="946"/>
      <c r="PJK3" s="946"/>
      <c r="PJL3" s="946"/>
      <c r="PJM3" s="946"/>
      <c r="PJN3" s="946"/>
      <c r="PJO3" s="946"/>
      <c r="PJP3" s="946"/>
      <c r="PJQ3" s="946"/>
      <c r="PJR3" s="946"/>
      <c r="PJS3" s="946"/>
      <c r="PJT3" s="946"/>
      <c r="PJU3" s="946"/>
      <c r="PJV3" s="946"/>
      <c r="PJW3" s="946"/>
      <c r="PJX3" s="946"/>
      <c r="PJY3" s="946"/>
      <c r="PJZ3" s="946"/>
      <c r="PKA3" s="946"/>
      <c r="PKB3" s="946"/>
      <c r="PKC3" s="946"/>
      <c r="PKD3" s="946"/>
      <c r="PKE3" s="946"/>
      <c r="PKF3" s="946"/>
      <c r="PKG3" s="946"/>
      <c r="PKH3" s="946"/>
      <c r="PKI3" s="946"/>
      <c r="PKJ3" s="946"/>
      <c r="PKK3" s="946"/>
      <c r="PKL3" s="946"/>
      <c r="PKM3" s="946"/>
      <c r="PKN3" s="946"/>
      <c r="PKO3" s="946"/>
      <c r="PKP3" s="946"/>
      <c r="PKQ3" s="946"/>
      <c r="PKR3" s="946"/>
      <c r="PKS3" s="946"/>
      <c r="PKT3" s="946"/>
      <c r="PKU3" s="946"/>
      <c r="PKV3" s="946"/>
      <c r="PKW3" s="946"/>
      <c r="PKX3" s="946"/>
      <c r="PKY3" s="946"/>
      <c r="PKZ3" s="946"/>
      <c r="PLA3" s="946"/>
      <c r="PLB3" s="946"/>
      <c r="PLC3" s="946"/>
      <c r="PLD3" s="946"/>
      <c r="PLE3" s="946"/>
      <c r="PLF3" s="946"/>
      <c r="PLG3" s="946"/>
      <c r="PLH3" s="946"/>
      <c r="PLI3" s="946"/>
      <c r="PLJ3" s="946"/>
      <c r="PLK3" s="946"/>
      <c r="PLL3" s="946"/>
      <c r="PLM3" s="946"/>
      <c r="PLN3" s="946"/>
      <c r="PLO3" s="946"/>
      <c r="PLP3" s="946"/>
      <c r="PLQ3" s="946"/>
      <c r="PLR3" s="946"/>
      <c r="PLS3" s="946"/>
      <c r="PLT3" s="946"/>
      <c r="PLU3" s="946"/>
      <c r="PLV3" s="946"/>
      <c r="PLW3" s="946"/>
      <c r="PLX3" s="946"/>
      <c r="PLY3" s="946"/>
      <c r="PLZ3" s="946"/>
      <c r="PMA3" s="946"/>
      <c r="PMB3" s="946"/>
      <c r="PMC3" s="946"/>
      <c r="PMD3" s="946"/>
      <c r="PME3" s="946"/>
      <c r="PMF3" s="946"/>
      <c r="PMG3" s="946"/>
      <c r="PMH3" s="946"/>
      <c r="PMI3" s="946"/>
      <c r="PMJ3" s="946"/>
      <c r="PMK3" s="946"/>
      <c r="PML3" s="946"/>
      <c r="PMM3" s="946"/>
      <c r="PMN3" s="946"/>
      <c r="PMO3" s="946"/>
      <c r="PMP3" s="946"/>
      <c r="PMQ3" s="946"/>
      <c r="PMR3" s="946"/>
      <c r="PMS3" s="946"/>
      <c r="PMT3" s="946"/>
      <c r="PMU3" s="946"/>
      <c r="PMV3" s="946"/>
      <c r="PMW3" s="946"/>
      <c r="PMX3" s="946"/>
      <c r="PMY3" s="946"/>
      <c r="PMZ3" s="946"/>
      <c r="PNA3" s="946"/>
      <c r="PNB3" s="946"/>
      <c r="PNC3" s="946"/>
      <c r="PND3" s="946"/>
      <c r="PNE3" s="946"/>
      <c r="PNF3" s="946"/>
      <c r="PNG3" s="946"/>
      <c r="PNH3" s="946"/>
      <c r="PNI3" s="946"/>
      <c r="PNJ3" s="946"/>
      <c r="PNK3" s="946"/>
      <c r="PNL3" s="946"/>
      <c r="PNM3" s="946"/>
      <c r="PNN3" s="946"/>
      <c r="PNO3" s="946"/>
      <c r="PNP3" s="946"/>
      <c r="PNQ3" s="946"/>
      <c r="PNR3" s="946"/>
      <c r="PNS3" s="946"/>
      <c r="PNT3" s="946"/>
      <c r="PNU3" s="946"/>
      <c r="PNV3" s="946"/>
      <c r="PNW3" s="946"/>
      <c r="PNX3" s="946"/>
      <c r="PNY3" s="946"/>
      <c r="PNZ3" s="946"/>
      <c r="POA3" s="946"/>
      <c r="POB3" s="946"/>
      <c r="POC3" s="946"/>
      <c r="POD3" s="946"/>
      <c r="POE3" s="946"/>
      <c r="POF3" s="946"/>
      <c r="POG3" s="946"/>
      <c r="POH3" s="946"/>
      <c r="POI3" s="946"/>
      <c r="POJ3" s="946"/>
      <c r="POK3" s="946"/>
      <c r="POL3" s="946"/>
      <c r="POM3" s="946"/>
      <c r="PON3" s="946"/>
      <c r="POO3" s="946"/>
      <c r="POP3" s="946"/>
      <c r="POQ3" s="946"/>
      <c r="POR3" s="946"/>
      <c r="POS3" s="946"/>
      <c r="POT3" s="946"/>
      <c r="POU3" s="946"/>
      <c r="POV3" s="946"/>
      <c r="POW3" s="946"/>
      <c r="POX3" s="946"/>
      <c r="POY3" s="946"/>
      <c r="POZ3" s="946"/>
      <c r="PPA3" s="946"/>
      <c r="PPB3" s="946"/>
      <c r="PPC3" s="946"/>
      <c r="PPD3" s="946"/>
      <c r="PPE3" s="946"/>
      <c r="PPF3" s="946"/>
      <c r="PPG3" s="946"/>
      <c r="PPH3" s="946"/>
      <c r="PPI3" s="946"/>
      <c r="PPJ3" s="946"/>
      <c r="PPK3" s="946"/>
      <c r="PPL3" s="946"/>
      <c r="PPM3" s="946"/>
      <c r="PPN3" s="946"/>
      <c r="PPO3" s="946"/>
      <c r="PPP3" s="946"/>
      <c r="PPQ3" s="946"/>
      <c r="PPR3" s="946"/>
      <c r="PPS3" s="946"/>
      <c r="PPT3" s="946"/>
      <c r="PPU3" s="946"/>
      <c r="PPV3" s="946"/>
      <c r="PPW3" s="946"/>
      <c r="PPX3" s="946"/>
      <c r="PPY3" s="946"/>
      <c r="PPZ3" s="946"/>
      <c r="PQA3" s="946"/>
      <c r="PQB3" s="946"/>
      <c r="PQC3" s="946"/>
      <c r="PQD3" s="946"/>
      <c r="PQE3" s="946"/>
      <c r="PQF3" s="946"/>
      <c r="PQG3" s="946"/>
      <c r="PQH3" s="946"/>
      <c r="PQI3" s="946"/>
      <c r="PQJ3" s="946"/>
      <c r="PQK3" s="946"/>
      <c r="PQL3" s="946"/>
      <c r="PQM3" s="946"/>
      <c r="PQN3" s="946"/>
      <c r="PQO3" s="946"/>
      <c r="PQP3" s="946"/>
      <c r="PQQ3" s="946"/>
      <c r="PQR3" s="946"/>
      <c r="PQS3" s="946"/>
      <c r="PQT3" s="946"/>
      <c r="PQU3" s="946"/>
      <c r="PQV3" s="946"/>
      <c r="PQW3" s="946"/>
      <c r="PQX3" s="946"/>
      <c r="PQY3" s="946"/>
      <c r="PQZ3" s="946"/>
      <c r="PRA3" s="946"/>
      <c r="PRB3" s="946"/>
      <c r="PRC3" s="946"/>
      <c r="PRD3" s="946"/>
      <c r="PRE3" s="946"/>
      <c r="PRF3" s="946"/>
      <c r="PRG3" s="946"/>
      <c r="PRH3" s="946"/>
      <c r="PRI3" s="946"/>
      <c r="PRJ3" s="946"/>
      <c r="PRK3" s="946"/>
      <c r="PRL3" s="946"/>
      <c r="PRM3" s="946"/>
      <c r="PRN3" s="946"/>
      <c r="PRO3" s="946"/>
      <c r="PRP3" s="946"/>
      <c r="PRQ3" s="946"/>
      <c r="PRR3" s="946"/>
      <c r="PRS3" s="946"/>
      <c r="PRT3" s="946"/>
      <c r="PRU3" s="946"/>
      <c r="PRV3" s="946"/>
      <c r="PRW3" s="946"/>
      <c r="PRX3" s="946"/>
      <c r="PRY3" s="946"/>
      <c r="PRZ3" s="946"/>
      <c r="PSA3" s="946"/>
      <c r="PSB3" s="946"/>
      <c r="PSC3" s="946"/>
      <c r="PSD3" s="946"/>
      <c r="PSE3" s="946"/>
      <c r="PSF3" s="946"/>
      <c r="PSG3" s="946"/>
      <c r="PSH3" s="946"/>
      <c r="PSI3" s="946"/>
      <c r="PSJ3" s="946"/>
      <c r="PSK3" s="946"/>
      <c r="PSL3" s="946"/>
      <c r="PSM3" s="946"/>
      <c r="PSN3" s="946"/>
      <c r="PSO3" s="946"/>
      <c r="PSP3" s="946"/>
      <c r="PSQ3" s="946"/>
      <c r="PSR3" s="946"/>
      <c r="PSS3" s="946"/>
      <c r="PST3" s="946"/>
      <c r="PSU3" s="946"/>
      <c r="PSV3" s="946"/>
      <c r="PSW3" s="946"/>
      <c r="PSX3" s="946"/>
      <c r="PSY3" s="946"/>
      <c r="PSZ3" s="946"/>
      <c r="PTA3" s="946"/>
      <c r="PTB3" s="946"/>
      <c r="PTC3" s="946"/>
      <c r="PTD3" s="946"/>
      <c r="PTE3" s="946"/>
      <c r="PTF3" s="946"/>
      <c r="PTG3" s="946"/>
      <c r="PTH3" s="946"/>
      <c r="PTI3" s="946"/>
      <c r="PTJ3" s="946"/>
      <c r="PTK3" s="946"/>
      <c r="PTL3" s="946"/>
      <c r="PTM3" s="946"/>
      <c r="PTN3" s="946"/>
      <c r="PTO3" s="946"/>
      <c r="PTP3" s="946"/>
      <c r="PTQ3" s="946"/>
      <c r="PTR3" s="946"/>
      <c r="PTS3" s="946"/>
      <c r="PTT3" s="946"/>
      <c r="PTU3" s="946"/>
      <c r="PTV3" s="946"/>
      <c r="PTW3" s="946"/>
      <c r="PTX3" s="946"/>
      <c r="PTY3" s="946"/>
      <c r="PTZ3" s="946"/>
      <c r="PUA3" s="946"/>
      <c r="PUB3" s="946"/>
      <c r="PUC3" s="946"/>
      <c r="PUD3" s="946"/>
      <c r="PUE3" s="946"/>
      <c r="PUF3" s="946"/>
      <c r="PUG3" s="946"/>
      <c r="PUH3" s="946"/>
      <c r="PUI3" s="946"/>
      <c r="PUJ3" s="946"/>
      <c r="PUK3" s="946"/>
      <c r="PUL3" s="946"/>
      <c r="PUM3" s="946"/>
      <c r="PUN3" s="946"/>
      <c r="PUO3" s="946"/>
      <c r="PUP3" s="946"/>
      <c r="PUQ3" s="946"/>
      <c r="PUR3" s="946"/>
      <c r="PUS3" s="946"/>
      <c r="PUT3" s="946"/>
      <c r="PUU3" s="946"/>
      <c r="PUV3" s="946"/>
      <c r="PUW3" s="946"/>
      <c r="PUX3" s="946"/>
      <c r="PUY3" s="946"/>
      <c r="PUZ3" s="946"/>
      <c r="PVA3" s="946"/>
      <c r="PVB3" s="946"/>
      <c r="PVC3" s="946"/>
      <c r="PVD3" s="946"/>
      <c r="PVE3" s="946"/>
      <c r="PVF3" s="946"/>
      <c r="PVG3" s="946"/>
      <c r="PVH3" s="946"/>
      <c r="PVI3" s="946"/>
      <c r="PVJ3" s="946"/>
      <c r="PVK3" s="946"/>
      <c r="PVL3" s="946"/>
      <c r="PVM3" s="946"/>
      <c r="PVN3" s="946"/>
      <c r="PVO3" s="946"/>
      <c r="PVP3" s="946"/>
      <c r="PVQ3" s="946"/>
      <c r="PVR3" s="946"/>
      <c r="PVS3" s="946"/>
      <c r="PVT3" s="946"/>
      <c r="PVU3" s="946"/>
      <c r="PVV3" s="946"/>
      <c r="PVW3" s="946"/>
      <c r="PVX3" s="946"/>
      <c r="PVY3" s="946"/>
      <c r="PVZ3" s="946"/>
      <c r="PWA3" s="946"/>
      <c r="PWB3" s="946"/>
      <c r="PWC3" s="946"/>
      <c r="PWD3" s="946"/>
      <c r="PWE3" s="946"/>
      <c r="PWF3" s="946"/>
      <c r="PWG3" s="946"/>
      <c r="PWH3" s="946"/>
      <c r="PWI3" s="946"/>
      <c r="PWJ3" s="946"/>
      <c r="PWK3" s="946"/>
      <c r="PWL3" s="946"/>
      <c r="PWM3" s="946"/>
      <c r="PWN3" s="946"/>
      <c r="PWO3" s="946"/>
      <c r="PWP3" s="946"/>
      <c r="PWQ3" s="946"/>
      <c r="PWR3" s="946"/>
      <c r="PWS3" s="946"/>
      <c r="PWT3" s="946"/>
      <c r="PWU3" s="946"/>
      <c r="PWV3" s="946"/>
      <c r="PWW3" s="946"/>
      <c r="PWX3" s="946"/>
      <c r="PWY3" s="946"/>
      <c r="PWZ3" s="946"/>
      <c r="PXA3" s="946"/>
      <c r="PXB3" s="946"/>
      <c r="PXC3" s="946"/>
      <c r="PXD3" s="946"/>
      <c r="PXE3" s="946"/>
      <c r="PXF3" s="946"/>
      <c r="PXG3" s="946"/>
      <c r="PXH3" s="946"/>
      <c r="PXI3" s="946"/>
      <c r="PXJ3" s="946"/>
      <c r="PXK3" s="946"/>
      <c r="PXL3" s="946"/>
      <c r="PXM3" s="946"/>
      <c r="PXN3" s="946"/>
      <c r="PXO3" s="946"/>
      <c r="PXP3" s="946"/>
      <c r="PXQ3" s="946"/>
      <c r="PXR3" s="946"/>
      <c r="PXS3" s="946"/>
      <c r="PXT3" s="946"/>
      <c r="PXU3" s="946"/>
      <c r="PXV3" s="946"/>
      <c r="PXW3" s="946"/>
      <c r="PXX3" s="946"/>
      <c r="PXY3" s="946"/>
      <c r="PXZ3" s="946"/>
      <c r="PYA3" s="946"/>
      <c r="PYB3" s="946"/>
      <c r="PYC3" s="946"/>
      <c r="PYD3" s="946"/>
      <c r="PYE3" s="946"/>
      <c r="PYF3" s="946"/>
      <c r="PYG3" s="946"/>
      <c r="PYH3" s="946"/>
      <c r="PYI3" s="946"/>
      <c r="PYJ3" s="946"/>
      <c r="PYK3" s="946"/>
      <c r="PYL3" s="946"/>
      <c r="PYM3" s="946"/>
      <c r="PYN3" s="946"/>
      <c r="PYO3" s="946"/>
      <c r="PYP3" s="946"/>
      <c r="PYQ3" s="946"/>
      <c r="PYR3" s="946"/>
      <c r="PYS3" s="946"/>
      <c r="PYT3" s="946"/>
      <c r="PYU3" s="946"/>
      <c r="PYV3" s="946"/>
      <c r="PYW3" s="946"/>
      <c r="PYX3" s="946"/>
      <c r="PYY3" s="946"/>
      <c r="PYZ3" s="946"/>
      <c r="PZA3" s="946"/>
      <c r="PZB3" s="946"/>
      <c r="PZC3" s="946"/>
      <c r="PZD3" s="946"/>
      <c r="PZE3" s="946"/>
      <c r="PZF3" s="946"/>
      <c r="PZG3" s="946"/>
      <c r="PZH3" s="946"/>
      <c r="PZI3" s="946"/>
      <c r="PZJ3" s="946"/>
      <c r="PZK3" s="946"/>
      <c r="PZL3" s="946"/>
      <c r="PZM3" s="946"/>
      <c r="PZN3" s="946"/>
      <c r="PZO3" s="946"/>
      <c r="PZP3" s="946"/>
      <c r="PZQ3" s="946"/>
      <c r="PZR3" s="946"/>
      <c r="PZS3" s="946"/>
      <c r="PZT3" s="946"/>
      <c r="PZU3" s="946"/>
      <c r="PZV3" s="946"/>
      <c r="PZW3" s="946"/>
      <c r="PZX3" s="946"/>
      <c r="PZY3" s="946"/>
      <c r="PZZ3" s="946"/>
      <c r="QAA3" s="946"/>
      <c r="QAB3" s="946"/>
      <c r="QAC3" s="946"/>
      <c r="QAD3" s="946"/>
      <c r="QAE3" s="946"/>
      <c r="QAF3" s="946"/>
      <c r="QAG3" s="946"/>
      <c r="QAH3" s="946"/>
      <c r="QAI3" s="946"/>
      <c r="QAJ3" s="946"/>
      <c r="QAK3" s="946"/>
      <c r="QAL3" s="946"/>
      <c r="QAM3" s="946"/>
      <c r="QAN3" s="946"/>
      <c r="QAO3" s="946"/>
      <c r="QAP3" s="946"/>
      <c r="QAQ3" s="946"/>
      <c r="QAR3" s="946"/>
      <c r="QAS3" s="946"/>
      <c r="QAT3" s="946"/>
      <c r="QAU3" s="946"/>
      <c r="QAV3" s="946"/>
      <c r="QAW3" s="946"/>
      <c r="QAX3" s="946"/>
      <c r="QAY3" s="946"/>
      <c r="QAZ3" s="946"/>
      <c r="QBA3" s="946"/>
      <c r="QBB3" s="946"/>
      <c r="QBC3" s="946"/>
      <c r="QBD3" s="946"/>
      <c r="QBE3" s="946"/>
      <c r="QBF3" s="946"/>
      <c r="QBG3" s="946"/>
      <c r="QBH3" s="946"/>
      <c r="QBI3" s="946"/>
      <c r="QBJ3" s="946"/>
      <c r="QBK3" s="946"/>
      <c r="QBL3" s="946"/>
      <c r="QBM3" s="946"/>
      <c r="QBN3" s="946"/>
      <c r="QBO3" s="946"/>
      <c r="QBP3" s="946"/>
      <c r="QBQ3" s="946"/>
      <c r="QBR3" s="946"/>
      <c r="QBS3" s="946"/>
      <c r="QBT3" s="946"/>
      <c r="QBU3" s="946"/>
      <c r="QBV3" s="946"/>
      <c r="QBW3" s="946"/>
      <c r="QBX3" s="946"/>
      <c r="QBY3" s="946"/>
      <c r="QBZ3" s="946"/>
      <c r="QCA3" s="946"/>
      <c r="QCB3" s="946"/>
      <c r="QCC3" s="946"/>
      <c r="QCD3" s="946"/>
      <c r="QCE3" s="946"/>
      <c r="QCF3" s="946"/>
      <c r="QCG3" s="946"/>
      <c r="QCH3" s="946"/>
      <c r="QCI3" s="946"/>
      <c r="QCJ3" s="946"/>
      <c r="QCK3" s="946"/>
      <c r="QCL3" s="946"/>
      <c r="QCM3" s="946"/>
      <c r="QCN3" s="946"/>
      <c r="QCO3" s="946"/>
      <c r="QCP3" s="946"/>
      <c r="QCQ3" s="946"/>
      <c r="QCR3" s="946"/>
      <c r="QCS3" s="946"/>
      <c r="QCT3" s="946"/>
      <c r="QCU3" s="946"/>
      <c r="QCV3" s="946"/>
      <c r="QCW3" s="946"/>
      <c r="QCX3" s="946"/>
      <c r="QCY3" s="946"/>
      <c r="QCZ3" s="946"/>
      <c r="QDA3" s="946"/>
      <c r="QDB3" s="946"/>
      <c r="QDC3" s="946"/>
      <c r="QDD3" s="946"/>
      <c r="QDE3" s="946"/>
      <c r="QDF3" s="946"/>
      <c r="QDG3" s="946"/>
      <c r="QDH3" s="946"/>
      <c r="QDI3" s="946"/>
      <c r="QDJ3" s="946"/>
      <c r="QDK3" s="946"/>
      <c r="QDL3" s="946"/>
      <c r="QDM3" s="946"/>
      <c r="QDN3" s="946"/>
      <c r="QDO3" s="946"/>
      <c r="QDP3" s="946"/>
      <c r="QDQ3" s="946"/>
      <c r="QDR3" s="946"/>
      <c r="QDS3" s="946"/>
      <c r="QDT3" s="946"/>
      <c r="QDU3" s="946"/>
      <c r="QDV3" s="946"/>
      <c r="QDW3" s="946"/>
      <c r="QDX3" s="946"/>
      <c r="QDY3" s="946"/>
      <c r="QDZ3" s="946"/>
      <c r="QEA3" s="946"/>
      <c r="QEB3" s="946"/>
      <c r="QEC3" s="946"/>
      <c r="QED3" s="946"/>
      <c r="QEE3" s="946"/>
      <c r="QEF3" s="946"/>
      <c r="QEG3" s="946"/>
      <c r="QEH3" s="946"/>
      <c r="QEI3" s="946"/>
      <c r="QEJ3" s="946"/>
      <c r="QEK3" s="946"/>
      <c r="QEL3" s="946"/>
      <c r="QEM3" s="946"/>
      <c r="QEN3" s="946"/>
      <c r="QEO3" s="946"/>
      <c r="QEP3" s="946"/>
      <c r="QEQ3" s="946"/>
      <c r="QER3" s="946"/>
      <c r="QES3" s="946"/>
      <c r="QET3" s="946"/>
      <c r="QEU3" s="946"/>
      <c r="QEV3" s="946"/>
      <c r="QEW3" s="946"/>
      <c r="QEX3" s="946"/>
      <c r="QEY3" s="946"/>
      <c r="QEZ3" s="946"/>
      <c r="QFA3" s="946"/>
      <c r="QFB3" s="946"/>
      <c r="QFC3" s="946"/>
      <c r="QFD3" s="946"/>
      <c r="QFE3" s="946"/>
      <c r="QFF3" s="946"/>
      <c r="QFG3" s="946"/>
      <c r="QFH3" s="946"/>
      <c r="QFI3" s="946"/>
      <c r="QFJ3" s="946"/>
      <c r="QFK3" s="946"/>
      <c r="QFL3" s="946"/>
      <c r="QFM3" s="946"/>
      <c r="QFN3" s="946"/>
      <c r="QFO3" s="946"/>
      <c r="QFP3" s="946"/>
      <c r="QFQ3" s="946"/>
      <c r="QFR3" s="946"/>
      <c r="QFS3" s="946"/>
      <c r="QFT3" s="946"/>
      <c r="QFU3" s="946"/>
      <c r="QFV3" s="946"/>
      <c r="QFW3" s="946"/>
      <c r="QFX3" s="946"/>
      <c r="QFY3" s="946"/>
      <c r="QFZ3" s="946"/>
      <c r="QGA3" s="946"/>
      <c r="QGB3" s="946"/>
      <c r="QGC3" s="946"/>
      <c r="QGD3" s="946"/>
      <c r="QGE3" s="946"/>
      <c r="QGF3" s="946"/>
      <c r="QGG3" s="946"/>
      <c r="QGH3" s="946"/>
      <c r="QGI3" s="946"/>
      <c r="QGJ3" s="946"/>
      <c r="QGK3" s="946"/>
      <c r="QGL3" s="946"/>
      <c r="QGM3" s="946"/>
      <c r="QGN3" s="946"/>
      <c r="QGO3" s="946"/>
      <c r="QGP3" s="946"/>
      <c r="QGQ3" s="946"/>
      <c r="QGR3" s="946"/>
      <c r="QGS3" s="946"/>
      <c r="QGT3" s="946"/>
      <c r="QGU3" s="946"/>
      <c r="QGV3" s="946"/>
      <c r="QGW3" s="946"/>
      <c r="QGX3" s="946"/>
      <c r="QGY3" s="946"/>
      <c r="QGZ3" s="946"/>
      <c r="QHA3" s="946"/>
      <c r="QHB3" s="946"/>
      <c r="QHC3" s="946"/>
      <c r="QHD3" s="946"/>
      <c r="QHE3" s="946"/>
      <c r="QHF3" s="946"/>
      <c r="QHG3" s="946"/>
      <c r="QHH3" s="946"/>
      <c r="QHI3" s="946"/>
      <c r="QHJ3" s="946"/>
      <c r="QHK3" s="946"/>
      <c r="QHL3" s="946"/>
      <c r="QHM3" s="946"/>
      <c r="QHN3" s="946"/>
      <c r="QHO3" s="946"/>
      <c r="QHP3" s="946"/>
      <c r="QHQ3" s="946"/>
      <c r="QHR3" s="946"/>
      <c r="QHS3" s="946"/>
      <c r="QHT3" s="946"/>
      <c r="QHU3" s="946"/>
      <c r="QHV3" s="946"/>
      <c r="QHW3" s="946"/>
      <c r="QHX3" s="946"/>
      <c r="QHY3" s="946"/>
      <c r="QHZ3" s="946"/>
      <c r="QIA3" s="946"/>
      <c r="QIB3" s="946"/>
      <c r="QIC3" s="946"/>
      <c r="QID3" s="946"/>
      <c r="QIE3" s="946"/>
      <c r="QIF3" s="946"/>
      <c r="QIG3" s="946"/>
      <c r="QIH3" s="946"/>
      <c r="QII3" s="946"/>
      <c r="QIJ3" s="946"/>
      <c r="QIK3" s="946"/>
      <c r="QIL3" s="946"/>
      <c r="QIM3" s="946"/>
      <c r="QIN3" s="946"/>
      <c r="QIO3" s="946"/>
      <c r="QIP3" s="946"/>
      <c r="QIQ3" s="946"/>
      <c r="QIR3" s="946"/>
      <c r="QIS3" s="946"/>
      <c r="QIT3" s="946"/>
      <c r="QIU3" s="946"/>
      <c r="QIV3" s="946"/>
      <c r="QIW3" s="946"/>
      <c r="QIX3" s="946"/>
      <c r="QIY3" s="946"/>
      <c r="QIZ3" s="946"/>
      <c r="QJA3" s="946"/>
      <c r="QJB3" s="946"/>
      <c r="QJC3" s="946"/>
      <c r="QJD3" s="946"/>
      <c r="QJE3" s="946"/>
      <c r="QJF3" s="946"/>
      <c r="QJG3" s="946"/>
      <c r="QJH3" s="946"/>
      <c r="QJI3" s="946"/>
      <c r="QJJ3" s="946"/>
      <c r="QJK3" s="946"/>
      <c r="QJL3" s="946"/>
      <c r="QJM3" s="946"/>
      <c r="QJN3" s="946"/>
      <c r="QJO3" s="946"/>
      <c r="QJP3" s="946"/>
      <c r="QJQ3" s="946"/>
      <c r="QJR3" s="946"/>
      <c r="QJS3" s="946"/>
      <c r="QJT3" s="946"/>
      <c r="QJU3" s="946"/>
      <c r="QJV3" s="946"/>
      <c r="QJW3" s="946"/>
      <c r="QJX3" s="946"/>
      <c r="QJY3" s="946"/>
      <c r="QJZ3" s="946"/>
      <c r="QKA3" s="946"/>
      <c r="QKB3" s="946"/>
      <c r="QKC3" s="946"/>
      <c r="QKD3" s="946"/>
      <c r="QKE3" s="946"/>
      <c r="QKF3" s="946"/>
      <c r="QKG3" s="946"/>
      <c r="QKH3" s="946"/>
      <c r="QKI3" s="946"/>
      <c r="QKJ3" s="946"/>
      <c r="QKK3" s="946"/>
      <c r="QKL3" s="946"/>
      <c r="QKM3" s="946"/>
      <c r="QKN3" s="946"/>
      <c r="QKO3" s="946"/>
      <c r="QKP3" s="946"/>
      <c r="QKQ3" s="946"/>
      <c r="QKR3" s="946"/>
      <c r="QKS3" s="946"/>
      <c r="QKT3" s="946"/>
      <c r="QKU3" s="946"/>
      <c r="QKV3" s="946"/>
      <c r="QKW3" s="946"/>
      <c r="QKX3" s="946"/>
      <c r="QKY3" s="946"/>
      <c r="QKZ3" s="946"/>
      <c r="QLA3" s="946"/>
      <c r="QLB3" s="946"/>
      <c r="QLC3" s="946"/>
      <c r="QLD3" s="946"/>
      <c r="QLE3" s="946"/>
      <c r="QLF3" s="946"/>
      <c r="QLG3" s="946"/>
      <c r="QLH3" s="946"/>
      <c r="QLI3" s="946"/>
      <c r="QLJ3" s="946"/>
      <c r="QLK3" s="946"/>
      <c r="QLL3" s="946"/>
      <c r="QLM3" s="946"/>
      <c r="QLN3" s="946"/>
      <c r="QLO3" s="946"/>
      <c r="QLP3" s="946"/>
      <c r="QLQ3" s="946"/>
      <c r="QLR3" s="946"/>
      <c r="QLS3" s="946"/>
      <c r="QLT3" s="946"/>
      <c r="QLU3" s="946"/>
      <c r="QLV3" s="946"/>
      <c r="QLW3" s="946"/>
      <c r="QLX3" s="946"/>
      <c r="QLY3" s="946"/>
      <c r="QLZ3" s="946"/>
      <c r="QMA3" s="946"/>
      <c r="QMB3" s="946"/>
      <c r="QMC3" s="946"/>
      <c r="QMD3" s="946"/>
      <c r="QME3" s="946"/>
      <c r="QMF3" s="946"/>
      <c r="QMG3" s="946"/>
      <c r="QMH3" s="946"/>
      <c r="QMI3" s="946"/>
      <c r="QMJ3" s="946"/>
      <c r="QMK3" s="946"/>
      <c r="QML3" s="946"/>
      <c r="QMM3" s="946"/>
      <c r="QMN3" s="946"/>
      <c r="QMO3" s="946"/>
      <c r="QMP3" s="946"/>
      <c r="QMQ3" s="946"/>
      <c r="QMR3" s="946"/>
      <c r="QMS3" s="946"/>
      <c r="QMT3" s="946"/>
      <c r="QMU3" s="946"/>
      <c r="QMV3" s="946"/>
      <c r="QMW3" s="946"/>
      <c r="QMX3" s="946"/>
      <c r="QMY3" s="946"/>
      <c r="QMZ3" s="946"/>
      <c r="QNA3" s="946"/>
      <c r="QNB3" s="946"/>
      <c r="QNC3" s="946"/>
      <c r="QND3" s="946"/>
      <c r="QNE3" s="946"/>
      <c r="QNF3" s="946"/>
      <c r="QNG3" s="946"/>
      <c r="QNH3" s="946"/>
      <c r="QNI3" s="946"/>
      <c r="QNJ3" s="946"/>
      <c r="QNK3" s="946"/>
      <c r="QNL3" s="946"/>
      <c r="QNM3" s="946"/>
      <c r="QNN3" s="946"/>
      <c r="QNO3" s="946"/>
      <c r="QNP3" s="946"/>
      <c r="QNQ3" s="946"/>
      <c r="QNR3" s="946"/>
      <c r="QNS3" s="946"/>
      <c r="QNT3" s="946"/>
      <c r="QNU3" s="946"/>
      <c r="QNV3" s="946"/>
      <c r="QNW3" s="946"/>
      <c r="QNX3" s="946"/>
      <c r="QNY3" s="946"/>
      <c r="QNZ3" s="946"/>
      <c r="QOA3" s="946"/>
      <c r="QOB3" s="946"/>
      <c r="QOC3" s="946"/>
      <c r="QOD3" s="946"/>
      <c r="QOE3" s="946"/>
      <c r="QOF3" s="946"/>
      <c r="QOG3" s="946"/>
      <c r="QOH3" s="946"/>
      <c r="QOI3" s="946"/>
      <c r="QOJ3" s="946"/>
      <c r="QOK3" s="946"/>
      <c r="QOL3" s="946"/>
      <c r="QOM3" s="946"/>
      <c r="QON3" s="946"/>
      <c r="QOO3" s="946"/>
      <c r="QOP3" s="946"/>
      <c r="QOQ3" s="946"/>
      <c r="QOR3" s="946"/>
      <c r="QOS3" s="946"/>
      <c r="QOT3" s="946"/>
      <c r="QOU3" s="946"/>
      <c r="QOV3" s="946"/>
      <c r="QOW3" s="946"/>
      <c r="QOX3" s="946"/>
      <c r="QOY3" s="946"/>
      <c r="QOZ3" s="946"/>
      <c r="QPA3" s="946"/>
      <c r="QPB3" s="946"/>
      <c r="QPC3" s="946"/>
      <c r="QPD3" s="946"/>
      <c r="QPE3" s="946"/>
      <c r="QPF3" s="946"/>
      <c r="QPG3" s="946"/>
      <c r="QPH3" s="946"/>
      <c r="QPI3" s="946"/>
      <c r="QPJ3" s="946"/>
      <c r="QPK3" s="946"/>
      <c r="QPL3" s="946"/>
      <c r="QPM3" s="946"/>
      <c r="QPN3" s="946"/>
      <c r="QPO3" s="946"/>
      <c r="QPP3" s="946"/>
      <c r="QPQ3" s="946"/>
      <c r="QPR3" s="946"/>
      <c r="QPS3" s="946"/>
      <c r="QPT3" s="946"/>
      <c r="QPU3" s="946"/>
      <c r="QPV3" s="946"/>
      <c r="QPW3" s="946"/>
      <c r="QPX3" s="946"/>
      <c r="QPY3" s="946"/>
      <c r="QPZ3" s="946"/>
      <c r="QQA3" s="946"/>
      <c r="QQB3" s="946"/>
      <c r="QQC3" s="946"/>
      <c r="QQD3" s="946"/>
      <c r="QQE3" s="946"/>
      <c r="QQF3" s="946"/>
      <c r="QQG3" s="946"/>
      <c r="QQH3" s="946"/>
      <c r="QQI3" s="946"/>
      <c r="QQJ3" s="946"/>
      <c r="QQK3" s="946"/>
      <c r="QQL3" s="946"/>
      <c r="QQM3" s="946"/>
      <c r="QQN3" s="946"/>
      <c r="QQO3" s="946"/>
      <c r="QQP3" s="946"/>
      <c r="QQQ3" s="946"/>
      <c r="QQR3" s="946"/>
      <c r="QQS3" s="946"/>
      <c r="QQT3" s="946"/>
      <c r="QQU3" s="946"/>
      <c r="QQV3" s="946"/>
      <c r="QQW3" s="946"/>
      <c r="QQX3" s="946"/>
      <c r="QQY3" s="946"/>
      <c r="QQZ3" s="946"/>
      <c r="QRA3" s="946"/>
      <c r="QRB3" s="946"/>
      <c r="QRC3" s="946"/>
      <c r="QRD3" s="946"/>
      <c r="QRE3" s="946"/>
      <c r="QRF3" s="946"/>
      <c r="QRG3" s="946"/>
      <c r="QRH3" s="946"/>
      <c r="QRI3" s="946"/>
      <c r="QRJ3" s="946"/>
      <c r="QRK3" s="946"/>
      <c r="QRL3" s="946"/>
      <c r="QRM3" s="946"/>
      <c r="QRN3" s="946"/>
      <c r="QRO3" s="946"/>
      <c r="QRP3" s="946"/>
      <c r="QRQ3" s="946"/>
      <c r="QRR3" s="946"/>
      <c r="QRS3" s="946"/>
      <c r="QRT3" s="946"/>
      <c r="QRU3" s="946"/>
      <c r="QRV3" s="946"/>
      <c r="QRW3" s="946"/>
      <c r="QRX3" s="946"/>
      <c r="QRY3" s="946"/>
      <c r="QRZ3" s="946"/>
      <c r="QSA3" s="946"/>
      <c r="QSB3" s="946"/>
      <c r="QSC3" s="946"/>
      <c r="QSD3" s="946"/>
      <c r="QSE3" s="946"/>
      <c r="QSF3" s="946"/>
      <c r="QSG3" s="946"/>
      <c r="QSH3" s="946"/>
      <c r="QSI3" s="946"/>
      <c r="QSJ3" s="946"/>
      <c r="QSK3" s="946"/>
      <c r="QSL3" s="946"/>
      <c r="QSM3" s="946"/>
      <c r="QSN3" s="946"/>
      <c r="QSO3" s="946"/>
      <c r="QSP3" s="946"/>
      <c r="QSQ3" s="946"/>
      <c r="QSR3" s="946"/>
      <c r="QSS3" s="946"/>
      <c r="QST3" s="946"/>
      <c r="QSU3" s="946"/>
      <c r="QSV3" s="946"/>
      <c r="QSW3" s="946"/>
      <c r="QSX3" s="946"/>
      <c r="QSY3" s="946"/>
      <c r="QSZ3" s="946"/>
      <c r="QTA3" s="946"/>
      <c r="QTB3" s="946"/>
      <c r="QTC3" s="946"/>
      <c r="QTD3" s="946"/>
      <c r="QTE3" s="946"/>
      <c r="QTF3" s="946"/>
      <c r="QTG3" s="946"/>
      <c r="QTH3" s="946"/>
      <c r="QTI3" s="946"/>
      <c r="QTJ3" s="946"/>
      <c r="QTK3" s="946"/>
      <c r="QTL3" s="946"/>
      <c r="QTM3" s="946"/>
      <c r="QTN3" s="946"/>
      <c r="QTO3" s="946"/>
      <c r="QTP3" s="946"/>
      <c r="QTQ3" s="946"/>
      <c r="QTR3" s="946"/>
      <c r="QTS3" s="946"/>
      <c r="QTT3" s="946"/>
      <c r="QTU3" s="946"/>
      <c r="QTV3" s="946"/>
      <c r="QTW3" s="946"/>
      <c r="QTX3" s="946"/>
      <c r="QTY3" s="946"/>
      <c r="QTZ3" s="946"/>
      <c r="QUA3" s="946"/>
      <c r="QUB3" s="946"/>
      <c r="QUC3" s="946"/>
      <c r="QUD3" s="946"/>
      <c r="QUE3" s="946"/>
      <c r="QUF3" s="946"/>
      <c r="QUG3" s="946"/>
      <c r="QUH3" s="946"/>
      <c r="QUI3" s="946"/>
      <c r="QUJ3" s="946"/>
      <c r="QUK3" s="946"/>
      <c r="QUL3" s="946"/>
      <c r="QUM3" s="946"/>
      <c r="QUN3" s="946"/>
      <c r="QUO3" s="946"/>
      <c r="QUP3" s="946"/>
      <c r="QUQ3" s="946"/>
      <c r="QUR3" s="946"/>
      <c r="QUS3" s="946"/>
      <c r="QUT3" s="946"/>
      <c r="QUU3" s="946"/>
      <c r="QUV3" s="946"/>
      <c r="QUW3" s="946"/>
      <c r="QUX3" s="946"/>
      <c r="QUY3" s="946"/>
      <c r="QUZ3" s="946"/>
      <c r="QVA3" s="946"/>
      <c r="QVB3" s="946"/>
      <c r="QVC3" s="946"/>
      <c r="QVD3" s="946"/>
      <c r="QVE3" s="946"/>
      <c r="QVF3" s="946"/>
      <c r="QVG3" s="946"/>
      <c r="QVH3" s="946"/>
      <c r="QVI3" s="946"/>
      <c r="QVJ3" s="946"/>
      <c r="QVK3" s="946"/>
      <c r="QVL3" s="946"/>
      <c r="QVM3" s="946"/>
      <c r="QVN3" s="946"/>
      <c r="QVO3" s="946"/>
      <c r="QVP3" s="946"/>
      <c r="QVQ3" s="946"/>
      <c r="QVR3" s="946"/>
      <c r="QVS3" s="946"/>
      <c r="QVT3" s="946"/>
      <c r="QVU3" s="946"/>
      <c r="QVV3" s="946"/>
      <c r="QVW3" s="946"/>
      <c r="QVX3" s="946"/>
      <c r="QVY3" s="946"/>
      <c r="QVZ3" s="946"/>
      <c r="QWA3" s="946"/>
      <c r="QWB3" s="946"/>
      <c r="QWC3" s="946"/>
      <c r="QWD3" s="946"/>
      <c r="QWE3" s="946"/>
      <c r="QWF3" s="946"/>
      <c r="QWG3" s="946"/>
      <c r="QWH3" s="946"/>
      <c r="QWI3" s="946"/>
      <c r="QWJ3" s="946"/>
      <c r="QWK3" s="946"/>
      <c r="QWL3" s="946"/>
      <c r="QWM3" s="946"/>
      <c r="QWN3" s="946"/>
      <c r="QWO3" s="946"/>
      <c r="QWP3" s="946"/>
      <c r="QWQ3" s="946"/>
      <c r="QWR3" s="946"/>
      <c r="QWS3" s="946"/>
      <c r="QWT3" s="946"/>
      <c r="QWU3" s="946"/>
      <c r="QWV3" s="946"/>
      <c r="QWW3" s="946"/>
      <c r="QWX3" s="946"/>
      <c r="QWY3" s="946"/>
      <c r="QWZ3" s="946"/>
      <c r="QXA3" s="946"/>
      <c r="QXB3" s="946"/>
      <c r="QXC3" s="946"/>
      <c r="QXD3" s="946"/>
      <c r="QXE3" s="946"/>
      <c r="QXF3" s="946"/>
      <c r="QXG3" s="946"/>
      <c r="QXH3" s="946"/>
      <c r="QXI3" s="946"/>
      <c r="QXJ3" s="946"/>
      <c r="QXK3" s="946"/>
      <c r="QXL3" s="946"/>
      <c r="QXM3" s="946"/>
      <c r="QXN3" s="946"/>
      <c r="QXO3" s="946"/>
      <c r="QXP3" s="946"/>
      <c r="QXQ3" s="946"/>
      <c r="QXR3" s="946"/>
      <c r="QXS3" s="946"/>
      <c r="QXT3" s="946"/>
      <c r="QXU3" s="946"/>
      <c r="QXV3" s="946"/>
      <c r="QXW3" s="946"/>
      <c r="QXX3" s="946"/>
      <c r="QXY3" s="946"/>
      <c r="QXZ3" s="946"/>
      <c r="QYA3" s="946"/>
      <c r="QYB3" s="946"/>
      <c r="QYC3" s="946"/>
      <c r="QYD3" s="946"/>
      <c r="QYE3" s="946"/>
      <c r="QYF3" s="946"/>
      <c r="QYG3" s="946"/>
      <c r="QYH3" s="946"/>
      <c r="QYI3" s="946"/>
      <c r="QYJ3" s="946"/>
      <c r="QYK3" s="946"/>
      <c r="QYL3" s="946"/>
      <c r="QYM3" s="946"/>
      <c r="QYN3" s="946"/>
      <c r="QYO3" s="946"/>
      <c r="QYP3" s="946"/>
      <c r="QYQ3" s="946"/>
      <c r="QYR3" s="946"/>
      <c r="QYS3" s="946"/>
      <c r="QYT3" s="946"/>
      <c r="QYU3" s="946"/>
      <c r="QYV3" s="946"/>
      <c r="QYW3" s="946"/>
      <c r="QYX3" s="946"/>
      <c r="QYY3" s="946"/>
      <c r="QYZ3" s="946"/>
      <c r="QZA3" s="946"/>
      <c r="QZB3" s="946"/>
      <c r="QZC3" s="946"/>
      <c r="QZD3" s="946"/>
      <c r="QZE3" s="946"/>
      <c r="QZF3" s="946"/>
      <c r="QZG3" s="946"/>
      <c r="QZH3" s="946"/>
      <c r="QZI3" s="946"/>
      <c r="QZJ3" s="946"/>
      <c r="QZK3" s="946"/>
      <c r="QZL3" s="946"/>
      <c r="QZM3" s="946"/>
      <c r="QZN3" s="946"/>
      <c r="QZO3" s="946"/>
      <c r="QZP3" s="946"/>
      <c r="QZQ3" s="946"/>
      <c r="QZR3" s="946"/>
      <c r="QZS3" s="946"/>
      <c r="QZT3" s="946"/>
      <c r="QZU3" s="946"/>
      <c r="QZV3" s="946"/>
      <c r="QZW3" s="946"/>
      <c r="QZX3" s="946"/>
      <c r="QZY3" s="946"/>
      <c r="QZZ3" s="946"/>
      <c r="RAA3" s="946"/>
      <c r="RAB3" s="946"/>
      <c r="RAC3" s="946"/>
      <c r="RAD3" s="946"/>
      <c r="RAE3" s="946"/>
      <c r="RAF3" s="946"/>
      <c r="RAG3" s="946"/>
      <c r="RAH3" s="946"/>
      <c r="RAI3" s="946"/>
      <c r="RAJ3" s="946"/>
      <c r="RAK3" s="946"/>
      <c r="RAL3" s="946"/>
      <c r="RAM3" s="946"/>
      <c r="RAN3" s="946"/>
      <c r="RAO3" s="946"/>
      <c r="RAP3" s="946"/>
      <c r="RAQ3" s="946"/>
      <c r="RAR3" s="946"/>
      <c r="RAS3" s="946"/>
      <c r="RAT3" s="946"/>
      <c r="RAU3" s="946"/>
      <c r="RAV3" s="946"/>
      <c r="RAW3" s="946"/>
      <c r="RAX3" s="946"/>
      <c r="RAY3" s="946"/>
      <c r="RAZ3" s="946"/>
      <c r="RBA3" s="946"/>
      <c r="RBB3" s="946"/>
      <c r="RBC3" s="946"/>
      <c r="RBD3" s="946"/>
      <c r="RBE3" s="946"/>
      <c r="RBF3" s="946"/>
      <c r="RBG3" s="946"/>
      <c r="RBH3" s="946"/>
      <c r="RBI3" s="946"/>
      <c r="RBJ3" s="946"/>
      <c r="RBK3" s="946"/>
      <c r="RBL3" s="946"/>
      <c r="RBM3" s="946"/>
      <c r="RBN3" s="946"/>
      <c r="RBO3" s="946"/>
      <c r="RBP3" s="946"/>
      <c r="RBQ3" s="946"/>
      <c r="RBR3" s="946"/>
      <c r="RBS3" s="946"/>
      <c r="RBT3" s="946"/>
      <c r="RBU3" s="946"/>
      <c r="RBV3" s="946"/>
      <c r="RBW3" s="946"/>
      <c r="RBX3" s="946"/>
      <c r="RBY3" s="946"/>
      <c r="RBZ3" s="946"/>
      <c r="RCA3" s="946"/>
      <c r="RCB3" s="946"/>
      <c r="RCC3" s="946"/>
      <c r="RCD3" s="946"/>
      <c r="RCE3" s="946"/>
      <c r="RCF3" s="946"/>
      <c r="RCG3" s="946"/>
      <c r="RCH3" s="946"/>
      <c r="RCI3" s="946"/>
      <c r="RCJ3" s="946"/>
      <c r="RCK3" s="946"/>
      <c r="RCL3" s="946"/>
      <c r="RCM3" s="946"/>
      <c r="RCN3" s="946"/>
      <c r="RCO3" s="946"/>
      <c r="RCP3" s="946"/>
      <c r="RCQ3" s="946"/>
      <c r="RCR3" s="946"/>
      <c r="RCS3" s="946"/>
      <c r="RCT3" s="946"/>
      <c r="RCU3" s="946"/>
      <c r="RCV3" s="946"/>
      <c r="RCW3" s="946"/>
      <c r="RCX3" s="946"/>
      <c r="RCY3" s="946"/>
      <c r="RCZ3" s="946"/>
      <c r="RDA3" s="946"/>
      <c r="RDB3" s="946"/>
      <c r="RDC3" s="946"/>
      <c r="RDD3" s="946"/>
      <c r="RDE3" s="946"/>
      <c r="RDF3" s="946"/>
      <c r="RDG3" s="946"/>
      <c r="RDH3" s="946"/>
      <c r="RDI3" s="946"/>
      <c r="RDJ3" s="946"/>
      <c r="RDK3" s="946"/>
      <c r="RDL3" s="946"/>
      <c r="RDM3" s="946"/>
      <c r="RDN3" s="946"/>
      <c r="RDO3" s="946"/>
      <c r="RDP3" s="946"/>
      <c r="RDQ3" s="946"/>
      <c r="RDR3" s="946"/>
      <c r="RDS3" s="946"/>
      <c r="RDT3" s="946"/>
      <c r="RDU3" s="946"/>
      <c r="RDV3" s="946"/>
      <c r="RDW3" s="946"/>
      <c r="RDX3" s="946"/>
      <c r="RDY3" s="946"/>
      <c r="RDZ3" s="946"/>
      <c r="REA3" s="946"/>
      <c r="REB3" s="946"/>
      <c r="REC3" s="946"/>
      <c r="RED3" s="946"/>
      <c r="REE3" s="946"/>
      <c r="REF3" s="946"/>
      <c r="REG3" s="946"/>
      <c r="REH3" s="946"/>
      <c r="REI3" s="946"/>
      <c r="REJ3" s="946"/>
      <c r="REK3" s="946"/>
      <c r="REL3" s="946"/>
      <c r="REM3" s="946"/>
      <c r="REN3" s="946"/>
      <c r="REO3" s="946"/>
      <c r="REP3" s="946"/>
      <c r="REQ3" s="946"/>
      <c r="RER3" s="946"/>
      <c r="RES3" s="946"/>
      <c r="RET3" s="946"/>
      <c r="REU3" s="946"/>
      <c r="REV3" s="946"/>
      <c r="REW3" s="946"/>
      <c r="REX3" s="946"/>
      <c r="REY3" s="946"/>
      <c r="REZ3" s="946"/>
      <c r="RFA3" s="946"/>
      <c r="RFB3" s="946"/>
      <c r="RFC3" s="946"/>
      <c r="RFD3" s="946"/>
      <c r="RFE3" s="946"/>
      <c r="RFF3" s="946"/>
      <c r="RFG3" s="946"/>
      <c r="RFH3" s="946"/>
      <c r="RFI3" s="946"/>
      <c r="RFJ3" s="946"/>
      <c r="RFK3" s="946"/>
      <c r="RFL3" s="946"/>
      <c r="RFM3" s="946"/>
      <c r="RFN3" s="946"/>
      <c r="RFO3" s="946"/>
      <c r="RFP3" s="946"/>
      <c r="RFQ3" s="946"/>
      <c r="RFR3" s="946"/>
      <c r="RFS3" s="946"/>
      <c r="RFT3" s="946"/>
      <c r="RFU3" s="946"/>
      <c r="RFV3" s="946"/>
      <c r="RFW3" s="946"/>
      <c r="RFX3" s="946"/>
      <c r="RFY3" s="946"/>
      <c r="RFZ3" s="946"/>
      <c r="RGA3" s="946"/>
      <c r="RGB3" s="946"/>
      <c r="RGC3" s="946"/>
      <c r="RGD3" s="946"/>
      <c r="RGE3" s="946"/>
      <c r="RGF3" s="946"/>
      <c r="RGG3" s="946"/>
      <c r="RGH3" s="946"/>
      <c r="RGI3" s="946"/>
      <c r="RGJ3" s="946"/>
      <c r="RGK3" s="946"/>
      <c r="RGL3" s="946"/>
      <c r="RGM3" s="946"/>
      <c r="RGN3" s="946"/>
      <c r="RGO3" s="946"/>
      <c r="RGP3" s="946"/>
      <c r="RGQ3" s="946"/>
      <c r="RGR3" s="946"/>
      <c r="RGS3" s="946"/>
      <c r="RGT3" s="946"/>
      <c r="RGU3" s="946"/>
      <c r="RGV3" s="946"/>
      <c r="RGW3" s="946"/>
      <c r="RGX3" s="946"/>
      <c r="RGY3" s="946"/>
      <c r="RGZ3" s="946"/>
      <c r="RHA3" s="946"/>
      <c r="RHB3" s="946"/>
      <c r="RHC3" s="946"/>
      <c r="RHD3" s="946"/>
      <c r="RHE3" s="946"/>
      <c r="RHF3" s="946"/>
      <c r="RHG3" s="946"/>
      <c r="RHH3" s="946"/>
      <c r="RHI3" s="946"/>
      <c r="RHJ3" s="946"/>
      <c r="RHK3" s="946"/>
      <c r="RHL3" s="946"/>
      <c r="RHM3" s="946"/>
      <c r="RHN3" s="946"/>
      <c r="RHO3" s="946"/>
      <c r="RHP3" s="946"/>
      <c r="RHQ3" s="946"/>
      <c r="RHR3" s="946"/>
      <c r="RHS3" s="946"/>
      <c r="RHT3" s="946"/>
      <c r="RHU3" s="946"/>
      <c r="RHV3" s="946"/>
      <c r="RHW3" s="946"/>
      <c r="RHX3" s="946"/>
      <c r="RHY3" s="946"/>
      <c r="RHZ3" s="946"/>
      <c r="RIA3" s="946"/>
      <c r="RIB3" s="946"/>
      <c r="RIC3" s="946"/>
      <c r="RID3" s="946"/>
      <c r="RIE3" s="946"/>
      <c r="RIF3" s="946"/>
      <c r="RIG3" s="946"/>
      <c r="RIH3" s="946"/>
      <c r="RII3" s="946"/>
      <c r="RIJ3" s="946"/>
      <c r="RIK3" s="946"/>
      <c r="RIL3" s="946"/>
      <c r="RIM3" s="946"/>
      <c r="RIN3" s="946"/>
      <c r="RIO3" s="946"/>
      <c r="RIP3" s="946"/>
      <c r="RIQ3" s="946"/>
      <c r="RIR3" s="946"/>
      <c r="RIS3" s="946"/>
      <c r="RIT3" s="946"/>
      <c r="RIU3" s="946"/>
      <c r="RIV3" s="946"/>
      <c r="RIW3" s="946"/>
      <c r="RIX3" s="946"/>
      <c r="RIY3" s="946"/>
      <c r="RIZ3" s="946"/>
      <c r="RJA3" s="946"/>
      <c r="RJB3" s="946"/>
      <c r="RJC3" s="946"/>
      <c r="RJD3" s="946"/>
      <c r="RJE3" s="946"/>
      <c r="RJF3" s="946"/>
      <c r="RJG3" s="946"/>
      <c r="RJH3" s="946"/>
      <c r="RJI3" s="946"/>
      <c r="RJJ3" s="946"/>
      <c r="RJK3" s="946"/>
      <c r="RJL3" s="946"/>
      <c r="RJM3" s="946"/>
      <c r="RJN3" s="946"/>
      <c r="RJO3" s="946"/>
      <c r="RJP3" s="946"/>
      <c r="RJQ3" s="946"/>
      <c r="RJR3" s="946"/>
      <c r="RJS3" s="946"/>
      <c r="RJT3" s="946"/>
      <c r="RJU3" s="946"/>
      <c r="RJV3" s="946"/>
      <c r="RJW3" s="946"/>
      <c r="RJX3" s="946"/>
      <c r="RJY3" s="946"/>
      <c r="RJZ3" s="946"/>
      <c r="RKA3" s="946"/>
      <c r="RKB3" s="946"/>
      <c r="RKC3" s="946"/>
      <c r="RKD3" s="946"/>
      <c r="RKE3" s="946"/>
      <c r="RKF3" s="946"/>
      <c r="RKG3" s="946"/>
      <c r="RKH3" s="946"/>
      <c r="RKI3" s="946"/>
      <c r="RKJ3" s="946"/>
      <c r="RKK3" s="946"/>
      <c r="RKL3" s="946"/>
      <c r="RKM3" s="946"/>
      <c r="RKN3" s="946"/>
      <c r="RKO3" s="946"/>
      <c r="RKP3" s="946"/>
      <c r="RKQ3" s="946"/>
      <c r="RKR3" s="946"/>
      <c r="RKS3" s="946"/>
      <c r="RKT3" s="946"/>
      <c r="RKU3" s="946"/>
      <c r="RKV3" s="946"/>
      <c r="RKW3" s="946"/>
      <c r="RKX3" s="946"/>
      <c r="RKY3" s="946"/>
      <c r="RKZ3" s="946"/>
      <c r="RLA3" s="946"/>
      <c r="RLB3" s="946"/>
      <c r="RLC3" s="946"/>
      <c r="RLD3" s="946"/>
      <c r="RLE3" s="946"/>
      <c r="RLF3" s="946"/>
      <c r="RLG3" s="946"/>
      <c r="RLH3" s="946"/>
      <c r="RLI3" s="946"/>
      <c r="RLJ3" s="946"/>
      <c r="RLK3" s="946"/>
      <c r="RLL3" s="946"/>
      <c r="RLM3" s="946"/>
      <c r="RLN3" s="946"/>
      <c r="RLO3" s="946"/>
      <c r="RLP3" s="946"/>
      <c r="RLQ3" s="946"/>
      <c r="RLR3" s="946"/>
      <c r="RLS3" s="946"/>
      <c r="RLT3" s="946"/>
      <c r="RLU3" s="946"/>
      <c r="RLV3" s="946"/>
      <c r="RLW3" s="946"/>
      <c r="RLX3" s="946"/>
      <c r="RLY3" s="946"/>
      <c r="RLZ3" s="946"/>
      <c r="RMA3" s="946"/>
      <c r="RMB3" s="946"/>
      <c r="RMC3" s="946"/>
      <c r="RMD3" s="946"/>
      <c r="RME3" s="946"/>
      <c r="RMF3" s="946"/>
      <c r="RMG3" s="946"/>
      <c r="RMH3" s="946"/>
      <c r="RMI3" s="946"/>
      <c r="RMJ3" s="946"/>
      <c r="RMK3" s="946"/>
      <c r="RML3" s="946"/>
      <c r="RMM3" s="946"/>
      <c r="RMN3" s="946"/>
      <c r="RMO3" s="946"/>
      <c r="RMP3" s="946"/>
      <c r="RMQ3" s="946"/>
      <c r="RMR3" s="946"/>
      <c r="RMS3" s="946"/>
      <c r="RMT3" s="946"/>
      <c r="RMU3" s="946"/>
      <c r="RMV3" s="946"/>
      <c r="RMW3" s="946"/>
      <c r="RMX3" s="946"/>
      <c r="RMY3" s="946"/>
      <c r="RMZ3" s="946"/>
      <c r="RNA3" s="946"/>
      <c r="RNB3" s="946"/>
      <c r="RNC3" s="946"/>
      <c r="RND3" s="946"/>
      <c r="RNE3" s="946"/>
      <c r="RNF3" s="946"/>
      <c r="RNG3" s="946"/>
      <c r="RNH3" s="946"/>
      <c r="RNI3" s="946"/>
      <c r="RNJ3" s="946"/>
      <c r="RNK3" s="946"/>
      <c r="RNL3" s="946"/>
      <c r="RNM3" s="946"/>
      <c r="RNN3" s="946"/>
      <c r="RNO3" s="946"/>
      <c r="RNP3" s="946"/>
      <c r="RNQ3" s="946"/>
      <c r="RNR3" s="946"/>
      <c r="RNS3" s="946"/>
      <c r="RNT3" s="946"/>
      <c r="RNU3" s="946"/>
      <c r="RNV3" s="946"/>
      <c r="RNW3" s="946"/>
      <c r="RNX3" s="946"/>
      <c r="RNY3" s="946"/>
      <c r="RNZ3" s="946"/>
      <c r="ROA3" s="946"/>
      <c r="ROB3" s="946"/>
      <c r="ROC3" s="946"/>
      <c r="ROD3" s="946"/>
      <c r="ROE3" s="946"/>
      <c r="ROF3" s="946"/>
      <c r="ROG3" s="946"/>
      <c r="ROH3" s="946"/>
      <c r="ROI3" s="946"/>
      <c r="ROJ3" s="946"/>
      <c r="ROK3" s="946"/>
      <c r="ROL3" s="946"/>
      <c r="ROM3" s="946"/>
      <c r="RON3" s="946"/>
      <c r="ROO3" s="946"/>
      <c r="ROP3" s="946"/>
      <c r="ROQ3" s="946"/>
      <c r="ROR3" s="946"/>
      <c r="ROS3" s="946"/>
      <c r="ROT3" s="946"/>
      <c r="ROU3" s="946"/>
      <c r="ROV3" s="946"/>
      <c r="ROW3" s="946"/>
      <c r="ROX3" s="946"/>
      <c r="ROY3" s="946"/>
      <c r="ROZ3" s="946"/>
      <c r="RPA3" s="946"/>
      <c r="RPB3" s="946"/>
      <c r="RPC3" s="946"/>
      <c r="RPD3" s="946"/>
      <c r="RPE3" s="946"/>
      <c r="RPF3" s="946"/>
      <c r="RPG3" s="946"/>
      <c r="RPH3" s="946"/>
      <c r="RPI3" s="946"/>
      <c r="RPJ3" s="946"/>
      <c r="RPK3" s="946"/>
      <c r="RPL3" s="946"/>
      <c r="RPM3" s="946"/>
      <c r="RPN3" s="946"/>
      <c r="RPO3" s="946"/>
      <c r="RPP3" s="946"/>
      <c r="RPQ3" s="946"/>
      <c r="RPR3" s="946"/>
      <c r="RPS3" s="946"/>
      <c r="RPT3" s="946"/>
      <c r="RPU3" s="946"/>
      <c r="RPV3" s="946"/>
      <c r="RPW3" s="946"/>
      <c r="RPX3" s="946"/>
      <c r="RPY3" s="946"/>
      <c r="RPZ3" s="946"/>
      <c r="RQA3" s="946"/>
      <c r="RQB3" s="946"/>
      <c r="RQC3" s="946"/>
      <c r="RQD3" s="946"/>
      <c r="RQE3" s="946"/>
      <c r="RQF3" s="946"/>
      <c r="RQG3" s="946"/>
      <c r="RQH3" s="946"/>
      <c r="RQI3" s="946"/>
      <c r="RQJ3" s="946"/>
      <c r="RQK3" s="946"/>
      <c r="RQL3" s="946"/>
      <c r="RQM3" s="946"/>
      <c r="RQN3" s="946"/>
      <c r="RQO3" s="946"/>
      <c r="RQP3" s="946"/>
      <c r="RQQ3" s="946"/>
      <c r="RQR3" s="946"/>
      <c r="RQS3" s="946"/>
      <c r="RQT3" s="946"/>
      <c r="RQU3" s="946"/>
      <c r="RQV3" s="946"/>
      <c r="RQW3" s="946"/>
      <c r="RQX3" s="946"/>
      <c r="RQY3" s="946"/>
      <c r="RQZ3" s="946"/>
      <c r="RRA3" s="946"/>
      <c r="RRB3" s="946"/>
      <c r="RRC3" s="946"/>
      <c r="RRD3" s="946"/>
      <c r="RRE3" s="946"/>
      <c r="RRF3" s="946"/>
      <c r="RRG3" s="946"/>
      <c r="RRH3" s="946"/>
      <c r="RRI3" s="946"/>
      <c r="RRJ3" s="946"/>
      <c r="RRK3" s="946"/>
      <c r="RRL3" s="946"/>
      <c r="RRM3" s="946"/>
      <c r="RRN3" s="946"/>
      <c r="RRO3" s="946"/>
      <c r="RRP3" s="946"/>
      <c r="RRQ3" s="946"/>
      <c r="RRR3" s="946"/>
      <c r="RRS3" s="946"/>
      <c r="RRT3" s="946"/>
      <c r="RRU3" s="946"/>
      <c r="RRV3" s="946"/>
      <c r="RRW3" s="946"/>
      <c r="RRX3" s="946"/>
      <c r="RRY3" s="946"/>
      <c r="RRZ3" s="946"/>
      <c r="RSA3" s="946"/>
      <c r="RSB3" s="946"/>
      <c r="RSC3" s="946"/>
      <c r="RSD3" s="946"/>
      <c r="RSE3" s="946"/>
      <c r="RSF3" s="946"/>
      <c r="RSG3" s="946"/>
      <c r="RSH3" s="946"/>
      <c r="RSI3" s="946"/>
      <c r="RSJ3" s="946"/>
      <c r="RSK3" s="946"/>
      <c r="RSL3" s="946"/>
      <c r="RSM3" s="946"/>
      <c r="RSN3" s="946"/>
      <c r="RSO3" s="946"/>
      <c r="RSP3" s="946"/>
      <c r="RSQ3" s="946"/>
      <c r="RSR3" s="946"/>
      <c r="RSS3" s="946"/>
      <c r="RST3" s="946"/>
      <c r="RSU3" s="946"/>
      <c r="RSV3" s="946"/>
      <c r="RSW3" s="946"/>
      <c r="RSX3" s="946"/>
      <c r="RSY3" s="946"/>
      <c r="RSZ3" s="946"/>
      <c r="RTA3" s="946"/>
      <c r="RTB3" s="946"/>
      <c r="RTC3" s="946"/>
      <c r="RTD3" s="946"/>
      <c r="RTE3" s="946"/>
      <c r="RTF3" s="946"/>
      <c r="RTG3" s="946"/>
      <c r="RTH3" s="946"/>
      <c r="RTI3" s="946"/>
      <c r="RTJ3" s="946"/>
      <c r="RTK3" s="946"/>
      <c r="RTL3" s="946"/>
      <c r="RTM3" s="946"/>
      <c r="RTN3" s="946"/>
      <c r="RTO3" s="946"/>
      <c r="RTP3" s="946"/>
      <c r="RTQ3" s="946"/>
      <c r="RTR3" s="946"/>
      <c r="RTS3" s="946"/>
      <c r="RTT3" s="946"/>
      <c r="RTU3" s="946"/>
      <c r="RTV3" s="946"/>
      <c r="RTW3" s="946"/>
      <c r="RTX3" s="946"/>
      <c r="RTY3" s="946"/>
      <c r="RTZ3" s="946"/>
      <c r="RUA3" s="946"/>
      <c r="RUB3" s="946"/>
      <c r="RUC3" s="946"/>
      <c r="RUD3" s="946"/>
      <c r="RUE3" s="946"/>
      <c r="RUF3" s="946"/>
      <c r="RUG3" s="946"/>
      <c r="RUH3" s="946"/>
      <c r="RUI3" s="946"/>
      <c r="RUJ3" s="946"/>
      <c r="RUK3" s="946"/>
      <c r="RUL3" s="946"/>
      <c r="RUM3" s="946"/>
      <c r="RUN3" s="946"/>
      <c r="RUO3" s="946"/>
      <c r="RUP3" s="946"/>
      <c r="RUQ3" s="946"/>
      <c r="RUR3" s="946"/>
      <c r="RUS3" s="946"/>
      <c r="RUT3" s="946"/>
      <c r="RUU3" s="946"/>
      <c r="RUV3" s="946"/>
      <c r="RUW3" s="946"/>
      <c r="RUX3" s="946"/>
      <c r="RUY3" s="946"/>
      <c r="RUZ3" s="946"/>
      <c r="RVA3" s="946"/>
      <c r="RVB3" s="946"/>
      <c r="RVC3" s="946"/>
      <c r="RVD3" s="946"/>
      <c r="RVE3" s="946"/>
      <c r="RVF3" s="946"/>
      <c r="RVG3" s="946"/>
      <c r="RVH3" s="946"/>
      <c r="RVI3" s="946"/>
      <c r="RVJ3" s="946"/>
      <c r="RVK3" s="946"/>
      <c r="RVL3" s="946"/>
      <c r="RVM3" s="946"/>
      <c r="RVN3" s="946"/>
      <c r="RVO3" s="946"/>
      <c r="RVP3" s="946"/>
      <c r="RVQ3" s="946"/>
      <c r="RVR3" s="946"/>
      <c r="RVS3" s="946"/>
      <c r="RVT3" s="946"/>
      <c r="RVU3" s="946"/>
      <c r="RVV3" s="946"/>
      <c r="RVW3" s="946"/>
      <c r="RVX3" s="946"/>
      <c r="RVY3" s="946"/>
      <c r="RVZ3" s="946"/>
      <c r="RWA3" s="946"/>
      <c r="RWB3" s="946"/>
      <c r="RWC3" s="946"/>
      <c r="RWD3" s="946"/>
      <c r="RWE3" s="946"/>
      <c r="RWF3" s="946"/>
      <c r="RWG3" s="946"/>
      <c r="RWH3" s="946"/>
      <c r="RWI3" s="946"/>
      <c r="RWJ3" s="946"/>
      <c r="RWK3" s="946"/>
      <c r="RWL3" s="946"/>
      <c r="RWM3" s="946"/>
      <c r="RWN3" s="946"/>
      <c r="RWO3" s="946"/>
      <c r="RWP3" s="946"/>
      <c r="RWQ3" s="946"/>
      <c r="RWR3" s="946"/>
      <c r="RWS3" s="946"/>
      <c r="RWT3" s="946"/>
      <c r="RWU3" s="946"/>
      <c r="RWV3" s="946"/>
      <c r="RWW3" s="946"/>
      <c r="RWX3" s="946"/>
      <c r="RWY3" s="946"/>
      <c r="RWZ3" s="946"/>
      <c r="RXA3" s="946"/>
      <c r="RXB3" s="946"/>
      <c r="RXC3" s="946"/>
      <c r="RXD3" s="946"/>
      <c r="RXE3" s="946"/>
      <c r="RXF3" s="946"/>
      <c r="RXG3" s="946"/>
      <c r="RXH3" s="946"/>
      <c r="RXI3" s="946"/>
      <c r="RXJ3" s="946"/>
      <c r="RXK3" s="946"/>
      <c r="RXL3" s="946"/>
      <c r="RXM3" s="946"/>
      <c r="RXN3" s="946"/>
      <c r="RXO3" s="946"/>
      <c r="RXP3" s="946"/>
      <c r="RXQ3" s="946"/>
      <c r="RXR3" s="946"/>
      <c r="RXS3" s="946"/>
      <c r="RXT3" s="946"/>
      <c r="RXU3" s="946"/>
      <c r="RXV3" s="946"/>
      <c r="RXW3" s="946"/>
      <c r="RXX3" s="946"/>
      <c r="RXY3" s="946"/>
      <c r="RXZ3" s="946"/>
      <c r="RYA3" s="946"/>
      <c r="RYB3" s="946"/>
      <c r="RYC3" s="946"/>
      <c r="RYD3" s="946"/>
      <c r="RYE3" s="946"/>
      <c r="RYF3" s="946"/>
      <c r="RYG3" s="946"/>
      <c r="RYH3" s="946"/>
      <c r="RYI3" s="946"/>
      <c r="RYJ3" s="946"/>
      <c r="RYK3" s="946"/>
      <c r="RYL3" s="946"/>
      <c r="RYM3" s="946"/>
      <c r="RYN3" s="946"/>
      <c r="RYO3" s="946"/>
      <c r="RYP3" s="946"/>
      <c r="RYQ3" s="946"/>
      <c r="RYR3" s="946"/>
      <c r="RYS3" s="946"/>
      <c r="RYT3" s="946"/>
      <c r="RYU3" s="946"/>
      <c r="RYV3" s="946"/>
      <c r="RYW3" s="946"/>
      <c r="RYX3" s="946"/>
      <c r="RYY3" s="946"/>
      <c r="RYZ3" s="946"/>
      <c r="RZA3" s="946"/>
      <c r="RZB3" s="946"/>
      <c r="RZC3" s="946"/>
      <c r="RZD3" s="946"/>
      <c r="RZE3" s="946"/>
      <c r="RZF3" s="946"/>
      <c r="RZG3" s="946"/>
      <c r="RZH3" s="946"/>
      <c r="RZI3" s="946"/>
      <c r="RZJ3" s="946"/>
      <c r="RZK3" s="946"/>
      <c r="RZL3" s="946"/>
      <c r="RZM3" s="946"/>
      <c r="RZN3" s="946"/>
      <c r="RZO3" s="946"/>
      <c r="RZP3" s="946"/>
      <c r="RZQ3" s="946"/>
      <c r="RZR3" s="946"/>
      <c r="RZS3" s="946"/>
      <c r="RZT3" s="946"/>
      <c r="RZU3" s="946"/>
      <c r="RZV3" s="946"/>
      <c r="RZW3" s="946"/>
      <c r="RZX3" s="946"/>
      <c r="RZY3" s="946"/>
      <c r="RZZ3" s="946"/>
      <c r="SAA3" s="946"/>
      <c r="SAB3" s="946"/>
      <c r="SAC3" s="946"/>
      <c r="SAD3" s="946"/>
      <c r="SAE3" s="946"/>
      <c r="SAF3" s="946"/>
      <c r="SAG3" s="946"/>
      <c r="SAH3" s="946"/>
      <c r="SAI3" s="946"/>
      <c r="SAJ3" s="946"/>
      <c r="SAK3" s="946"/>
      <c r="SAL3" s="946"/>
      <c r="SAM3" s="946"/>
      <c r="SAN3" s="946"/>
      <c r="SAO3" s="946"/>
      <c r="SAP3" s="946"/>
      <c r="SAQ3" s="946"/>
      <c r="SAR3" s="946"/>
      <c r="SAS3" s="946"/>
      <c r="SAT3" s="946"/>
      <c r="SAU3" s="946"/>
      <c r="SAV3" s="946"/>
      <c r="SAW3" s="946"/>
      <c r="SAX3" s="946"/>
      <c r="SAY3" s="946"/>
      <c r="SAZ3" s="946"/>
      <c r="SBA3" s="946"/>
      <c r="SBB3" s="946"/>
      <c r="SBC3" s="946"/>
      <c r="SBD3" s="946"/>
      <c r="SBE3" s="946"/>
      <c r="SBF3" s="946"/>
      <c r="SBG3" s="946"/>
      <c r="SBH3" s="946"/>
      <c r="SBI3" s="946"/>
      <c r="SBJ3" s="946"/>
      <c r="SBK3" s="946"/>
      <c r="SBL3" s="946"/>
      <c r="SBM3" s="946"/>
      <c r="SBN3" s="946"/>
      <c r="SBO3" s="946"/>
      <c r="SBP3" s="946"/>
      <c r="SBQ3" s="946"/>
      <c r="SBR3" s="946"/>
      <c r="SBS3" s="946"/>
      <c r="SBT3" s="946"/>
      <c r="SBU3" s="946"/>
      <c r="SBV3" s="946"/>
      <c r="SBW3" s="946"/>
      <c r="SBX3" s="946"/>
      <c r="SBY3" s="946"/>
      <c r="SBZ3" s="946"/>
      <c r="SCA3" s="946"/>
      <c r="SCB3" s="946"/>
      <c r="SCC3" s="946"/>
      <c r="SCD3" s="946"/>
      <c r="SCE3" s="946"/>
      <c r="SCF3" s="946"/>
      <c r="SCG3" s="946"/>
      <c r="SCH3" s="946"/>
      <c r="SCI3" s="946"/>
      <c r="SCJ3" s="946"/>
      <c r="SCK3" s="946"/>
      <c r="SCL3" s="946"/>
      <c r="SCM3" s="946"/>
      <c r="SCN3" s="946"/>
      <c r="SCO3" s="946"/>
      <c r="SCP3" s="946"/>
      <c r="SCQ3" s="946"/>
      <c r="SCR3" s="946"/>
      <c r="SCS3" s="946"/>
      <c r="SCT3" s="946"/>
      <c r="SCU3" s="946"/>
      <c r="SCV3" s="946"/>
      <c r="SCW3" s="946"/>
      <c r="SCX3" s="946"/>
      <c r="SCY3" s="946"/>
      <c r="SCZ3" s="946"/>
      <c r="SDA3" s="946"/>
      <c r="SDB3" s="946"/>
      <c r="SDC3" s="946"/>
      <c r="SDD3" s="946"/>
      <c r="SDE3" s="946"/>
      <c r="SDF3" s="946"/>
      <c r="SDG3" s="946"/>
      <c r="SDH3" s="946"/>
      <c r="SDI3" s="946"/>
      <c r="SDJ3" s="946"/>
      <c r="SDK3" s="946"/>
      <c r="SDL3" s="946"/>
      <c r="SDM3" s="946"/>
      <c r="SDN3" s="946"/>
      <c r="SDO3" s="946"/>
      <c r="SDP3" s="946"/>
      <c r="SDQ3" s="946"/>
      <c r="SDR3" s="946"/>
      <c r="SDS3" s="946"/>
      <c r="SDT3" s="946"/>
      <c r="SDU3" s="946"/>
      <c r="SDV3" s="946"/>
      <c r="SDW3" s="946"/>
      <c r="SDX3" s="946"/>
      <c r="SDY3" s="946"/>
      <c r="SDZ3" s="946"/>
      <c r="SEA3" s="946"/>
      <c r="SEB3" s="946"/>
      <c r="SEC3" s="946"/>
      <c r="SED3" s="946"/>
      <c r="SEE3" s="946"/>
      <c r="SEF3" s="946"/>
      <c r="SEG3" s="946"/>
      <c r="SEH3" s="946"/>
      <c r="SEI3" s="946"/>
      <c r="SEJ3" s="946"/>
      <c r="SEK3" s="946"/>
      <c r="SEL3" s="946"/>
      <c r="SEM3" s="946"/>
      <c r="SEN3" s="946"/>
      <c r="SEO3" s="946"/>
      <c r="SEP3" s="946"/>
      <c r="SEQ3" s="946"/>
      <c r="SER3" s="946"/>
      <c r="SES3" s="946"/>
      <c r="SET3" s="946"/>
      <c r="SEU3" s="946"/>
      <c r="SEV3" s="946"/>
      <c r="SEW3" s="946"/>
      <c r="SEX3" s="946"/>
      <c r="SEY3" s="946"/>
      <c r="SEZ3" s="946"/>
      <c r="SFA3" s="946"/>
      <c r="SFB3" s="946"/>
      <c r="SFC3" s="946"/>
      <c r="SFD3" s="946"/>
      <c r="SFE3" s="946"/>
      <c r="SFF3" s="946"/>
      <c r="SFG3" s="946"/>
      <c r="SFH3" s="946"/>
      <c r="SFI3" s="946"/>
      <c r="SFJ3" s="946"/>
      <c r="SFK3" s="946"/>
      <c r="SFL3" s="946"/>
      <c r="SFM3" s="946"/>
      <c r="SFN3" s="946"/>
      <c r="SFO3" s="946"/>
      <c r="SFP3" s="946"/>
      <c r="SFQ3" s="946"/>
      <c r="SFR3" s="946"/>
      <c r="SFS3" s="946"/>
      <c r="SFT3" s="946"/>
      <c r="SFU3" s="946"/>
      <c r="SFV3" s="946"/>
      <c r="SFW3" s="946"/>
      <c r="SFX3" s="946"/>
      <c r="SFY3" s="946"/>
      <c r="SFZ3" s="946"/>
      <c r="SGA3" s="946"/>
      <c r="SGB3" s="946"/>
      <c r="SGC3" s="946"/>
      <c r="SGD3" s="946"/>
      <c r="SGE3" s="946"/>
      <c r="SGF3" s="946"/>
      <c r="SGG3" s="946"/>
      <c r="SGH3" s="946"/>
      <c r="SGI3" s="946"/>
      <c r="SGJ3" s="946"/>
      <c r="SGK3" s="946"/>
      <c r="SGL3" s="946"/>
      <c r="SGM3" s="946"/>
      <c r="SGN3" s="946"/>
      <c r="SGO3" s="946"/>
      <c r="SGP3" s="946"/>
      <c r="SGQ3" s="946"/>
      <c r="SGR3" s="946"/>
      <c r="SGS3" s="946"/>
      <c r="SGT3" s="946"/>
      <c r="SGU3" s="946"/>
      <c r="SGV3" s="946"/>
      <c r="SGW3" s="946"/>
      <c r="SGX3" s="946"/>
      <c r="SGY3" s="946"/>
      <c r="SGZ3" s="946"/>
      <c r="SHA3" s="946"/>
      <c r="SHB3" s="946"/>
      <c r="SHC3" s="946"/>
      <c r="SHD3" s="946"/>
      <c r="SHE3" s="946"/>
      <c r="SHF3" s="946"/>
      <c r="SHG3" s="946"/>
      <c r="SHH3" s="946"/>
      <c r="SHI3" s="946"/>
      <c r="SHJ3" s="946"/>
      <c r="SHK3" s="946"/>
      <c r="SHL3" s="946"/>
      <c r="SHM3" s="946"/>
      <c r="SHN3" s="946"/>
      <c r="SHO3" s="946"/>
      <c r="SHP3" s="946"/>
      <c r="SHQ3" s="946"/>
      <c r="SHR3" s="946"/>
      <c r="SHS3" s="946"/>
      <c r="SHT3" s="946"/>
      <c r="SHU3" s="946"/>
      <c r="SHV3" s="946"/>
      <c r="SHW3" s="946"/>
      <c r="SHX3" s="946"/>
      <c r="SHY3" s="946"/>
      <c r="SHZ3" s="946"/>
      <c r="SIA3" s="946"/>
      <c r="SIB3" s="946"/>
      <c r="SIC3" s="946"/>
      <c r="SID3" s="946"/>
      <c r="SIE3" s="946"/>
      <c r="SIF3" s="946"/>
      <c r="SIG3" s="946"/>
      <c r="SIH3" s="946"/>
      <c r="SII3" s="946"/>
      <c r="SIJ3" s="946"/>
      <c r="SIK3" s="946"/>
      <c r="SIL3" s="946"/>
      <c r="SIM3" s="946"/>
      <c r="SIN3" s="946"/>
      <c r="SIO3" s="946"/>
      <c r="SIP3" s="946"/>
      <c r="SIQ3" s="946"/>
      <c r="SIR3" s="946"/>
      <c r="SIS3" s="946"/>
      <c r="SIT3" s="946"/>
      <c r="SIU3" s="946"/>
      <c r="SIV3" s="946"/>
      <c r="SIW3" s="946"/>
      <c r="SIX3" s="946"/>
      <c r="SIY3" s="946"/>
      <c r="SIZ3" s="946"/>
      <c r="SJA3" s="946"/>
      <c r="SJB3" s="946"/>
      <c r="SJC3" s="946"/>
      <c r="SJD3" s="946"/>
      <c r="SJE3" s="946"/>
      <c r="SJF3" s="946"/>
      <c r="SJG3" s="946"/>
      <c r="SJH3" s="946"/>
      <c r="SJI3" s="946"/>
      <c r="SJJ3" s="946"/>
      <c r="SJK3" s="946"/>
      <c r="SJL3" s="946"/>
      <c r="SJM3" s="946"/>
      <c r="SJN3" s="946"/>
      <c r="SJO3" s="946"/>
      <c r="SJP3" s="946"/>
      <c r="SJQ3" s="946"/>
      <c r="SJR3" s="946"/>
      <c r="SJS3" s="946"/>
      <c r="SJT3" s="946"/>
      <c r="SJU3" s="946"/>
      <c r="SJV3" s="946"/>
      <c r="SJW3" s="946"/>
      <c r="SJX3" s="946"/>
      <c r="SJY3" s="946"/>
      <c r="SJZ3" s="946"/>
      <c r="SKA3" s="946"/>
      <c r="SKB3" s="946"/>
      <c r="SKC3" s="946"/>
      <c r="SKD3" s="946"/>
      <c r="SKE3" s="946"/>
      <c r="SKF3" s="946"/>
      <c r="SKG3" s="946"/>
      <c r="SKH3" s="946"/>
      <c r="SKI3" s="946"/>
      <c r="SKJ3" s="946"/>
      <c r="SKK3" s="946"/>
      <c r="SKL3" s="946"/>
      <c r="SKM3" s="946"/>
      <c r="SKN3" s="946"/>
      <c r="SKO3" s="946"/>
      <c r="SKP3" s="946"/>
      <c r="SKQ3" s="946"/>
      <c r="SKR3" s="946"/>
      <c r="SKS3" s="946"/>
      <c r="SKT3" s="946"/>
      <c r="SKU3" s="946"/>
      <c r="SKV3" s="946"/>
      <c r="SKW3" s="946"/>
      <c r="SKX3" s="946"/>
      <c r="SKY3" s="946"/>
      <c r="SKZ3" s="946"/>
      <c r="SLA3" s="946"/>
      <c r="SLB3" s="946"/>
      <c r="SLC3" s="946"/>
      <c r="SLD3" s="946"/>
      <c r="SLE3" s="946"/>
      <c r="SLF3" s="946"/>
      <c r="SLG3" s="946"/>
      <c r="SLH3" s="946"/>
      <c r="SLI3" s="946"/>
      <c r="SLJ3" s="946"/>
      <c r="SLK3" s="946"/>
      <c r="SLL3" s="946"/>
      <c r="SLM3" s="946"/>
      <c r="SLN3" s="946"/>
      <c r="SLO3" s="946"/>
      <c r="SLP3" s="946"/>
      <c r="SLQ3" s="946"/>
      <c r="SLR3" s="946"/>
      <c r="SLS3" s="946"/>
      <c r="SLT3" s="946"/>
      <c r="SLU3" s="946"/>
      <c r="SLV3" s="946"/>
      <c r="SLW3" s="946"/>
      <c r="SLX3" s="946"/>
      <c r="SLY3" s="946"/>
      <c r="SLZ3" s="946"/>
      <c r="SMA3" s="946"/>
      <c r="SMB3" s="946"/>
      <c r="SMC3" s="946"/>
      <c r="SMD3" s="946"/>
      <c r="SME3" s="946"/>
      <c r="SMF3" s="946"/>
      <c r="SMG3" s="946"/>
      <c r="SMH3" s="946"/>
      <c r="SMI3" s="946"/>
      <c r="SMJ3" s="946"/>
      <c r="SMK3" s="946"/>
      <c r="SML3" s="946"/>
      <c r="SMM3" s="946"/>
      <c r="SMN3" s="946"/>
      <c r="SMO3" s="946"/>
      <c r="SMP3" s="946"/>
      <c r="SMQ3" s="946"/>
      <c r="SMR3" s="946"/>
      <c r="SMS3" s="946"/>
      <c r="SMT3" s="946"/>
      <c r="SMU3" s="946"/>
      <c r="SMV3" s="946"/>
      <c r="SMW3" s="946"/>
      <c r="SMX3" s="946"/>
      <c r="SMY3" s="946"/>
      <c r="SMZ3" s="946"/>
      <c r="SNA3" s="946"/>
      <c r="SNB3" s="946"/>
      <c r="SNC3" s="946"/>
      <c r="SND3" s="946"/>
      <c r="SNE3" s="946"/>
      <c r="SNF3" s="946"/>
      <c r="SNG3" s="946"/>
      <c r="SNH3" s="946"/>
      <c r="SNI3" s="946"/>
      <c r="SNJ3" s="946"/>
      <c r="SNK3" s="946"/>
      <c r="SNL3" s="946"/>
      <c r="SNM3" s="946"/>
      <c r="SNN3" s="946"/>
      <c r="SNO3" s="946"/>
      <c r="SNP3" s="946"/>
      <c r="SNQ3" s="946"/>
      <c r="SNR3" s="946"/>
      <c r="SNS3" s="946"/>
      <c r="SNT3" s="946"/>
      <c r="SNU3" s="946"/>
      <c r="SNV3" s="946"/>
      <c r="SNW3" s="946"/>
      <c r="SNX3" s="946"/>
      <c r="SNY3" s="946"/>
      <c r="SNZ3" s="946"/>
      <c r="SOA3" s="946"/>
      <c r="SOB3" s="946"/>
      <c r="SOC3" s="946"/>
      <c r="SOD3" s="946"/>
      <c r="SOE3" s="946"/>
      <c r="SOF3" s="946"/>
      <c r="SOG3" s="946"/>
      <c r="SOH3" s="946"/>
      <c r="SOI3" s="946"/>
      <c r="SOJ3" s="946"/>
      <c r="SOK3" s="946"/>
      <c r="SOL3" s="946"/>
      <c r="SOM3" s="946"/>
      <c r="SON3" s="946"/>
      <c r="SOO3" s="946"/>
      <c r="SOP3" s="946"/>
      <c r="SOQ3" s="946"/>
      <c r="SOR3" s="946"/>
      <c r="SOS3" s="946"/>
      <c r="SOT3" s="946"/>
      <c r="SOU3" s="946"/>
      <c r="SOV3" s="946"/>
      <c r="SOW3" s="946"/>
      <c r="SOX3" s="946"/>
      <c r="SOY3" s="946"/>
      <c r="SOZ3" s="946"/>
      <c r="SPA3" s="946"/>
      <c r="SPB3" s="946"/>
      <c r="SPC3" s="946"/>
      <c r="SPD3" s="946"/>
      <c r="SPE3" s="946"/>
      <c r="SPF3" s="946"/>
      <c r="SPG3" s="946"/>
      <c r="SPH3" s="946"/>
      <c r="SPI3" s="946"/>
      <c r="SPJ3" s="946"/>
      <c r="SPK3" s="946"/>
      <c r="SPL3" s="946"/>
      <c r="SPM3" s="946"/>
      <c r="SPN3" s="946"/>
      <c r="SPO3" s="946"/>
      <c r="SPP3" s="946"/>
      <c r="SPQ3" s="946"/>
      <c r="SPR3" s="946"/>
      <c r="SPS3" s="946"/>
      <c r="SPT3" s="946"/>
      <c r="SPU3" s="946"/>
      <c r="SPV3" s="946"/>
      <c r="SPW3" s="946"/>
      <c r="SPX3" s="946"/>
      <c r="SPY3" s="946"/>
      <c r="SPZ3" s="946"/>
      <c r="SQA3" s="946"/>
      <c r="SQB3" s="946"/>
      <c r="SQC3" s="946"/>
      <c r="SQD3" s="946"/>
      <c r="SQE3" s="946"/>
      <c r="SQF3" s="946"/>
      <c r="SQG3" s="946"/>
      <c r="SQH3" s="946"/>
      <c r="SQI3" s="946"/>
      <c r="SQJ3" s="946"/>
      <c r="SQK3" s="946"/>
      <c r="SQL3" s="946"/>
      <c r="SQM3" s="946"/>
      <c r="SQN3" s="946"/>
      <c r="SQO3" s="946"/>
      <c r="SQP3" s="946"/>
      <c r="SQQ3" s="946"/>
      <c r="SQR3" s="946"/>
      <c r="SQS3" s="946"/>
      <c r="SQT3" s="946"/>
      <c r="SQU3" s="946"/>
      <c r="SQV3" s="946"/>
      <c r="SQW3" s="946"/>
      <c r="SQX3" s="946"/>
      <c r="SQY3" s="946"/>
      <c r="SQZ3" s="946"/>
      <c r="SRA3" s="946"/>
      <c r="SRB3" s="946"/>
      <c r="SRC3" s="946"/>
      <c r="SRD3" s="946"/>
      <c r="SRE3" s="946"/>
      <c r="SRF3" s="946"/>
      <c r="SRG3" s="946"/>
      <c r="SRH3" s="946"/>
      <c r="SRI3" s="946"/>
      <c r="SRJ3" s="946"/>
      <c r="SRK3" s="946"/>
      <c r="SRL3" s="946"/>
      <c r="SRM3" s="946"/>
      <c r="SRN3" s="946"/>
      <c r="SRO3" s="946"/>
      <c r="SRP3" s="946"/>
      <c r="SRQ3" s="946"/>
      <c r="SRR3" s="946"/>
      <c r="SRS3" s="946"/>
      <c r="SRT3" s="946"/>
      <c r="SRU3" s="946"/>
      <c r="SRV3" s="946"/>
      <c r="SRW3" s="946"/>
      <c r="SRX3" s="946"/>
      <c r="SRY3" s="946"/>
      <c r="SRZ3" s="946"/>
      <c r="SSA3" s="946"/>
      <c r="SSB3" s="946"/>
      <c r="SSC3" s="946"/>
      <c r="SSD3" s="946"/>
      <c r="SSE3" s="946"/>
      <c r="SSF3" s="946"/>
      <c r="SSG3" s="946"/>
      <c r="SSH3" s="946"/>
      <c r="SSI3" s="946"/>
      <c r="SSJ3" s="946"/>
      <c r="SSK3" s="946"/>
      <c r="SSL3" s="946"/>
      <c r="SSM3" s="946"/>
      <c r="SSN3" s="946"/>
      <c r="SSO3" s="946"/>
      <c r="SSP3" s="946"/>
      <c r="SSQ3" s="946"/>
      <c r="SSR3" s="946"/>
      <c r="SSS3" s="946"/>
      <c r="SST3" s="946"/>
      <c r="SSU3" s="946"/>
      <c r="SSV3" s="946"/>
      <c r="SSW3" s="946"/>
      <c r="SSX3" s="946"/>
      <c r="SSY3" s="946"/>
      <c r="SSZ3" s="946"/>
      <c r="STA3" s="946"/>
      <c r="STB3" s="946"/>
      <c r="STC3" s="946"/>
      <c r="STD3" s="946"/>
      <c r="STE3" s="946"/>
      <c r="STF3" s="946"/>
      <c r="STG3" s="946"/>
      <c r="STH3" s="946"/>
      <c r="STI3" s="946"/>
      <c r="STJ3" s="946"/>
      <c r="STK3" s="946"/>
      <c r="STL3" s="946"/>
      <c r="STM3" s="946"/>
      <c r="STN3" s="946"/>
      <c r="STO3" s="946"/>
      <c r="STP3" s="946"/>
      <c r="STQ3" s="946"/>
      <c r="STR3" s="946"/>
      <c r="STS3" s="946"/>
      <c r="STT3" s="946"/>
      <c r="STU3" s="946"/>
      <c r="STV3" s="946"/>
      <c r="STW3" s="946"/>
      <c r="STX3" s="946"/>
      <c r="STY3" s="946"/>
      <c r="STZ3" s="946"/>
      <c r="SUA3" s="946"/>
      <c r="SUB3" s="946"/>
      <c r="SUC3" s="946"/>
      <c r="SUD3" s="946"/>
      <c r="SUE3" s="946"/>
      <c r="SUF3" s="946"/>
      <c r="SUG3" s="946"/>
      <c r="SUH3" s="946"/>
      <c r="SUI3" s="946"/>
      <c r="SUJ3" s="946"/>
      <c r="SUK3" s="946"/>
      <c r="SUL3" s="946"/>
      <c r="SUM3" s="946"/>
      <c r="SUN3" s="946"/>
      <c r="SUO3" s="946"/>
      <c r="SUP3" s="946"/>
      <c r="SUQ3" s="946"/>
      <c r="SUR3" s="946"/>
      <c r="SUS3" s="946"/>
      <c r="SUT3" s="946"/>
      <c r="SUU3" s="946"/>
      <c r="SUV3" s="946"/>
      <c r="SUW3" s="946"/>
      <c r="SUX3" s="946"/>
      <c r="SUY3" s="946"/>
      <c r="SUZ3" s="946"/>
      <c r="SVA3" s="946"/>
      <c r="SVB3" s="946"/>
      <c r="SVC3" s="946"/>
      <c r="SVD3" s="946"/>
      <c r="SVE3" s="946"/>
      <c r="SVF3" s="946"/>
      <c r="SVG3" s="946"/>
      <c r="SVH3" s="946"/>
      <c r="SVI3" s="946"/>
      <c r="SVJ3" s="946"/>
      <c r="SVK3" s="946"/>
      <c r="SVL3" s="946"/>
      <c r="SVM3" s="946"/>
      <c r="SVN3" s="946"/>
      <c r="SVO3" s="946"/>
      <c r="SVP3" s="946"/>
      <c r="SVQ3" s="946"/>
      <c r="SVR3" s="946"/>
      <c r="SVS3" s="946"/>
      <c r="SVT3" s="946"/>
      <c r="SVU3" s="946"/>
      <c r="SVV3" s="946"/>
      <c r="SVW3" s="946"/>
      <c r="SVX3" s="946"/>
      <c r="SVY3" s="946"/>
      <c r="SVZ3" s="946"/>
      <c r="SWA3" s="946"/>
      <c r="SWB3" s="946"/>
      <c r="SWC3" s="946"/>
      <c r="SWD3" s="946"/>
      <c r="SWE3" s="946"/>
      <c r="SWF3" s="946"/>
      <c r="SWG3" s="946"/>
      <c r="SWH3" s="946"/>
      <c r="SWI3" s="946"/>
      <c r="SWJ3" s="946"/>
      <c r="SWK3" s="946"/>
      <c r="SWL3" s="946"/>
      <c r="SWM3" s="946"/>
      <c r="SWN3" s="946"/>
      <c r="SWO3" s="946"/>
      <c r="SWP3" s="946"/>
      <c r="SWQ3" s="946"/>
      <c r="SWR3" s="946"/>
      <c r="SWS3" s="946"/>
      <c r="SWT3" s="946"/>
      <c r="SWU3" s="946"/>
      <c r="SWV3" s="946"/>
      <c r="SWW3" s="946"/>
      <c r="SWX3" s="946"/>
      <c r="SWY3" s="946"/>
      <c r="SWZ3" s="946"/>
      <c r="SXA3" s="946"/>
      <c r="SXB3" s="946"/>
      <c r="SXC3" s="946"/>
      <c r="SXD3" s="946"/>
      <c r="SXE3" s="946"/>
      <c r="SXF3" s="946"/>
      <c r="SXG3" s="946"/>
      <c r="SXH3" s="946"/>
      <c r="SXI3" s="946"/>
      <c r="SXJ3" s="946"/>
      <c r="SXK3" s="946"/>
      <c r="SXL3" s="946"/>
      <c r="SXM3" s="946"/>
      <c r="SXN3" s="946"/>
      <c r="SXO3" s="946"/>
      <c r="SXP3" s="946"/>
      <c r="SXQ3" s="946"/>
      <c r="SXR3" s="946"/>
      <c r="SXS3" s="946"/>
      <c r="SXT3" s="946"/>
      <c r="SXU3" s="946"/>
      <c r="SXV3" s="946"/>
      <c r="SXW3" s="946"/>
      <c r="SXX3" s="946"/>
      <c r="SXY3" s="946"/>
      <c r="SXZ3" s="946"/>
      <c r="SYA3" s="946"/>
      <c r="SYB3" s="946"/>
      <c r="SYC3" s="946"/>
      <c r="SYD3" s="946"/>
      <c r="SYE3" s="946"/>
      <c r="SYF3" s="946"/>
      <c r="SYG3" s="946"/>
      <c r="SYH3" s="946"/>
      <c r="SYI3" s="946"/>
      <c r="SYJ3" s="946"/>
      <c r="SYK3" s="946"/>
      <c r="SYL3" s="946"/>
      <c r="SYM3" s="946"/>
      <c r="SYN3" s="946"/>
      <c r="SYO3" s="946"/>
      <c r="SYP3" s="946"/>
      <c r="SYQ3" s="946"/>
      <c r="SYR3" s="946"/>
      <c r="SYS3" s="946"/>
      <c r="SYT3" s="946"/>
      <c r="SYU3" s="946"/>
      <c r="SYV3" s="946"/>
      <c r="SYW3" s="946"/>
      <c r="SYX3" s="946"/>
      <c r="SYY3" s="946"/>
      <c r="SYZ3" s="946"/>
      <c r="SZA3" s="946"/>
      <c r="SZB3" s="946"/>
      <c r="SZC3" s="946"/>
      <c r="SZD3" s="946"/>
      <c r="SZE3" s="946"/>
      <c r="SZF3" s="946"/>
      <c r="SZG3" s="946"/>
      <c r="SZH3" s="946"/>
      <c r="SZI3" s="946"/>
      <c r="SZJ3" s="946"/>
      <c r="SZK3" s="946"/>
      <c r="SZL3" s="946"/>
      <c r="SZM3" s="946"/>
      <c r="SZN3" s="946"/>
      <c r="SZO3" s="946"/>
      <c r="SZP3" s="946"/>
      <c r="SZQ3" s="946"/>
      <c r="SZR3" s="946"/>
      <c r="SZS3" s="946"/>
      <c r="SZT3" s="946"/>
      <c r="SZU3" s="946"/>
      <c r="SZV3" s="946"/>
      <c r="SZW3" s="946"/>
      <c r="SZX3" s="946"/>
      <c r="SZY3" s="946"/>
      <c r="SZZ3" s="946"/>
      <c r="TAA3" s="946"/>
      <c r="TAB3" s="946"/>
      <c r="TAC3" s="946"/>
      <c r="TAD3" s="946"/>
      <c r="TAE3" s="946"/>
      <c r="TAF3" s="946"/>
      <c r="TAG3" s="946"/>
      <c r="TAH3" s="946"/>
      <c r="TAI3" s="946"/>
      <c r="TAJ3" s="946"/>
      <c r="TAK3" s="946"/>
      <c r="TAL3" s="946"/>
      <c r="TAM3" s="946"/>
      <c r="TAN3" s="946"/>
      <c r="TAO3" s="946"/>
      <c r="TAP3" s="946"/>
      <c r="TAQ3" s="946"/>
      <c r="TAR3" s="946"/>
      <c r="TAS3" s="946"/>
      <c r="TAT3" s="946"/>
      <c r="TAU3" s="946"/>
      <c r="TAV3" s="946"/>
      <c r="TAW3" s="946"/>
      <c r="TAX3" s="946"/>
      <c r="TAY3" s="946"/>
      <c r="TAZ3" s="946"/>
      <c r="TBA3" s="946"/>
      <c r="TBB3" s="946"/>
      <c r="TBC3" s="946"/>
      <c r="TBD3" s="946"/>
      <c r="TBE3" s="946"/>
      <c r="TBF3" s="946"/>
      <c r="TBG3" s="946"/>
      <c r="TBH3" s="946"/>
      <c r="TBI3" s="946"/>
      <c r="TBJ3" s="946"/>
      <c r="TBK3" s="946"/>
      <c r="TBL3" s="946"/>
      <c r="TBM3" s="946"/>
      <c r="TBN3" s="946"/>
      <c r="TBO3" s="946"/>
      <c r="TBP3" s="946"/>
      <c r="TBQ3" s="946"/>
      <c r="TBR3" s="946"/>
      <c r="TBS3" s="946"/>
      <c r="TBT3" s="946"/>
      <c r="TBU3" s="946"/>
      <c r="TBV3" s="946"/>
      <c r="TBW3" s="946"/>
      <c r="TBX3" s="946"/>
      <c r="TBY3" s="946"/>
      <c r="TBZ3" s="946"/>
      <c r="TCA3" s="946"/>
      <c r="TCB3" s="946"/>
      <c r="TCC3" s="946"/>
      <c r="TCD3" s="946"/>
      <c r="TCE3" s="946"/>
      <c r="TCF3" s="946"/>
      <c r="TCG3" s="946"/>
      <c r="TCH3" s="946"/>
      <c r="TCI3" s="946"/>
      <c r="TCJ3" s="946"/>
      <c r="TCK3" s="946"/>
      <c r="TCL3" s="946"/>
      <c r="TCM3" s="946"/>
      <c r="TCN3" s="946"/>
      <c r="TCO3" s="946"/>
      <c r="TCP3" s="946"/>
      <c r="TCQ3" s="946"/>
      <c r="TCR3" s="946"/>
      <c r="TCS3" s="946"/>
      <c r="TCT3" s="946"/>
      <c r="TCU3" s="946"/>
      <c r="TCV3" s="946"/>
      <c r="TCW3" s="946"/>
      <c r="TCX3" s="946"/>
      <c r="TCY3" s="946"/>
      <c r="TCZ3" s="946"/>
      <c r="TDA3" s="946"/>
      <c r="TDB3" s="946"/>
      <c r="TDC3" s="946"/>
      <c r="TDD3" s="946"/>
      <c r="TDE3" s="946"/>
      <c r="TDF3" s="946"/>
      <c r="TDG3" s="946"/>
      <c r="TDH3" s="946"/>
      <c r="TDI3" s="946"/>
      <c r="TDJ3" s="946"/>
      <c r="TDK3" s="946"/>
      <c r="TDL3" s="946"/>
      <c r="TDM3" s="946"/>
      <c r="TDN3" s="946"/>
      <c r="TDO3" s="946"/>
      <c r="TDP3" s="946"/>
      <c r="TDQ3" s="946"/>
      <c r="TDR3" s="946"/>
      <c r="TDS3" s="946"/>
      <c r="TDT3" s="946"/>
      <c r="TDU3" s="946"/>
      <c r="TDV3" s="946"/>
      <c r="TDW3" s="946"/>
      <c r="TDX3" s="946"/>
      <c r="TDY3" s="946"/>
      <c r="TDZ3" s="946"/>
      <c r="TEA3" s="946"/>
      <c r="TEB3" s="946"/>
      <c r="TEC3" s="946"/>
      <c r="TED3" s="946"/>
      <c r="TEE3" s="946"/>
      <c r="TEF3" s="946"/>
      <c r="TEG3" s="946"/>
      <c r="TEH3" s="946"/>
      <c r="TEI3" s="946"/>
      <c r="TEJ3" s="946"/>
      <c r="TEK3" s="946"/>
      <c r="TEL3" s="946"/>
      <c r="TEM3" s="946"/>
      <c r="TEN3" s="946"/>
      <c r="TEO3" s="946"/>
      <c r="TEP3" s="946"/>
      <c r="TEQ3" s="946"/>
      <c r="TER3" s="946"/>
      <c r="TES3" s="946"/>
      <c r="TET3" s="946"/>
      <c r="TEU3" s="946"/>
      <c r="TEV3" s="946"/>
      <c r="TEW3" s="946"/>
      <c r="TEX3" s="946"/>
      <c r="TEY3" s="946"/>
      <c r="TEZ3" s="946"/>
      <c r="TFA3" s="946"/>
      <c r="TFB3" s="946"/>
      <c r="TFC3" s="946"/>
      <c r="TFD3" s="946"/>
      <c r="TFE3" s="946"/>
      <c r="TFF3" s="946"/>
      <c r="TFG3" s="946"/>
      <c r="TFH3" s="946"/>
      <c r="TFI3" s="946"/>
      <c r="TFJ3" s="946"/>
      <c r="TFK3" s="946"/>
      <c r="TFL3" s="946"/>
      <c r="TFM3" s="946"/>
      <c r="TFN3" s="946"/>
      <c r="TFO3" s="946"/>
      <c r="TFP3" s="946"/>
      <c r="TFQ3" s="946"/>
      <c r="TFR3" s="946"/>
      <c r="TFS3" s="946"/>
      <c r="TFT3" s="946"/>
      <c r="TFU3" s="946"/>
      <c r="TFV3" s="946"/>
      <c r="TFW3" s="946"/>
      <c r="TFX3" s="946"/>
      <c r="TFY3" s="946"/>
      <c r="TFZ3" s="946"/>
      <c r="TGA3" s="946"/>
      <c r="TGB3" s="946"/>
      <c r="TGC3" s="946"/>
      <c r="TGD3" s="946"/>
      <c r="TGE3" s="946"/>
      <c r="TGF3" s="946"/>
      <c r="TGG3" s="946"/>
      <c r="TGH3" s="946"/>
      <c r="TGI3" s="946"/>
      <c r="TGJ3" s="946"/>
      <c r="TGK3" s="946"/>
      <c r="TGL3" s="946"/>
      <c r="TGM3" s="946"/>
      <c r="TGN3" s="946"/>
      <c r="TGO3" s="946"/>
      <c r="TGP3" s="946"/>
      <c r="TGQ3" s="946"/>
      <c r="TGR3" s="946"/>
      <c r="TGS3" s="946"/>
      <c r="TGT3" s="946"/>
      <c r="TGU3" s="946"/>
      <c r="TGV3" s="946"/>
      <c r="TGW3" s="946"/>
      <c r="TGX3" s="946"/>
      <c r="TGY3" s="946"/>
      <c r="TGZ3" s="946"/>
      <c r="THA3" s="946"/>
      <c r="THB3" s="946"/>
      <c r="THC3" s="946"/>
      <c r="THD3" s="946"/>
      <c r="THE3" s="946"/>
      <c r="THF3" s="946"/>
      <c r="THG3" s="946"/>
      <c r="THH3" s="946"/>
      <c r="THI3" s="946"/>
      <c r="THJ3" s="946"/>
      <c r="THK3" s="946"/>
      <c r="THL3" s="946"/>
      <c r="THM3" s="946"/>
      <c r="THN3" s="946"/>
      <c r="THO3" s="946"/>
      <c r="THP3" s="946"/>
      <c r="THQ3" s="946"/>
      <c r="THR3" s="946"/>
      <c r="THS3" s="946"/>
      <c r="THT3" s="946"/>
      <c r="THU3" s="946"/>
      <c r="THV3" s="946"/>
      <c r="THW3" s="946"/>
      <c r="THX3" s="946"/>
      <c r="THY3" s="946"/>
      <c r="THZ3" s="946"/>
      <c r="TIA3" s="946"/>
      <c r="TIB3" s="946"/>
      <c r="TIC3" s="946"/>
      <c r="TID3" s="946"/>
      <c r="TIE3" s="946"/>
      <c r="TIF3" s="946"/>
      <c r="TIG3" s="946"/>
      <c r="TIH3" s="946"/>
      <c r="TII3" s="946"/>
      <c r="TIJ3" s="946"/>
      <c r="TIK3" s="946"/>
      <c r="TIL3" s="946"/>
      <c r="TIM3" s="946"/>
      <c r="TIN3" s="946"/>
      <c r="TIO3" s="946"/>
      <c r="TIP3" s="946"/>
      <c r="TIQ3" s="946"/>
      <c r="TIR3" s="946"/>
      <c r="TIS3" s="946"/>
      <c r="TIT3" s="946"/>
      <c r="TIU3" s="946"/>
      <c r="TIV3" s="946"/>
      <c r="TIW3" s="946"/>
      <c r="TIX3" s="946"/>
      <c r="TIY3" s="946"/>
      <c r="TIZ3" s="946"/>
      <c r="TJA3" s="946"/>
      <c r="TJB3" s="946"/>
      <c r="TJC3" s="946"/>
      <c r="TJD3" s="946"/>
      <c r="TJE3" s="946"/>
      <c r="TJF3" s="946"/>
      <c r="TJG3" s="946"/>
      <c r="TJH3" s="946"/>
      <c r="TJI3" s="946"/>
      <c r="TJJ3" s="946"/>
      <c r="TJK3" s="946"/>
      <c r="TJL3" s="946"/>
      <c r="TJM3" s="946"/>
      <c r="TJN3" s="946"/>
      <c r="TJO3" s="946"/>
      <c r="TJP3" s="946"/>
      <c r="TJQ3" s="946"/>
      <c r="TJR3" s="946"/>
      <c r="TJS3" s="946"/>
      <c r="TJT3" s="946"/>
      <c r="TJU3" s="946"/>
      <c r="TJV3" s="946"/>
      <c r="TJW3" s="946"/>
      <c r="TJX3" s="946"/>
      <c r="TJY3" s="946"/>
      <c r="TJZ3" s="946"/>
      <c r="TKA3" s="946"/>
      <c r="TKB3" s="946"/>
      <c r="TKC3" s="946"/>
      <c r="TKD3" s="946"/>
      <c r="TKE3" s="946"/>
      <c r="TKF3" s="946"/>
      <c r="TKG3" s="946"/>
      <c r="TKH3" s="946"/>
      <c r="TKI3" s="946"/>
      <c r="TKJ3" s="946"/>
      <c r="TKK3" s="946"/>
      <c r="TKL3" s="946"/>
      <c r="TKM3" s="946"/>
      <c r="TKN3" s="946"/>
      <c r="TKO3" s="946"/>
      <c r="TKP3" s="946"/>
      <c r="TKQ3" s="946"/>
      <c r="TKR3" s="946"/>
      <c r="TKS3" s="946"/>
      <c r="TKT3" s="946"/>
      <c r="TKU3" s="946"/>
      <c r="TKV3" s="946"/>
      <c r="TKW3" s="946"/>
      <c r="TKX3" s="946"/>
      <c r="TKY3" s="946"/>
      <c r="TKZ3" s="946"/>
      <c r="TLA3" s="946"/>
      <c r="TLB3" s="946"/>
      <c r="TLC3" s="946"/>
      <c r="TLD3" s="946"/>
      <c r="TLE3" s="946"/>
      <c r="TLF3" s="946"/>
      <c r="TLG3" s="946"/>
      <c r="TLH3" s="946"/>
      <c r="TLI3" s="946"/>
      <c r="TLJ3" s="946"/>
      <c r="TLK3" s="946"/>
      <c r="TLL3" s="946"/>
      <c r="TLM3" s="946"/>
      <c r="TLN3" s="946"/>
      <c r="TLO3" s="946"/>
      <c r="TLP3" s="946"/>
      <c r="TLQ3" s="946"/>
      <c r="TLR3" s="946"/>
      <c r="TLS3" s="946"/>
      <c r="TLT3" s="946"/>
      <c r="TLU3" s="946"/>
      <c r="TLV3" s="946"/>
      <c r="TLW3" s="946"/>
      <c r="TLX3" s="946"/>
      <c r="TLY3" s="946"/>
      <c r="TLZ3" s="946"/>
      <c r="TMA3" s="946"/>
      <c r="TMB3" s="946"/>
      <c r="TMC3" s="946"/>
      <c r="TMD3" s="946"/>
      <c r="TME3" s="946"/>
      <c r="TMF3" s="946"/>
      <c r="TMG3" s="946"/>
      <c r="TMH3" s="946"/>
      <c r="TMI3" s="946"/>
      <c r="TMJ3" s="946"/>
      <c r="TMK3" s="946"/>
      <c r="TML3" s="946"/>
      <c r="TMM3" s="946"/>
      <c r="TMN3" s="946"/>
      <c r="TMO3" s="946"/>
      <c r="TMP3" s="946"/>
      <c r="TMQ3" s="946"/>
      <c r="TMR3" s="946"/>
      <c r="TMS3" s="946"/>
      <c r="TMT3" s="946"/>
      <c r="TMU3" s="946"/>
      <c r="TMV3" s="946"/>
      <c r="TMW3" s="946"/>
      <c r="TMX3" s="946"/>
      <c r="TMY3" s="946"/>
      <c r="TMZ3" s="946"/>
      <c r="TNA3" s="946"/>
      <c r="TNB3" s="946"/>
      <c r="TNC3" s="946"/>
      <c r="TND3" s="946"/>
      <c r="TNE3" s="946"/>
      <c r="TNF3" s="946"/>
      <c r="TNG3" s="946"/>
      <c r="TNH3" s="946"/>
      <c r="TNI3" s="946"/>
      <c r="TNJ3" s="946"/>
      <c r="TNK3" s="946"/>
      <c r="TNL3" s="946"/>
      <c r="TNM3" s="946"/>
      <c r="TNN3" s="946"/>
      <c r="TNO3" s="946"/>
      <c r="TNP3" s="946"/>
      <c r="TNQ3" s="946"/>
      <c r="TNR3" s="946"/>
      <c r="TNS3" s="946"/>
      <c r="TNT3" s="946"/>
      <c r="TNU3" s="946"/>
      <c r="TNV3" s="946"/>
      <c r="TNW3" s="946"/>
      <c r="TNX3" s="946"/>
      <c r="TNY3" s="946"/>
      <c r="TNZ3" s="946"/>
      <c r="TOA3" s="946"/>
      <c r="TOB3" s="946"/>
      <c r="TOC3" s="946"/>
      <c r="TOD3" s="946"/>
      <c r="TOE3" s="946"/>
      <c r="TOF3" s="946"/>
      <c r="TOG3" s="946"/>
      <c r="TOH3" s="946"/>
      <c r="TOI3" s="946"/>
      <c r="TOJ3" s="946"/>
      <c r="TOK3" s="946"/>
      <c r="TOL3" s="946"/>
      <c r="TOM3" s="946"/>
      <c r="TON3" s="946"/>
      <c r="TOO3" s="946"/>
      <c r="TOP3" s="946"/>
      <c r="TOQ3" s="946"/>
      <c r="TOR3" s="946"/>
      <c r="TOS3" s="946"/>
      <c r="TOT3" s="946"/>
      <c r="TOU3" s="946"/>
      <c r="TOV3" s="946"/>
      <c r="TOW3" s="946"/>
      <c r="TOX3" s="946"/>
      <c r="TOY3" s="946"/>
      <c r="TOZ3" s="946"/>
      <c r="TPA3" s="946"/>
      <c r="TPB3" s="946"/>
      <c r="TPC3" s="946"/>
      <c r="TPD3" s="946"/>
      <c r="TPE3" s="946"/>
      <c r="TPF3" s="946"/>
      <c r="TPG3" s="946"/>
      <c r="TPH3" s="946"/>
      <c r="TPI3" s="946"/>
      <c r="TPJ3" s="946"/>
      <c r="TPK3" s="946"/>
      <c r="TPL3" s="946"/>
      <c r="TPM3" s="946"/>
      <c r="TPN3" s="946"/>
      <c r="TPO3" s="946"/>
      <c r="TPP3" s="946"/>
      <c r="TPQ3" s="946"/>
      <c r="TPR3" s="946"/>
      <c r="TPS3" s="946"/>
      <c r="TPT3" s="946"/>
      <c r="TPU3" s="946"/>
      <c r="TPV3" s="946"/>
      <c r="TPW3" s="946"/>
      <c r="TPX3" s="946"/>
      <c r="TPY3" s="946"/>
      <c r="TPZ3" s="946"/>
      <c r="TQA3" s="946"/>
      <c r="TQB3" s="946"/>
      <c r="TQC3" s="946"/>
      <c r="TQD3" s="946"/>
      <c r="TQE3" s="946"/>
      <c r="TQF3" s="946"/>
      <c r="TQG3" s="946"/>
      <c r="TQH3" s="946"/>
      <c r="TQI3" s="946"/>
      <c r="TQJ3" s="946"/>
      <c r="TQK3" s="946"/>
      <c r="TQL3" s="946"/>
      <c r="TQM3" s="946"/>
      <c r="TQN3" s="946"/>
      <c r="TQO3" s="946"/>
      <c r="TQP3" s="946"/>
      <c r="TQQ3" s="946"/>
      <c r="TQR3" s="946"/>
      <c r="TQS3" s="946"/>
      <c r="TQT3" s="946"/>
      <c r="TQU3" s="946"/>
      <c r="TQV3" s="946"/>
      <c r="TQW3" s="946"/>
      <c r="TQX3" s="946"/>
      <c r="TQY3" s="946"/>
      <c r="TQZ3" s="946"/>
      <c r="TRA3" s="946"/>
      <c r="TRB3" s="946"/>
      <c r="TRC3" s="946"/>
      <c r="TRD3" s="946"/>
      <c r="TRE3" s="946"/>
      <c r="TRF3" s="946"/>
      <c r="TRG3" s="946"/>
      <c r="TRH3" s="946"/>
      <c r="TRI3" s="946"/>
      <c r="TRJ3" s="946"/>
      <c r="TRK3" s="946"/>
      <c r="TRL3" s="946"/>
      <c r="TRM3" s="946"/>
      <c r="TRN3" s="946"/>
      <c r="TRO3" s="946"/>
      <c r="TRP3" s="946"/>
      <c r="TRQ3" s="946"/>
      <c r="TRR3" s="946"/>
      <c r="TRS3" s="946"/>
      <c r="TRT3" s="946"/>
      <c r="TRU3" s="946"/>
      <c r="TRV3" s="946"/>
      <c r="TRW3" s="946"/>
      <c r="TRX3" s="946"/>
      <c r="TRY3" s="946"/>
      <c r="TRZ3" s="946"/>
      <c r="TSA3" s="946"/>
      <c r="TSB3" s="946"/>
      <c r="TSC3" s="946"/>
      <c r="TSD3" s="946"/>
      <c r="TSE3" s="946"/>
      <c r="TSF3" s="946"/>
      <c r="TSG3" s="946"/>
      <c r="TSH3" s="946"/>
      <c r="TSI3" s="946"/>
      <c r="TSJ3" s="946"/>
      <c r="TSK3" s="946"/>
      <c r="TSL3" s="946"/>
      <c r="TSM3" s="946"/>
      <c r="TSN3" s="946"/>
      <c r="TSO3" s="946"/>
      <c r="TSP3" s="946"/>
      <c r="TSQ3" s="946"/>
      <c r="TSR3" s="946"/>
      <c r="TSS3" s="946"/>
      <c r="TST3" s="946"/>
      <c r="TSU3" s="946"/>
      <c r="TSV3" s="946"/>
      <c r="TSW3" s="946"/>
      <c r="TSX3" s="946"/>
      <c r="TSY3" s="946"/>
      <c r="TSZ3" s="946"/>
      <c r="TTA3" s="946"/>
      <c r="TTB3" s="946"/>
      <c r="TTC3" s="946"/>
      <c r="TTD3" s="946"/>
      <c r="TTE3" s="946"/>
      <c r="TTF3" s="946"/>
      <c r="TTG3" s="946"/>
      <c r="TTH3" s="946"/>
      <c r="TTI3" s="946"/>
      <c r="TTJ3" s="946"/>
      <c r="TTK3" s="946"/>
      <c r="TTL3" s="946"/>
      <c r="TTM3" s="946"/>
      <c r="TTN3" s="946"/>
      <c r="TTO3" s="946"/>
      <c r="TTP3" s="946"/>
      <c r="TTQ3" s="946"/>
      <c r="TTR3" s="946"/>
      <c r="TTS3" s="946"/>
      <c r="TTT3" s="946"/>
      <c r="TTU3" s="946"/>
      <c r="TTV3" s="946"/>
      <c r="TTW3" s="946"/>
      <c r="TTX3" s="946"/>
      <c r="TTY3" s="946"/>
      <c r="TTZ3" s="946"/>
      <c r="TUA3" s="946"/>
      <c r="TUB3" s="946"/>
      <c r="TUC3" s="946"/>
      <c r="TUD3" s="946"/>
      <c r="TUE3" s="946"/>
      <c r="TUF3" s="946"/>
      <c r="TUG3" s="946"/>
      <c r="TUH3" s="946"/>
      <c r="TUI3" s="946"/>
      <c r="TUJ3" s="946"/>
      <c r="TUK3" s="946"/>
      <c r="TUL3" s="946"/>
      <c r="TUM3" s="946"/>
      <c r="TUN3" s="946"/>
      <c r="TUO3" s="946"/>
      <c r="TUP3" s="946"/>
      <c r="TUQ3" s="946"/>
      <c r="TUR3" s="946"/>
      <c r="TUS3" s="946"/>
      <c r="TUT3" s="946"/>
      <c r="TUU3" s="946"/>
      <c r="TUV3" s="946"/>
      <c r="TUW3" s="946"/>
      <c r="TUX3" s="946"/>
      <c r="TUY3" s="946"/>
      <c r="TUZ3" s="946"/>
      <c r="TVA3" s="946"/>
      <c r="TVB3" s="946"/>
      <c r="TVC3" s="946"/>
      <c r="TVD3" s="946"/>
      <c r="TVE3" s="946"/>
      <c r="TVF3" s="946"/>
      <c r="TVG3" s="946"/>
      <c r="TVH3" s="946"/>
      <c r="TVI3" s="946"/>
      <c r="TVJ3" s="946"/>
      <c r="TVK3" s="946"/>
      <c r="TVL3" s="946"/>
      <c r="TVM3" s="946"/>
      <c r="TVN3" s="946"/>
      <c r="TVO3" s="946"/>
      <c r="TVP3" s="946"/>
      <c r="TVQ3" s="946"/>
      <c r="TVR3" s="946"/>
      <c r="TVS3" s="946"/>
      <c r="TVT3" s="946"/>
      <c r="TVU3" s="946"/>
      <c r="TVV3" s="946"/>
      <c r="TVW3" s="946"/>
      <c r="TVX3" s="946"/>
      <c r="TVY3" s="946"/>
      <c r="TVZ3" s="946"/>
      <c r="TWA3" s="946"/>
      <c r="TWB3" s="946"/>
      <c r="TWC3" s="946"/>
      <c r="TWD3" s="946"/>
      <c r="TWE3" s="946"/>
      <c r="TWF3" s="946"/>
      <c r="TWG3" s="946"/>
      <c r="TWH3" s="946"/>
      <c r="TWI3" s="946"/>
      <c r="TWJ3" s="946"/>
      <c r="TWK3" s="946"/>
      <c r="TWL3" s="946"/>
      <c r="TWM3" s="946"/>
      <c r="TWN3" s="946"/>
      <c r="TWO3" s="946"/>
      <c r="TWP3" s="946"/>
      <c r="TWQ3" s="946"/>
      <c r="TWR3" s="946"/>
      <c r="TWS3" s="946"/>
      <c r="TWT3" s="946"/>
      <c r="TWU3" s="946"/>
      <c r="TWV3" s="946"/>
      <c r="TWW3" s="946"/>
      <c r="TWX3" s="946"/>
      <c r="TWY3" s="946"/>
      <c r="TWZ3" s="946"/>
      <c r="TXA3" s="946"/>
      <c r="TXB3" s="946"/>
      <c r="TXC3" s="946"/>
      <c r="TXD3" s="946"/>
      <c r="TXE3" s="946"/>
      <c r="TXF3" s="946"/>
      <c r="TXG3" s="946"/>
      <c r="TXH3" s="946"/>
      <c r="TXI3" s="946"/>
      <c r="TXJ3" s="946"/>
      <c r="TXK3" s="946"/>
      <c r="TXL3" s="946"/>
      <c r="TXM3" s="946"/>
      <c r="TXN3" s="946"/>
      <c r="TXO3" s="946"/>
      <c r="TXP3" s="946"/>
      <c r="TXQ3" s="946"/>
      <c r="TXR3" s="946"/>
      <c r="TXS3" s="946"/>
      <c r="TXT3" s="946"/>
      <c r="TXU3" s="946"/>
      <c r="TXV3" s="946"/>
      <c r="TXW3" s="946"/>
      <c r="TXX3" s="946"/>
      <c r="TXY3" s="946"/>
      <c r="TXZ3" s="946"/>
      <c r="TYA3" s="946"/>
      <c r="TYB3" s="946"/>
      <c r="TYC3" s="946"/>
      <c r="TYD3" s="946"/>
      <c r="TYE3" s="946"/>
      <c r="TYF3" s="946"/>
      <c r="TYG3" s="946"/>
      <c r="TYH3" s="946"/>
      <c r="TYI3" s="946"/>
      <c r="TYJ3" s="946"/>
      <c r="TYK3" s="946"/>
      <c r="TYL3" s="946"/>
      <c r="TYM3" s="946"/>
      <c r="TYN3" s="946"/>
      <c r="TYO3" s="946"/>
      <c r="TYP3" s="946"/>
      <c r="TYQ3" s="946"/>
      <c r="TYR3" s="946"/>
      <c r="TYS3" s="946"/>
      <c r="TYT3" s="946"/>
      <c r="TYU3" s="946"/>
      <c r="TYV3" s="946"/>
      <c r="TYW3" s="946"/>
      <c r="TYX3" s="946"/>
      <c r="TYY3" s="946"/>
      <c r="TYZ3" s="946"/>
      <c r="TZA3" s="946"/>
      <c r="TZB3" s="946"/>
      <c r="TZC3" s="946"/>
      <c r="TZD3" s="946"/>
      <c r="TZE3" s="946"/>
      <c r="TZF3" s="946"/>
      <c r="TZG3" s="946"/>
      <c r="TZH3" s="946"/>
      <c r="TZI3" s="946"/>
      <c r="TZJ3" s="946"/>
      <c r="TZK3" s="946"/>
      <c r="TZL3" s="946"/>
      <c r="TZM3" s="946"/>
      <c r="TZN3" s="946"/>
      <c r="TZO3" s="946"/>
      <c r="TZP3" s="946"/>
      <c r="TZQ3" s="946"/>
      <c r="TZR3" s="946"/>
      <c r="TZS3" s="946"/>
      <c r="TZT3" s="946"/>
      <c r="TZU3" s="946"/>
      <c r="TZV3" s="946"/>
      <c r="TZW3" s="946"/>
      <c r="TZX3" s="946"/>
      <c r="TZY3" s="946"/>
      <c r="TZZ3" s="946"/>
      <c r="UAA3" s="946"/>
      <c r="UAB3" s="946"/>
      <c r="UAC3" s="946"/>
      <c r="UAD3" s="946"/>
      <c r="UAE3" s="946"/>
      <c r="UAF3" s="946"/>
      <c r="UAG3" s="946"/>
      <c r="UAH3" s="946"/>
      <c r="UAI3" s="946"/>
      <c r="UAJ3" s="946"/>
      <c r="UAK3" s="946"/>
      <c r="UAL3" s="946"/>
      <c r="UAM3" s="946"/>
      <c r="UAN3" s="946"/>
      <c r="UAO3" s="946"/>
      <c r="UAP3" s="946"/>
      <c r="UAQ3" s="946"/>
      <c r="UAR3" s="946"/>
      <c r="UAS3" s="946"/>
      <c r="UAT3" s="946"/>
      <c r="UAU3" s="946"/>
      <c r="UAV3" s="946"/>
      <c r="UAW3" s="946"/>
      <c r="UAX3" s="946"/>
      <c r="UAY3" s="946"/>
      <c r="UAZ3" s="946"/>
      <c r="UBA3" s="946"/>
      <c r="UBB3" s="946"/>
      <c r="UBC3" s="946"/>
      <c r="UBD3" s="946"/>
      <c r="UBE3" s="946"/>
      <c r="UBF3" s="946"/>
      <c r="UBG3" s="946"/>
      <c r="UBH3" s="946"/>
      <c r="UBI3" s="946"/>
      <c r="UBJ3" s="946"/>
      <c r="UBK3" s="946"/>
      <c r="UBL3" s="946"/>
      <c r="UBM3" s="946"/>
      <c r="UBN3" s="946"/>
      <c r="UBO3" s="946"/>
      <c r="UBP3" s="946"/>
      <c r="UBQ3" s="946"/>
      <c r="UBR3" s="946"/>
      <c r="UBS3" s="946"/>
      <c r="UBT3" s="946"/>
      <c r="UBU3" s="946"/>
      <c r="UBV3" s="946"/>
      <c r="UBW3" s="946"/>
      <c r="UBX3" s="946"/>
      <c r="UBY3" s="946"/>
      <c r="UBZ3" s="946"/>
      <c r="UCA3" s="946"/>
      <c r="UCB3" s="946"/>
      <c r="UCC3" s="946"/>
      <c r="UCD3" s="946"/>
      <c r="UCE3" s="946"/>
      <c r="UCF3" s="946"/>
      <c r="UCG3" s="946"/>
      <c r="UCH3" s="946"/>
      <c r="UCI3" s="946"/>
      <c r="UCJ3" s="946"/>
      <c r="UCK3" s="946"/>
      <c r="UCL3" s="946"/>
      <c r="UCM3" s="946"/>
      <c r="UCN3" s="946"/>
      <c r="UCO3" s="946"/>
      <c r="UCP3" s="946"/>
      <c r="UCQ3" s="946"/>
      <c r="UCR3" s="946"/>
      <c r="UCS3" s="946"/>
      <c r="UCT3" s="946"/>
      <c r="UCU3" s="946"/>
      <c r="UCV3" s="946"/>
      <c r="UCW3" s="946"/>
      <c r="UCX3" s="946"/>
      <c r="UCY3" s="946"/>
      <c r="UCZ3" s="946"/>
      <c r="UDA3" s="946"/>
      <c r="UDB3" s="946"/>
      <c r="UDC3" s="946"/>
      <c r="UDD3" s="946"/>
      <c r="UDE3" s="946"/>
      <c r="UDF3" s="946"/>
      <c r="UDG3" s="946"/>
      <c r="UDH3" s="946"/>
      <c r="UDI3" s="946"/>
      <c r="UDJ3" s="946"/>
      <c r="UDK3" s="946"/>
      <c r="UDL3" s="946"/>
      <c r="UDM3" s="946"/>
      <c r="UDN3" s="946"/>
      <c r="UDO3" s="946"/>
      <c r="UDP3" s="946"/>
      <c r="UDQ3" s="946"/>
      <c r="UDR3" s="946"/>
      <c r="UDS3" s="946"/>
      <c r="UDT3" s="946"/>
      <c r="UDU3" s="946"/>
      <c r="UDV3" s="946"/>
      <c r="UDW3" s="946"/>
      <c r="UDX3" s="946"/>
      <c r="UDY3" s="946"/>
      <c r="UDZ3" s="946"/>
      <c r="UEA3" s="946"/>
      <c r="UEB3" s="946"/>
      <c r="UEC3" s="946"/>
      <c r="UED3" s="946"/>
      <c r="UEE3" s="946"/>
      <c r="UEF3" s="946"/>
      <c r="UEG3" s="946"/>
      <c r="UEH3" s="946"/>
      <c r="UEI3" s="946"/>
      <c r="UEJ3" s="946"/>
      <c r="UEK3" s="946"/>
      <c r="UEL3" s="946"/>
      <c r="UEM3" s="946"/>
      <c r="UEN3" s="946"/>
      <c r="UEO3" s="946"/>
      <c r="UEP3" s="946"/>
      <c r="UEQ3" s="946"/>
      <c r="UER3" s="946"/>
      <c r="UES3" s="946"/>
      <c r="UET3" s="946"/>
      <c r="UEU3" s="946"/>
      <c r="UEV3" s="946"/>
      <c r="UEW3" s="946"/>
      <c r="UEX3" s="946"/>
      <c r="UEY3" s="946"/>
      <c r="UEZ3" s="946"/>
      <c r="UFA3" s="946"/>
      <c r="UFB3" s="946"/>
      <c r="UFC3" s="946"/>
      <c r="UFD3" s="946"/>
      <c r="UFE3" s="946"/>
      <c r="UFF3" s="946"/>
      <c r="UFG3" s="946"/>
      <c r="UFH3" s="946"/>
      <c r="UFI3" s="946"/>
      <c r="UFJ3" s="946"/>
      <c r="UFK3" s="946"/>
      <c r="UFL3" s="946"/>
      <c r="UFM3" s="946"/>
      <c r="UFN3" s="946"/>
      <c r="UFO3" s="946"/>
      <c r="UFP3" s="946"/>
      <c r="UFQ3" s="946"/>
      <c r="UFR3" s="946"/>
      <c r="UFS3" s="946"/>
      <c r="UFT3" s="946"/>
      <c r="UFU3" s="946"/>
      <c r="UFV3" s="946"/>
      <c r="UFW3" s="946"/>
      <c r="UFX3" s="946"/>
      <c r="UFY3" s="946"/>
      <c r="UFZ3" s="946"/>
      <c r="UGA3" s="946"/>
      <c r="UGB3" s="946"/>
      <c r="UGC3" s="946"/>
      <c r="UGD3" s="946"/>
      <c r="UGE3" s="946"/>
      <c r="UGF3" s="946"/>
      <c r="UGG3" s="946"/>
      <c r="UGH3" s="946"/>
      <c r="UGI3" s="946"/>
      <c r="UGJ3" s="946"/>
      <c r="UGK3" s="946"/>
      <c r="UGL3" s="946"/>
      <c r="UGM3" s="946"/>
      <c r="UGN3" s="946"/>
      <c r="UGO3" s="946"/>
      <c r="UGP3" s="946"/>
      <c r="UGQ3" s="946"/>
      <c r="UGR3" s="946"/>
      <c r="UGS3" s="946"/>
      <c r="UGT3" s="946"/>
      <c r="UGU3" s="946"/>
      <c r="UGV3" s="946"/>
      <c r="UGW3" s="946"/>
      <c r="UGX3" s="946"/>
      <c r="UGY3" s="946"/>
      <c r="UGZ3" s="946"/>
      <c r="UHA3" s="946"/>
      <c r="UHB3" s="946"/>
      <c r="UHC3" s="946"/>
      <c r="UHD3" s="946"/>
      <c r="UHE3" s="946"/>
      <c r="UHF3" s="946"/>
      <c r="UHG3" s="946"/>
      <c r="UHH3" s="946"/>
      <c r="UHI3" s="946"/>
      <c r="UHJ3" s="946"/>
      <c r="UHK3" s="946"/>
      <c r="UHL3" s="946"/>
      <c r="UHM3" s="946"/>
      <c r="UHN3" s="946"/>
      <c r="UHO3" s="946"/>
      <c r="UHP3" s="946"/>
      <c r="UHQ3" s="946"/>
      <c r="UHR3" s="946"/>
      <c r="UHS3" s="946"/>
      <c r="UHT3" s="946"/>
      <c r="UHU3" s="946"/>
      <c r="UHV3" s="946"/>
      <c r="UHW3" s="946"/>
      <c r="UHX3" s="946"/>
      <c r="UHY3" s="946"/>
      <c r="UHZ3" s="946"/>
      <c r="UIA3" s="946"/>
      <c r="UIB3" s="946"/>
      <c r="UIC3" s="946"/>
      <c r="UID3" s="946"/>
      <c r="UIE3" s="946"/>
      <c r="UIF3" s="946"/>
      <c r="UIG3" s="946"/>
      <c r="UIH3" s="946"/>
      <c r="UII3" s="946"/>
      <c r="UIJ3" s="946"/>
      <c r="UIK3" s="946"/>
      <c r="UIL3" s="946"/>
      <c r="UIM3" s="946"/>
      <c r="UIN3" s="946"/>
      <c r="UIO3" s="946"/>
      <c r="UIP3" s="946"/>
      <c r="UIQ3" s="946"/>
      <c r="UIR3" s="946"/>
      <c r="UIS3" s="946"/>
      <c r="UIT3" s="946"/>
      <c r="UIU3" s="946"/>
      <c r="UIV3" s="946"/>
      <c r="UIW3" s="946"/>
      <c r="UIX3" s="946"/>
      <c r="UIY3" s="946"/>
      <c r="UIZ3" s="946"/>
      <c r="UJA3" s="946"/>
      <c r="UJB3" s="946"/>
      <c r="UJC3" s="946"/>
      <c r="UJD3" s="946"/>
      <c r="UJE3" s="946"/>
      <c r="UJF3" s="946"/>
      <c r="UJG3" s="946"/>
      <c r="UJH3" s="946"/>
      <c r="UJI3" s="946"/>
      <c r="UJJ3" s="946"/>
      <c r="UJK3" s="946"/>
      <c r="UJL3" s="946"/>
      <c r="UJM3" s="946"/>
      <c r="UJN3" s="946"/>
      <c r="UJO3" s="946"/>
      <c r="UJP3" s="946"/>
      <c r="UJQ3" s="946"/>
      <c r="UJR3" s="946"/>
      <c r="UJS3" s="946"/>
      <c r="UJT3" s="946"/>
      <c r="UJU3" s="946"/>
      <c r="UJV3" s="946"/>
      <c r="UJW3" s="946"/>
      <c r="UJX3" s="946"/>
      <c r="UJY3" s="946"/>
      <c r="UJZ3" s="946"/>
      <c r="UKA3" s="946"/>
      <c r="UKB3" s="946"/>
      <c r="UKC3" s="946"/>
      <c r="UKD3" s="946"/>
      <c r="UKE3" s="946"/>
      <c r="UKF3" s="946"/>
      <c r="UKG3" s="946"/>
      <c r="UKH3" s="946"/>
      <c r="UKI3" s="946"/>
      <c r="UKJ3" s="946"/>
      <c r="UKK3" s="946"/>
      <c r="UKL3" s="946"/>
      <c r="UKM3" s="946"/>
      <c r="UKN3" s="946"/>
      <c r="UKO3" s="946"/>
      <c r="UKP3" s="946"/>
      <c r="UKQ3" s="946"/>
      <c r="UKR3" s="946"/>
      <c r="UKS3" s="946"/>
      <c r="UKT3" s="946"/>
      <c r="UKU3" s="946"/>
      <c r="UKV3" s="946"/>
      <c r="UKW3" s="946"/>
      <c r="UKX3" s="946"/>
      <c r="UKY3" s="946"/>
      <c r="UKZ3" s="946"/>
      <c r="ULA3" s="946"/>
      <c r="ULB3" s="946"/>
      <c r="ULC3" s="946"/>
      <c r="ULD3" s="946"/>
      <c r="ULE3" s="946"/>
      <c r="ULF3" s="946"/>
      <c r="ULG3" s="946"/>
      <c r="ULH3" s="946"/>
      <c r="ULI3" s="946"/>
      <c r="ULJ3" s="946"/>
      <c r="ULK3" s="946"/>
      <c r="ULL3" s="946"/>
      <c r="ULM3" s="946"/>
      <c r="ULN3" s="946"/>
      <c r="ULO3" s="946"/>
      <c r="ULP3" s="946"/>
      <c r="ULQ3" s="946"/>
      <c r="ULR3" s="946"/>
      <c r="ULS3" s="946"/>
      <c r="ULT3" s="946"/>
      <c r="ULU3" s="946"/>
      <c r="ULV3" s="946"/>
      <c r="ULW3" s="946"/>
      <c r="ULX3" s="946"/>
      <c r="ULY3" s="946"/>
      <c r="ULZ3" s="946"/>
      <c r="UMA3" s="946"/>
      <c r="UMB3" s="946"/>
      <c r="UMC3" s="946"/>
      <c r="UMD3" s="946"/>
      <c r="UME3" s="946"/>
      <c r="UMF3" s="946"/>
      <c r="UMG3" s="946"/>
      <c r="UMH3" s="946"/>
      <c r="UMI3" s="946"/>
      <c r="UMJ3" s="946"/>
      <c r="UMK3" s="946"/>
      <c r="UML3" s="946"/>
      <c r="UMM3" s="946"/>
      <c r="UMN3" s="946"/>
      <c r="UMO3" s="946"/>
      <c r="UMP3" s="946"/>
      <c r="UMQ3" s="946"/>
      <c r="UMR3" s="946"/>
      <c r="UMS3" s="946"/>
      <c r="UMT3" s="946"/>
      <c r="UMU3" s="946"/>
      <c r="UMV3" s="946"/>
      <c r="UMW3" s="946"/>
      <c r="UMX3" s="946"/>
      <c r="UMY3" s="946"/>
      <c r="UMZ3" s="946"/>
      <c r="UNA3" s="946"/>
      <c r="UNB3" s="946"/>
      <c r="UNC3" s="946"/>
      <c r="UND3" s="946"/>
      <c r="UNE3" s="946"/>
      <c r="UNF3" s="946"/>
      <c r="UNG3" s="946"/>
      <c r="UNH3" s="946"/>
      <c r="UNI3" s="946"/>
      <c r="UNJ3" s="946"/>
      <c r="UNK3" s="946"/>
      <c r="UNL3" s="946"/>
      <c r="UNM3" s="946"/>
      <c r="UNN3" s="946"/>
      <c r="UNO3" s="946"/>
      <c r="UNP3" s="946"/>
      <c r="UNQ3" s="946"/>
      <c r="UNR3" s="946"/>
      <c r="UNS3" s="946"/>
      <c r="UNT3" s="946"/>
      <c r="UNU3" s="946"/>
      <c r="UNV3" s="946"/>
      <c r="UNW3" s="946"/>
      <c r="UNX3" s="946"/>
      <c r="UNY3" s="946"/>
      <c r="UNZ3" s="946"/>
      <c r="UOA3" s="946"/>
      <c r="UOB3" s="946"/>
      <c r="UOC3" s="946"/>
      <c r="UOD3" s="946"/>
      <c r="UOE3" s="946"/>
      <c r="UOF3" s="946"/>
      <c r="UOG3" s="946"/>
      <c r="UOH3" s="946"/>
      <c r="UOI3" s="946"/>
      <c r="UOJ3" s="946"/>
      <c r="UOK3" s="946"/>
      <c r="UOL3" s="946"/>
      <c r="UOM3" s="946"/>
      <c r="UON3" s="946"/>
      <c r="UOO3" s="946"/>
      <c r="UOP3" s="946"/>
      <c r="UOQ3" s="946"/>
      <c r="UOR3" s="946"/>
      <c r="UOS3" s="946"/>
      <c r="UOT3" s="946"/>
      <c r="UOU3" s="946"/>
      <c r="UOV3" s="946"/>
      <c r="UOW3" s="946"/>
      <c r="UOX3" s="946"/>
      <c r="UOY3" s="946"/>
      <c r="UOZ3" s="946"/>
      <c r="UPA3" s="946"/>
      <c r="UPB3" s="946"/>
      <c r="UPC3" s="946"/>
      <c r="UPD3" s="946"/>
      <c r="UPE3" s="946"/>
      <c r="UPF3" s="946"/>
      <c r="UPG3" s="946"/>
      <c r="UPH3" s="946"/>
      <c r="UPI3" s="946"/>
      <c r="UPJ3" s="946"/>
      <c r="UPK3" s="946"/>
      <c r="UPL3" s="946"/>
      <c r="UPM3" s="946"/>
      <c r="UPN3" s="946"/>
      <c r="UPO3" s="946"/>
      <c r="UPP3" s="946"/>
      <c r="UPQ3" s="946"/>
      <c r="UPR3" s="946"/>
      <c r="UPS3" s="946"/>
      <c r="UPT3" s="946"/>
      <c r="UPU3" s="946"/>
      <c r="UPV3" s="946"/>
      <c r="UPW3" s="946"/>
      <c r="UPX3" s="946"/>
      <c r="UPY3" s="946"/>
      <c r="UPZ3" s="946"/>
      <c r="UQA3" s="946"/>
      <c r="UQB3" s="946"/>
      <c r="UQC3" s="946"/>
      <c r="UQD3" s="946"/>
      <c r="UQE3" s="946"/>
      <c r="UQF3" s="946"/>
      <c r="UQG3" s="946"/>
      <c r="UQH3" s="946"/>
      <c r="UQI3" s="946"/>
      <c r="UQJ3" s="946"/>
      <c r="UQK3" s="946"/>
      <c r="UQL3" s="946"/>
      <c r="UQM3" s="946"/>
      <c r="UQN3" s="946"/>
      <c r="UQO3" s="946"/>
      <c r="UQP3" s="946"/>
      <c r="UQQ3" s="946"/>
      <c r="UQR3" s="946"/>
      <c r="UQS3" s="946"/>
      <c r="UQT3" s="946"/>
      <c r="UQU3" s="946"/>
      <c r="UQV3" s="946"/>
      <c r="UQW3" s="946"/>
      <c r="UQX3" s="946"/>
      <c r="UQY3" s="946"/>
      <c r="UQZ3" s="946"/>
      <c r="URA3" s="946"/>
      <c r="URB3" s="946"/>
      <c r="URC3" s="946"/>
      <c r="URD3" s="946"/>
      <c r="URE3" s="946"/>
      <c r="URF3" s="946"/>
      <c r="URG3" s="946"/>
      <c r="URH3" s="946"/>
      <c r="URI3" s="946"/>
      <c r="URJ3" s="946"/>
      <c r="URK3" s="946"/>
      <c r="URL3" s="946"/>
      <c r="URM3" s="946"/>
      <c r="URN3" s="946"/>
      <c r="URO3" s="946"/>
      <c r="URP3" s="946"/>
      <c r="URQ3" s="946"/>
      <c r="URR3" s="946"/>
      <c r="URS3" s="946"/>
      <c r="URT3" s="946"/>
      <c r="URU3" s="946"/>
      <c r="URV3" s="946"/>
      <c r="URW3" s="946"/>
      <c r="URX3" s="946"/>
      <c r="URY3" s="946"/>
      <c r="URZ3" s="946"/>
      <c r="USA3" s="946"/>
      <c r="USB3" s="946"/>
      <c r="USC3" s="946"/>
      <c r="USD3" s="946"/>
      <c r="USE3" s="946"/>
      <c r="USF3" s="946"/>
      <c r="USG3" s="946"/>
      <c r="USH3" s="946"/>
      <c r="USI3" s="946"/>
      <c r="USJ3" s="946"/>
      <c r="USK3" s="946"/>
      <c r="USL3" s="946"/>
      <c r="USM3" s="946"/>
      <c r="USN3" s="946"/>
      <c r="USO3" s="946"/>
      <c r="USP3" s="946"/>
      <c r="USQ3" s="946"/>
      <c r="USR3" s="946"/>
      <c r="USS3" s="946"/>
      <c r="UST3" s="946"/>
      <c r="USU3" s="946"/>
      <c r="USV3" s="946"/>
      <c r="USW3" s="946"/>
      <c r="USX3" s="946"/>
      <c r="USY3" s="946"/>
      <c r="USZ3" s="946"/>
      <c r="UTA3" s="946"/>
      <c r="UTB3" s="946"/>
      <c r="UTC3" s="946"/>
      <c r="UTD3" s="946"/>
      <c r="UTE3" s="946"/>
      <c r="UTF3" s="946"/>
      <c r="UTG3" s="946"/>
      <c r="UTH3" s="946"/>
      <c r="UTI3" s="946"/>
      <c r="UTJ3" s="946"/>
      <c r="UTK3" s="946"/>
      <c r="UTL3" s="946"/>
      <c r="UTM3" s="946"/>
      <c r="UTN3" s="946"/>
      <c r="UTO3" s="946"/>
      <c r="UTP3" s="946"/>
      <c r="UTQ3" s="946"/>
      <c r="UTR3" s="946"/>
      <c r="UTS3" s="946"/>
      <c r="UTT3" s="946"/>
      <c r="UTU3" s="946"/>
      <c r="UTV3" s="946"/>
      <c r="UTW3" s="946"/>
      <c r="UTX3" s="946"/>
      <c r="UTY3" s="946"/>
      <c r="UTZ3" s="946"/>
      <c r="UUA3" s="946"/>
      <c r="UUB3" s="946"/>
      <c r="UUC3" s="946"/>
      <c r="UUD3" s="946"/>
      <c r="UUE3" s="946"/>
      <c r="UUF3" s="946"/>
      <c r="UUG3" s="946"/>
      <c r="UUH3" s="946"/>
      <c r="UUI3" s="946"/>
      <c r="UUJ3" s="946"/>
      <c r="UUK3" s="946"/>
      <c r="UUL3" s="946"/>
      <c r="UUM3" s="946"/>
      <c r="UUN3" s="946"/>
      <c r="UUO3" s="946"/>
      <c r="UUP3" s="946"/>
      <c r="UUQ3" s="946"/>
      <c r="UUR3" s="946"/>
      <c r="UUS3" s="946"/>
      <c r="UUT3" s="946"/>
      <c r="UUU3" s="946"/>
      <c r="UUV3" s="946"/>
      <c r="UUW3" s="946"/>
      <c r="UUX3" s="946"/>
      <c r="UUY3" s="946"/>
      <c r="UUZ3" s="946"/>
      <c r="UVA3" s="946"/>
      <c r="UVB3" s="946"/>
      <c r="UVC3" s="946"/>
      <c r="UVD3" s="946"/>
      <c r="UVE3" s="946"/>
      <c r="UVF3" s="946"/>
      <c r="UVG3" s="946"/>
      <c r="UVH3" s="946"/>
      <c r="UVI3" s="946"/>
      <c r="UVJ3" s="946"/>
      <c r="UVK3" s="946"/>
      <c r="UVL3" s="946"/>
      <c r="UVM3" s="946"/>
      <c r="UVN3" s="946"/>
      <c r="UVO3" s="946"/>
      <c r="UVP3" s="946"/>
      <c r="UVQ3" s="946"/>
      <c r="UVR3" s="946"/>
      <c r="UVS3" s="946"/>
      <c r="UVT3" s="946"/>
      <c r="UVU3" s="946"/>
      <c r="UVV3" s="946"/>
      <c r="UVW3" s="946"/>
      <c r="UVX3" s="946"/>
      <c r="UVY3" s="946"/>
      <c r="UVZ3" s="946"/>
      <c r="UWA3" s="946"/>
      <c r="UWB3" s="946"/>
      <c r="UWC3" s="946"/>
      <c r="UWD3" s="946"/>
      <c r="UWE3" s="946"/>
      <c r="UWF3" s="946"/>
      <c r="UWG3" s="946"/>
      <c r="UWH3" s="946"/>
      <c r="UWI3" s="946"/>
      <c r="UWJ3" s="946"/>
      <c r="UWK3" s="946"/>
      <c r="UWL3" s="946"/>
      <c r="UWM3" s="946"/>
      <c r="UWN3" s="946"/>
      <c r="UWO3" s="946"/>
      <c r="UWP3" s="946"/>
      <c r="UWQ3" s="946"/>
      <c r="UWR3" s="946"/>
      <c r="UWS3" s="946"/>
      <c r="UWT3" s="946"/>
      <c r="UWU3" s="946"/>
      <c r="UWV3" s="946"/>
      <c r="UWW3" s="946"/>
      <c r="UWX3" s="946"/>
      <c r="UWY3" s="946"/>
      <c r="UWZ3" s="946"/>
      <c r="UXA3" s="946"/>
      <c r="UXB3" s="946"/>
      <c r="UXC3" s="946"/>
      <c r="UXD3" s="946"/>
      <c r="UXE3" s="946"/>
      <c r="UXF3" s="946"/>
      <c r="UXG3" s="946"/>
      <c r="UXH3" s="946"/>
      <c r="UXI3" s="946"/>
      <c r="UXJ3" s="946"/>
      <c r="UXK3" s="946"/>
      <c r="UXL3" s="946"/>
      <c r="UXM3" s="946"/>
      <c r="UXN3" s="946"/>
      <c r="UXO3" s="946"/>
      <c r="UXP3" s="946"/>
      <c r="UXQ3" s="946"/>
      <c r="UXR3" s="946"/>
      <c r="UXS3" s="946"/>
      <c r="UXT3" s="946"/>
      <c r="UXU3" s="946"/>
      <c r="UXV3" s="946"/>
      <c r="UXW3" s="946"/>
      <c r="UXX3" s="946"/>
      <c r="UXY3" s="946"/>
      <c r="UXZ3" s="946"/>
      <c r="UYA3" s="946"/>
      <c r="UYB3" s="946"/>
      <c r="UYC3" s="946"/>
      <c r="UYD3" s="946"/>
      <c r="UYE3" s="946"/>
      <c r="UYF3" s="946"/>
      <c r="UYG3" s="946"/>
      <c r="UYH3" s="946"/>
      <c r="UYI3" s="946"/>
      <c r="UYJ3" s="946"/>
      <c r="UYK3" s="946"/>
      <c r="UYL3" s="946"/>
      <c r="UYM3" s="946"/>
      <c r="UYN3" s="946"/>
      <c r="UYO3" s="946"/>
      <c r="UYP3" s="946"/>
      <c r="UYQ3" s="946"/>
      <c r="UYR3" s="946"/>
      <c r="UYS3" s="946"/>
      <c r="UYT3" s="946"/>
      <c r="UYU3" s="946"/>
      <c r="UYV3" s="946"/>
      <c r="UYW3" s="946"/>
      <c r="UYX3" s="946"/>
      <c r="UYY3" s="946"/>
      <c r="UYZ3" s="946"/>
      <c r="UZA3" s="946"/>
      <c r="UZB3" s="946"/>
      <c r="UZC3" s="946"/>
      <c r="UZD3" s="946"/>
      <c r="UZE3" s="946"/>
      <c r="UZF3" s="946"/>
      <c r="UZG3" s="946"/>
      <c r="UZH3" s="946"/>
      <c r="UZI3" s="946"/>
      <c r="UZJ3" s="946"/>
      <c r="UZK3" s="946"/>
      <c r="UZL3" s="946"/>
      <c r="UZM3" s="946"/>
      <c r="UZN3" s="946"/>
      <c r="UZO3" s="946"/>
      <c r="UZP3" s="946"/>
      <c r="UZQ3" s="946"/>
      <c r="UZR3" s="946"/>
      <c r="UZS3" s="946"/>
      <c r="UZT3" s="946"/>
      <c r="UZU3" s="946"/>
      <c r="UZV3" s="946"/>
      <c r="UZW3" s="946"/>
      <c r="UZX3" s="946"/>
      <c r="UZY3" s="946"/>
      <c r="UZZ3" s="946"/>
      <c r="VAA3" s="946"/>
      <c r="VAB3" s="946"/>
      <c r="VAC3" s="946"/>
      <c r="VAD3" s="946"/>
      <c r="VAE3" s="946"/>
      <c r="VAF3" s="946"/>
      <c r="VAG3" s="946"/>
      <c r="VAH3" s="946"/>
      <c r="VAI3" s="946"/>
      <c r="VAJ3" s="946"/>
      <c r="VAK3" s="946"/>
      <c r="VAL3" s="946"/>
      <c r="VAM3" s="946"/>
      <c r="VAN3" s="946"/>
      <c r="VAO3" s="946"/>
      <c r="VAP3" s="946"/>
      <c r="VAQ3" s="946"/>
      <c r="VAR3" s="946"/>
      <c r="VAS3" s="946"/>
      <c r="VAT3" s="946"/>
      <c r="VAU3" s="946"/>
      <c r="VAV3" s="946"/>
      <c r="VAW3" s="946"/>
      <c r="VAX3" s="946"/>
      <c r="VAY3" s="946"/>
      <c r="VAZ3" s="946"/>
      <c r="VBA3" s="946"/>
      <c r="VBB3" s="946"/>
      <c r="VBC3" s="946"/>
      <c r="VBD3" s="946"/>
      <c r="VBE3" s="946"/>
      <c r="VBF3" s="946"/>
      <c r="VBG3" s="946"/>
      <c r="VBH3" s="946"/>
      <c r="VBI3" s="946"/>
      <c r="VBJ3" s="946"/>
      <c r="VBK3" s="946"/>
      <c r="VBL3" s="946"/>
      <c r="VBM3" s="946"/>
      <c r="VBN3" s="946"/>
      <c r="VBO3" s="946"/>
      <c r="VBP3" s="946"/>
      <c r="VBQ3" s="946"/>
      <c r="VBR3" s="946"/>
      <c r="VBS3" s="946"/>
      <c r="VBT3" s="946"/>
      <c r="VBU3" s="946"/>
      <c r="VBV3" s="946"/>
      <c r="VBW3" s="946"/>
      <c r="VBX3" s="946"/>
      <c r="VBY3" s="946"/>
      <c r="VBZ3" s="946"/>
      <c r="VCA3" s="946"/>
      <c r="VCB3" s="946"/>
      <c r="VCC3" s="946"/>
      <c r="VCD3" s="946"/>
      <c r="VCE3" s="946"/>
      <c r="VCF3" s="946"/>
      <c r="VCG3" s="946"/>
      <c r="VCH3" s="946"/>
      <c r="VCI3" s="946"/>
      <c r="VCJ3" s="946"/>
      <c r="VCK3" s="946"/>
      <c r="VCL3" s="946"/>
      <c r="VCM3" s="946"/>
      <c r="VCN3" s="946"/>
      <c r="VCO3" s="946"/>
      <c r="VCP3" s="946"/>
      <c r="VCQ3" s="946"/>
      <c r="VCR3" s="946"/>
      <c r="VCS3" s="946"/>
      <c r="VCT3" s="946"/>
      <c r="VCU3" s="946"/>
      <c r="VCV3" s="946"/>
      <c r="VCW3" s="946"/>
      <c r="VCX3" s="946"/>
      <c r="VCY3" s="946"/>
      <c r="VCZ3" s="946"/>
      <c r="VDA3" s="946"/>
      <c r="VDB3" s="946"/>
      <c r="VDC3" s="946"/>
      <c r="VDD3" s="946"/>
      <c r="VDE3" s="946"/>
      <c r="VDF3" s="946"/>
      <c r="VDG3" s="946"/>
      <c r="VDH3" s="946"/>
      <c r="VDI3" s="946"/>
      <c r="VDJ3" s="946"/>
      <c r="VDK3" s="946"/>
      <c r="VDL3" s="946"/>
      <c r="VDM3" s="946"/>
      <c r="VDN3" s="946"/>
      <c r="VDO3" s="946"/>
      <c r="VDP3" s="946"/>
      <c r="VDQ3" s="946"/>
      <c r="VDR3" s="946"/>
      <c r="VDS3" s="946"/>
      <c r="VDT3" s="946"/>
      <c r="VDU3" s="946"/>
      <c r="VDV3" s="946"/>
      <c r="VDW3" s="946"/>
      <c r="VDX3" s="946"/>
      <c r="VDY3" s="946"/>
      <c r="VDZ3" s="946"/>
      <c r="VEA3" s="946"/>
      <c r="VEB3" s="946"/>
      <c r="VEC3" s="946"/>
      <c r="VED3" s="946"/>
      <c r="VEE3" s="946"/>
      <c r="VEF3" s="946"/>
      <c r="VEG3" s="946"/>
      <c r="VEH3" s="946"/>
      <c r="VEI3" s="946"/>
      <c r="VEJ3" s="946"/>
      <c r="VEK3" s="946"/>
      <c r="VEL3" s="946"/>
      <c r="VEM3" s="946"/>
      <c r="VEN3" s="946"/>
      <c r="VEO3" s="946"/>
      <c r="VEP3" s="946"/>
      <c r="VEQ3" s="946"/>
      <c r="VER3" s="946"/>
      <c r="VES3" s="946"/>
      <c r="VET3" s="946"/>
      <c r="VEU3" s="946"/>
      <c r="VEV3" s="946"/>
      <c r="VEW3" s="946"/>
      <c r="VEX3" s="946"/>
      <c r="VEY3" s="946"/>
      <c r="VEZ3" s="946"/>
      <c r="VFA3" s="946"/>
      <c r="VFB3" s="946"/>
      <c r="VFC3" s="946"/>
      <c r="VFD3" s="946"/>
      <c r="VFE3" s="946"/>
      <c r="VFF3" s="946"/>
      <c r="VFG3" s="946"/>
      <c r="VFH3" s="946"/>
      <c r="VFI3" s="946"/>
      <c r="VFJ3" s="946"/>
      <c r="VFK3" s="946"/>
      <c r="VFL3" s="946"/>
      <c r="VFM3" s="946"/>
      <c r="VFN3" s="946"/>
      <c r="VFO3" s="946"/>
      <c r="VFP3" s="946"/>
      <c r="VFQ3" s="946"/>
      <c r="VFR3" s="946"/>
      <c r="VFS3" s="946"/>
      <c r="VFT3" s="946"/>
      <c r="VFU3" s="946"/>
      <c r="VFV3" s="946"/>
      <c r="VFW3" s="946"/>
      <c r="VFX3" s="946"/>
      <c r="VFY3" s="946"/>
      <c r="VFZ3" s="946"/>
      <c r="VGA3" s="946"/>
      <c r="VGB3" s="946"/>
      <c r="VGC3" s="946"/>
      <c r="VGD3" s="946"/>
      <c r="VGE3" s="946"/>
      <c r="VGF3" s="946"/>
      <c r="VGG3" s="946"/>
      <c r="VGH3" s="946"/>
      <c r="VGI3" s="946"/>
      <c r="VGJ3" s="946"/>
      <c r="VGK3" s="946"/>
      <c r="VGL3" s="946"/>
      <c r="VGM3" s="946"/>
      <c r="VGN3" s="946"/>
      <c r="VGO3" s="946"/>
      <c r="VGP3" s="946"/>
      <c r="VGQ3" s="946"/>
      <c r="VGR3" s="946"/>
      <c r="VGS3" s="946"/>
      <c r="VGT3" s="946"/>
      <c r="VGU3" s="946"/>
      <c r="VGV3" s="946"/>
      <c r="VGW3" s="946"/>
      <c r="VGX3" s="946"/>
      <c r="VGY3" s="946"/>
      <c r="VGZ3" s="946"/>
      <c r="VHA3" s="946"/>
      <c r="VHB3" s="946"/>
      <c r="VHC3" s="946"/>
      <c r="VHD3" s="946"/>
      <c r="VHE3" s="946"/>
      <c r="VHF3" s="946"/>
      <c r="VHG3" s="946"/>
      <c r="VHH3" s="946"/>
      <c r="VHI3" s="946"/>
      <c r="VHJ3" s="946"/>
      <c r="VHK3" s="946"/>
      <c r="VHL3" s="946"/>
      <c r="VHM3" s="946"/>
      <c r="VHN3" s="946"/>
      <c r="VHO3" s="946"/>
      <c r="VHP3" s="946"/>
      <c r="VHQ3" s="946"/>
      <c r="VHR3" s="946"/>
      <c r="VHS3" s="946"/>
      <c r="VHT3" s="946"/>
      <c r="VHU3" s="946"/>
      <c r="VHV3" s="946"/>
      <c r="VHW3" s="946"/>
      <c r="VHX3" s="946"/>
      <c r="VHY3" s="946"/>
      <c r="VHZ3" s="946"/>
      <c r="VIA3" s="946"/>
      <c r="VIB3" s="946"/>
      <c r="VIC3" s="946"/>
      <c r="VID3" s="946"/>
      <c r="VIE3" s="946"/>
      <c r="VIF3" s="946"/>
      <c r="VIG3" s="946"/>
      <c r="VIH3" s="946"/>
      <c r="VII3" s="946"/>
      <c r="VIJ3" s="946"/>
      <c r="VIK3" s="946"/>
      <c r="VIL3" s="946"/>
      <c r="VIM3" s="946"/>
      <c r="VIN3" s="946"/>
      <c r="VIO3" s="946"/>
      <c r="VIP3" s="946"/>
      <c r="VIQ3" s="946"/>
      <c r="VIR3" s="946"/>
      <c r="VIS3" s="946"/>
      <c r="VIT3" s="946"/>
      <c r="VIU3" s="946"/>
      <c r="VIV3" s="946"/>
      <c r="VIW3" s="946"/>
      <c r="VIX3" s="946"/>
      <c r="VIY3" s="946"/>
      <c r="VIZ3" s="946"/>
      <c r="VJA3" s="946"/>
      <c r="VJB3" s="946"/>
      <c r="VJC3" s="946"/>
      <c r="VJD3" s="946"/>
      <c r="VJE3" s="946"/>
      <c r="VJF3" s="946"/>
      <c r="VJG3" s="946"/>
      <c r="VJH3" s="946"/>
      <c r="VJI3" s="946"/>
      <c r="VJJ3" s="946"/>
      <c r="VJK3" s="946"/>
      <c r="VJL3" s="946"/>
      <c r="VJM3" s="946"/>
      <c r="VJN3" s="946"/>
      <c r="VJO3" s="946"/>
      <c r="VJP3" s="946"/>
      <c r="VJQ3" s="946"/>
      <c r="VJR3" s="946"/>
      <c r="VJS3" s="946"/>
      <c r="VJT3" s="946"/>
      <c r="VJU3" s="946"/>
      <c r="VJV3" s="946"/>
      <c r="VJW3" s="946"/>
      <c r="VJX3" s="946"/>
      <c r="VJY3" s="946"/>
      <c r="VJZ3" s="946"/>
      <c r="VKA3" s="946"/>
      <c r="VKB3" s="946"/>
      <c r="VKC3" s="946"/>
      <c r="VKD3" s="946"/>
      <c r="VKE3" s="946"/>
      <c r="VKF3" s="946"/>
      <c r="VKG3" s="946"/>
      <c r="VKH3" s="946"/>
      <c r="VKI3" s="946"/>
      <c r="VKJ3" s="946"/>
      <c r="VKK3" s="946"/>
      <c r="VKL3" s="946"/>
      <c r="VKM3" s="946"/>
      <c r="VKN3" s="946"/>
      <c r="VKO3" s="946"/>
      <c r="VKP3" s="946"/>
      <c r="VKQ3" s="946"/>
      <c r="VKR3" s="946"/>
      <c r="VKS3" s="946"/>
      <c r="VKT3" s="946"/>
      <c r="VKU3" s="946"/>
      <c r="VKV3" s="946"/>
      <c r="VKW3" s="946"/>
      <c r="VKX3" s="946"/>
      <c r="VKY3" s="946"/>
      <c r="VKZ3" s="946"/>
      <c r="VLA3" s="946"/>
      <c r="VLB3" s="946"/>
      <c r="VLC3" s="946"/>
      <c r="VLD3" s="946"/>
      <c r="VLE3" s="946"/>
      <c r="VLF3" s="946"/>
      <c r="VLG3" s="946"/>
      <c r="VLH3" s="946"/>
      <c r="VLI3" s="946"/>
      <c r="VLJ3" s="946"/>
      <c r="VLK3" s="946"/>
      <c r="VLL3" s="946"/>
      <c r="VLM3" s="946"/>
      <c r="VLN3" s="946"/>
      <c r="VLO3" s="946"/>
      <c r="VLP3" s="946"/>
      <c r="VLQ3" s="946"/>
      <c r="VLR3" s="946"/>
      <c r="VLS3" s="946"/>
      <c r="VLT3" s="946"/>
      <c r="VLU3" s="946"/>
      <c r="VLV3" s="946"/>
      <c r="VLW3" s="946"/>
      <c r="VLX3" s="946"/>
      <c r="VLY3" s="946"/>
      <c r="VLZ3" s="946"/>
      <c r="VMA3" s="946"/>
      <c r="VMB3" s="946"/>
      <c r="VMC3" s="946"/>
      <c r="VMD3" s="946"/>
      <c r="VME3" s="946"/>
      <c r="VMF3" s="946"/>
      <c r="VMG3" s="946"/>
      <c r="VMH3" s="946"/>
      <c r="VMI3" s="946"/>
      <c r="VMJ3" s="946"/>
      <c r="VMK3" s="946"/>
      <c r="VML3" s="946"/>
      <c r="VMM3" s="946"/>
      <c r="VMN3" s="946"/>
      <c r="VMO3" s="946"/>
      <c r="VMP3" s="946"/>
      <c r="VMQ3" s="946"/>
      <c r="VMR3" s="946"/>
      <c r="VMS3" s="946"/>
      <c r="VMT3" s="946"/>
      <c r="VMU3" s="946"/>
      <c r="VMV3" s="946"/>
      <c r="VMW3" s="946"/>
      <c r="VMX3" s="946"/>
      <c r="VMY3" s="946"/>
      <c r="VMZ3" s="946"/>
      <c r="VNA3" s="946"/>
      <c r="VNB3" s="946"/>
      <c r="VNC3" s="946"/>
      <c r="VND3" s="946"/>
      <c r="VNE3" s="946"/>
      <c r="VNF3" s="946"/>
      <c r="VNG3" s="946"/>
      <c r="VNH3" s="946"/>
      <c r="VNI3" s="946"/>
      <c r="VNJ3" s="946"/>
      <c r="VNK3" s="946"/>
      <c r="VNL3" s="946"/>
      <c r="VNM3" s="946"/>
      <c r="VNN3" s="946"/>
      <c r="VNO3" s="946"/>
      <c r="VNP3" s="946"/>
      <c r="VNQ3" s="946"/>
      <c r="VNR3" s="946"/>
      <c r="VNS3" s="946"/>
      <c r="VNT3" s="946"/>
      <c r="VNU3" s="946"/>
      <c r="VNV3" s="946"/>
      <c r="VNW3" s="946"/>
      <c r="VNX3" s="946"/>
      <c r="VNY3" s="946"/>
      <c r="VNZ3" s="946"/>
      <c r="VOA3" s="946"/>
      <c r="VOB3" s="946"/>
      <c r="VOC3" s="946"/>
      <c r="VOD3" s="946"/>
      <c r="VOE3" s="946"/>
      <c r="VOF3" s="946"/>
      <c r="VOG3" s="946"/>
      <c r="VOH3" s="946"/>
      <c r="VOI3" s="946"/>
      <c r="VOJ3" s="946"/>
      <c r="VOK3" s="946"/>
      <c r="VOL3" s="946"/>
      <c r="VOM3" s="946"/>
      <c r="VON3" s="946"/>
      <c r="VOO3" s="946"/>
      <c r="VOP3" s="946"/>
      <c r="VOQ3" s="946"/>
      <c r="VOR3" s="946"/>
      <c r="VOS3" s="946"/>
      <c r="VOT3" s="946"/>
      <c r="VOU3" s="946"/>
      <c r="VOV3" s="946"/>
      <c r="VOW3" s="946"/>
      <c r="VOX3" s="946"/>
      <c r="VOY3" s="946"/>
      <c r="VOZ3" s="946"/>
      <c r="VPA3" s="946"/>
      <c r="VPB3" s="946"/>
      <c r="VPC3" s="946"/>
      <c r="VPD3" s="946"/>
      <c r="VPE3" s="946"/>
      <c r="VPF3" s="946"/>
      <c r="VPG3" s="946"/>
      <c r="VPH3" s="946"/>
      <c r="VPI3" s="946"/>
      <c r="VPJ3" s="946"/>
      <c r="VPK3" s="946"/>
      <c r="VPL3" s="946"/>
      <c r="VPM3" s="946"/>
      <c r="VPN3" s="946"/>
      <c r="VPO3" s="946"/>
      <c r="VPP3" s="946"/>
      <c r="VPQ3" s="946"/>
      <c r="VPR3" s="946"/>
      <c r="VPS3" s="946"/>
      <c r="VPT3" s="946"/>
      <c r="VPU3" s="946"/>
      <c r="VPV3" s="946"/>
      <c r="VPW3" s="946"/>
      <c r="VPX3" s="946"/>
      <c r="VPY3" s="946"/>
      <c r="VPZ3" s="946"/>
      <c r="VQA3" s="946"/>
      <c r="VQB3" s="946"/>
      <c r="VQC3" s="946"/>
      <c r="VQD3" s="946"/>
      <c r="VQE3" s="946"/>
      <c r="VQF3" s="946"/>
      <c r="VQG3" s="946"/>
      <c r="VQH3" s="946"/>
      <c r="VQI3" s="946"/>
      <c r="VQJ3" s="946"/>
      <c r="VQK3" s="946"/>
      <c r="VQL3" s="946"/>
      <c r="VQM3" s="946"/>
      <c r="VQN3" s="946"/>
      <c r="VQO3" s="946"/>
      <c r="VQP3" s="946"/>
      <c r="VQQ3" s="946"/>
      <c r="VQR3" s="946"/>
      <c r="VQS3" s="946"/>
      <c r="VQT3" s="946"/>
      <c r="VQU3" s="946"/>
      <c r="VQV3" s="946"/>
      <c r="VQW3" s="946"/>
      <c r="VQX3" s="946"/>
      <c r="VQY3" s="946"/>
      <c r="VQZ3" s="946"/>
      <c r="VRA3" s="946"/>
      <c r="VRB3" s="946"/>
      <c r="VRC3" s="946"/>
      <c r="VRD3" s="946"/>
      <c r="VRE3" s="946"/>
      <c r="VRF3" s="946"/>
      <c r="VRG3" s="946"/>
      <c r="VRH3" s="946"/>
      <c r="VRI3" s="946"/>
      <c r="VRJ3" s="946"/>
      <c r="VRK3" s="946"/>
      <c r="VRL3" s="946"/>
      <c r="VRM3" s="946"/>
      <c r="VRN3" s="946"/>
      <c r="VRO3" s="946"/>
      <c r="VRP3" s="946"/>
      <c r="VRQ3" s="946"/>
      <c r="VRR3" s="946"/>
      <c r="VRS3" s="946"/>
      <c r="VRT3" s="946"/>
      <c r="VRU3" s="946"/>
      <c r="VRV3" s="946"/>
      <c r="VRW3" s="946"/>
      <c r="VRX3" s="946"/>
      <c r="VRY3" s="946"/>
      <c r="VRZ3" s="946"/>
      <c r="VSA3" s="946"/>
      <c r="VSB3" s="946"/>
      <c r="VSC3" s="946"/>
      <c r="VSD3" s="946"/>
      <c r="VSE3" s="946"/>
      <c r="VSF3" s="946"/>
      <c r="VSG3" s="946"/>
      <c r="VSH3" s="946"/>
      <c r="VSI3" s="946"/>
      <c r="VSJ3" s="946"/>
      <c r="VSK3" s="946"/>
      <c r="VSL3" s="946"/>
      <c r="VSM3" s="946"/>
      <c r="VSN3" s="946"/>
      <c r="VSO3" s="946"/>
      <c r="VSP3" s="946"/>
      <c r="VSQ3" s="946"/>
      <c r="VSR3" s="946"/>
      <c r="VSS3" s="946"/>
      <c r="VST3" s="946"/>
      <c r="VSU3" s="946"/>
      <c r="VSV3" s="946"/>
      <c r="VSW3" s="946"/>
      <c r="VSX3" s="946"/>
      <c r="VSY3" s="946"/>
      <c r="VSZ3" s="946"/>
      <c r="VTA3" s="946"/>
      <c r="VTB3" s="946"/>
      <c r="VTC3" s="946"/>
      <c r="VTD3" s="946"/>
      <c r="VTE3" s="946"/>
      <c r="VTF3" s="946"/>
      <c r="VTG3" s="946"/>
      <c r="VTH3" s="946"/>
      <c r="VTI3" s="946"/>
      <c r="VTJ3" s="946"/>
      <c r="VTK3" s="946"/>
      <c r="VTL3" s="946"/>
      <c r="VTM3" s="946"/>
      <c r="VTN3" s="946"/>
      <c r="VTO3" s="946"/>
      <c r="VTP3" s="946"/>
      <c r="VTQ3" s="946"/>
      <c r="VTR3" s="946"/>
      <c r="VTS3" s="946"/>
      <c r="VTT3" s="946"/>
      <c r="VTU3" s="946"/>
      <c r="VTV3" s="946"/>
      <c r="VTW3" s="946"/>
      <c r="VTX3" s="946"/>
      <c r="VTY3" s="946"/>
      <c r="VTZ3" s="946"/>
      <c r="VUA3" s="946"/>
      <c r="VUB3" s="946"/>
      <c r="VUC3" s="946"/>
      <c r="VUD3" s="946"/>
      <c r="VUE3" s="946"/>
      <c r="VUF3" s="946"/>
      <c r="VUG3" s="946"/>
      <c r="VUH3" s="946"/>
      <c r="VUI3" s="946"/>
      <c r="VUJ3" s="946"/>
      <c r="VUK3" s="946"/>
      <c r="VUL3" s="946"/>
      <c r="VUM3" s="946"/>
      <c r="VUN3" s="946"/>
      <c r="VUO3" s="946"/>
      <c r="VUP3" s="946"/>
      <c r="VUQ3" s="946"/>
      <c r="VUR3" s="946"/>
      <c r="VUS3" s="946"/>
      <c r="VUT3" s="946"/>
      <c r="VUU3" s="946"/>
      <c r="VUV3" s="946"/>
      <c r="VUW3" s="946"/>
      <c r="VUX3" s="946"/>
      <c r="VUY3" s="946"/>
      <c r="VUZ3" s="946"/>
      <c r="VVA3" s="946"/>
      <c r="VVB3" s="946"/>
      <c r="VVC3" s="946"/>
      <c r="VVD3" s="946"/>
      <c r="VVE3" s="946"/>
      <c r="VVF3" s="946"/>
      <c r="VVG3" s="946"/>
      <c r="VVH3" s="946"/>
      <c r="VVI3" s="946"/>
      <c r="VVJ3" s="946"/>
      <c r="VVK3" s="946"/>
      <c r="VVL3" s="946"/>
      <c r="VVM3" s="946"/>
      <c r="VVN3" s="946"/>
      <c r="VVO3" s="946"/>
      <c r="VVP3" s="946"/>
      <c r="VVQ3" s="946"/>
      <c r="VVR3" s="946"/>
      <c r="VVS3" s="946"/>
      <c r="VVT3" s="946"/>
      <c r="VVU3" s="946"/>
      <c r="VVV3" s="946"/>
      <c r="VVW3" s="946"/>
      <c r="VVX3" s="946"/>
      <c r="VVY3" s="946"/>
      <c r="VVZ3" s="946"/>
      <c r="VWA3" s="946"/>
      <c r="VWB3" s="946"/>
      <c r="VWC3" s="946"/>
      <c r="VWD3" s="946"/>
      <c r="VWE3" s="946"/>
      <c r="VWF3" s="946"/>
      <c r="VWG3" s="946"/>
      <c r="VWH3" s="946"/>
      <c r="VWI3" s="946"/>
      <c r="VWJ3" s="946"/>
      <c r="VWK3" s="946"/>
      <c r="VWL3" s="946"/>
      <c r="VWM3" s="946"/>
      <c r="VWN3" s="946"/>
      <c r="VWO3" s="946"/>
      <c r="VWP3" s="946"/>
      <c r="VWQ3" s="946"/>
      <c r="VWR3" s="946"/>
      <c r="VWS3" s="946"/>
      <c r="VWT3" s="946"/>
      <c r="VWU3" s="946"/>
      <c r="VWV3" s="946"/>
      <c r="VWW3" s="946"/>
      <c r="VWX3" s="946"/>
      <c r="VWY3" s="946"/>
      <c r="VWZ3" s="946"/>
      <c r="VXA3" s="946"/>
      <c r="VXB3" s="946"/>
      <c r="VXC3" s="946"/>
      <c r="VXD3" s="946"/>
      <c r="VXE3" s="946"/>
      <c r="VXF3" s="946"/>
      <c r="VXG3" s="946"/>
      <c r="VXH3" s="946"/>
      <c r="VXI3" s="946"/>
      <c r="VXJ3" s="946"/>
      <c r="VXK3" s="946"/>
      <c r="VXL3" s="946"/>
      <c r="VXM3" s="946"/>
      <c r="VXN3" s="946"/>
      <c r="VXO3" s="946"/>
      <c r="VXP3" s="946"/>
      <c r="VXQ3" s="946"/>
      <c r="VXR3" s="946"/>
      <c r="VXS3" s="946"/>
      <c r="VXT3" s="946"/>
      <c r="VXU3" s="946"/>
      <c r="VXV3" s="946"/>
      <c r="VXW3" s="946"/>
      <c r="VXX3" s="946"/>
      <c r="VXY3" s="946"/>
      <c r="VXZ3" s="946"/>
      <c r="VYA3" s="946"/>
      <c r="VYB3" s="946"/>
      <c r="VYC3" s="946"/>
      <c r="VYD3" s="946"/>
      <c r="VYE3" s="946"/>
      <c r="VYF3" s="946"/>
      <c r="VYG3" s="946"/>
      <c r="VYH3" s="946"/>
      <c r="VYI3" s="946"/>
      <c r="VYJ3" s="946"/>
      <c r="VYK3" s="946"/>
      <c r="VYL3" s="946"/>
      <c r="VYM3" s="946"/>
      <c r="VYN3" s="946"/>
      <c r="VYO3" s="946"/>
      <c r="VYP3" s="946"/>
      <c r="VYQ3" s="946"/>
      <c r="VYR3" s="946"/>
      <c r="VYS3" s="946"/>
      <c r="VYT3" s="946"/>
      <c r="VYU3" s="946"/>
      <c r="VYV3" s="946"/>
      <c r="VYW3" s="946"/>
      <c r="VYX3" s="946"/>
      <c r="VYY3" s="946"/>
      <c r="VYZ3" s="946"/>
      <c r="VZA3" s="946"/>
      <c r="VZB3" s="946"/>
      <c r="VZC3" s="946"/>
      <c r="VZD3" s="946"/>
      <c r="VZE3" s="946"/>
      <c r="VZF3" s="946"/>
      <c r="VZG3" s="946"/>
      <c r="VZH3" s="946"/>
      <c r="VZI3" s="946"/>
      <c r="VZJ3" s="946"/>
      <c r="VZK3" s="946"/>
      <c r="VZL3" s="946"/>
      <c r="VZM3" s="946"/>
      <c r="VZN3" s="946"/>
      <c r="VZO3" s="946"/>
      <c r="VZP3" s="946"/>
      <c r="VZQ3" s="946"/>
      <c r="VZR3" s="946"/>
      <c r="VZS3" s="946"/>
      <c r="VZT3" s="946"/>
      <c r="VZU3" s="946"/>
      <c r="VZV3" s="946"/>
      <c r="VZW3" s="946"/>
      <c r="VZX3" s="946"/>
      <c r="VZY3" s="946"/>
      <c r="VZZ3" s="946"/>
      <c r="WAA3" s="946"/>
      <c r="WAB3" s="946"/>
      <c r="WAC3" s="946"/>
      <c r="WAD3" s="946"/>
      <c r="WAE3" s="946"/>
      <c r="WAF3" s="946"/>
      <c r="WAG3" s="946"/>
      <c r="WAH3" s="946"/>
      <c r="WAI3" s="946"/>
      <c r="WAJ3" s="946"/>
      <c r="WAK3" s="946"/>
      <c r="WAL3" s="946"/>
      <c r="WAM3" s="946"/>
      <c r="WAN3" s="946"/>
      <c r="WAO3" s="946"/>
      <c r="WAP3" s="946"/>
      <c r="WAQ3" s="946"/>
      <c r="WAR3" s="946"/>
      <c r="WAS3" s="946"/>
      <c r="WAT3" s="946"/>
      <c r="WAU3" s="946"/>
      <c r="WAV3" s="946"/>
      <c r="WAW3" s="946"/>
      <c r="WAX3" s="946"/>
      <c r="WAY3" s="946"/>
      <c r="WAZ3" s="946"/>
      <c r="WBA3" s="946"/>
      <c r="WBB3" s="946"/>
      <c r="WBC3" s="946"/>
      <c r="WBD3" s="946"/>
      <c r="WBE3" s="946"/>
      <c r="WBF3" s="946"/>
      <c r="WBG3" s="946"/>
      <c r="WBH3" s="946"/>
      <c r="WBI3" s="946"/>
      <c r="WBJ3" s="946"/>
      <c r="WBK3" s="946"/>
      <c r="WBL3" s="946"/>
      <c r="WBM3" s="946"/>
      <c r="WBN3" s="946"/>
      <c r="WBO3" s="946"/>
      <c r="WBP3" s="946"/>
      <c r="WBQ3" s="946"/>
      <c r="WBR3" s="946"/>
      <c r="WBS3" s="946"/>
      <c r="WBT3" s="946"/>
      <c r="WBU3" s="946"/>
      <c r="WBV3" s="946"/>
      <c r="WBW3" s="946"/>
      <c r="WBX3" s="946"/>
      <c r="WBY3" s="946"/>
      <c r="WBZ3" s="946"/>
      <c r="WCA3" s="946"/>
      <c r="WCB3" s="946"/>
      <c r="WCC3" s="946"/>
      <c r="WCD3" s="946"/>
      <c r="WCE3" s="946"/>
      <c r="WCF3" s="946"/>
      <c r="WCG3" s="946"/>
      <c r="WCH3" s="946"/>
      <c r="WCI3" s="946"/>
      <c r="WCJ3" s="946"/>
      <c r="WCK3" s="946"/>
      <c r="WCL3" s="946"/>
      <c r="WCM3" s="946"/>
      <c r="WCN3" s="946"/>
      <c r="WCO3" s="946"/>
      <c r="WCP3" s="946"/>
      <c r="WCQ3" s="946"/>
      <c r="WCR3" s="946"/>
      <c r="WCS3" s="946"/>
      <c r="WCT3" s="946"/>
      <c r="WCU3" s="946"/>
      <c r="WCV3" s="946"/>
      <c r="WCW3" s="946"/>
      <c r="WCX3" s="946"/>
      <c r="WCY3" s="946"/>
      <c r="WCZ3" s="946"/>
      <c r="WDA3" s="946"/>
      <c r="WDB3" s="946"/>
      <c r="WDC3" s="946"/>
      <c r="WDD3" s="946"/>
      <c r="WDE3" s="946"/>
      <c r="WDF3" s="946"/>
      <c r="WDG3" s="946"/>
      <c r="WDH3" s="946"/>
      <c r="WDI3" s="946"/>
      <c r="WDJ3" s="946"/>
      <c r="WDK3" s="946"/>
      <c r="WDL3" s="946"/>
      <c r="WDM3" s="946"/>
      <c r="WDN3" s="946"/>
      <c r="WDO3" s="946"/>
      <c r="WDP3" s="946"/>
      <c r="WDQ3" s="946"/>
      <c r="WDR3" s="946"/>
      <c r="WDS3" s="946"/>
      <c r="WDT3" s="946"/>
      <c r="WDU3" s="946"/>
      <c r="WDV3" s="946"/>
      <c r="WDW3" s="946"/>
      <c r="WDX3" s="946"/>
      <c r="WDY3" s="946"/>
      <c r="WDZ3" s="946"/>
      <c r="WEA3" s="946"/>
      <c r="WEB3" s="946"/>
      <c r="WEC3" s="946"/>
      <c r="WED3" s="946"/>
      <c r="WEE3" s="946"/>
      <c r="WEF3" s="946"/>
      <c r="WEG3" s="946"/>
      <c r="WEH3" s="946"/>
      <c r="WEI3" s="946"/>
      <c r="WEJ3" s="946"/>
      <c r="WEK3" s="946"/>
      <c r="WEL3" s="946"/>
      <c r="WEM3" s="946"/>
      <c r="WEN3" s="946"/>
      <c r="WEO3" s="946"/>
      <c r="WEP3" s="946"/>
      <c r="WEQ3" s="946"/>
      <c r="WER3" s="946"/>
      <c r="WES3" s="946"/>
      <c r="WET3" s="946"/>
      <c r="WEU3" s="946"/>
      <c r="WEV3" s="946"/>
      <c r="WEW3" s="946"/>
      <c r="WEX3" s="946"/>
      <c r="WEY3" s="946"/>
      <c r="WEZ3" s="946"/>
      <c r="WFA3" s="946"/>
      <c r="WFB3" s="946"/>
      <c r="WFC3" s="946"/>
      <c r="WFD3" s="946"/>
      <c r="WFE3" s="946"/>
      <c r="WFF3" s="946"/>
      <c r="WFG3" s="946"/>
      <c r="WFH3" s="946"/>
      <c r="WFI3" s="946"/>
      <c r="WFJ3" s="946"/>
      <c r="WFK3" s="946"/>
      <c r="WFL3" s="946"/>
      <c r="WFM3" s="946"/>
      <c r="WFN3" s="946"/>
      <c r="WFO3" s="946"/>
      <c r="WFP3" s="946"/>
      <c r="WFQ3" s="946"/>
      <c r="WFR3" s="946"/>
      <c r="WFS3" s="946"/>
      <c r="WFT3" s="946"/>
      <c r="WFU3" s="946"/>
      <c r="WFV3" s="946"/>
      <c r="WFW3" s="946"/>
      <c r="WFX3" s="946"/>
      <c r="WFY3" s="946"/>
      <c r="WFZ3" s="946"/>
      <c r="WGA3" s="946"/>
      <c r="WGB3" s="946"/>
      <c r="WGC3" s="946"/>
      <c r="WGD3" s="946"/>
      <c r="WGE3" s="946"/>
      <c r="WGF3" s="946"/>
      <c r="WGG3" s="946"/>
      <c r="WGH3" s="946"/>
      <c r="WGI3" s="946"/>
      <c r="WGJ3" s="946"/>
      <c r="WGK3" s="946"/>
      <c r="WGL3" s="946"/>
      <c r="WGM3" s="946"/>
      <c r="WGN3" s="946"/>
      <c r="WGO3" s="946"/>
      <c r="WGP3" s="946"/>
      <c r="WGQ3" s="946"/>
      <c r="WGR3" s="946"/>
      <c r="WGS3" s="946"/>
      <c r="WGT3" s="946"/>
      <c r="WGU3" s="946"/>
      <c r="WGV3" s="946"/>
      <c r="WGW3" s="946"/>
      <c r="WGX3" s="946"/>
      <c r="WGY3" s="946"/>
      <c r="WGZ3" s="946"/>
      <c r="WHA3" s="946"/>
      <c r="WHB3" s="946"/>
      <c r="WHC3" s="946"/>
      <c r="WHD3" s="946"/>
      <c r="WHE3" s="946"/>
      <c r="WHF3" s="946"/>
      <c r="WHG3" s="946"/>
      <c r="WHH3" s="946"/>
      <c r="WHI3" s="946"/>
      <c r="WHJ3" s="946"/>
      <c r="WHK3" s="946"/>
      <c r="WHL3" s="946"/>
      <c r="WHM3" s="946"/>
      <c r="WHN3" s="946"/>
      <c r="WHO3" s="946"/>
      <c r="WHP3" s="946"/>
      <c r="WHQ3" s="946"/>
      <c r="WHR3" s="946"/>
      <c r="WHS3" s="946"/>
      <c r="WHT3" s="946"/>
      <c r="WHU3" s="946"/>
      <c r="WHV3" s="946"/>
      <c r="WHW3" s="946"/>
      <c r="WHX3" s="946"/>
      <c r="WHY3" s="946"/>
      <c r="WHZ3" s="946"/>
      <c r="WIA3" s="946"/>
      <c r="WIB3" s="946"/>
      <c r="WIC3" s="946"/>
      <c r="WID3" s="946"/>
      <c r="WIE3" s="946"/>
      <c r="WIF3" s="946"/>
      <c r="WIG3" s="946"/>
      <c r="WIH3" s="946"/>
      <c r="WII3" s="946"/>
      <c r="WIJ3" s="946"/>
      <c r="WIK3" s="946"/>
      <c r="WIL3" s="946"/>
      <c r="WIM3" s="946"/>
      <c r="WIN3" s="946"/>
      <c r="WIO3" s="946"/>
      <c r="WIP3" s="946"/>
      <c r="WIQ3" s="946"/>
      <c r="WIR3" s="946"/>
      <c r="WIS3" s="946"/>
      <c r="WIT3" s="946"/>
      <c r="WIU3" s="946"/>
      <c r="WIV3" s="946"/>
      <c r="WIW3" s="946"/>
      <c r="WIX3" s="946"/>
      <c r="WIY3" s="946"/>
      <c r="WIZ3" s="946"/>
      <c r="WJA3" s="946"/>
      <c r="WJB3" s="946"/>
      <c r="WJC3" s="946"/>
      <c r="WJD3" s="946"/>
      <c r="WJE3" s="946"/>
      <c r="WJF3" s="946"/>
      <c r="WJG3" s="946"/>
      <c r="WJH3" s="946"/>
      <c r="WJI3" s="946"/>
      <c r="WJJ3" s="946"/>
      <c r="WJK3" s="946"/>
      <c r="WJL3" s="946"/>
      <c r="WJM3" s="946"/>
      <c r="WJN3" s="946"/>
      <c r="WJO3" s="946"/>
      <c r="WJP3" s="946"/>
      <c r="WJQ3" s="946"/>
      <c r="WJR3" s="946"/>
      <c r="WJS3" s="946"/>
      <c r="WJT3" s="946"/>
      <c r="WJU3" s="946"/>
      <c r="WJV3" s="946"/>
      <c r="WJW3" s="946"/>
      <c r="WJX3" s="946"/>
      <c r="WJY3" s="946"/>
      <c r="WJZ3" s="946"/>
      <c r="WKA3" s="946"/>
      <c r="WKB3" s="946"/>
      <c r="WKC3" s="946"/>
      <c r="WKD3" s="946"/>
      <c r="WKE3" s="946"/>
      <c r="WKF3" s="946"/>
      <c r="WKG3" s="946"/>
      <c r="WKH3" s="946"/>
      <c r="WKI3" s="946"/>
      <c r="WKJ3" s="946"/>
      <c r="WKK3" s="946"/>
      <c r="WKL3" s="946"/>
      <c r="WKM3" s="946"/>
      <c r="WKN3" s="946"/>
      <c r="WKO3" s="946"/>
      <c r="WKP3" s="946"/>
      <c r="WKQ3" s="946"/>
      <c r="WKR3" s="946"/>
      <c r="WKS3" s="946"/>
      <c r="WKT3" s="946"/>
      <c r="WKU3" s="946"/>
      <c r="WKV3" s="946"/>
      <c r="WKW3" s="946"/>
      <c r="WKX3" s="946"/>
      <c r="WKY3" s="946"/>
      <c r="WKZ3" s="946"/>
      <c r="WLA3" s="946"/>
      <c r="WLB3" s="946"/>
      <c r="WLC3" s="946"/>
      <c r="WLD3" s="946"/>
      <c r="WLE3" s="946"/>
      <c r="WLF3" s="946"/>
      <c r="WLG3" s="946"/>
      <c r="WLH3" s="946"/>
      <c r="WLI3" s="946"/>
      <c r="WLJ3" s="946"/>
      <c r="WLK3" s="946"/>
      <c r="WLL3" s="946"/>
      <c r="WLM3" s="946"/>
      <c r="WLN3" s="946"/>
      <c r="WLO3" s="946"/>
      <c r="WLP3" s="946"/>
      <c r="WLQ3" s="946"/>
      <c r="WLR3" s="946"/>
      <c r="WLS3" s="946"/>
      <c r="WLT3" s="946"/>
      <c r="WLU3" s="946"/>
      <c r="WLV3" s="946"/>
      <c r="WLW3" s="946"/>
      <c r="WLX3" s="946"/>
      <c r="WLY3" s="946"/>
      <c r="WLZ3" s="946"/>
      <c r="WMA3" s="946"/>
      <c r="WMB3" s="946"/>
      <c r="WMC3" s="946"/>
      <c r="WMD3" s="946"/>
      <c r="WME3" s="946"/>
      <c r="WMF3" s="946"/>
      <c r="WMG3" s="946"/>
      <c r="WMH3" s="946"/>
      <c r="WMI3" s="946"/>
      <c r="WMJ3" s="946"/>
      <c r="WMK3" s="946"/>
      <c r="WML3" s="946"/>
      <c r="WMM3" s="946"/>
      <c r="WMN3" s="946"/>
      <c r="WMO3" s="946"/>
      <c r="WMP3" s="946"/>
      <c r="WMQ3" s="946"/>
      <c r="WMR3" s="946"/>
      <c r="WMS3" s="946"/>
      <c r="WMT3" s="946"/>
      <c r="WMU3" s="946"/>
      <c r="WMV3" s="946"/>
      <c r="WMW3" s="946"/>
      <c r="WMX3" s="946"/>
      <c r="WMY3" s="946"/>
      <c r="WMZ3" s="946"/>
      <c r="WNA3" s="946"/>
      <c r="WNB3" s="946"/>
      <c r="WNC3" s="946"/>
      <c r="WND3" s="946"/>
      <c r="WNE3" s="946"/>
      <c r="WNF3" s="946"/>
      <c r="WNG3" s="946"/>
      <c r="WNH3" s="946"/>
      <c r="WNI3" s="946"/>
      <c r="WNJ3" s="946"/>
      <c r="WNK3" s="946"/>
      <c r="WNL3" s="946"/>
      <c r="WNM3" s="946"/>
      <c r="WNN3" s="946"/>
      <c r="WNO3" s="946"/>
      <c r="WNP3" s="946"/>
      <c r="WNQ3" s="946"/>
      <c r="WNR3" s="946"/>
      <c r="WNS3" s="946"/>
      <c r="WNT3" s="946"/>
      <c r="WNU3" s="946"/>
      <c r="WNV3" s="946"/>
      <c r="WNW3" s="946"/>
      <c r="WNX3" s="946"/>
      <c r="WNY3" s="946"/>
      <c r="WNZ3" s="946"/>
      <c r="WOA3" s="946"/>
      <c r="WOB3" s="946"/>
      <c r="WOC3" s="946"/>
      <c r="WOD3" s="946"/>
      <c r="WOE3" s="946"/>
      <c r="WOF3" s="946"/>
      <c r="WOG3" s="946"/>
      <c r="WOH3" s="946"/>
      <c r="WOI3" s="946"/>
      <c r="WOJ3" s="946"/>
      <c r="WOK3" s="946"/>
      <c r="WOL3" s="946"/>
      <c r="WOM3" s="946"/>
      <c r="WON3" s="946"/>
      <c r="WOO3" s="946"/>
      <c r="WOP3" s="946"/>
      <c r="WOQ3" s="946"/>
      <c r="WOR3" s="946"/>
      <c r="WOS3" s="946"/>
      <c r="WOT3" s="946"/>
      <c r="WOU3" s="946"/>
      <c r="WOV3" s="946"/>
      <c r="WOW3" s="946"/>
      <c r="WOX3" s="946"/>
      <c r="WOY3" s="946"/>
      <c r="WOZ3" s="946"/>
      <c r="WPA3" s="946"/>
      <c r="WPB3" s="946"/>
      <c r="WPC3" s="946"/>
      <c r="WPD3" s="946"/>
      <c r="WPE3" s="946"/>
      <c r="WPF3" s="946"/>
      <c r="WPG3" s="946"/>
      <c r="WPH3" s="946"/>
      <c r="WPI3" s="946"/>
      <c r="WPJ3" s="946"/>
      <c r="WPK3" s="946"/>
      <c r="WPL3" s="946"/>
      <c r="WPM3" s="946"/>
      <c r="WPN3" s="946"/>
      <c r="WPO3" s="946"/>
      <c r="WPP3" s="946"/>
      <c r="WPQ3" s="946"/>
      <c r="WPR3" s="946"/>
      <c r="WPS3" s="946"/>
      <c r="WPT3" s="946"/>
      <c r="WPU3" s="946"/>
      <c r="WPV3" s="946"/>
      <c r="WPW3" s="946"/>
      <c r="WPX3" s="946"/>
      <c r="WPY3" s="946"/>
      <c r="WPZ3" s="946"/>
      <c r="WQA3" s="946"/>
      <c r="WQB3" s="946"/>
      <c r="WQC3" s="946"/>
      <c r="WQD3" s="946"/>
      <c r="WQE3" s="946"/>
      <c r="WQF3" s="946"/>
      <c r="WQG3" s="946"/>
      <c r="WQH3" s="946"/>
      <c r="WQI3" s="946"/>
      <c r="WQJ3" s="946"/>
      <c r="WQK3" s="946"/>
      <c r="WQL3" s="946"/>
      <c r="WQM3" s="946"/>
      <c r="WQN3" s="946"/>
      <c r="WQO3" s="946"/>
      <c r="WQP3" s="946"/>
      <c r="WQQ3" s="946"/>
      <c r="WQR3" s="946"/>
      <c r="WQS3" s="946"/>
      <c r="WQT3" s="946"/>
      <c r="WQU3" s="946"/>
      <c r="WQV3" s="946"/>
      <c r="WQW3" s="946"/>
      <c r="WQX3" s="946"/>
      <c r="WQY3" s="946"/>
      <c r="WQZ3" s="946"/>
      <c r="WRA3" s="946"/>
      <c r="WRB3" s="946"/>
      <c r="WRC3" s="946"/>
      <c r="WRD3" s="946"/>
      <c r="WRE3" s="946"/>
      <c r="WRF3" s="946"/>
      <c r="WRG3" s="946"/>
      <c r="WRH3" s="946"/>
      <c r="WRI3" s="946"/>
      <c r="WRJ3" s="946"/>
      <c r="WRK3" s="946"/>
      <c r="WRL3" s="946"/>
      <c r="WRM3" s="946"/>
      <c r="WRN3" s="946"/>
      <c r="WRO3" s="946"/>
      <c r="WRP3" s="946"/>
      <c r="WRQ3" s="946"/>
      <c r="WRR3" s="946"/>
      <c r="WRS3" s="946"/>
      <c r="WRT3" s="946"/>
      <c r="WRU3" s="946"/>
      <c r="WRV3" s="946"/>
      <c r="WRW3" s="946"/>
      <c r="WRX3" s="946"/>
      <c r="WRY3" s="946"/>
      <c r="WRZ3" s="946"/>
      <c r="WSA3" s="946"/>
      <c r="WSB3" s="946"/>
      <c r="WSC3" s="946"/>
      <c r="WSD3" s="946"/>
      <c r="WSE3" s="946"/>
      <c r="WSF3" s="946"/>
      <c r="WSG3" s="946"/>
      <c r="WSH3" s="946"/>
      <c r="WSI3" s="946"/>
      <c r="WSJ3" s="946"/>
      <c r="WSK3" s="946"/>
      <c r="WSL3" s="946"/>
      <c r="WSM3" s="946"/>
      <c r="WSN3" s="946"/>
      <c r="WSO3" s="946"/>
      <c r="WSP3" s="946"/>
      <c r="WSQ3" s="946"/>
      <c r="WSR3" s="946"/>
      <c r="WSS3" s="946"/>
      <c r="WST3" s="946"/>
      <c r="WSU3" s="946"/>
      <c r="WSV3" s="946"/>
      <c r="WSW3" s="946"/>
      <c r="WSX3" s="946"/>
      <c r="WSY3" s="946"/>
      <c r="WSZ3" s="946"/>
      <c r="WTA3" s="946"/>
      <c r="WTB3" s="946"/>
      <c r="WTC3" s="946"/>
      <c r="WTD3" s="946"/>
      <c r="WTE3" s="946"/>
      <c r="WTF3" s="946"/>
      <c r="WTG3" s="946"/>
      <c r="WTH3" s="946"/>
      <c r="WTI3" s="946"/>
      <c r="WTJ3" s="946"/>
      <c r="WTK3" s="946"/>
      <c r="WTL3" s="946"/>
      <c r="WTM3" s="946"/>
      <c r="WTN3" s="946"/>
      <c r="WTO3" s="946"/>
      <c r="WTP3" s="946"/>
      <c r="WTQ3" s="946"/>
      <c r="WTR3" s="946"/>
      <c r="WTS3" s="946"/>
      <c r="WTT3" s="946"/>
      <c r="WTU3" s="946"/>
      <c r="WTV3" s="946"/>
      <c r="WTW3" s="946"/>
      <c r="WTX3" s="946"/>
      <c r="WTY3" s="946"/>
      <c r="WTZ3" s="946"/>
      <c r="WUA3" s="946"/>
      <c r="WUB3" s="946"/>
      <c r="WUC3" s="946"/>
      <c r="WUD3" s="946"/>
      <c r="WUE3" s="946"/>
      <c r="WUF3" s="946"/>
      <c r="WUG3" s="946"/>
      <c r="WUH3" s="946"/>
      <c r="WUI3" s="946"/>
      <c r="WUJ3" s="946"/>
      <c r="WUK3" s="946"/>
      <c r="WUL3" s="946"/>
      <c r="WUM3" s="946"/>
      <c r="WUN3" s="946"/>
      <c r="WUO3" s="946"/>
      <c r="WUP3" s="946"/>
      <c r="WUQ3" s="946"/>
      <c r="WUR3" s="946"/>
      <c r="WUS3" s="946"/>
      <c r="WUT3" s="946"/>
      <c r="WUU3" s="946"/>
      <c r="WUV3" s="946"/>
      <c r="WUW3" s="946"/>
      <c r="WUX3" s="946"/>
      <c r="WUY3" s="946"/>
      <c r="WUZ3" s="946"/>
      <c r="WVA3" s="946"/>
      <c r="WVB3" s="946"/>
      <c r="WVC3" s="946"/>
      <c r="WVD3" s="946"/>
      <c r="WVE3" s="946"/>
      <c r="WVF3" s="946"/>
      <c r="WVG3" s="946"/>
      <c r="WVH3" s="946"/>
      <c r="WVI3" s="946"/>
      <c r="WVJ3" s="946"/>
      <c r="WVK3" s="946"/>
      <c r="WVL3" s="946"/>
      <c r="WVM3" s="946"/>
      <c r="WVN3" s="946"/>
      <c r="WVO3" s="946"/>
      <c r="WVP3" s="946"/>
      <c r="WVQ3" s="946"/>
      <c r="WVR3" s="946"/>
      <c r="WVS3" s="946"/>
      <c r="WVT3" s="946"/>
      <c r="WVU3" s="946"/>
      <c r="WVV3" s="946"/>
      <c r="WVW3" s="946"/>
      <c r="WVX3" s="946"/>
      <c r="WVY3" s="946"/>
      <c r="WVZ3" s="946"/>
      <c r="WWA3" s="946"/>
      <c r="WWB3" s="946"/>
      <c r="WWC3" s="946"/>
      <c r="WWD3" s="946"/>
      <c r="WWE3" s="946"/>
      <c r="WWF3" s="946"/>
      <c r="WWG3" s="946"/>
      <c r="WWH3" s="946"/>
      <c r="WWI3" s="946"/>
      <c r="WWJ3" s="946"/>
      <c r="WWK3" s="946"/>
      <c r="WWL3" s="946"/>
      <c r="WWM3" s="946"/>
      <c r="WWN3" s="946"/>
      <c r="WWO3" s="946"/>
      <c r="WWP3" s="946"/>
      <c r="WWQ3" s="946"/>
      <c r="WWR3" s="946"/>
      <c r="WWS3" s="946"/>
      <c r="WWT3" s="946"/>
      <c r="WWU3" s="946"/>
      <c r="WWV3" s="946"/>
      <c r="WWW3" s="946"/>
      <c r="WWX3" s="946"/>
      <c r="WWY3" s="946"/>
      <c r="WWZ3" s="946"/>
      <c r="WXA3" s="946"/>
      <c r="WXB3" s="946"/>
      <c r="WXC3" s="946"/>
      <c r="WXD3" s="946"/>
      <c r="WXE3" s="946"/>
      <c r="WXF3" s="946"/>
      <c r="WXG3" s="946"/>
      <c r="WXH3" s="946"/>
      <c r="WXI3" s="946"/>
      <c r="WXJ3" s="946"/>
      <c r="WXK3" s="946"/>
      <c r="WXL3" s="946"/>
      <c r="WXM3" s="946"/>
      <c r="WXN3" s="946"/>
      <c r="WXO3" s="946"/>
      <c r="WXP3" s="946"/>
      <c r="WXQ3" s="946"/>
      <c r="WXR3" s="946"/>
      <c r="WXS3" s="946"/>
      <c r="WXT3" s="946"/>
      <c r="WXU3" s="946"/>
      <c r="WXV3" s="946"/>
      <c r="WXW3" s="946"/>
      <c r="WXX3" s="946"/>
      <c r="WXY3" s="946"/>
      <c r="WXZ3" s="946"/>
      <c r="WYA3" s="946"/>
      <c r="WYB3" s="946"/>
      <c r="WYC3" s="946"/>
      <c r="WYD3" s="946"/>
      <c r="WYE3" s="946"/>
      <c r="WYF3" s="946"/>
      <c r="WYG3" s="946"/>
      <c r="WYH3" s="946"/>
      <c r="WYI3" s="946"/>
      <c r="WYJ3" s="946"/>
      <c r="WYK3" s="946"/>
      <c r="WYL3" s="946"/>
      <c r="WYM3" s="946"/>
      <c r="WYN3" s="946"/>
      <c r="WYO3" s="946"/>
      <c r="WYP3" s="946"/>
      <c r="WYQ3" s="946"/>
      <c r="WYR3" s="946"/>
      <c r="WYS3" s="946"/>
      <c r="WYT3" s="946"/>
      <c r="WYU3" s="946"/>
      <c r="WYV3" s="946"/>
      <c r="WYW3" s="946"/>
      <c r="WYX3" s="946"/>
      <c r="WYY3" s="946"/>
      <c r="WYZ3" s="946"/>
      <c r="WZA3" s="946"/>
      <c r="WZB3" s="946"/>
      <c r="WZC3" s="946"/>
      <c r="WZD3" s="946"/>
      <c r="WZE3" s="946"/>
      <c r="WZF3" s="946"/>
      <c r="WZG3" s="946"/>
      <c r="WZH3" s="946"/>
      <c r="WZI3" s="946"/>
      <c r="WZJ3" s="946"/>
      <c r="WZK3" s="946"/>
      <c r="WZL3" s="946"/>
      <c r="WZM3" s="946"/>
      <c r="WZN3" s="946"/>
      <c r="WZO3" s="946"/>
      <c r="WZP3" s="946"/>
      <c r="WZQ3" s="946"/>
      <c r="WZR3" s="946"/>
      <c r="WZS3" s="946"/>
      <c r="WZT3" s="946"/>
      <c r="WZU3" s="946"/>
      <c r="WZV3" s="946"/>
      <c r="WZW3" s="946"/>
      <c r="WZX3" s="946"/>
      <c r="WZY3" s="946"/>
      <c r="WZZ3" s="946"/>
      <c r="XAA3" s="946"/>
      <c r="XAB3" s="946"/>
      <c r="XAC3" s="946"/>
      <c r="XAD3" s="946"/>
      <c r="XAE3" s="946"/>
      <c r="XAF3" s="946"/>
      <c r="XAG3" s="946"/>
      <c r="XAH3" s="946"/>
      <c r="XAI3" s="946"/>
      <c r="XAJ3" s="946"/>
      <c r="XAK3" s="946"/>
      <c r="XAL3" s="946"/>
      <c r="XAM3" s="946"/>
      <c r="XAN3" s="946"/>
      <c r="XAO3" s="946"/>
      <c r="XAP3" s="946"/>
      <c r="XAQ3" s="946"/>
      <c r="XAR3" s="946"/>
      <c r="XAS3" s="946"/>
      <c r="XAT3" s="946"/>
      <c r="XAU3" s="946"/>
      <c r="XAV3" s="946"/>
      <c r="XAW3" s="946"/>
      <c r="XAX3" s="946"/>
      <c r="XAY3" s="946"/>
      <c r="XAZ3" s="946"/>
      <c r="XBA3" s="946"/>
      <c r="XBB3" s="946"/>
      <c r="XBC3" s="946"/>
      <c r="XBD3" s="946"/>
      <c r="XBE3" s="946"/>
      <c r="XBF3" s="946"/>
      <c r="XBG3" s="946"/>
      <c r="XBH3" s="946"/>
      <c r="XBI3" s="946"/>
      <c r="XBJ3" s="946"/>
      <c r="XBK3" s="946"/>
      <c r="XBL3" s="946"/>
      <c r="XBM3" s="946"/>
      <c r="XBN3" s="946"/>
      <c r="XBO3" s="946"/>
      <c r="XBP3" s="946"/>
      <c r="XBQ3" s="946"/>
      <c r="XBR3" s="946"/>
      <c r="XBS3" s="946"/>
      <c r="XBT3" s="946"/>
      <c r="XBU3" s="946"/>
      <c r="XBV3" s="946"/>
      <c r="XBW3" s="946"/>
      <c r="XBX3" s="946"/>
      <c r="XBY3" s="946"/>
      <c r="XBZ3" s="946"/>
      <c r="XCA3" s="946"/>
      <c r="XCB3" s="946"/>
      <c r="XCC3" s="946"/>
      <c r="XCD3" s="946"/>
      <c r="XCE3" s="946"/>
      <c r="XCF3" s="946"/>
      <c r="XCG3" s="946"/>
      <c r="XCH3" s="946"/>
      <c r="XCI3" s="946"/>
      <c r="XCJ3" s="946"/>
      <c r="XCK3" s="946"/>
      <c r="XCL3" s="946"/>
      <c r="XCM3" s="946"/>
      <c r="XCN3" s="946"/>
      <c r="XCO3" s="946"/>
      <c r="XCP3" s="946"/>
      <c r="XCQ3" s="946"/>
      <c r="XCR3" s="946"/>
      <c r="XCS3" s="946"/>
      <c r="XCT3" s="946"/>
      <c r="XCU3" s="946"/>
      <c r="XCV3" s="946"/>
      <c r="XCW3" s="946"/>
      <c r="XCX3" s="946"/>
      <c r="XCY3" s="946"/>
      <c r="XCZ3" s="946"/>
      <c r="XDA3" s="946"/>
      <c r="XDB3" s="946"/>
      <c r="XDC3" s="946"/>
      <c r="XDD3" s="946"/>
      <c r="XDE3" s="946"/>
      <c r="XDF3" s="946"/>
      <c r="XDG3" s="946"/>
      <c r="XDH3" s="946"/>
      <c r="XDI3" s="946"/>
      <c r="XDJ3" s="946"/>
      <c r="XDK3" s="946"/>
      <c r="XDL3" s="946"/>
      <c r="XDM3" s="946"/>
      <c r="XDN3" s="946"/>
      <c r="XDO3" s="946"/>
      <c r="XDP3" s="946"/>
      <c r="XDQ3" s="946"/>
      <c r="XDR3" s="946"/>
      <c r="XDS3" s="946"/>
      <c r="XDT3" s="946"/>
      <c r="XDU3" s="946"/>
      <c r="XDV3" s="946"/>
      <c r="XDW3" s="946"/>
      <c r="XDX3" s="946"/>
      <c r="XDY3" s="946"/>
      <c r="XDZ3" s="946"/>
      <c r="XEA3" s="946"/>
      <c r="XEB3" s="946"/>
      <c r="XEC3" s="946"/>
      <c r="XED3" s="946"/>
      <c r="XEE3" s="946"/>
      <c r="XEF3" s="946"/>
      <c r="XEG3" s="946"/>
      <c r="XEH3" s="946"/>
      <c r="XEI3" s="946"/>
      <c r="XEJ3" s="946"/>
      <c r="XEK3" s="946"/>
      <c r="XEL3" s="946"/>
      <c r="XEM3" s="946"/>
      <c r="XEN3" s="946"/>
      <c r="XEO3" s="946"/>
      <c r="XEP3" s="946"/>
      <c r="XEQ3" s="946"/>
      <c r="XER3" s="946"/>
      <c r="XES3" s="946"/>
      <c r="XET3" s="946"/>
      <c r="XEU3" s="946"/>
      <c r="XEV3" s="946"/>
      <c r="XEW3" s="946"/>
      <c r="XEX3" s="946"/>
      <c r="XEY3" s="946"/>
      <c r="XEZ3" s="946"/>
      <c r="XFA3" s="946"/>
      <c r="XFB3" s="946"/>
      <c r="XFC3" s="946"/>
      <c r="XFD3" s="946"/>
    </row>
    <row r="4" spans="1:16384" s="197" customFormat="1" ht="20.25" x14ac:dyDescent="0.2">
      <c r="A4" s="937" t="str">
        <f>Summary!A4</f>
        <v>Bridge Branch</v>
      </c>
      <c r="B4" s="937"/>
      <c r="C4" s="937"/>
      <c r="D4" s="937"/>
      <c r="E4" s="937"/>
      <c r="F4" s="937"/>
      <c r="G4" s="937"/>
      <c r="H4" s="937"/>
      <c r="I4" s="937"/>
      <c r="J4" s="937"/>
      <c r="K4" s="10"/>
      <c r="L4" s="10"/>
      <c r="M4" s="10"/>
      <c r="N4" s="10"/>
      <c r="O4" s="10"/>
      <c r="P4" s="10"/>
      <c r="Q4" s="10"/>
      <c r="R4" s="10"/>
    </row>
    <row r="5" spans="1:16384" s="197" customFormat="1" ht="15.75" x14ac:dyDescent="0.2">
      <c r="A5" s="931" t="str">
        <f>Summary!A5</f>
        <v>Babarmahal, Kathmandu</v>
      </c>
      <c r="B5" s="931"/>
      <c r="C5" s="931"/>
      <c r="D5" s="931"/>
      <c r="E5" s="931"/>
      <c r="F5" s="931"/>
      <c r="G5" s="931"/>
      <c r="H5" s="931"/>
      <c r="I5" s="931"/>
      <c r="J5" s="931"/>
    </row>
    <row r="6" spans="1:16384" ht="22.5" customHeight="1" x14ac:dyDescent="0.2">
      <c r="A6" s="955" t="s">
        <v>55</v>
      </c>
      <c r="B6" s="955"/>
      <c r="C6" s="955"/>
      <c r="D6" s="955"/>
      <c r="E6" s="955"/>
      <c r="F6" s="955"/>
      <c r="G6" s="955"/>
      <c r="H6" s="955"/>
      <c r="I6" s="955"/>
      <c r="J6" s="955"/>
      <c r="K6" s="145"/>
    </row>
    <row r="7" spans="1:16384" s="173" customFormat="1" ht="21" x14ac:dyDescent="0.2">
      <c r="A7" s="1" t="str">
        <f>Summary!A7</f>
        <v>Project: Bheri Khola Bridge</v>
      </c>
      <c r="B7" s="1"/>
      <c r="C7" s="1"/>
      <c r="D7" s="494"/>
      <c r="E7" s="174"/>
    </row>
    <row r="8" spans="1:16384" s="173" customFormat="1" ht="21.75" thickBot="1" x14ac:dyDescent="0.25">
      <c r="A8" s="1" t="str">
        <f>Summary!A8</f>
        <v xml:space="preserve">Location: Salyan and Surkhet
</v>
      </c>
      <c r="B8" s="1"/>
      <c r="C8" s="1"/>
      <c r="D8" s="494"/>
      <c r="E8" s="174"/>
    </row>
    <row r="9" spans="1:16384" ht="25.5" x14ac:dyDescent="0.2">
      <c r="A9" s="588" t="s">
        <v>259</v>
      </c>
      <c r="B9" s="589"/>
      <c r="C9" s="589"/>
      <c r="D9" s="590" t="s">
        <v>121</v>
      </c>
      <c r="E9" s="591" t="s">
        <v>7</v>
      </c>
      <c r="F9" s="591" t="s">
        <v>75</v>
      </c>
      <c r="G9" s="592" t="s">
        <v>122</v>
      </c>
      <c r="H9" s="592" t="s">
        <v>123</v>
      </c>
      <c r="I9" s="591" t="s">
        <v>124</v>
      </c>
      <c r="J9" s="593" t="s">
        <v>6</v>
      </c>
      <c r="K9" s="145"/>
    </row>
    <row r="10" spans="1:16384" x14ac:dyDescent="0.2">
      <c r="A10" s="199">
        <v>1</v>
      </c>
      <c r="B10" s="200"/>
      <c r="C10" s="200"/>
      <c r="D10" s="496" t="s">
        <v>125</v>
      </c>
      <c r="E10" s="201"/>
      <c r="F10" s="201"/>
      <c r="G10" s="202"/>
      <c r="H10" s="202"/>
      <c r="I10" s="203"/>
      <c r="J10" s="204"/>
      <c r="K10" s="145"/>
    </row>
    <row r="11" spans="1:16384" s="145" customFormat="1" ht="15.75" x14ac:dyDescent="0.2">
      <c r="A11" s="205"/>
      <c r="B11" s="142">
        <v>1.01</v>
      </c>
      <c r="C11" s="142"/>
      <c r="D11" s="213" t="s">
        <v>126</v>
      </c>
      <c r="E11" s="209" t="s">
        <v>240</v>
      </c>
      <c r="F11" s="140"/>
      <c r="G11" s="140"/>
      <c r="H11" s="140"/>
      <c r="I11" s="140">
        <f>ROUND(1.5%*(I35+I44+I60+I73+I87+I91),0)</f>
        <v>1666498</v>
      </c>
      <c r="J11" s="206"/>
    </row>
    <row r="12" spans="1:16384" s="145" customFormat="1" ht="38.25" x14ac:dyDescent="0.2">
      <c r="A12" s="205"/>
      <c r="B12" s="142">
        <v>1.02</v>
      </c>
      <c r="C12" s="142"/>
      <c r="D12" s="213" t="s">
        <v>1151</v>
      </c>
      <c r="E12" s="209" t="s">
        <v>1031</v>
      </c>
      <c r="F12" s="140"/>
      <c r="G12" s="140"/>
      <c r="H12" s="140"/>
      <c r="I12" s="140">
        <v>100000</v>
      </c>
      <c r="J12" s="206"/>
    </row>
    <row r="13" spans="1:16384" s="145" customFormat="1" ht="25.5" x14ac:dyDescent="0.2">
      <c r="A13" s="207"/>
      <c r="B13" s="142">
        <v>1.03</v>
      </c>
      <c r="C13" s="142"/>
      <c r="D13" s="213" t="s">
        <v>1032</v>
      </c>
      <c r="E13" s="209"/>
      <c r="F13" s="140"/>
      <c r="G13" s="140"/>
      <c r="H13" s="140"/>
      <c r="I13" s="140"/>
      <c r="J13" s="393"/>
    </row>
    <row r="14" spans="1:16384" s="145" customFormat="1" ht="15.75" x14ac:dyDescent="0.2">
      <c r="A14" s="207"/>
      <c r="B14" s="142"/>
      <c r="C14" s="142" t="s">
        <v>127</v>
      </c>
      <c r="D14" s="213" t="s">
        <v>1033</v>
      </c>
      <c r="E14" s="209" t="s">
        <v>1034</v>
      </c>
      <c r="F14" s="140">
        <v>18</v>
      </c>
      <c r="G14" s="140">
        <v>10000</v>
      </c>
      <c r="H14" s="140"/>
      <c r="I14" s="140">
        <f>F14*G14</f>
        <v>180000</v>
      </c>
      <c r="J14" s="393"/>
    </row>
    <row r="15" spans="1:16384" s="145" customFormat="1" ht="15.75" x14ac:dyDescent="0.2">
      <c r="A15" s="207"/>
      <c r="B15" s="142"/>
      <c r="C15" s="142" t="s">
        <v>152</v>
      </c>
      <c r="D15" s="213" t="s">
        <v>1035</v>
      </c>
      <c r="E15" s="209" t="s">
        <v>1034</v>
      </c>
      <c r="F15" s="140">
        <v>18</v>
      </c>
      <c r="G15" s="140">
        <v>100000</v>
      </c>
      <c r="H15" s="140"/>
      <c r="I15" s="140">
        <f>F15*G15</f>
        <v>1800000</v>
      </c>
      <c r="J15" s="393"/>
    </row>
    <row r="16" spans="1:16384" s="145" customFormat="1" ht="25.5" x14ac:dyDescent="0.2">
      <c r="A16" s="207"/>
      <c r="B16" s="142">
        <v>1.04</v>
      </c>
      <c r="C16" s="142"/>
      <c r="D16" s="213" t="s">
        <v>1036</v>
      </c>
      <c r="E16" s="209" t="s">
        <v>240</v>
      </c>
      <c r="F16" s="140"/>
      <c r="G16" s="140"/>
      <c r="H16" s="140"/>
      <c r="I16" s="140">
        <v>150000</v>
      </c>
      <c r="J16" s="206"/>
    </row>
    <row r="17" spans="1:12" s="145" customFormat="1" ht="25.5" x14ac:dyDescent="0.2">
      <c r="A17" s="207"/>
      <c r="B17" s="142">
        <v>1.05</v>
      </c>
      <c r="C17" s="142"/>
      <c r="D17" s="213" t="s">
        <v>1037</v>
      </c>
      <c r="E17" s="209" t="s">
        <v>1031</v>
      </c>
      <c r="F17" s="140"/>
      <c r="G17" s="140"/>
      <c r="H17" s="140"/>
      <c r="I17" s="140">
        <v>1000000</v>
      </c>
      <c r="J17" s="206"/>
    </row>
    <row r="18" spans="1:12" s="145" customFormat="1" ht="25.5" x14ac:dyDescent="0.2">
      <c r="A18" s="458"/>
      <c r="B18" s="459">
        <v>1.06</v>
      </c>
      <c r="C18" s="459"/>
      <c r="D18" s="396" t="s">
        <v>214</v>
      </c>
      <c r="E18" s="230" t="s">
        <v>1</v>
      </c>
      <c r="F18" s="130">
        <v>1</v>
      </c>
      <c r="G18" s="130">
        <f>'Summary of rates'!E7</f>
        <v>9775</v>
      </c>
      <c r="H18" s="130"/>
      <c r="I18" s="130">
        <f>F18*G18</f>
        <v>9775</v>
      </c>
      <c r="J18" s="460"/>
    </row>
    <row r="19" spans="1:12" s="145" customFormat="1" ht="26.25" thickBot="1" x14ac:dyDescent="0.25">
      <c r="A19" s="458"/>
      <c r="B19" s="459">
        <f>B18+0.01</f>
        <v>1.07</v>
      </c>
      <c r="C19" s="459"/>
      <c r="D19" s="396" t="s">
        <v>1150</v>
      </c>
      <c r="E19" s="230" t="s">
        <v>1</v>
      </c>
      <c r="F19" s="130">
        <v>2</v>
      </c>
      <c r="G19" s="130">
        <f>'Summary of rates'!E7</f>
        <v>9775</v>
      </c>
      <c r="H19" s="130"/>
      <c r="I19" s="130">
        <f>F19*G19</f>
        <v>19550</v>
      </c>
      <c r="J19" s="487"/>
    </row>
    <row r="20" spans="1:12" ht="13.5" thickBot="1" x14ac:dyDescent="0.25">
      <c r="A20" s="463"/>
      <c r="B20" s="464"/>
      <c r="C20" s="464"/>
      <c r="D20" s="949" t="s">
        <v>128</v>
      </c>
      <c r="E20" s="949"/>
      <c r="F20" s="949"/>
      <c r="G20" s="949"/>
      <c r="H20" s="949"/>
      <c r="I20" s="217">
        <f>SUM(I11:I18)</f>
        <v>4906273</v>
      </c>
      <c r="J20" s="218"/>
      <c r="K20" s="145"/>
    </row>
    <row r="21" spans="1:12" x14ac:dyDescent="0.2">
      <c r="A21" s="467"/>
      <c r="B21" s="468"/>
      <c r="C21" s="468"/>
      <c r="D21" s="495"/>
      <c r="E21" s="198"/>
      <c r="F21" s="270"/>
      <c r="G21" s="270"/>
      <c r="H21" s="270"/>
      <c r="I21" s="469"/>
      <c r="J21" s="470"/>
      <c r="K21" s="145"/>
    </row>
    <row r="22" spans="1:12" x14ac:dyDescent="0.2">
      <c r="A22" s="461">
        <v>2</v>
      </c>
      <c r="B22" s="462"/>
      <c r="C22" s="462"/>
      <c r="D22" s="497" t="s">
        <v>315</v>
      </c>
      <c r="E22" s="221"/>
      <c r="F22" s="221"/>
      <c r="G22" s="222"/>
      <c r="H22" s="222"/>
      <c r="I22" s="223"/>
      <c r="J22" s="224"/>
      <c r="K22" s="145"/>
    </row>
    <row r="23" spans="1:12" x14ac:dyDescent="0.2">
      <c r="A23" s="210"/>
      <c r="B23" s="142">
        <v>2.0099999999999998</v>
      </c>
      <c r="C23" s="142"/>
      <c r="D23" s="213" t="s">
        <v>178</v>
      </c>
      <c r="E23" s="143"/>
      <c r="F23" s="209"/>
      <c r="G23" s="144"/>
      <c r="H23" s="144"/>
      <c r="I23" s="140"/>
      <c r="J23" s="208"/>
      <c r="K23" s="145"/>
    </row>
    <row r="24" spans="1:12" ht="38.25" x14ac:dyDescent="0.2">
      <c r="A24" s="141"/>
      <c r="B24" s="142"/>
      <c r="C24" s="142" t="s">
        <v>177</v>
      </c>
      <c r="D24" s="213" t="s">
        <v>1128</v>
      </c>
      <c r="E24" s="143"/>
      <c r="F24" s="211"/>
      <c r="G24" s="211"/>
      <c r="H24" s="211"/>
      <c r="I24" s="211"/>
      <c r="J24" s="208"/>
      <c r="K24" s="145"/>
    </row>
    <row r="25" spans="1:12" x14ac:dyDescent="0.2">
      <c r="A25" s="141"/>
      <c r="B25" s="142"/>
      <c r="C25" s="142" t="s">
        <v>127</v>
      </c>
      <c r="D25" s="213" t="s">
        <v>253</v>
      </c>
      <c r="E25" s="143" t="s">
        <v>130</v>
      </c>
      <c r="F25" s="140">
        <f>Quantity_estimate!G10</f>
        <v>4640.87</v>
      </c>
      <c r="G25" s="144">
        <f>'Summary of rates'!E21</f>
        <v>138.84</v>
      </c>
      <c r="H25" s="212"/>
      <c r="I25" s="144">
        <f>PRODUCT(F25:G25)</f>
        <v>644338.39</v>
      </c>
      <c r="J25" s="208"/>
      <c r="K25" s="145"/>
    </row>
    <row r="26" spans="1:12" x14ac:dyDescent="0.2">
      <c r="A26" s="141"/>
      <c r="B26" s="142"/>
      <c r="C26" s="142" t="s">
        <v>152</v>
      </c>
      <c r="D26" s="213" t="s">
        <v>1096</v>
      </c>
      <c r="E26" s="143" t="s">
        <v>130</v>
      </c>
      <c r="F26" s="140">
        <f>Quantity_estimate!G12</f>
        <v>121.26</v>
      </c>
      <c r="G26" s="144">
        <f>'Summary of rates'!E22</f>
        <v>331.5</v>
      </c>
      <c r="H26" s="212"/>
      <c r="I26" s="144">
        <f>PRODUCT(F26:G26)</f>
        <v>40197.69</v>
      </c>
      <c r="J26" s="208"/>
      <c r="K26" s="145"/>
    </row>
    <row r="27" spans="1:12" ht="51" x14ac:dyDescent="0.2">
      <c r="A27" s="141"/>
      <c r="B27" s="142">
        <v>2.02</v>
      </c>
      <c r="C27" s="142"/>
      <c r="D27" s="213" t="s">
        <v>1247</v>
      </c>
      <c r="E27" s="143" t="s">
        <v>131</v>
      </c>
      <c r="F27" s="140">
        <f>Quantity_estimate!G17</f>
        <v>504</v>
      </c>
      <c r="G27" s="144">
        <f>'Summary of rates'!E40</f>
        <v>19452.93</v>
      </c>
      <c r="H27" s="212"/>
      <c r="I27" s="144">
        <f>PRODUCT(F27:G27)</f>
        <v>9804276.7200000007</v>
      </c>
      <c r="J27" s="208"/>
      <c r="K27" s="145"/>
    </row>
    <row r="28" spans="1:12" ht="25.5" x14ac:dyDescent="0.2">
      <c r="A28" s="141"/>
      <c r="B28" s="142">
        <v>2.0299999999999998</v>
      </c>
      <c r="C28" s="142"/>
      <c r="D28" s="213" t="s">
        <v>340</v>
      </c>
      <c r="E28" s="143"/>
      <c r="F28" s="140"/>
      <c r="G28" s="144"/>
      <c r="H28" s="144"/>
      <c r="I28" s="140"/>
      <c r="J28" s="208"/>
      <c r="K28" s="145"/>
    </row>
    <row r="29" spans="1:12" x14ac:dyDescent="0.2">
      <c r="A29" s="210"/>
      <c r="B29" s="142"/>
      <c r="C29" s="142" t="s">
        <v>129</v>
      </c>
      <c r="D29" s="213" t="s">
        <v>234</v>
      </c>
      <c r="E29" s="143" t="s">
        <v>130</v>
      </c>
      <c r="F29" s="140">
        <f>Quantity_estimate!G24</f>
        <v>28.45</v>
      </c>
      <c r="G29" s="144">
        <f>'Summary of rates'!E53</f>
        <v>8873.0499999999993</v>
      </c>
      <c r="H29" s="212"/>
      <c r="I29" s="144">
        <f t="shared" ref="I29:I34" si="0">F29*G29</f>
        <v>252438.27</v>
      </c>
      <c r="J29" s="208"/>
      <c r="K29" s="132"/>
    </row>
    <row r="30" spans="1:12" x14ac:dyDescent="0.2">
      <c r="A30" s="141"/>
      <c r="B30" s="142"/>
      <c r="C30" s="142" t="s">
        <v>1038</v>
      </c>
      <c r="D30" s="213" t="s">
        <v>193</v>
      </c>
      <c r="E30" s="143" t="s">
        <v>130</v>
      </c>
      <c r="F30" s="140">
        <f>Quantity_estimate!G34</f>
        <v>1005.8</v>
      </c>
      <c r="G30" s="144">
        <f>'Summary of rates'!E61</f>
        <v>13539.42</v>
      </c>
      <c r="H30" s="144">
        <f>F30*G30</f>
        <v>13617948.640000001</v>
      </c>
      <c r="I30" s="144">
        <f t="shared" si="0"/>
        <v>13617948.640000001</v>
      </c>
      <c r="J30" s="208"/>
      <c r="K30" s="214"/>
    </row>
    <row r="31" spans="1:12" ht="25.5" x14ac:dyDescent="0.2">
      <c r="A31" s="141"/>
      <c r="B31" s="142">
        <v>2.04</v>
      </c>
      <c r="C31" s="142"/>
      <c r="D31" s="213" t="s">
        <v>341</v>
      </c>
      <c r="E31" s="143" t="s">
        <v>132</v>
      </c>
      <c r="F31" s="140">
        <f>Quantity_estimate!G41</f>
        <v>115.15</v>
      </c>
      <c r="G31" s="144">
        <f>'Summary of rates'!E63</f>
        <v>142558.76</v>
      </c>
      <c r="H31" s="144">
        <f>F31*G31</f>
        <v>16415641.210000001</v>
      </c>
      <c r="I31" s="144">
        <f t="shared" si="0"/>
        <v>16415641.210000001</v>
      </c>
      <c r="J31" s="208"/>
      <c r="K31" s="145"/>
    </row>
    <row r="32" spans="1:12" ht="25.5" x14ac:dyDescent="0.2">
      <c r="A32" s="141"/>
      <c r="B32" s="142">
        <v>2.0499999999999998</v>
      </c>
      <c r="C32" s="142"/>
      <c r="D32" s="213" t="s">
        <v>1127</v>
      </c>
      <c r="E32" s="143" t="s">
        <v>133</v>
      </c>
      <c r="F32" s="140">
        <f>Quantity_estimate!G49</f>
        <v>182.8</v>
      </c>
      <c r="G32" s="144">
        <f>'Summary of rates'!E42</f>
        <v>792.17</v>
      </c>
      <c r="H32" s="144">
        <f>F32*G32</f>
        <v>144808.68</v>
      </c>
      <c r="I32" s="144">
        <f t="shared" si="0"/>
        <v>144808.68</v>
      </c>
      <c r="J32" s="208"/>
      <c r="K32" s="145"/>
      <c r="L32" s="493">
        <f>F32+F41</f>
        <v>818.95</v>
      </c>
    </row>
    <row r="33" spans="1:13" ht="25.5" x14ac:dyDescent="0.2">
      <c r="A33" s="141"/>
      <c r="B33" s="142">
        <v>2.06</v>
      </c>
      <c r="C33" s="142"/>
      <c r="D33" s="498" t="s">
        <v>1129</v>
      </c>
      <c r="E33" s="143" t="s">
        <v>130</v>
      </c>
      <c r="F33" s="140">
        <f>Quantity_estimate!G54</f>
        <v>2026.67</v>
      </c>
      <c r="G33" s="144">
        <f>'Summary of rates'!E26</f>
        <v>2982.49</v>
      </c>
      <c r="H33" s="144">
        <f>F33*G33</f>
        <v>6044523.0099999998</v>
      </c>
      <c r="I33" s="144">
        <f t="shared" si="0"/>
        <v>6044523.0099999998</v>
      </c>
      <c r="J33" s="208"/>
      <c r="K33" s="145"/>
      <c r="M33" s="146"/>
    </row>
    <row r="34" spans="1:13" ht="39" thickBot="1" x14ac:dyDescent="0.25">
      <c r="A34" s="141"/>
      <c r="B34" s="142">
        <v>2.0699999999999998</v>
      </c>
      <c r="C34" s="142"/>
      <c r="D34" s="498" t="str">
        <f>Quantity_estimate!B56</f>
        <v>Providing and laying 25mm dia tor steel dowel bar including drilling 35mm dia bore hole in rock necessary bending, hooking, tying reinforcement in position and grouting etc. complete as per Drawings and Technical Specifications</v>
      </c>
      <c r="E34" s="143" t="s">
        <v>131</v>
      </c>
      <c r="F34" s="140">
        <f>Quantity_estimate!G58</f>
        <v>189</v>
      </c>
      <c r="G34" s="144">
        <f>'Summary of rates'!E96</f>
        <v>1599.98</v>
      </c>
      <c r="H34" s="144">
        <f>F34*G34</f>
        <v>302396.21999999997</v>
      </c>
      <c r="I34" s="144">
        <f t="shared" si="0"/>
        <v>302396.21999999997</v>
      </c>
      <c r="J34" s="208"/>
      <c r="K34" s="145"/>
      <c r="M34" s="146"/>
    </row>
    <row r="35" spans="1:13" ht="13.5" collapsed="1" thickBot="1" x14ac:dyDescent="0.25">
      <c r="A35" s="215"/>
      <c r="B35" s="216"/>
      <c r="C35" s="216"/>
      <c r="D35" s="949" t="s">
        <v>134</v>
      </c>
      <c r="E35" s="949"/>
      <c r="F35" s="949"/>
      <c r="G35" s="949"/>
      <c r="H35" s="949"/>
      <c r="I35" s="217">
        <f>SUM(I25:I34)</f>
        <v>47266568.829999998</v>
      </c>
      <c r="J35" s="218"/>
      <c r="K35" s="145"/>
      <c r="M35" s="146"/>
    </row>
    <row r="36" spans="1:13" x14ac:dyDescent="0.2">
      <c r="A36" s="471"/>
      <c r="B36" s="472"/>
      <c r="C36" s="472"/>
      <c r="D36" s="499"/>
      <c r="E36" s="488"/>
      <c r="F36" s="406"/>
      <c r="G36" s="406"/>
      <c r="H36" s="406"/>
      <c r="I36" s="465"/>
      <c r="J36" s="466"/>
      <c r="K36" s="145"/>
      <c r="M36" s="146"/>
    </row>
    <row r="37" spans="1:13" x14ac:dyDescent="0.2">
      <c r="A37" s="360">
        <v>3</v>
      </c>
      <c r="B37" s="361"/>
      <c r="C37" s="361"/>
      <c r="D37" s="500" t="s">
        <v>316</v>
      </c>
      <c r="E37" s="558"/>
      <c r="F37" s="558"/>
      <c r="G37" s="144"/>
      <c r="H37" s="144"/>
      <c r="I37" s="140"/>
      <c r="J37" s="232"/>
      <c r="K37" s="145"/>
    </row>
    <row r="38" spans="1:13" ht="25.5" x14ac:dyDescent="0.2">
      <c r="A38" s="141"/>
      <c r="B38" s="142">
        <v>3.01</v>
      </c>
      <c r="C38" s="142"/>
      <c r="D38" s="213" t="s">
        <v>340</v>
      </c>
      <c r="E38" s="143"/>
      <c r="F38" s="140"/>
      <c r="G38" s="144"/>
      <c r="H38" s="144"/>
      <c r="I38" s="140"/>
      <c r="J38" s="232"/>
      <c r="K38" s="145"/>
    </row>
    <row r="39" spans="1:13" x14ac:dyDescent="0.2">
      <c r="A39" s="141"/>
      <c r="B39" s="142"/>
      <c r="C39" s="142" t="s">
        <v>129</v>
      </c>
      <c r="D39" s="213" t="s">
        <v>193</v>
      </c>
      <c r="E39" s="143" t="s">
        <v>130</v>
      </c>
      <c r="F39" s="140">
        <f>Quantity_estimate!G90</f>
        <v>266.83999999999997</v>
      </c>
      <c r="G39" s="144">
        <f>'Summary of rates'!E62</f>
        <v>13810.21</v>
      </c>
      <c r="H39" s="144">
        <f>F39*G39</f>
        <v>3685116.44</v>
      </c>
      <c r="I39" s="144">
        <f>F39*G39</f>
        <v>3685116.44</v>
      </c>
      <c r="J39" s="232"/>
      <c r="K39" s="214"/>
    </row>
    <row r="40" spans="1:13" ht="25.5" x14ac:dyDescent="0.2">
      <c r="A40" s="141"/>
      <c r="B40" s="142">
        <v>3.02</v>
      </c>
      <c r="C40" s="142"/>
      <c r="D40" s="213" t="s">
        <v>341</v>
      </c>
      <c r="E40" s="143" t="s">
        <v>132</v>
      </c>
      <c r="F40" s="140">
        <f>Quantity_estimate!G99</f>
        <v>32.25</v>
      </c>
      <c r="G40" s="144">
        <f>'Summary of rates'!E64</f>
        <v>142558.76</v>
      </c>
      <c r="H40" s="144">
        <f>F40*G40</f>
        <v>4597520.01</v>
      </c>
      <c r="I40" s="144">
        <f>F40*G40</f>
        <v>4597520.01</v>
      </c>
      <c r="J40" s="232"/>
      <c r="K40" s="145"/>
    </row>
    <row r="41" spans="1:13" ht="25.5" x14ac:dyDescent="0.2">
      <c r="A41" s="141"/>
      <c r="B41" s="142">
        <v>3.03</v>
      </c>
      <c r="C41" s="142"/>
      <c r="D41" s="213" t="s">
        <v>1071</v>
      </c>
      <c r="E41" s="143" t="s">
        <v>133</v>
      </c>
      <c r="F41" s="140">
        <f>Quantity_estimate!G148</f>
        <v>636.15</v>
      </c>
      <c r="G41" s="144">
        <f>'Summary of rates'!E43</f>
        <v>1333.2</v>
      </c>
      <c r="H41" s="144">
        <f>F41*G41</f>
        <v>848115.18</v>
      </c>
      <c r="I41" s="144">
        <f>F41*G41</f>
        <v>848115.18</v>
      </c>
      <c r="J41" s="232"/>
      <c r="K41" s="145"/>
    </row>
    <row r="42" spans="1:13" ht="38.25" x14ac:dyDescent="0.2">
      <c r="A42" s="141"/>
      <c r="B42" s="142">
        <v>3.04</v>
      </c>
      <c r="C42" s="142"/>
      <c r="D42" s="498" t="s">
        <v>1039</v>
      </c>
      <c r="E42" s="143" t="s">
        <v>133</v>
      </c>
      <c r="F42" s="140">
        <f>Quantity_estimate!G153</f>
        <v>111.25</v>
      </c>
      <c r="G42" s="144">
        <f>'Summary of rates'!E87</f>
        <v>176.47</v>
      </c>
      <c r="H42" s="144">
        <f>F42*G42</f>
        <v>19632.29</v>
      </c>
      <c r="I42" s="144">
        <f>F42*G42</f>
        <v>19632.29</v>
      </c>
      <c r="J42" s="232"/>
      <c r="K42" s="145"/>
      <c r="M42" s="146"/>
    </row>
    <row r="43" spans="1:13" ht="51.75" thickBot="1" x14ac:dyDescent="0.25">
      <c r="A43" s="141"/>
      <c r="B43" s="142">
        <v>3.05</v>
      </c>
      <c r="C43" s="142"/>
      <c r="D43" s="510" t="s">
        <v>1182</v>
      </c>
      <c r="E43" s="143" t="s">
        <v>131</v>
      </c>
      <c r="F43" s="140">
        <f>Quantity_estimate!G156</f>
        <v>33.659999999999997</v>
      </c>
      <c r="G43" s="144">
        <f>'Summary of rates'!E89</f>
        <v>341.1</v>
      </c>
      <c r="H43" s="144"/>
      <c r="I43" s="144">
        <f>F43*G43</f>
        <v>11481.43</v>
      </c>
      <c r="J43" s="511"/>
      <c r="K43" s="145"/>
      <c r="M43" s="146"/>
    </row>
    <row r="44" spans="1:13" ht="13.5" thickBot="1" x14ac:dyDescent="0.25">
      <c r="A44" s="362"/>
      <c r="B44" s="363"/>
      <c r="C44" s="363"/>
      <c r="D44" s="947" t="s">
        <v>137</v>
      </c>
      <c r="E44" s="947"/>
      <c r="F44" s="947"/>
      <c r="G44" s="947"/>
      <c r="H44" s="947"/>
      <c r="I44" s="217">
        <f>SUM(I38:I43)</f>
        <v>9161865.3499999996</v>
      </c>
      <c r="J44" s="237"/>
      <c r="K44" s="145"/>
      <c r="M44" s="146"/>
    </row>
    <row r="45" spans="1:13" x14ac:dyDescent="0.2">
      <c r="A45" s="219">
        <v>4</v>
      </c>
      <c r="B45" s="220"/>
      <c r="C45" s="220"/>
      <c r="D45" s="497" t="s">
        <v>135</v>
      </c>
      <c r="E45" s="221"/>
      <c r="F45" s="221"/>
      <c r="G45" s="222"/>
      <c r="H45" s="222"/>
      <c r="I45" s="223"/>
      <c r="J45" s="224"/>
      <c r="K45" s="145"/>
    </row>
    <row r="46" spans="1:13" ht="25.5" x14ac:dyDescent="0.2">
      <c r="A46" s="219"/>
      <c r="B46" s="238">
        <v>4.01</v>
      </c>
      <c r="C46" s="220"/>
      <c r="D46" s="213" t="s">
        <v>1139</v>
      </c>
      <c r="E46" s="221" t="s">
        <v>130</v>
      </c>
      <c r="F46" s="486">
        <f>Quantity_estimate!G159</f>
        <v>6.02</v>
      </c>
      <c r="G46" s="222">
        <f>'Summary of rates'!E54</f>
        <v>10232.049999999999</v>
      </c>
      <c r="H46" s="222"/>
      <c r="I46" s="140">
        <f t="shared" ref="I46:I58" si="1">F46*G46</f>
        <v>61596.94</v>
      </c>
      <c r="J46" s="224"/>
      <c r="K46" s="145"/>
    </row>
    <row r="47" spans="1:13" ht="25.5" x14ac:dyDescent="0.2">
      <c r="A47" s="210"/>
      <c r="B47" s="225">
        <f>B46+0.01</f>
        <v>4.0199999999999996</v>
      </c>
      <c r="C47" s="225"/>
      <c r="D47" s="213" t="s">
        <v>169</v>
      </c>
      <c r="E47" s="209"/>
      <c r="F47" s="209"/>
      <c r="G47" s="144"/>
      <c r="H47" s="144"/>
      <c r="I47" s="140"/>
      <c r="J47" s="208"/>
      <c r="K47" s="145"/>
      <c r="M47" s="133">
        <f>286.2+652.48</f>
        <v>938.68</v>
      </c>
    </row>
    <row r="48" spans="1:13" x14ac:dyDescent="0.2">
      <c r="A48" s="210"/>
      <c r="B48" s="225"/>
      <c r="C48" s="225" t="s">
        <v>129</v>
      </c>
      <c r="D48" s="213" t="s">
        <v>193</v>
      </c>
      <c r="E48" s="143" t="s">
        <v>130</v>
      </c>
      <c r="F48" s="140">
        <f>Quantity_estimate!G171</f>
        <v>92.86</v>
      </c>
      <c r="G48" s="144">
        <f>'Summary of rates'!E69</f>
        <v>18166.5</v>
      </c>
      <c r="H48" s="144"/>
      <c r="I48" s="140">
        <f t="shared" si="1"/>
        <v>1686941.19</v>
      </c>
      <c r="J48" s="208"/>
      <c r="K48" s="145"/>
    </row>
    <row r="49" spans="1:13" x14ac:dyDescent="0.2">
      <c r="A49" s="226"/>
      <c r="B49" s="225"/>
      <c r="C49" s="225" t="s">
        <v>1038</v>
      </c>
      <c r="D49" s="213" t="s">
        <v>1040</v>
      </c>
      <c r="E49" s="143" t="s">
        <v>130</v>
      </c>
      <c r="F49" s="140">
        <f>Quantity_estimate!G174</f>
        <v>535.46</v>
      </c>
      <c r="G49" s="144">
        <f>'Summary of rates'!E71</f>
        <v>19781.8</v>
      </c>
      <c r="H49" s="144"/>
      <c r="I49" s="140">
        <f t="shared" si="1"/>
        <v>10592362.630000001</v>
      </c>
      <c r="J49" s="208"/>
      <c r="K49" s="145"/>
      <c r="M49" s="493"/>
    </row>
    <row r="50" spans="1:13" ht="76.5" x14ac:dyDescent="0.2">
      <c r="A50" s="226"/>
      <c r="B50" s="225">
        <f>B47+0.01</f>
        <v>4.03</v>
      </c>
      <c r="C50" s="225"/>
      <c r="D50" s="213" t="s">
        <v>1212</v>
      </c>
      <c r="E50" s="143" t="s">
        <v>132</v>
      </c>
      <c r="F50" s="140">
        <f>Quantity_estimate!G176</f>
        <v>18.2</v>
      </c>
      <c r="G50" s="144">
        <f>'Summary of rates'!E76</f>
        <v>263125.28999999998</v>
      </c>
      <c r="H50" s="144"/>
      <c r="I50" s="140">
        <f t="shared" si="1"/>
        <v>4788880.28</v>
      </c>
      <c r="J50" s="208"/>
      <c r="K50" s="145"/>
    </row>
    <row r="51" spans="1:13" ht="25.5" x14ac:dyDescent="0.2">
      <c r="A51" s="226"/>
      <c r="B51" s="225">
        <f>B50+0.01</f>
        <v>4.04</v>
      </c>
      <c r="C51" s="225"/>
      <c r="D51" s="213" t="s">
        <v>155</v>
      </c>
      <c r="E51" s="225" t="s">
        <v>136</v>
      </c>
      <c r="F51" s="140">
        <f>Quantity_estimate!G184</f>
        <v>69.83</v>
      </c>
      <c r="G51" s="144">
        <f>'Summary of rates'!E72</f>
        <v>145249.76</v>
      </c>
      <c r="H51" s="144"/>
      <c r="I51" s="140">
        <f t="shared" si="1"/>
        <v>10142790.74</v>
      </c>
      <c r="J51" s="208"/>
      <c r="K51" s="145"/>
      <c r="L51" s="227"/>
    </row>
    <row r="52" spans="1:13" ht="38.25" x14ac:dyDescent="0.2">
      <c r="A52" s="226"/>
      <c r="B52" s="225">
        <f t="shared" ref="B52:B53" si="2">B51+0.01</f>
        <v>4.05</v>
      </c>
      <c r="C52" s="225"/>
      <c r="D52" s="213" t="s">
        <v>1041</v>
      </c>
      <c r="E52" s="209" t="s">
        <v>131</v>
      </c>
      <c r="F52" s="140">
        <f>Quantity_estimate!G186</f>
        <v>33</v>
      </c>
      <c r="G52" s="144">
        <f>'Summary of rates'!E51</f>
        <v>19244.54</v>
      </c>
      <c r="H52" s="144"/>
      <c r="I52" s="140">
        <f t="shared" si="1"/>
        <v>635069.81999999995</v>
      </c>
      <c r="J52" s="208"/>
      <c r="K52" s="132"/>
    </row>
    <row r="53" spans="1:13" x14ac:dyDescent="0.2">
      <c r="A53" s="226"/>
      <c r="B53" s="225">
        <f t="shared" si="2"/>
        <v>4.0599999999999996</v>
      </c>
      <c r="C53" s="225"/>
      <c r="D53" s="213" t="s">
        <v>1080</v>
      </c>
      <c r="E53" s="209"/>
      <c r="F53" s="140"/>
      <c r="G53" s="144"/>
      <c r="H53" s="144"/>
      <c r="I53" s="140"/>
      <c r="J53" s="208"/>
      <c r="K53" s="132"/>
    </row>
    <row r="54" spans="1:13" x14ac:dyDescent="0.2">
      <c r="A54" s="226"/>
      <c r="B54" s="225"/>
      <c r="C54" s="225" t="s">
        <v>1076</v>
      </c>
      <c r="D54" s="213" t="s">
        <v>1078</v>
      </c>
      <c r="E54" s="209" t="s">
        <v>78</v>
      </c>
      <c r="F54" s="225">
        <f>Quantity_estimate!G188/2</f>
        <v>4</v>
      </c>
      <c r="G54" s="140">
        <f>'Summary of rates'!E47</f>
        <v>158777</v>
      </c>
      <c r="H54" s="144"/>
      <c r="I54" s="140">
        <f t="shared" si="1"/>
        <v>635108</v>
      </c>
      <c r="J54" s="208"/>
      <c r="K54" s="132"/>
    </row>
    <row r="55" spans="1:13" x14ac:dyDescent="0.2">
      <c r="A55" s="226"/>
      <c r="B55" s="225"/>
      <c r="C55" s="225" t="s">
        <v>1077</v>
      </c>
      <c r="D55" s="213" t="s">
        <v>1079</v>
      </c>
      <c r="E55" s="209" t="s">
        <v>78</v>
      </c>
      <c r="F55" s="225">
        <f>Quantity_estimate!G188/2</f>
        <v>4</v>
      </c>
      <c r="G55" s="140">
        <f>'Summary of rates'!E48</f>
        <v>166327.34</v>
      </c>
      <c r="H55" s="144"/>
      <c r="I55" s="140">
        <f t="shared" ref="I55" si="3">F55*G55</f>
        <v>665309.36</v>
      </c>
      <c r="J55" s="208"/>
      <c r="K55" s="132"/>
    </row>
    <row r="56" spans="1:13" ht="25.5" x14ac:dyDescent="0.2">
      <c r="A56" s="226"/>
      <c r="B56" s="225">
        <f>B53+0.01</f>
        <v>4.07</v>
      </c>
      <c r="C56" s="225"/>
      <c r="D56" s="502" t="s">
        <v>1214</v>
      </c>
      <c r="E56" s="209" t="s">
        <v>131</v>
      </c>
      <c r="F56" s="140">
        <f>Quantity_estimate!G194</f>
        <v>552.79999999999995</v>
      </c>
      <c r="G56" s="144">
        <f>'Summary of rates'!E116</f>
        <v>1010.17</v>
      </c>
      <c r="H56" s="144"/>
      <c r="I56" s="140">
        <f t="shared" si="1"/>
        <v>558421.98</v>
      </c>
      <c r="J56" s="208"/>
      <c r="K56" s="132"/>
    </row>
    <row r="57" spans="1:13" ht="51" x14ac:dyDescent="0.2">
      <c r="A57" s="226"/>
      <c r="B57" s="225">
        <f>B56+0.01</f>
        <v>4.08</v>
      </c>
      <c r="C57" s="225"/>
      <c r="D57" s="213" t="s">
        <v>161</v>
      </c>
      <c r="E57" s="209" t="s">
        <v>133</v>
      </c>
      <c r="F57" s="225">
        <f>Quantity_estimate!G207</f>
        <v>139.88999999999999</v>
      </c>
      <c r="G57" s="140">
        <f>'Summary of rates'!E37</f>
        <v>953.66</v>
      </c>
      <c r="H57" s="144"/>
      <c r="I57" s="140">
        <f t="shared" si="1"/>
        <v>133407.5</v>
      </c>
      <c r="J57" s="208"/>
      <c r="K57" s="132"/>
    </row>
    <row r="58" spans="1:13" x14ac:dyDescent="0.2">
      <c r="A58" s="228"/>
      <c r="B58" s="225">
        <f>B57+0.01</f>
        <v>4.09</v>
      </c>
      <c r="C58" s="229"/>
      <c r="D58" s="396" t="s">
        <v>191</v>
      </c>
      <c r="E58" s="230" t="s">
        <v>192</v>
      </c>
      <c r="F58" s="229">
        <f>Quantity_estimate!G212</f>
        <v>32</v>
      </c>
      <c r="G58" s="130">
        <f>'Summary of rates'!E115</f>
        <v>16306.54</v>
      </c>
      <c r="H58" s="131"/>
      <c r="I58" s="130">
        <f t="shared" si="1"/>
        <v>521809.28</v>
      </c>
      <c r="J58" s="231"/>
      <c r="K58" s="132"/>
    </row>
    <row r="59" spans="1:13" ht="39" thickBot="1" x14ac:dyDescent="0.25">
      <c r="A59" s="228"/>
      <c r="B59" s="225">
        <f>B58+0.01</f>
        <v>4.0999999999999996</v>
      </c>
      <c r="C59" s="229"/>
      <c r="D59" s="396" t="str">
        <f>Quantity_estimate!B214</f>
        <v>Providing and laying bituminous concrete/ Asphalt concrete using crushed aggregates of specified grading, premixed with bituminous binder and filler as per Drawing and Technical Specifications</v>
      </c>
      <c r="E59" s="230" t="s">
        <v>130</v>
      </c>
      <c r="F59" s="229">
        <f>Quantity_estimate!G217</f>
        <v>43.19</v>
      </c>
      <c r="G59" s="130">
        <f>'Summary of rates'!E35</f>
        <v>23914.19</v>
      </c>
      <c r="H59" s="131"/>
      <c r="I59" s="130">
        <f t="shared" ref="I59" si="4">F59*G59</f>
        <v>1032853.87</v>
      </c>
      <c r="J59" s="231"/>
      <c r="K59" s="132"/>
    </row>
    <row r="60" spans="1:13" ht="13.5" collapsed="1" thickBot="1" x14ac:dyDescent="0.25">
      <c r="A60" s="215"/>
      <c r="B60" s="216"/>
      <c r="C60" s="216"/>
      <c r="D60" s="949" t="s">
        <v>138</v>
      </c>
      <c r="E60" s="949"/>
      <c r="F60" s="949"/>
      <c r="G60" s="949"/>
      <c r="H60" s="949"/>
      <c r="I60" s="217">
        <f>SUM(I46:I59)</f>
        <v>31454551.59</v>
      </c>
      <c r="J60" s="218"/>
      <c r="K60" s="145"/>
    </row>
    <row r="61" spans="1:13" x14ac:dyDescent="0.2">
      <c r="A61" s="219">
        <v>5</v>
      </c>
      <c r="B61" s="384"/>
      <c r="C61" s="384"/>
      <c r="D61" s="503" t="s">
        <v>103</v>
      </c>
      <c r="E61" s="385"/>
      <c r="F61" s="385"/>
      <c r="G61" s="222"/>
      <c r="H61" s="222"/>
      <c r="I61" s="223"/>
      <c r="J61" s="386"/>
      <c r="K61" s="145"/>
    </row>
    <row r="62" spans="1:13" ht="25.5" x14ac:dyDescent="0.2">
      <c r="A62" s="391"/>
      <c r="B62" s="388">
        <v>5.01</v>
      </c>
      <c r="C62" s="392"/>
      <c r="D62" s="213" t="s">
        <v>1109</v>
      </c>
      <c r="E62" s="390"/>
      <c r="F62" s="140"/>
      <c r="G62" s="140"/>
      <c r="H62" s="140"/>
      <c r="I62" s="140"/>
      <c r="J62" s="393"/>
      <c r="K62" s="394"/>
      <c r="L62" s="395"/>
    </row>
    <row r="63" spans="1:13" x14ac:dyDescent="0.2">
      <c r="A63" s="141"/>
      <c r="B63" s="142"/>
      <c r="C63" s="142" t="s">
        <v>127</v>
      </c>
      <c r="D63" s="213" t="s">
        <v>253</v>
      </c>
      <c r="E63" s="143" t="s">
        <v>130</v>
      </c>
      <c r="F63" s="140">
        <f>Quantity_estimate!G223</f>
        <v>10342.08</v>
      </c>
      <c r="G63" s="144">
        <f>'Summary of rates'!E19</f>
        <v>75.34</v>
      </c>
      <c r="H63" s="212"/>
      <c r="I63" s="144">
        <f>PRODUCT(F63:G63)</f>
        <v>779172.31</v>
      </c>
      <c r="J63" s="208"/>
      <c r="K63" s="145"/>
    </row>
    <row r="64" spans="1:13" x14ac:dyDescent="0.2">
      <c r="A64" s="141"/>
      <c r="B64" s="142"/>
      <c r="C64" s="142" t="s">
        <v>152</v>
      </c>
      <c r="D64" s="213" t="s">
        <v>1096</v>
      </c>
      <c r="E64" s="143" t="s">
        <v>130</v>
      </c>
      <c r="F64" s="140">
        <f>Quantity_estimate!G226</f>
        <v>61.07</v>
      </c>
      <c r="G64" s="144">
        <f>'Summary of rates'!E20</f>
        <v>226.02</v>
      </c>
      <c r="H64" s="212"/>
      <c r="I64" s="144">
        <f>PRODUCT(F64:G64)</f>
        <v>13803.04</v>
      </c>
      <c r="J64" s="208"/>
      <c r="K64" s="145"/>
    </row>
    <row r="65" spans="1:12" ht="25.5" x14ac:dyDescent="0.2">
      <c r="A65" s="141"/>
      <c r="B65" s="142">
        <f>B62+0.01</f>
        <v>5.0199999999999996</v>
      </c>
      <c r="C65" s="142"/>
      <c r="D65" s="213" t="s">
        <v>1135</v>
      </c>
      <c r="E65" s="143" t="s">
        <v>130</v>
      </c>
      <c r="F65" s="140">
        <f>Quantity_estimate!G232</f>
        <v>6138.3</v>
      </c>
      <c r="G65" s="144">
        <f>'Summary of rates'!E24</f>
        <v>1311.97</v>
      </c>
      <c r="H65" s="212"/>
      <c r="I65" s="144">
        <f>PRODUCT(F65:G65)</f>
        <v>8053265.4500000002</v>
      </c>
      <c r="J65" s="208"/>
      <c r="K65" s="145"/>
    </row>
    <row r="66" spans="1:12" ht="38.25" x14ac:dyDescent="0.2">
      <c r="A66" s="455"/>
      <c r="B66" s="142">
        <f>B65+0.01</f>
        <v>5.03</v>
      </c>
      <c r="C66" s="388"/>
      <c r="D66" s="213" t="s">
        <v>342</v>
      </c>
      <c r="E66" s="557" t="s">
        <v>130</v>
      </c>
      <c r="F66" s="456">
        <f>Quantity_estimate!G237</f>
        <v>355.74</v>
      </c>
      <c r="G66" s="456">
        <f>'Summary of rates'!E32</f>
        <v>2510.79</v>
      </c>
      <c r="H66" s="456"/>
      <c r="I66" s="140">
        <f>G66*F66</f>
        <v>893188.43</v>
      </c>
      <c r="J66" s="232"/>
      <c r="K66" s="145"/>
    </row>
    <row r="67" spans="1:12" ht="51" hidden="1" x14ac:dyDescent="0.2">
      <c r="A67" s="455"/>
      <c r="B67" s="142">
        <f>B66+0.01</f>
        <v>5.04</v>
      </c>
      <c r="C67" s="388"/>
      <c r="D67" s="213" t="str">
        <f>Quantity_estimate!B238</f>
        <v>Providing, laying, spreading and compacting Water bound macadam  including  brooming requisite type of screening/ binding Materials to fill up the interstices of coarse aggregate, watering and compacting to the required density as per Drawing and Technical Specifications.</v>
      </c>
      <c r="E67" s="557" t="s">
        <v>130</v>
      </c>
      <c r="F67" s="456">
        <f>Quantity_estimate!G241</f>
        <v>0</v>
      </c>
      <c r="G67" s="456">
        <f>'Summary of rates'!E33</f>
        <v>3083.62</v>
      </c>
      <c r="H67" s="456"/>
      <c r="I67" s="140">
        <f t="shared" ref="I67:I68" si="5">G67*F67</f>
        <v>0</v>
      </c>
      <c r="J67" s="232"/>
      <c r="K67" s="145"/>
    </row>
    <row r="68" spans="1:12" ht="38.25" hidden="1" x14ac:dyDescent="0.2">
      <c r="A68" s="141"/>
      <c r="B68" s="142">
        <f>B67+0.01</f>
        <v>5.05</v>
      </c>
      <c r="C68" s="388"/>
      <c r="D68" s="529" t="str">
        <f>Quantity_estimate!B243</f>
        <v>Providing and laying Asphalt/ Premix wearing course using crushed aggregates of specified grading, premixed with bituminous binder and filler as per Drawing and Technical Specifications</v>
      </c>
      <c r="E68" s="557" t="s">
        <v>130</v>
      </c>
      <c r="F68" s="530">
        <f>Quantity_estimate!G246</f>
        <v>0</v>
      </c>
      <c r="G68" s="530">
        <f>'Summary of rates'!E35</f>
        <v>23914.19</v>
      </c>
      <c r="H68" s="530"/>
      <c r="I68" s="140">
        <f t="shared" si="5"/>
        <v>0</v>
      </c>
      <c r="J68" s="513"/>
      <c r="K68" s="145"/>
    </row>
    <row r="69" spans="1:12" ht="63.75" x14ac:dyDescent="0.2">
      <c r="A69" s="455"/>
      <c r="B69" s="388">
        <v>5.04</v>
      </c>
      <c r="C69" s="388"/>
      <c r="D69" s="911" t="s">
        <v>1194</v>
      </c>
      <c r="E69" s="557"/>
      <c r="F69" s="656"/>
      <c r="G69" s="144"/>
      <c r="H69" s="656"/>
      <c r="I69" s="657"/>
      <c r="J69" s="232"/>
      <c r="K69" s="145"/>
      <c r="L69" s="243"/>
    </row>
    <row r="70" spans="1:12" x14ac:dyDescent="0.2">
      <c r="A70" s="549"/>
      <c r="B70" s="550"/>
      <c r="C70" s="550"/>
      <c r="D70" s="556" t="s">
        <v>1195</v>
      </c>
      <c r="E70" s="552" t="s">
        <v>130</v>
      </c>
      <c r="F70" s="553">
        <f>Quantity_estimate!G251+Quantity_estimate!G248</f>
        <v>56</v>
      </c>
      <c r="G70" s="553">
        <f>'Summary of rates'!E82</f>
        <v>5747.29</v>
      </c>
      <c r="H70" s="553"/>
      <c r="I70" s="554">
        <f>G70*F70</f>
        <v>321848.24</v>
      </c>
      <c r="J70" s="555"/>
      <c r="K70" s="145"/>
      <c r="L70" s="243"/>
    </row>
    <row r="71" spans="1:12" x14ac:dyDescent="0.2">
      <c r="A71" s="549"/>
      <c r="B71" s="550"/>
      <c r="C71" s="550"/>
      <c r="D71" s="556" t="s">
        <v>1196</v>
      </c>
      <c r="E71" s="552" t="s">
        <v>130</v>
      </c>
      <c r="F71" s="553">
        <f>Quantity_estimate!G249+Quantity_estimate!G252</f>
        <v>42</v>
      </c>
      <c r="G71" s="553">
        <f>'Summary of rates'!E83</f>
        <v>6138.24</v>
      </c>
      <c r="I71" s="554">
        <f t="shared" ref="I71:I72" si="6">G71*F71</f>
        <v>257806.07999999999</v>
      </c>
      <c r="J71" s="555"/>
      <c r="K71" s="145"/>
      <c r="L71" s="243"/>
    </row>
    <row r="72" spans="1:12" ht="13.5" thickBot="1" x14ac:dyDescent="0.25">
      <c r="A72" s="549"/>
      <c r="B72" s="550"/>
      <c r="C72" s="550"/>
      <c r="D72" s="556" t="s">
        <v>1197</v>
      </c>
      <c r="E72" s="552" t="s">
        <v>130</v>
      </c>
      <c r="F72" s="553">
        <f>Quantity_estimate!G250+Quantity_estimate!G253</f>
        <v>28</v>
      </c>
      <c r="G72" s="553">
        <f>'Summary of rates'!E86</f>
        <v>6527.52</v>
      </c>
      <c r="I72" s="554">
        <f t="shared" si="6"/>
        <v>182770.56</v>
      </c>
      <c r="J72" s="555"/>
      <c r="K72" s="145"/>
      <c r="L72" s="243"/>
    </row>
    <row r="73" spans="1:12" ht="13.5" thickBot="1" x14ac:dyDescent="0.25">
      <c r="A73" s="234"/>
      <c r="B73" s="235"/>
      <c r="C73" s="235"/>
      <c r="D73" s="947" t="s">
        <v>140</v>
      </c>
      <c r="E73" s="948"/>
      <c r="F73" s="948"/>
      <c r="G73" s="948"/>
      <c r="H73" s="948"/>
      <c r="I73" s="236">
        <f>SUM(I63:I66)</f>
        <v>9739429.2300000004</v>
      </c>
      <c r="J73" s="237"/>
      <c r="K73" s="145"/>
    </row>
    <row r="74" spans="1:12" x14ac:dyDescent="0.2">
      <c r="A74" s="474"/>
      <c r="B74" s="475"/>
      <c r="C74" s="475"/>
      <c r="D74" s="501"/>
      <c r="E74" s="489"/>
      <c r="F74" s="476"/>
      <c r="G74" s="476"/>
      <c r="H74" s="476"/>
      <c r="I74" s="477"/>
      <c r="J74" s="473"/>
      <c r="K74" s="145"/>
    </row>
    <row r="75" spans="1:12" x14ac:dyDescent="0.2">
      <c r="A75" s="219">
        <v>6</v>
      </c>
      <c r="B75" s="384"/>
      <c r="C75" s="384"/>
      <c r="D75" s="503" t="s">
        <v>317</v>
      </c>
      <c r="E75" s="385"/>
      <c r="F75" s="385"/>
      <c r="G75" s="222"/>
      <c r="H75" s="222"/>
      <c r="I75" s="223"/>
      <c r="J75" s="386"/>
      <c r="K75" s="145"/>
    </row>
    <row r="76" spans="1:12" ht="38.25" x14ac:dyDescent="0.2">
      <c r="A76" s="387"/>
      <c r="B76" s="388">
        <v>6.01</v>
      </c>
      <c r="C76" s="389"/>
      <c r="D76" s="396" t="s">
        <v>343</v>
      </c>
      <c r="E76" s="390"/>
      <c r="F76" s="390"/>
      <c r="G76" s="144"/>
      <c r="H76" s="144"/>
      <c r="I76" s="140"/>
      <c r="J76" s="232"/>
      <c r="K76" s="145"/>
    </row>
    <row r="77" spans="1:12" x14ac:dyDescent="0.2">
      <c r="A77" s="387"/>
      <c r="B77" s="388"/>
      <c r="C77" s="388" t="s">
        <v>129</v>
      </c>
      <c r="D77" s="213" t="s">
        <v>253</v>
      </c>
      <c r="E77" s="390" t="s">
        <v>130</v>
      </c>
      <c r="F77" s="140">
        <f>Quantity_estimate!G262</f>
        <v>951.11</v>
      </c>
      <c r="G77" s="144">
        <f>'Summary of rates'!E21</f>
        <v>138.84</v>
      </c>
      <c r="H77" s="144"/>
      <c r="I77" s="140">
        <f>G77*F77</f>
        <v>132052.10999999999</v>
      </c>
      <c r="J77" s="232"/>
      <c r="K77" s="145"/>
    </row>
    <row r="78" spans="1:12" ht="25.5" x14ac:dyDescent="0.2">
      <c r="A78" s="141"/>
      <c r="B78" s="142">
        <v>6.02</v>
      </c>
      <c r="C78" s="142"/>
      <c r="D78" s="213" t="s">
        <v>340</v>
      </c>
      <c r="E78" s="143"/>
      <c r="F78" s="140"/>
      <c r="G78" s="144"/>
      <c r="H78" s="144"/>
      <c r="I78" s="140"/>
      <c r="J78" s="232"/>
      <c r="K78" s="145"/>
      <c r="L78" s="145"/>
    </row>
    <row r="79" spans="1:12" x14ac:dyDescent="0.2">
      <c r="A79" s="233"/>
      <c r="B79" s="142"/>
      <c r="C79" s="142" t="s">
        <v>129</v>
      </c>
      <c r="D79" s="213" t="s">
        <v>234</v>
      </c>
      <c r="E79" s="143" t="s">
        <v>130</v>
      </c>
      <c r="F79" s="140">
        <f>Quantity_estimate!G269</f>
        <v>35.64</v>
      </c>
      <c r="G79" s="144">
        <f>'Summary of rates'!E53</f>
        <v>8873.0499999999993</v>
      </c>
      <c r="H79" s="212"/>
      <c r="I79" s="144">
        <f>F79*G79</f>
        <v>316235.5</v>
      </c>
      <c r="J79" s="232"/>
      <c r="K79" s="132"/>
    </row>
    <row r="80" spans="1:12" x14ac:dyDescent="0.2">
      <c r="A80" s="233"/>
      <c r="B80" s="142"/>
      <c r="C80" s="142" t="s">
        <v>152</v>
      </c>
      <c r="D80" s="213" t="s">
        <v>1111</v>
      </c>
      <c r="E80" s="143" t="s">
        <v>130</v>
      </c>
      <c r="F80" s="140">
        <f>Quantity_estimate!G274</f>
        <v>5.63</v>
      </c>
      <c r="G80" s="144">
        <f>'Summary of rates'!E56</f>
        <v>12610.95</v>
      </c>
      <c r="H80" s="212"/>
      <c r="I80" s="144">
        <f>F80*G80</f>
        <v>70999.649999999994</v>
      </c>
      <c r="J80" s="232"/>
      <c r="K80" s="132"/>
    </row>
    <row r="81" spans="1:13" ht="30" customHeight="1" x14ac:dyDescent="0.2">
      <c r="A81" s="141"/>
      <c r="B81" s="142">
        <v>6.03</v>
      </c>
      <c r="C81" s="142"/>
      <c r="D81" s="504" t="str">
        <f>Quantity_estimate!B276</f>
        <v>Providing and laying of stone masonry work in cement mortar 1:4 in structure complete as per Drawing and Technical Specifications</v>
      </c>
      <c r="E81" s="143" t="s">
        <v>130</v>
      </c>
      <c r="F81" s="140">
        <f>Quantity_estimate!G281</f>
        <v>960.41</v>
      </c>
      <c r="G81" s="144">
        <f>'Summary of rates'!E112</f>
        <v>10950.86</v>
      </c>
      <c r="H81" s="144"/>
      <c r="I81" s="144">
        <f>F81*G81</f>
        <v>10517315.449999999</v>
      </c>
      <c r="J81" s="232"/>
      <c r="M81" s="146"/>
    </row>
    <row r="82" spans="1:13" ht="63.75" x14ac:dyDescent="0.2">
      <c r="A82" s="549"/>
      <c r="B82" s="388">
        <v>6.04</v>
      </c>
      <c r="C82" s="550"/>
      <c r="D82" s="551" t="s">
        <v>1194</v>
      </c>
      <c r="E82" s="552"/>
      <c r="F82" s="553"/>
      <c r="G82" s="131"/>
      <c r="H82" s="553"/>
      <c r="I82" s="554"/>
      <c r="J82" s="555"/>
      <c r="K82" s="145"/>
      <c r="L82" s="243"/>
    </row>
    <row r="83" spans="1:13" x14ac:dyDescent="0.2">
      <c r="A83" s="549"/>
      <c r="B83" s="550"/>
      <c r="C83" s="550"/>
      <c r="D83" s="556" t="s">
        <v>1195</v>
      </c>
      <c r="E83" s="552" t="s">
        <v>130</v>
      </c>
      <c r="F83" s="553">
        <f>Quantity_estimate!G285+Quantity_estimate!G289</f>
        <v>110</v>
      </c>
      <c r="G83" s="553">
        <f>G70</f>
        <v>5747.29</v>
      </c>
      <c r="H83" s="553"/>
      <c r="I83" s="554">
        <f>G83*F83</f>
        <v>632201.9</v>
      </c>
      <c r="J83" s="555"/>
      <c r="K83" s="145"/>
      <c r="L83" s="243"/>
    </row>
    <row r="84" spans="1:13" x14ac:dyDescent="0.2">
      <c r="A84" s="455"/>
      <c r="B84" s="388"/>
      <c r="C84" s="388"/>
      <c r="D84" s="655" t="s">
        <v>1196</v>
      </c>
      <c r="E84" s="557" t="s">
        <v>130</v>
      </c>
      <c r="F84" s="656">
        <f>Quantity_estimate!G286+Quantity_estimate!G290</f>
        <v>165</v>
      </c>
      <c r="G84" s="656">
        <f>G71</f>
        <v>6138.24</v>
      </c>
      <c r="H84" s="211"/>
      <c r="I84" s="657">
        <f t="shared" ref="I84:I85" si="7">G84*F84</f>
        <v>1012809.6</v>
      </c>
      <c r="J84" s="232"/>
      <c r="K84" s="145"/>
      <c r="L84" s="243"/>
    </row>
    <row r="85" spans="1:13" x14ac:dyDescent="0.2">
      <c r="A85" s="455"/>
      <c r="B85" s="388"/>
      <c r="C85" s="388"/>
      <c r="D85" s="655" t="s">
        <v>1197</v>
      </c>
      <c r="E85" s="557" t="s">
        <v>130</v>
      </c>
      <c r="F85" s="656">
        <f>Quantity_estimate!G287+Quantity_estimate!G291</f>
        <v>110</v>
      </c>
      <c r="G85" s="656">
        <f>G72</f>
        <v>6527.52</v>
      </c>
      <c r="H85" s="211"/>
      <c r="I85" s="657">
        <f t="shared" si="7"/>
        <v>718027.2</v>
      </c>
      <c r="J85" s="232"/>
      <c r="K85" s="145"/>
      <c r="L85" s="243"/>
    </row>
    <row r="86" spans="1:13" ht="39" thickBot="1" x14ac:dyDescent="0.25">
      <c r="A86" s="141"/>
      <c r="B86" s="142">
        <v>6.05</v>
      </c>
      <c r="C86" s="142"/>
      <c r="D86" s="498" t="s">
        <v>1039</v>
      </c>
      <c r="E86" s="143" t="s">
        <v>133</v>
      </c>
      <c r="F86" s="140">
        <f>Quantity_estimate!G301</f>
        <v>422.06</v>
      </c>
      <c r="G86" s="144">
        <f>'Summary of rates'!E87</f>
        <v>176.47</v>
      </c>
      <c r="H86" s="144">
        <f>F86*G86</f>
        <v>74480.929999999993</v>
      </c>
      <c r="I86" s="144">
        <f>F86*G86</f>
        <v>74480.929999999993</v>
      </c>
      <c r="J86" s="232"/>
      <c r="K86" s="145"/>
      <c r="M86" s="146"/>
    </row>
    <row r="87" spans="1:13" ht="13.5" thickBot="1" x14ac:dyDescent="0.25">
      <c r="A87" s="234"/>
      <c r="B87" s="235"/>
      <c r="C87" s="235"/>
      <c r="D87" s="947" t="s">
        <v>318</v>
      </c>
      <c r="E87" s="948"/>
      <c r="F87" s="948"/>
      <c r="G87" s="948"/>
      <c r="H87" s="948"/>
      <c r="I87" s="236">
        <f>SUM(I76:I86)</f>
        <v>13474122.34</v>
      </c>
      <c r="J87" s="237"/>
      <c r="K87" s="145"/>
    </row>
    <row r="88" spans="1:13" x14ac:dyDescent="0.2">
      <c r="A88" s="474"/>
      <c r="B88" s="475"/>
      <c r="C88" s="475"/>
      <c r="D88" s="501"/>
      <c r="E88" s="489"/>
      <c r="F88" s="476"/>
      <c r="G88" s="476"/>
      <c r="H88" s="476"/>
      <c r="I88" s="477"/>
      <c r="J88" s="473"/>
      <c r="K88" s="145"/>
    </row>
    <row r="89" spans="1:13" x14ac:dyDescent="0.2">
      <c r="A89" s="219">
        <v>7</v>
      </c>
      <c r="B89" s="238"/>
      <c r="C89" s="238"/>
      <c r="D89" s="497" t="s">
        <v>139</v>
      </c>
      <c r="E89" s="239"/>
      <c r="F89" s="239"/>
      <c r="G89" s="239"/>
      <c r="H89" s="239"/>
      <c r="I89" s="240"/>
      <c r="J89" s="224"/>
      <c r="K89" s="145"/>
    </row>
    <row r="90" spans="1:13" ht="64.5" thickBot="1" x14ac:dyDescent="0.25">
      <c r="A90" s="478"/>
      <c r="B90" s="229">
        <v>7.01</v>
      </c>
      <c r="C90" s="229"/>
      <c r="D90" s="396" t="s">
        <v>1042</v>
      </c>
      <c r="E90" s="230" t="s">
        <v>133</v>
      </c>
      <c r="F90" s="479">
        <f>Quantity_estimate!G307</f>
        <v>638.19000000000005</v>
      </c>
      <c r="G90" s="479">
        <f>'Summary of rates'!E9</f>
        <v>5.17</v>
      </c>
      <c r="H90" s="479"/>
      <c r="I90" s="479">
        <f>G90*F90</f>
        <v>3299.44</v>
      </c>
      <c r="J90" s="231"/>
      <c r="K90" s="145"/>
    </row>
    <row r="91" spans="1:13" ht="13.5" thickBot="1" x14ac:dyDescent="0.25">
      <c r="A91" s="482"/>
      <c r="B91" s="483"/>
      <c r="C91" s="483"/>
      <c r="D91" s="949" t="s">
        <v>319</v>
      </c>
      <c r="E91" s="949"/>
      <c r="F91" s="949"/>
      <c r="G91" s="949"/>
      <c r="H91" s="949"/>
      <c r="I91" s="484">
        <f>SUM(I90:I90)</f>
        <v>3299.44</v>
      </c>
      <c r="J91" s="218"/>
      <c r="K91" s="145"/>
    </row>
    <row r="92" spans="1:13" x14ac:dyDescent="0.2">
      <c r="A92" s="480"/>
      <c r="B92" s="220"/>
      <c r="C92" s="220"/>
      <c r="D92" s="938" t="s">
        <v>1130</v>
      </c>
      <c r="E92" s="939"/>
      <c r="F92" s="939"/>
      <c r="G92" s="939"/>
      <c r="H92" s="940"/>
      <c r="I92" s="481">
        <f>I60+I44+I35</f>
        <v>87882985.769999996</v>
      </c>
      <c r="J92" s="224"/>
      <c r="K92" s="145"/>
      <c r="L92" s="243"/>
    </row>
    <row r="93" spans="1:13" x14ac:dyDescent="0.2">
      <c r="A93" s="242"/>
      <c r="B93" s="200"/>
      <c r="C93" s="200"/>
      <c r="D93" s="941" t="s">
        <v>1131</v>
      </c>
      <c r="E93" s="942"/>
      <c r="F93" s="942"/>
      <c r="G93" s="942"/>
      <c r="H93" s="943"/>
      <c r="I93" s="241">
        <f>I91+I87+I73+I60+I44+I35+I20</f>
        <v>116006109.78</v>
      </c>
      <c r="J93" s="208"/>
      <c r="K93" s="145"/>
      <c r="L93" s="243"/>
    </row>
    <row r="94" spans="1:13" x14ac:dyDescent="0.2">
      <c r="A94" s="242"/>
      <c r="B94" s="200"/>
      <c r="C94" s="200"/>
      <c r="D94" s="944" t="s">
        <v>1132</v>
      </c>
      <c r="E94" s="945"/>
      <c r="F94" s="945"/>
      <c r="G94" s="945"/>
      <c r="H94" s="457"/>
      <c r="I94" s="241">
        <f>I93*0.05</f>
        <v>5800305.4900000002</v>
      </c>
      <c r="J94" s="208"/>
      <c r="K94" s="145"/>
      <c r="L94" s="243"/>
    </row>
    <row r="95" spans="1:13" x14ac:dyDescent="0.2">
      <c r="A95" s="242"/>
      <c r="B95" s="200"/>
      <c r="C95" s="200"/>
      <c r="D95" s="944" t="s">
        <v>1133</v>
      </c>
      <c r="E95" s="945"/>
      <c r="F95" s="945"/>
      <c r="G95" s="945"/>
      <c r="H95" s="457"/>
      <c r="I95" s="241">
        <f>I93*0.1</f>
        <v>11600610.98</v>
      </c>
      <c r="J95" s="208"/>
      <c r="K95" s="145"/>
      <c r="L95" s="243"/>
    </row>
    <row r="96" spans="1:13" x14ac:dyDescent="0.2">
      <c r="A96" s="242"/>
      <c r="B96" s="200"/>
      <c r="C96" s="200"/>
      <c r="D96" s="944" t="s">
        <v>1134</v>
      </c>
      <c r="E96" s="945"/>
      <c r="F96" s="945"/>
      <c r="G96" s="945"/>
      <c r="H96" s="457"/>
      <c r="I96" s="241">
        <f>I93*0.04</f>
        <v>4640244.3899999997</v>
      </c>
      <c r="J96" s="208"/>
      <c r="K96" s="145"/>
      <c r="L96" s="243"/>
    </row>
    <row r="97" spans="1:12" x14ac:dyDescent="0.2">
      <c r="A97" s="242"/>
      <c r="B97" s="200"/>
      <c r="C97" s="200"/>
      <c r="D97" s="505"/>
      <c r="E97" s="951" t="s">
        <v>141</v>
      </c>
      <c r="F97" s="952"/>
      <c r="G97" s="952"/>
      <c r="H97" s="952"/>
      <c r="I97" s="244">
        <f>(I93+I94+I95+I96)*13%</f>
        <v>17946145.18</v>
      </c>
      <c r="J97" s="208"/>
      <c r="K97" s="145"/>
    </row>
    <row r="98" spans="1:12" ht="13.5" thickBot="1" x14ac:dyDescent="0.25">
      <c r="A98" s="245"/>
      <c r="B98" s="246"/>
      <c r="C98" s="246"/>
      <c r="D98" s="506"/>
      <c r="E98" s="953" t="s">
        <v>120</v>
      </c>
      <c r="F98" s="954"/>
      <c r="G98" s="954"/>
      <c r="H98" s="954"/>
      <c r="I98" s="247">
        <f>SUM(I93:I97)</f>
        <v>155993415.81999999</v>
      </c>
      <c r="J98" s="248"/>
      <c r="K98" s="132"/>
      <c r="L98" s="243"/>
    </row>
    <row r="99" spans="1:12" x14ac:dyDescent="0.2">
      <c r="A99" s="249"/>
      <c r="B99" s="249"/>
      <c r="C99" s="249"/>
      <c r="D99" s="507"/>
      <c r="E99" s="251"/>
      <c r="F99" s="250"/>
      <c r="G99" s="250"/>
      <c r="H99" s="250"/>
      <c r="I99" s="251"/>
      <c r="J99" s="252"/>
    </row>
    <row r="101" spans="1:12" x14ac:dyDescent="0.2">
      <c r="A101" s="249"/>
      <c r="B101" s="249"/>
      <c r="C101" s="249"/>
      <c r="D101" s="507"/>
      <c r="E101" s="251"/>
      <c r="F101" s="250"/>
      <c r="G101" s="250"/>
      <c r="H101" s="250"/>
      <c r="I101" s="251"/>
      <c r="J101" s="252"/>
    </row>
    <row r="103" spans="1:12" x14ac:dyDescent="0.2">
      <c r="K103" s="243"/>
    </row>
  </sheetData>
  <mergeCells count="3658">
    <mergeCell ref="E97:H97"/>
    <mergeCell ref="E98:H98"/>
    <mergeCell ref="A6:J6"/>
    <mergeCell ref="D20:H20"/>
    <mergeCell ref="D35:H35"/>
    <mergeCell ref="D44:H44"/>
    <mergeCell ref="D60:H60"/>
    <mergeCell ref="A5:J5"/>
    <mergeCell ref="XFA3:XFD3"/>
    <mergeCell ref="XCY3:XDG3"/>
    <mergeCell ref="XDH3:XDP3"/>
    <mergeCell ref="XDQ3:XDY3"/>
    <mergeCell ref="XDZ3:XEH3"/>
    <mergeCell ref="XEI3:XEQ3"/>
    <mergeCell ref="XER3:XEZ3"/>
    <mergeCell ref="XAW3:XBE3"/>
    <mergeCell ref="XBF3:XBN3"/>
    <mergeCell ref="XBO3:XBW3"/>
    <mergeCell ref="XBX3:XCF3"/>
    <mergeCell ref="XCG3:XCO3"/>
    <mergeCell ref="XCP3:XCX3"/>
    <mergeCell ref="WYU3:WZC3"/>
    <mergeCell ref="WZD3:WZL3"/>
    <mergeCell ref="WZM3:WZU3"/>
    <mergeCell ref="WZV3:XAD3"/>
    <mergeCell ref="XAE3:XAM3"/>
    <mergeCell ref="XAN3:XAV3"/>
    <mergeCell ref="WWS3:WXA3"/>
    <mergeCell ref="WXB3:WXJ3"/>
    <mergeCell ref="WXK3:WXS3"/>
    <mergeCell ref="WXT3:WYB3"/>
    <mergeCell ref="WYC3:WYK3"/>
    <mergeCell ref="WYL3:WYT3"/>
    <mergeCell ref="WUQ3:WUY3"/>
    <mergeCell ref="WUZ3:WVH3"/>
    <mergeCell ref="WVI3:WVQ3"/>
    <mergeCell ref="WVR3:WVZ3"/>
    <mergeCell ref="WWA3:WWI3"/>
    <mergeCell ref="WWJ3:WWR3"/>
    <mergeCell ref="WSO3:WSW3"/>
    <mergeCell ref="WSX3:WTF3"/>
    <mergeCell ref="WTG3:WTO3"/>
    <mergeCell ref="WTP3:WTX3"/>
    <mergeCell ref="WTY3:WUG3"/>
    <mergeCell ref="WUH3:WUP3"/>
    <mergeCell ref="WQM3:WQU3"/>
    <mergeCell ref="WQV3:WRD3"/>
    <mergeCell ref="WRE3:WRM3"/>
    <mergeCell ref="WRN3:WRV3"/>
    <mergeCell ref="WRW3:WSE3"/>
    <mergeCell ref="WSF3:WSN3"/>
    <mergeCell ref="WOK3:WOS3"/>
    <mergeCell ref="WOT3:WPB3"/>
    <mergeCell ref="WPC3:WPK3"/>
    <mergeCell ref="WPL3:WPT3"/>
    <mergeCell ref="WPU3:WQC3"/>
    <mergeCell ref="WQD3:WQL3"/>
    <mergeCell ref="WMI3:WMQ3"/>
    <mergeCell ref="WMR3:WMZ3"/>
    <mergeCell ref="WNA3:WNI3"/>
    <mergeCell ref="WNJ3:WNR3"/>
    <mergeCell ref="WNS3:WOA3"/>
    <mergeCell ref="WOB3:WOJ3"/>
    <mergeCell ref="WKG3:WKO3"/>
    <mergeCell ref="WKP3:WKX3"/>
    <mergeCell ref="WKY3:WLG3"/>
    <mergeCell ref="WLH3:WLP3"/>
    <mergeCell ref="WLQ3:WLY3"/>
    <mergeCell ref="WLZ3:WMH3"/>
    <mergeCell ref="WIE3:WIM3"/>
    <mergeCell ref="WIN3:WIV3"/>
    <mergeCell ref="WIW3:WJE3"/>
    <mergeCell ref="WJF3:WJN3"/>
    <mergeCell ref="WJO3:WJW3"/>
    <mergeCell ref="WJX3:WKF3"/>
    <mergeCell ref="WGC3:WGK3"/>
    <mergeCell ref="WGL3:WGT3"/>
    <mergeCell ref="WGU3:WHC3"/>
    <mergeCell ref="WHD3:WHL3"/>
    <mergeCell ref="WHM3:WHU3"/>
    <mergeCell ref="WHV3:WID3"/>
    <mergeCell ref="WEA3:WEI3"/>
    <mergeCell ref="WEJ3:WER3"/>
    <mergeCell ref="WES3:WFA3"/>
    <mergeCell ref="WFB3:WFJ3"/>
    <mergeCell ref="WFK3:WFS3"/>
    <mergeCell ref="WFT3:WGB3"/>
    <mergeCell ref="WBY3:WCG3"/>
    <mergeCell ref="WCH3:WCP3"/>
    <mergeCell ref="WCQ3:WCY3"/>
    <mergeCell ref="WCZ3:WDH3"/>
    <mergeCell ref="WDI3:WDQ3"/>
    <mergeCell ref="WDR3:WDZ3"/>
    <mergeCell ref="VZW3:WAE3"/>
    <mergeCell ref="WAF3:WAN3"/>
    <mergeCell ref="WAO3:WAW3"/>
    <mergeCell ref="WAX3:WBF3"/>
    <mergeCell ref="WBG3:WBO3"/>
    <mergeCell ref="WBP3:WBX3"/>
    <mergeCell ref="VXU3:VYC3"/>
    <mergeCell ref="VYD3:VYL3"/>
    <mergeCell ref="VYM3:VYU3"/>
    <mergeCell ref="VYV3:VZD3"/>
    <mergeCell ref="VZE3:VZM3"/>
    <mergeCell ref="VZN3:VZV3"/>
    <mergeCell ref="VVS3:VWA3"/>
    <mergeCell ref="VWB3:VWJ3"/>
    <mergeCell ref="VWK3:VWS3"/>
    <mergeCell ref="VWT3:VXB3"/>
    <mergeCell ref="VXC3:VXK3"/>
    <mergeCell ref="VXL3:VXT3"/>
    <mergeCell ref="VTQ3:VTY3"/>
    <mergeCell ref="VTZ3:VUH3"/>
    <mergeCell ref="VUI3:VUQ3"/>
    <mergeCell ref="VUR3:VUZ3"/>
    <mergeCell ref="VVA3:VVI3"/>
    <mergeCell ref="VVJ3:VVR3"/>
    <mergeCell ref="VRO3:VRW3"/>
    <mergeCell ref="VRX3:VSF3"/>
    <mergeCell ref="VSG3:VSO3"/>
    <mergeCell ref="VSP3:VSX3"/>
    <mergeCell ref="VSY3:VTG3"/>
    <mergeCell ref="VTH3:VTP3"/>
    <mergeCell ref="VPM3:VPU3"/>
    <mergeCell ref="VPV3:VQD3"/>
    <mergeCell ref="VQE3:VQM3"/>
    <mergeCell ref="VQN3:VQV3"/>
    <mergeCell ref="VQW3:VRE3"/>
    <mergeCell ref="VRF3:VRN3"/>
    <mergeCell ref="VNK3:VNS3"/>
    <mergeCell ref="VNT3:VOB3"/>
    <mergeCell ref="VOC3:VOK3"/>
    <mergeCell ref="VOL3:VOT3"/>
    <mergeCell ref="VOU3:VPC3"/>
    <mergeCell ref="VPD3:VPL3"/>
    <mergeCell ref="VLI3:VLQ3"/>
    <mergeCell ref="VLR3:VLZ3"/>
    <mergeCell ref="VMA3:VMI3"/>
    <mergeCell ref="VMJ3:VMR3"/>
    <mergeCell ref="VMS3:VNA3"/>
    <mergeCell ref="VNB3:VNJ3"/>
    <mergeCell ref="VJG3:VJO3"/>
    <mergeCell ref="VJP3:VJX3"/>
    <mergeCell ref="VJY3:VKG3"/>
    <mergeCell ref="VKH3:VKP3"/>
    <mergeCell ref="VKQ3:VKY3"/>
    <mergeCell ref="VKZ3:VLH3"/>
    <mergeCell ref="VHE3:VHM3"/>
    <mergeCell ref="VHN3:VHV3"/>
    <mergeCell ref="VHW3:VIE3"/>
    <mergeCell ref="VIF3:VIN3"/>
    <mergeCell ref="VIO3:VIW3"/>
    <mergeCell ref="VIX3:VJF3"/>
    <mergeCell ref="VFC3:VFK3"/>
    <mergeCell ref="VFL3:VFT3"/>
    <mergeCell ref="VFU3:VGC3"/>
    <mergeCell ref="VGD3:VGL3"/>
    <mergeCell ref="VGM3:VGU3"/>
    <mergeCell ref="VGV3:VHD3"/>
    <mergeCell ref="VDA3:VDI3"/>
    <mergeCell ref="VDJ3:VDR3"/>
    <mergeCell ref="VDS3:VEA3"/>
    <mergeCell ref="VEB3:VEJ3"/>
    <mergeCell ref="VEK3:VES3"/>
    <mergeCell ref="VET3:VFB3"/>
    <mergeCell ref="VAY3:VBG3"/>
    <mergeCell ref="VBH3:VBP3"/>
    <mergeCell ref="VBQ3:VBY3"/>
    <mergeCell ref="VBZ3:VCH3"/>
    <mergeCell ref="VCI3:VCQ3"/>
    <mergeCell ref="VCR3:VCZ3"/>
    <mergeCell ref="UYW3:UZE3"/>
    <mergeCell ref="UZF3:UZN3"/>
    <mergeCell ref="UZO3:UZW3"/>
    <mergeCell ref="UZX3:VAF3"/>
    <mergeCell ref="VAG3:VAO3"/>
    <mergeCell ref="VAP3:VAX3"/>
    <mergeCell ref="UWU3:UXC3"/>
    <mergeCell ref="UXD3:UXL3"/>
    <mergeCell ref="UXM3:UXU3"/>
    <mergeCell ref="UXV3:UYD3"/>
    <mergeCell ref="UYE3:UYM3"/>
    <mergeCell ref="UYN3:UYV3"/>
    <mergeCell ref="UUS3:UVA3"/>
    <mergeCell ref="UVB3:UVJ3"/>
    <mergeCell ref="UVK3:UVS3"/>
    <mergeCell ref="UVT3:UWB3"/>
    <mergeCell ref="UWC3:UWK3"/>
    <mergeCell ref="UWL3:UWT3"/>
    <mergeCell ref="USQ3:USY3"/>
    <mergeCell ref="USZ3:UTH3"/>
    <mergeCell ref="UTI3:UTQ3"/>
    <mergeCell ref="UTR3:UTZ3"/>
    <mergeCell ref="UUA3:UUI3"/>
    <mergeCell ref="UUJ3:UUR3"/>
    <mergeCell ref="UQO3:UQW3"/>
    <mergeCell ref="UQX3:URF3"/>
    <mergeCell ref="URG3:URO3"/>
    <mergeCell ref="URP3:URX3"/>
    <mergeCell ref="URY3:USG3"/>
    <mergeCell ref="USH3:USP3"/>
    <mergeCell ref="UOM3:UOU3"/>
    <mergeCell ref="UOV3:UPD3"/>
    <mergeCell ref="UPE3:UPM3"/>
    <mergeCell ref="UPN3:UPV3"/>
    <mergeCell ref="UPW3:UQE3"/>
    <mergeCell ref="UQF3:UQN3"/>
    <mergeCell ref="UMK3:UMS3"/>
    <mergeCell ref="UMT3:UNB3"/>
    <mergeCell ref="UNC3:UNK3"/>
    <mergeCell ref="UNL3:UNT3"/>
    <mergeCell ref="UNU3:UOC3"/>
    <mergeCell ref="UOD3:UOL3"/>
    <mergeCell ref="UKI3:UKQ3"/>
    <mergeCell ref="UKR3:UKZ3"/>
    <mergeCell ref="ULA3:ULI3"/>
    <mergeCell ref="ULJ3:ULR3"/>
    <mergeCell ref="ULS3:UMA3"/>
    <mergeCell ref="UMB3:UMJ3"/>
    <mergeCell ref="UIG3:UIO3"/>
    <mergeCell ref="UIP3:UIX3"/>
    <mergeCell ref="UIY3:UJG3"/>
    <mergeCell ref="UJH3:UJP3"/>
    <mergeCell ref="UJQ3:UJY3"/>
    <mergeCell ref="UJZ3:UKH3"/>
    <mergeCell ref="UGE3:UGM3"/>
    <mergeCell ref="UGN3:UGV3"/>
    <mergeCell ref="UGW3:UHE3"/>
    <mergeCell ref="UHF3:UHN3"/>
    <mergeCell ref="UHO3:UHW3"/>
    <mergeCell ref="UHX3:UIF3"/>
    <mergeCell ref="UEC3:UEK3"/>
    <mergeCell ref="UEL3:UET3"/>
    <mergeCell ref="UEU3:UFC3"/>
    <mergeCell ref="UFD3:UFL3"/>
    <mergeCell ref="UFM3:UFU3"/>
    <mergeCell ref="UFV3:UGD3"/>
    <mergeCell ref="UCA3:UCI3"/>
    <mergeCell ref="UCJ3:UCR3"/>
    <mergeCell ref="UCS3:UDA3"/>
    <mergeCell ref="UDB3:UDJ3"/>
    <mergeCell ref="UDK3:UDS3"/>
    <mergeCell ref="UDT3:UEB3"/>
    <mergeCell ref="TZY3:UAG3"/>
    <mergeCell ref="UAH3:UAP3"/>
    <mergeCell ref="UAQ3:UAY3"/>
    <mergeCell ref="UAZ3:UBH3"/>
    <mergeCell ref="UBI3:UBQ3"/>
    <mergeCell ref="UBR3:UBZ3"/>
    <mergeCell ref="TXW3:TYE3"/>
    <mergeCell ref="TYF3:TYN3"/>
    <mergeCell ref="TYO3:TYW3"/>
    <mergeCell ref="TYX3:TZF3"/>
    <mergeCell ref="TZG3:TZO3"/>
    <mergeCell ref="TZP3:TZX3"/>
    <mergeCell ref="TVU3:TWC3"/>
    <mergeCell ref="TWD3:TWL3"/>
    <mergeCell ref="TWM3:TWU3"/>
    <mergeCell ref="TWV3:TXD3"/>
    <mergeCell ref="TXE3:TXM3"/>
    <mergeCell ref="TXN3:TXV3"/>
    <mergeCell ref="TTS3:TUA3"/>
    <mergeCell ref="TUB3:TUJ3"/>
    <mergeCell ref="TUK3:TUS3"/>
    <mergeCell ref="TUT3:TVB3"/>
    <mergeCell ref="TVC3:TVK3"/>
    <mergeCell ref="TVL3:TVT3"/>
    <mergeCell ref="TRQ3:TRY3"/>
    <mergeCell ref="TRZ3:TSH3"/>
    <mergeCell ref="TSI3:TSQ3"/>
    <mergeCell ref="TSR3:TSZ3"/>
    <mergeCell ref="TTA3:TTI3"/>
    <mergeCell ref="TTJ3:TTR3"/>
    <mergeCell ref="TPO3:TPW3"/>
    <mergeCell ref="TPX3:TQF3"/>
    <mergeCell ref="TQG3:TQO3"/>
    <mergeCell ref="TQP3:TQX3"/>
    <mergeCell ref="TQY3:TRG3"/>
    <mergeCell ref="TRH3:TRP3"/>
    <mergeCell ref="TNM3:TNU3"/>
    <mergeCell ref="TNV3:TOD3"/>
    <mergeCell ref="TOE3:TOM3"/>
    <mergeCell ref="TON3:TOV3"/>
    <mergeCell ref="TOW3:TPE3"/>
    <mergeCell ref="TPF3:TPN3"/>
    <mergeCell ref="TLK3:TLS3"/>
    <mergeCell ref="TLT3:TMB3"/>
    <mergeCell ref="TMC3:TMK3"/>
    <mergeCell ref="TML3:TMT3"/>
    <mergeCell ref="TMU3:TNC3"/>
    <mergeCell ref="TND3:TNL3"/>
    <mergeCell ref="TJI3:TJQ3"/>
    <mergeCell ref="TJR3:TJZ3"/>
    <mergeCell ref="TKA3:TKI3"/>
    <mergeCell ref="TKJ3:TKR3"/>
    <mergeCell ref="TKS3:TLA3"/>
    <mergeCell ref="TLB3:TLJ3"/>
    <mergeCell ref="THG3:THO3"/>
    <mergeCell ref="THP3:THX3"/>
    <mergeCell ref="THY3:TIG3"/>
    <mergeCell ref="TIH3:TIP3"/>
    <mergeCell ref="TIQ3:TIY3"/>
    <mergeCell ref="TIZ3:TJH3"/>
    <mergeCell ref="TFE3:TFM3"/>
    <mergeCell ref="TFN3:TFV3"/>
    <mergeCell ref="TFW3:TGE3"/>
    <mergeCell ref="TGF3:TGN3"/>
    <mergeCell ref="TGO3:TGW3"/>
    <mergeCell ref="TGX3:THF3"/>
    <mergeCell ref="TDC3:TDK3"/>
    <mergeCell ref="TDL3:TDT3"/>
    <mergeCell ref="TDU3:TEC3"/>
    <mergeCell ref="TED3:TEL3"/>
    <mergeCell ref="TEM3:TEU3"/>
    <mergeCell ref="TEV3:TFD3"/>
    <mergeCell ref="TBA3:TBI3"/>
    <mergeCell ref="TBJ3:TBR3"/>
    <mergeCell ref="TBS3:TCA3"/>
    <mergeCell ref="TCB3:TCJ3"/>
    <mergeCell ref="TCK3:TCS3"/>
    <mergeCell ref="TCT3:TDB3"/>
    <mergeCell ref="SYY3:SZG3"/>
    <mergeCell ref="SZH3:SZP3"/>
    <mergeCell ref="SZQ3:SZY3"/>
    <mergeCell ref="SZZ3:TAH3"/>
    <mergeCell ref="TAI3:TAQ3"/>
    <mergeCell ref="TAR3:TAZ3"/>
    <mergeCell ref="SWW3:SXE3"/>
    <mergeCell ref="SXF3:SXN3"/>
    <mergeCell ref="SXO3:SXW3"/>
    <mergeCell ref="SXX3:SYF3"/>
    <mergeCell ref="SYG3:SYO3"/>
    <mergeCell ref="SYP3:SYX3"/>
    <mergeCell ref="SUU3:SVC3"/>
    <mergeCell ref="SVD3:SVL3"/>
    <mergeCell ref="SVM3:SVU3"/>
    <mergeCell ref="SVV3:SWD3"/>
    <mergeCell ref="SWE3:SWM3"/>
    <mergeCell ref="SWN3:SWV3"/>
    <mergeCell ref="SSS3:STA3"/>
    <mergeCell ref="STB3:STJ3"/>
    <mergeCell ref="STK3:STS3"/>
    <mergeCell ref="STT3:SUB3"/>
    <mergeCell ref="SUC3:SUK3"/>
    <mergeCell ref="SUL3:SUT3"/>
    <mergeCell ref="SQQ3:SQY3"/>
    <mergeCell ref="SQZ3:SRH3"/>
    <mergeCell ref="SRI3:SRQ3"/>
    <mergeCell ref="SRR3:SRZ3"/>
    <mergeCell ref="SSA3:SSI3"/>
    <mergeCell ref="SSJ3:SSR3"/>
    <mergeCell ref="SOO3:SOW3"/>
    <mergeCell ref="SOX3:SPF3"/>
    <mergeCell ref="SPG3:SPO3"/>
    <mergeCell ref="SPP3:SPX3"/>
    <mergeCell ref="SPY3:SQG3"/>
    <mergeCell ref="SQH3:SQP3"/>
    <mergeCell ref="SMM3:SMU3"/>
    <mergeCell ref="SMV3:SND3"/>
    <mergeCell ref="SNE3:SNM3"/>
    <mergeCell ref="SNN3:SNV3"/>
    <mergeCell ref="SNW3:SOE3"/>
    <mergeCell ref="SOF3:SON3"/>
    <mergeCell ref="SKK3:SKS3"/>
    <mergeCell ref="SKT3:SLB3"/>
    <mergeCell ref="SLC3:SLK3"/>
    <mergeCell ref="SLL3:SLT3"/>
    <mergeCell ref="SLU3:SMC3"/>
    <mergeCell ref="SMD3:SML3"/>
    <mergeCell ref="SII3:SIQ3"/>
    <mergeCell ref="SIR3:SIZ3"/>
    <mergeCell ref="SJA3:SJI3"/>
    <mergeCell ref="SJJ3:SJR3"/>
    <mergeCell ref="SJS3:SKA3"/>
    <mergeCell ref="SKB3:SKJ3"/>
    <mergeCell ref="SGG3:SGO3"/>
    <mergeCell ref="SGP3:SGX3"/>
    <mergeCell ref="SGY3:SHG3"/>
    <mergeCell ref="SHH3:SHP3"/>
    <mergeCell ref="SHQ3:SHY3"/>
    <mergeCell ref="SHZ3:SIH3"/>
    <mergeCell ref="SEE3:SEM3"/>
    <mergeCell ref="SEN3:SEV3"/>
    <mergeCell ref="SEW3:SFE3"/>
    <mergeCell ref="SFF3:SFN3"/>
    <mergeCell ref="SFO3:SFW3"/>
    <mergeCell ref="SFX3:SGF3"/>
    <mergeCell ref="SCC3:SCK3"/>
    <mergeCell ref="SCL3:SCT3"/>
    <mergeCell ref="SCU3:SDC3"/>
    <mergeCell ref="SDD3:SDL3"/>
    <mergeCell ref="SDM3:SDU3"/>
    <mergeCell ref="SDV3:SED3"/>
    <mergeCell ref="SAA3:SAI3"/>
    <mergeCell ref="SAJ3:SAR3"/>
    <mergeCell ref="SAS3:SBA3"/>
    <mergeCell ref="SBB3:SBJ3"/>
    <mergeCell ref="SBK3:SBS3"/>
    <mergeCell ref="SBT3:SCB3"/>
    <mergeCell ref="RXY3:RYG3"/>
    <mergeCell ref="RYH3:RYP3"/>
    <mergeCell ref="RYQ3:RYY3"/>
    <mergeCell ref="RYZ3:RZH3"/>
    <mergeCell ref="RZI3:RZQ3"/>
    <mergeCell ref="RZR3:RZZ3"/>
    <mergeCell ref="RVW3:RWE3"/>
    <mergeCell ref="RWF3:RWN3"/>
    <mergeCell ref="RWO3:RWW3"/>
    <mergeCell ref="RWX3:RXF3"/>
    <mergeCell ref="RXG3:RXO3"/>
    <mergeCell ref="RXP3:RXX3"/>
    <mergeCell ref="RTU3:RUC3"/>
    <mergeCell ref="RUD3:RUL3"/>
    <mergeCell ref="RUM3:RUU3"/>
    <mergeCell ref="RUV3:RVD3"/>
    <mergeCell ref="RVE3:RVM3"/>
    <mergeCell ref="RVN3:RVV3"/>
    <mergeCell ref="RRS3:RSA3"/>
    <mergeCell ref="RSB3:RSJ3"/>
    <mergeCell ref="RSK3:RSS3"/>
    <mergeCell ref="RST3:RTB3"/>
    <mergeCell ref="RTC3:RTK3"/>
    <mergeCell ref="RTL3:RTT3"/>
    <mergeCell ref="RPQ3:RPY3"/>
    <mergeCell ref="RPZ3:RQH3"/>
    <mergeCell ref="RQI3:RQQ3"/>
    <mergeCell ref="RQR3:RQZ3"/>
    <mergeCell ref="RRA3:RRI3"/>
    <mergeCell ref="RRJ3:RRR3"/>
    <mergeCell ref="RNO3:RNW3"/>
    <mergeCell ref="RNX3:ROF3"/>
    <mergeCell ref="ROG3:ROO3"/>
    <mergeCell ref="ROP3:ROX3"/>
    <mergeCell ref="ROY3:RPG3"/>
    <mergeCell ref="RPH3:RPP3"/>
    <mergeCell ref="RLM3:RLU3"/>
    <mergeCell ref="RLV3:RMD3"/>
    <mergeCell ref="RME3:RMM3"/>
    <mergeCell ref="RMN3:RMV3"/>
    <mergeCell ref="RMW3:RNE3"/>
    <mergeCell ref="RNF3:RNN3"/>
    <mergeCell ref="RJK3:RJS3"/>
    <mergeCell ref="RJT3:RKB3"/>
    <mergeCell ref="RKC3:RKK3"/>
    <mergeCell ref="RKL3:RKT3"/>
    <mergeCell ref="RKU3:RLC3"/>
    <mergeCell ref="RLD3:RLL3"/>
    <mergeCell ref="RHI3:RHQ3"/>
    <mergeCell ref="RHR3:RHZ3"/>
    <mergeCell ref="RIA3:RII3"/>
    <mergeCell ref="RIJ3:RIR3"/>
    <mergeCell ref="RIS3:RJA3"/>
    <mergeCell ref="RJB3:RJJ3"/>
    <mergeCell ref="RFG3:RFO3"/>
    <mergeCell ref="RFP3:RFX3"/>
    <mergeCell ref="RFY3:RGG3"/>
    <mergeCell ref="RGH3:RGP3"/>
    <mergeCell ref="RGQ3:RGY3"/>
    <mergeCell ref="RGZ3:RHH3"/>
    <mergeCell ref="RDE3:RDM3"/>
    <mergeCell ref="RDN3:RDV3"/>
    <mergeCell ref="RDW3:REE3"/>
    <mergeCell ref="REF3:REN3"/>
    <mergeCell ref="REO3:REW3"/>
    <mergeCell ref="REX3:RFF3"/>
    <mergeCell ref="RBC3:RBK3"/>
    <mergeCell ref="RBL3:RBT3"/>
    <mergeCell ref="RBU3:RCC3"/>
    <mergeCell ref="RCD3:RCL3"/>
    <mergeCell ref="RCM3:RCU3"/>
    <mergeCell ref="RCV3:RDD3"/>
    <mergeCell ref="QZA3:QZI3"/>
    <mergeCell ref="QZJ3:QZR3"/>
    <mergeCell ref="QZS3:RAA3"/>
    <mergeCell ref="RAB3:RAJ3"/>
    <mergeCell ref="RAK3:RAS3"/>
    <mergeCell ref="RAT3:RBB3"/>
    <mergeCell ref="QWY3:QXG3"/>
    <mergeCell ref="QXH3:QXP3"/>
    <mergeCell ref="QXQ3:QXY3"/>
    <mergeCell ref="QXZ3:QYH3"/>
    <mergeCell ref="QYI3:QYQ3"/>
    <mergeCell ref="QYR3:QYZ3"/>
    <mergeCell ref="QUW3:QVE3"/>
    <mergeCell ref="QVF3:QVN3"/>
    <mergeCell ref="QVO3:QVW3"/>
    <mergeCell ref="QVX3:QWF3"/>
    <mergeCell ref="QWG3:QWO3"/>
    <mergeCell ref="QWP3:QWX3"/>
    <mergeCell ref="QSU3:QTC3"/>
    <mergeCell ref="QTD3:QTL3"/>
    <mergeCell ref="QTM3:QTU3"/>
    <mergeCell ref="QTV3:QUD3"/>
    <mergeCell ref="QUE3:QUM3"/>
    <mergeCell ref="QUN3:QUV3"/>
    <mergeCell ref="QQS3:QRA3"/>
    <mergeCell ref="QRB3:QRJ3"/>
    <mergeCell ref="QRK3:QRS3"/>
    <mergeCell ref="QRT3:QSB3"/>
    <mergeCell ref="QSC3:QSK3"/>
    <mergeCell ref="QSL3:QST3"/>
    <mergeCell ref="QOQ3:QOY3"/>
    <mergeCell ref="QOZ3:QPH3"/>
    <mergeCell ref="QPI3:QPQ3"/>
    <mergeCell ref="QPR3:QPZ3"/>
    <mergeCell ref="QQA3:QQI3"/>
    <mergeCell ref="QQJ3:QQR3"/>
    <mergeCell ref="QMO3:QMW3"/>
    <mergeCell ref="QMX3:QNF3"/>
    <mergeCell ref="QNG3:QNO3"/>
    <mergeCell ref="QNP3:QNX3"/>
    <mergeCell ref="QNY3:QOG3"/>
    <mergeCell ref="QOH3:QOP3"/>
    <mergeCell ref="QKM3:QKU3"/>
    <mergeCell ref="QKV3:QLD3"/>
    <mergeCell ref="QLE3:QLM3"/>
    <mergeCell ref="QLN3:QLV3"/>
    <mergeCell ref="QLW3:QME3"/>
    <mergeCell ref="QMF3:QMN3"/>
    <mergeCell ref="QIK3:QIS3"/>
    <mergeCell ref="QIT3:QJB3"/>
    <mergeCell ref="QJC3:QJK3"/>
    <mergeCell ref="QJL3:QJT3"/>
    <mergeCell ref="QJU3:QKC3"/>
    <mergeCell ref="QKD3:QKL3"/>
    <mergeCell ref="QGI3:QGQ3"/>
    <mergeCell ref="QGR3:QGZ3"/>
    <mergeCell ref="QHA3:QHI3"/>
    <mergeCell ref="QHJ3:QHR3"/>
    <mergeCell ref="QHS3:QIA3"/>
    <mergeCell ref="QIB3:QIJ3"/>
    <mergeCell ref="QEG3:QEO3"/>
    <mergeCell ref="QEP3:QEX3"/>
    <mergeCell ref="QEY3:QFG3"/>
    <mergeCell ref="QFH3:QFP3"/>
    <mergeCell ref="QFQ3:QFY3"/>
    <mergeCell ref="QFZ3:QGH3"/>
    <mergeCell ref="QCE3:QCM3"/>
    <mergeCell ref="QCN3:QCV3"/>
    <mergeCell ref="QCW3:QDE3"/>
    <mergeCell ref="QDF3:QDN3"/>
    <mergeCell ref="QDO3:QDW3"/>
    <mergeCell ref="QDX3:QEF3"/>
    <mergeCell ref="QAC3:QAK3"/>
    <mergeCell ref="QAL3:QAT3"/>
    <mergeCell ref="QAU3:QBC3"/>
    <mergeCell ref="QBD3:QBL3"/>
    <mergeCell ref="QBM3:QBU3"/>
    <mergeCell ref="QBV3:QCD3"/>
    <mergeCell ref="PYA3:PYI3"/>
    <mergeCell ref="PYJ3:PYR3"/>
    <mergeCell ref="PYS3:PZA3"/>
    <mergeCell ref="PZB3:PZJ3"/>
    <mergeCell ref="PZK3:PZS3"/>
    <mergeCell ref="PZT3:QAB3"/>
    <mergeCell ref="PVY3:PWG3"/>
    <mergeCell ref="PWH3:PWP3"/>
    <mergeCell ref="PWQ3:PWY3"/>
    <mergeCell ref="PWZ3:PXH3"/>
    <mergeCell ref="PXI3:PXQ3"/>
    <mergeCell ref="PXR3:PXZ3"/>
    <mergeCell ref="PTW3:PUE3"/>
    <mergeCell ref="PUF3:PUN3"/>
    <mergeCell ref="PUO3:PUW3"/>
    <mergeCell ref="PUX3:PVF3"/>
    <mergeCell ref="PVG3:PVO3"/>
    <mergeCell ref="PVP3:PVX3"/>
    <mergeCell ref="PRU3:PSC3"/>
    <mergeCell ref="PSD3:PSL3"/>
    <mergeCell ref="PSM3:PSU3"/>
    <mergeCell ref="PSV3:PTD3"/>
    <mergeCell ref="PTE3:PTM3"/>
    <mergeCell ref="PTN3:PTV3"/>
    <mergeCell ref="PPS3:PQA3"/>
    <mergeCell ref="PQB3:PQJ3"/>
    <mergeCell ref="PQK3:PQS3"/>
    <mergeCell ref="PQT3:PRB3"/>
    <mergeCell ref="PRC3:PRK3"/>
    <mergeCell ref="PRL3:PRT3"/>
    <mergeCell ref="PNQ3:PNY3"/>
    <mergeCell ref="PNZ3:POH3"/>
    <mergeCell ref="POI3:POQ3"/>
    <mergeCell ref="POR3:POZ3"/>
    <mergeCell ref="PPA3:PPI3"/>
    <mergeCell ref="PPJ3:PPR3"/>
    <mergeCell ref="PLO3:PLW3"/>
    <mergeCell ref="PLX3:PMF3"/>
    <mergeCell ref="PMG3:PMO3"/>
    <mergeCell ref="PMP3:PMX3"/>
    <mergeCell ref="PMY3:PNG3"/>
    <mergeCell ref="PNH3:PNP3"/>
    <mergeCell ref="PJM3:PJU3"/>
    <mergeCell ref="PJV3:PKD3"/>
    <mergeCell ref="PKE3:PKM3"/>
    <mergeCell ref="PKN3:PKV3"/>
    <mergeCell ref="PKW3:PLE3"/>
    <mergeCell ref="PLF3:PLN3"/>
    <mergeCell ref="PHK3:PHS3"/>
    <mergeCell ref="PHT3:PIB3"/>
    <mergeCell ref="PIC3:PIK3"/>
    <mergeCell ref="PIL3:PIT3"/>
    <mergeCell ref="PIU3:PJC3"/>
    <mergeCell ref="PJD3:PJL3"/>
    <mergeCell ref="PFI3:PFQ3"/>
    <mergeCell ref="PFR3:PFZ3"/>
    <mergeCell ref="PGA3:PGI3"/>
    <mergeCell ref="PGJ3:PGR3"/>
    <mergeCell ref="PGS3:PHA3"/>
    <mergeCell ref="PHB3:PHJ3"/>
    <mergeCell ref="PDG3:PDO3"/>
    <mergeCell ref="PDP3:PDX3"/>
    <mergeCell ref="PDY3:PEG3"/>
    <mergeCell ref="PEH3:PEP3"/>
    <mergeCell ref="PEQ3:PEY3"/>
    <mergeCell ref="PEZ3:PFH3"/>
    <mergeCell ref="PBE3:PBM3"/>
    <mergeCell ref="PBN3:PBV3"/>
    <mergeCell ref="PBW3:PCE3"/>
    <mergeCell ref="PCF3:PCN3"/>
    <mergeCell ref="PCO3:PCW3"/>
    <mergeCell ref="PCX3:PDF3"/>
    <mergeCell ref="OZC3:OZK3"/>
    <mergeCell ref="OZL3:OZT3"/>
    <mergeCell ref="OZU3:PAC3"/>
    <mergeCell ref="PAD3:PAL3"/>
    <mergeCell ref="PAM3:PAU3"/>
    <mergeCell ref="PAV3:PBD3"/>
    <mergeCell ref="OXA3:OXI3"/>
    <mergeCell ref="OXJ3:OXR3"/>
    <mergeCell ref="OXS3:OYA3"/>
    <mergeCell ref="OYB3:OYJ3"/>
    <mergeCell ref="OYK3:OYS3"/>
    <mergeCell ref="OYT3:OZB3"/>
    <mergeCell ref="OUY3:OVG3"/>
    <mergeCell ref="OVH3:OVP3"/>
    <mergeCell ref="OVQ3:OVY3"/>
    <mergeCell ref="OVZ3:OWH3"/>
    <mergeCell ref="OWI3:OWQ3"/>
    <mergeCell ref="OWR3:OWZ3"/>
    <mergeCell ref="OSW3:OTE3"/>
    <mergeCell ref="OTF3:OTN3"/>
    <mergeCell ref="OTO3:OTW3"/>
    <mergeCell ref="OTX3:OUF3"/>
    <mergeCell ref="OUG3:OUO3"/>
    <mergeCell ref="OUP3:OUX3"/>
    <mergeCell ref="OQU3:ORC3"/>
    <mergeCell ref="ORD3:ORL3"/>
    <mergeCell ref="ORM3:ORU3"/>
    <mergeCell ref="ORV3:OSD3"/>
    <mergeCell ref="OSE3:OSM3"/>
    <mergeCell ref="OSN3:OSV3"/>
    <mergeCell ref="OOS3:OPA3"/>
    <mergeCell ref="OPB3:OPJ3"/>
    <mergeCell ref="OPK3:OPS3"/>
    <mergeCell ref="OPT3:OQB3"/>
    <mergeCell ref="OQC3:OQK3"/>
    <mergeCell ref="OQL3:OQT3"/>
    <mergeCell ref="OMQ3:OMY3"/>
    <mergeCell ref="OMZ3:ONH3"/>
    <mergeCell ref="ONI3:ONQ3"/>
    <mergeCell ref="ONR3:ONZ3"/>
    <mergeCell ref="OOA3:OOI3"/>
    <mergeCell ref="OOJ3:OOR3"/>
    <mergeCell ref="OKO3:OKW3"/>
    <mergeCell ref="OKX3:OLF3"/>
    <mergeCell ref="OLG3:OLO3"/>
    <mergeCell ref="OLP3:OLX3"/>
    <mergeCell ref="OLY3:OMG3"/>
    <mergeCell ref="OMH3:OMP3"/>
    <mergeCell ref="OIM3:OIU3"/>
    <mergeCell ref="OIV3:OJD3"/>
    <mergeCell ref="OJE3:OJM3"/>
    <mergeCell ref="OJN3:OJV3"/>
    <mergeCell ref="OJW3:OKE3"/>
    <mergeCell ref="OKF3:OKN3"/>
    <mergeCell ref="OGK3:OGS3"/>
    <mergeCell ref="OGT3:OHB3"/>
    <mergeCell ref="OHC3:OHK3"/>
    <mergeCell ref="OHL3:OHT3"/>
    <mergeCell ref="OHU3:OIC3"/>
    <mergeCell ref="OID3:OIL3"/>
    <mergeCell ref="OEI3:OEQ3"/>
    <mergeCell ref="OER3:OEZ3"/>
    <mergeCell ref="OFA3:OFI3"/>
    <mergeCell ref="OFJ3:OFR3"/>
    <mergeCell ref="OFS3:OGA3"/>
    <mergeCell ref="OGB3:OGJ3"/>
    <mergeCell ref="OCG3:OCO3"/>
    <mergeCell ref="OCP3:OCX3"/>
    <mergeCell ref="OCY3:ODG3"/>
    <mergeCell ref="ODH3:ODP3"/>
    <mergeCell ref="ODQ3:ODY3"/>
    <mergeCell ref="ODZ3:OEH3"/>
    <mergeCell ref="OAE3:OAM3"/>
    <mergeCell ref="OAN3:OAV3"/>
    <mergeCell ref="OAW3:OBE3"/>
    <mergeCell ref="OBF3:OBN3"/>
    <mergeCell ref="OBO3:OBW3"/>
    <mergeCell ref="OBX3:OCF3"/>
    <mergeCell ref="NYC3:NYK3"/>
    <mergeCell ref="NYL3:NYT3"/>
    <mergeCell ref="NYU3:NZC3"/>
    <mergeCell ref="NZD3:NZL3"/>
    <mergeCell ref="NZM3:NZU3"/>
    <mergeCell ref="NZV3:OAD3"/>
    <mergeCell ref="NWA3:NWI3"/>
    <mergeCell ref="NWJ3:NWR3"/>
    <mergeCell ref="NWS3:NXA3"/>
    <mergeCell ref="NXB3:NXJ3"/>
    <mergeCell ref="NXK3:NXS3"/>
    <mergeCell ref="NXT3:NYB3"/>
    <mergeCell ref="NTY3:NUG3"/>
    <mergeCell ref="NUH3:NUP3"/>
    <mergeCell ref="NUQ3:NUY3"/>
    <mergeCell ref="NUZ3:NVH3"/>
    <mergeCell ref="NVI3:NVQ3"/>
    <mergeCell ref="NVR3:NVZ3"/>
    <mergeCell ref="NRW3:NSE3"/>
    <mergeCell ref="NSF3:NSN3"/>
    <mergeCell ref="NSO3:NSW3"/>
    <mergeCell ref="NSX3:NTF3"/>
    <mergeCell ref="NTG3:NTO3"/>
    <mergeCell ref="NTP3:NTX3"/>
    <mergeCell ref="NPU3:NQC3"/>
    <mergeCell ref="NQD3:NQL3"/>
    <mergeCell ref="NQM3:NQU3"/>
    <mergeCell ref="NQV3:NRD3"/>
    <mergeCell ref="NRE3:NRM3"/>
    <mergeCell ref="NRN3:NRV3"/>
    <mergeCell ref="NNS3:NOA3"/>
    <mergeCell ref="NOB3:NOJ3"/>
    <mergeCell ref="NOK3:NOS3"/>
    <mergeCell ref="NOT3:NPB3"/>
    <mergeCell ref="NPC3:NPK3"/>
    <mergeCell ref="NPL3:NPT3"/>
    <mergeCell ref="NLQ3:NLY3"/>
    <mergeCell ref="NLZ3:NMH3"/>
    <mergeCell ref="NMI3:NMQ3"/>
    <mergeCell ref="NMR3:NMZ3"/>
    <mergeCell ref="NNA3:NNI3"/>
    <mergeCell ref="NNJ3:NNR3"/>
    <mergeCell ref="NJO3:NJW3"/>
    <mergeCell ref="NJX3:NKF3"/>
    <mergeCell ref="NKG3:NKO3"/>
    <mergeCell ref="NKP3:NKX3"/>
    <mergeCell ref="NKY3:NLG3"/>
    <mergeCell ref="NLH3:NLP3"/>
    <mergeCell ref="NHM3:NHU3"/>
    <mergeCell ref="NHV3:NID3"/>
    <mergeCell ref="NIE3:NIM3"/>
    <mergeCell ref="NIN3:NIV3"/>
    <mergeCell ref="NIW3:NJE3"/>
    <mergeCell ref="NJF3:NJN3"/>
    <mergeCell ref="NFK3:NFS3"/>
    <mergeCell ref="NFT3:NGB3"/>
    <mergeCell ref="NGC3:NGK3"/>
    <mergeCell ref="NGL3:NGT3"/>
    <mergeCell ref="NGU3:NHC3"/>
    <mergeCell ref="NHD3:NHL3"/>
    <mergeCell ref="NDI3:NDQ3"/>
    <mergeCell ref="NDR3:NDZ3"/>
    <mergeCell ref="NEA3:NEI3"/>
    <mergeCell ref="NEJ3:NER3"/>
    <mergeCell ref="NES3:NFA3"/>
    <mergeCell ref="NFB3:NFJ3"/>
    <mergeCell ref="NBG3:NBO3"/>
    <mergeCell ref="NBP3:NBX3"/>
    <mergeCell ref="NBY3:NCG3"/>
    <mergeCell ref="NCH3:NCP3"/>
    <mergeCell ref="NCQ3:NCY3"/>
    <mergeCell ref="NCZ3:NDH3"/>
    <mergeCell ref="MZE3:MZM3"/>
    <mergeCell ref="MZN3:MZV3"/>
    <mergeCell ref="MZW3:NAE3"/>
    <mergeCell ref="NAF3:NAN3"/>
    <mergeCell ref="NAO3:NAW3"/>
    <mergeCell ref="NAX3:NBF3"/>
    <mergeCell ref="MXC3:MXK3"/>
    <mergeCell ref="MXL3:MXT3"/>
    <mergeCell ref="MXU3:MYC3"/>
    <mergeCell ref="MYD3:MYL3"/>
    <mergeCell ref="MYM3:MYU3"/>
    <mergeCell ref="MYV3:MZD3"/>
    <mergeCell ref="MVA3:MVI3"/>
    <mergeCell ref="MVJ3:MVR3"/>
    <mergeCell ref="MVS3:MWA3"/>
    <mergeCell ref="MWB3:MWJ3"/>
    <mergeCell ref="MWK3:MWS3"/>
    <mergeCell ref="MWT3:MXB3"/>
    <mergeCell ref="MSY3:MTG3"/>
    <mergeCell ref="MTH3:MTP3"/>
    <mergeCell ref="MTQ3:MTY3"/>
    <mergeCell ref="MTZ3:MUH3"/>
    <mergeCell ref="MUI3:MUQ3"/>
    <mergeCell ref="MUR3:MUZ3"/>
    <mergeCell ref="MQW3:MRE3"/>
    <mergeCell ref="MRF3:MRN3"/>
    <mergeCell ref="MRO3:MRW3"/>
    <mergeCell ref="MRX3:MSF3"/>
    <mergeCell ref="MSG3:MSO3"/>
    <mergeCell ref="MSP3:MSX3"/>
    <mergeCell ref="MOU3:MPC3"/>
    <mergeCell ref="MPD3:MPL3"/>
    <mergeCell ref="MPM3:MPU3"/>
    <mergeCell ref="MPV3:MQD3"/>
    <mergeCell ref="MQE3:MQM3"/>
    <mergeCell ref="MQN3:MQV3"/>
    <mergeCell ref="MMS3:MNA3"/>
    <mergeCell ref="MNB3:MNJ3"/>
    <mergeCell ref="MNK3:MNS3"/>
    <mergeCell ref="MNT3:MOB3"/>
    <mergeCell ref="MOC3:MOK3"/>
    <mergeCell ref="MOL3:MOT3"/>
    <mergeCell ref="MKQ3:MKY3"/>
    <mergeCell ref="MKZ3:MLH3"/>
    <mergeCell ref="MLI3:MLQ3"/>
    <mergeCell ref="MLR3:MLZ3"/>
    <mergeCell ref="MMA3:MMI3"/>
    <mergeCell ref="MMJ3:MMR3"/>
    <mergeCell ref="MIO3:MIW3"/>
    <mergeCell ref="MIX3:MJF3"/>
    <mergeCell ref="MJG3:MJO3"/>
    <mergeCell ref="MJP3:MJX3"/>
    <mergeCell ref="MJY3:MKG3"/>
    <mergeCell ref="MKH3:MKP3"/>
    <mergeCell ref="MGM3:MGU3"/>
    <mergeCell ref="MGV3:MHD3"/>
    <mergeCell ref="MHE3:MHM3"/>
    <mergeCell ref="MHN3:MHV3"/>
    <mergeCell ref="MHW3:MIE3"/>
    <mergeCell ref="MIF3:MIN3"/>
    <mergeCell ref="MEK3:MES3"/>
    <mergeCell ref="MET3:MFB3"/>
    <mergeCell ref="MFC3:MFK3"/>
    <mergeCell ref="MFL3:MFT3"/>
    <mergeCell ref="MFU3:MGC3"/>
    <mergeCell ref="MGD3:MGL3"/>
    <mergeCell ref="MCI3:MCQ3"/>
    <mergeCell ref="MCR3:MCZ3"/>
    <mergeCell ref="MDA3:MDI3"/>
    <mergeCell ref="MDJ3:MDR3"/>
    <mergeCell ref="MDS3:MEA3"/>
    <mergeCell ref="MEB3:MEJ3"/>
    <mergeCell ref="MAG3:MAO3"/>
    <mergeCell ref="MAP3:MAX3"/>
    <mergeCell ref="MAY3:MBG3"/>
    <mergeCell ref="MBH3:MBP3"/>
    <mergeCell ref="MBQ3:MBY3"/>
    <mergeCell ref="MBZ3:MCH3"/>
    <mergeCell ref="LYE3:LYM3"/>
    <mergeCell ref="LYN3:LYV3"/>
    <mergeCell ref="LYW3:LZE3"/>
    <mergeCell ref="LZF3:LZN3"/>
    <mergeCell ref="LZO3:LZW3"/>
    <mergeCell ref="LZX3:MAF3"/>
    <mergeCell ref="LWC3:LWK3"/>
    <mergeCell ref="LWL3:LWT3"/>
    <mergeCell ref="LWU3:LXC3"/>
    <mergeCell ref="LXD3:LXL3"/>
    <mergeCell ref="LXM3:LXU3"/>
    <mergeCell ref="LXV3:LYD3"/>
    <mergeCell ref="LUA3:LUI3"/>
    <mergeCell ref="LUJ3:LUR3"/>
    <mergeCell ref="LUS3:LVA3"/>
    <mergeCell ref="LVB3:LVJ3"/>
    <mergeCell ref="LVK3:LVS3"/>
    <mergeCell ref="LVT3:LWB3"/>
    <mergeCell ref="LRY3:LSG3"/>
    <mergeCell ref="LSH3:LSP3"/>
    <mergeCell ref="LSQ3:LSY3"/>
    <mergeCell ref="LSZ3:LTH3"/>
    <mergeCell ref="LTI3:LTQ3"/>
    <mergeCell ref="LTR3:LTZ3"/>
    <mergeCell ref="LPW3:LQE3"/>
    <mergeCell ref="LQF3:LQN3"/>
    <mergeCell ref="LQO3:LQW3"/>
    <mergeCell ref="LQX3:LRF3"/>
    <mergeCell ref="LRG3:LRO3"/>
    <mergeCell ref="LRP3:LRX3"/>
    <mergeCell ref="LNU3:LOC3"/>
    <mergeCell ref="LOD3:LOL3"/>
    <mergeCell ref="LOM3:LOU3"/>
    <mergeCell ref="LOV3:LPD3"/>
    <mergeCell ref="LPE3:LPM3"/>
    <mergeCell ref="LPN3:LPV3"/>
    <mergeCell ref="LLS3:LMA3"/>
    <mergeCell ref="LMB3:LMJ3"/>
    <mergeCell ref="LMK3:LMS3"/>
    <mergeCell ref="LMT3:LNB3"/>
    <mergeCell ref="LNC3:LNK3"/>
    <mergeCell ref="LNL3:LNT3"/>
    <mergeCell ref="LJQ3:LJY3"/>
    <mergeCell ref="LJZ3:LKH3"/>
    <mergeCell ref="LKI3:LKQ3"/>
    <mergeCell ref="LKR3:LKZ3"/>
    <mergeCell ref="LLA3:LLI3"/>
    <mergeCell ref="LLJ3:LLR3"/>
    <mergeCell ref="LHO3:LHW3"/>
    <mergeCell ref="LHX3:LIF3"/>
    <mergeCell ref="LIG3:LIO3"/>
    <mergeCell ref="LIP3:LIX3"/>
    <mergeCell ref="LIY3:LJG3"/>
    <mergeCell ref="LJH3:LJP3"/>
    <mergeCell ref="LFM3:LFU3"/>
    <mergeCell ref="LFV3:LGD3"/>
    <mergeCell ref="LGE3:LGM3"/>
    <mergeCell ref="LGN3:LGV3"/>
    <mergeCell ref="LGW3:LHE3"/>
    <mergeCell ref="LHF3:LHN3"/>
    <mergeCell ref="LDK3:LDS3"/>
    <mergeCell ref="LDT3:LEB3"/>
    <mergeCell ref="LEC3:LEK3"/>
    <mergeCell ref="LEL3:LET3"/>
    <mergeCell ref="LEU3:LFC3"/>
    <mergeCell ref="LFD3:LFL3"/>
    <mergeCell ref="LBI3:LBQ3"/>
    <mergeCell ref="LBR3:LBZ3"/>
    <mergeCell ref="LCA3:LCI3"/>
    <mergeCell ref="LCJ3:LCR3"/>
    <mergeCell ref="LCS3:LDA3"/>
    <mergeCell ref="LDB3:LDJ3"/>
    <mergeCell ref="KZG3:KZO3"/>
    <mergeCell ref="KZP3:KZX3"/>
    <mergeCell ref="KZY3:LAG3"/>
    <mergeCell ref="LAH3:LAP3"/>
    <mergeCell ref="LAQ3:LAY3"/>
    <mergeCell ref="LAZ3:LBH3"/>
    <mergeCell ref="KXE3:KXM3"/>
    <mergeCell ref="KXN3:KXV3"/>
    <mergeCell ref="KXW3:KYE3"/>
    <mergeCell ref="KYF3:KYN3"/>
    <mergeCell ref="KYO3:KYW3"/>
    <mergeCell ref="KYX3:KZF3"/>
    <mergeCell ref="KVC3:KVK3"/>
    <mergeCell ref="KVL3:KVT3"/>
    <mergeCell ref="KVU3:KWC3"/>
    <mergeCell ref="KWD3:KWL3"/>
    <mergeCell ref="KWM3:KWU3"/>
    <mergeCell ref="KWV3:KXD3"/>
    <mergeCell ref="KTA3:KTI3"/>
    <mergeCell ref="KTJ3:KTR3"/>
    <mergeCell ref="KTS3:KUA3"/>
    <mergeCell ref="KUB3:KUJ3"/>
    <mergeCell ref="KUK3:KUS3"/>
    <mergeCell ref="KUT3:KVB3"/>
    <mergeCell ref="KQY3:KRG3"/>
    <mergeCell ref="KRH3:KRP3"/>
    <mergeCell ref="KRQ3:KRY3"/>
    <mergeCell ref="KRZ3:KSH3"/>
    <mergeCell ref="KSI3:KSQ3"/>
    <mergeCell ref="KSR3:KSZ3"/>
    <mergeCell ref="KOW3:KPE3"/>
    <mergeCell ref="KPF3:KPN3"/>
    <mergeCell ref="KPO3:KPW3"/>
    <mergeCell ref="KPX3:KQF3"/>
    <mergeCell ref="KQG3:KQO3"/>
    <mergeCell ref="KQP3:KQX3"/>
    <mergeCell ref="KMU3:KNC3"/>
    <mergeCell ref="KND3:KNL3"/>
    <mergeCell ref="KNM3:KNU3"/>
    <mergeCell ref="KNV3:KOD3"/>
    <mergeCell ref="KOE3:KOM3"/>
    <mergeCell ref="KON3:KOV3"/>
    <mergeCell ref="KKS3:KLA3"/>
    <mergeCell ref="KLB3:KLJ3"/>
    <mergeCell ref="KLK3:KLS3"/>
    <mergeCell ref="KLT3:KMB3"/>
    <mergeCell ref="KMC3:KMK3"/>
    <mergeCell ref="KML3:KMT3"/>
    <mergeCell ref="KIQ3:KIY3"/>
    <mergeCell ref="KIZ3:KJH3"/>
    <mergeCell ref="KJI3:KJQ3"/>
    <mergeCell ref="KJR3:KJZ3"/>
    <mergeCell ref="KKA3:KKI3"/>
    <mergeCell ref="KKJ3:KKR3"/>
    <mergeCell ref="KGO3:KGW3"/>
    <mergeCell ref="KGX3:KHF3"/>
    <mergeCell ref="KHG3:KHO3"/>
    <mergeCell ref="KHP3:KHX3"/>
    <mergeCell ref="KHY3:KIG3"/>
    <mergeCell ref="KIH3:KIP3"/>
    <mergeCell ref="KEM3:KEU3"/>
    <mergeCell ref="KEV3:KFD3"/>
    <mergeCell ref="KFE3:KFM3"/>
    <mergeCell ref="KFN3:KFV3"/>
    <mergeCell ref="KFW3:KGE3"/>
    <mergeCell ref="KGF3:KGN3"/>
    <mergeCell ref="KCK3:KCS3"/>
    <mergeCell ref="KCT3:KDB3"/>
    <mergeCell ref="KDC3:KDK3"/>
    <mergeCell ref="KDL3:KDT3"/>
    <mergeCell ref="KDU3:KEC3"/>
    <mergeCell ref="KED3:KEL3"/>
    <mergeCell ref="KAI3:KAQ3"/>
    <mergeCell ref="KAR3:KAZ3"/>
    <mergeCell ref="KBA3:KBI3"/>
    <mergeCell ref="KBJ3:KBR3"/>
    <mergeCell ref="KBS3:KCA3"/>
    <mergeCell ref="KCB3:KCJ3"/>
    <mergeCell ref="JYG3:JYO3"/>
    <mergeCell ref="JYP3:JYX3"/>
    <mergeCell ref="JYY3:JZG3"/>
    <mergeCell ref="JZH3:JZP3"/>
    <mergeCell ref="JZQ3:JZY3"/>
    <mergeCell ref="JZZ3:KAH3"/>
    <mergeCell ref="JWE3:JWM3"/>
    <mergeCell ref="JWN3:JWV3"/>
    <mergeCell ref="JWW3:JXE3"/>
    <mergeCell ref="JXF3:JXN3"/>
    <mergeCell ref="JXO3:JXW3"/>
    <mergeCell ref="JXX3:JYF3"/>
    <mergeCell ref="JUC3:JUK3"/>
    <mergeCell ref="JUL3:JUT3"/>
    <mergeCell ref="JUU3:JVC3"/>
    <mergeCell ref="JVD3:JVL3"/>
    <mergeCell ref="JVM3:JVU3"/>
    <mergeCell ref="JVV3:JWD3"/>
    <mergeCell ref="JSA3:JSI3"/>
    <mergeCell ref="JSJ3:JSR3"/>
    <mergeCell ref="JSS3:JTA3"/>
    <mergeCell ref="JTB3:JTJ3"/>
    <mergeCell ref="JTK3:JTS3"/>
    <mergeCell ref="JTT3:JUB3"/>
    <mergeCell ref="JPY3:JQG3"/>
    <mergeCell ref="JQH3:JQP3"/>
    <mergeCell ref="JQQ3:JQY3"/>
    <mergeCell ref="JQZ3:JRH3"/>
    <mergeCell ref="JRI3:JRQ3"/>
    <mergeCell ref="JRR3:JRZ3"/>
    <mergeCell ref="JNW3:JOE3"/>
    <mergeCell ref="JOF3:JON3"/>
    <mergeCell ref="JOO3:JOW3"/>
    <mergeCell ref="JOX3:JPF3"/>
    <mergeCell ref="JPG3:JPO3"/>
    <mergeCell ref="JPP3:JPX3"/>
    <mergeCell ref="JLU3:JMC3"/>
    <mergeCell ref="JMD3:JML3"/>
    <mergeCell ref="JMM3:JMU3"/>
    <mergeCell ref="JMV3:JND3"/>
    <mergeCell ref="JNE3:JNM3"/>
    <mergeCell ref="JNN3:JNV3"/>
    <mergeCell ref="JJS3:JKA3"/>
    <mergeCell ref="JKB3:JKJ3"/>
    <mergeCell ref="JKK3:JKS3"/>
    <mergeCell ref="JKT3:JLB3"/>
    <mergeCell ref="JLC3:JLK3"/>
    <mergeCell ref="JLL3:JLT3"/>
    <mergeCell ref="JHQ3:JHY3"/>
    <mergeCell ref="JHZ3:JIH3"/>
    <mergeCell ref="JII3:JIQ3"/>
    <mergeCell ref="JIR3:JIZ3"/>
    <mergeCell ref="JJA3:JJI3"/>
    <mergeCell ref="JJJ3:JJR3"/>
    <mergeCell ref="JFO3:JFW3"/>
    <mergeCell ref="JFX3:JGF3"/>
    <mergeCell ref="JGG3:JGO3"/>
    <mergeCell ref="JGP3:JGX3"/>
    <mergeCell ref="JGY3:JHG3"/>
    <mergeCell ref="JHH3:JHP3"/>
    <mergeCell ref="JDM3:JDU3"/>
    <mergeCell ref="JDV3:JED3"/>
    <mergeCell ref="JEE3:JEM3"/>
    <mergeCell ref="JEN3:JEV3"/>
    <mergeCell ref="JEW3:JFE3"/>
    <mergeCell ref="JFF3:JFN3"/>
    <mergeCell ref="JBK3:JBS3"/>
    <mergeCell ref="JBT3:JCB3"/>
    <mergeCell ref="JCC3:JCK3"/>
    <mergeCell ref="JCL3:JCT3"/>
    <mergeCell ref="JCU3:JDC3"/>
    <mergeCell ref="JDD3:JDL3"/>
    <mergeCell ref="IZI3:IZQ3"/>
    <mergeCell ref="IZR3:IZZ3"/>
    <mergeCell ref="JAA3:JAI3"/>
    <mergeCell ref="JAJ3:JAR3"/>
    <mergeCell ref="JAS3:JBA3"/>
    <mergeCell ref="JBB3:JBJ3"/>
    <mergeCell ref="IXG3:IXO3"/>
    <mergeCell ref="IXP3:IXX3"/>
    <mergeCell ref="IXY3:IYG3"/>
    <mergeCell ref="IYH3:IYP3"/>
    <mergeCell ref="IYQ3:IYY3"/>
    <mergeCell ref="IYZ3:IZH3"/>
    <mergeCell ref="IVE3:IVM3"/>
    <mergeCell ref="IVN3:IVV3"/>
    <mergeCell ref="IVW3:IWE3"/>
    <mergeCell ref="IWF3:IWN3"/>
    <mergeCell ref="IWO3:IWW3"/>
    <mergeCell ref="IWX3:IXF3"/>
    <mergeCell ref="ITC3:ITK3"/>
    <mergeCell ref="ITL3:ITT3"/>
    <mergeCell ref="ITU3:IUC3"/>
    <mergeCell ref="IUD3:IUL3"/>
    <mergeCell ref="IUM3:IUU3"/>
    <mergeCell ref="IUV3:IVD3"/>
    <mergeCell ref="IRA3:IRI3"/>
    <mergeCell ref="IRJ3:IRR3"/>
    <mergeCell ref="IRS3:ISA3"/>
    <mergeCell ref="ISB3:ISJ3"/>
    <mergeCell ref="ISK3:ISS3"/>
    <mergeCell ref="IST3:ITB3"/>
    <mergeCell ref="IOY3:IPG3"/>
    <mergeCell ref="IPH3:IPP3"/>
    <mergeCell ref="IPQ3:IPY3"/>
    <mergeCell ref="IPZ3:IQH3"/>
    <mergeCell ref="IQI3:IQQ3"/>
    <mergeCell ref="IQR3:IQZ3"/>
    <mergeCell ref="IMW3:INE3"/>
    <mergeCell ref="INF3:INN3"/>
    <mergeCell ref="INO3:INW3"/>
    <mergeCell ref="INX3:IOF3"/>
    <mergeCell ref="IOG3:IOO3"/>
    <mergeCell ref="IOP3:IOX3"/>
    <mergeCell ref="IKU3:ILC3"/>
    <mergeCell ref="ILD3:ILL3"/>
    <mergeCell ref="ILM3:ILU3"/>
    <mergeCell ref="ILV3:IMD3"/>
    <mergeCell ref="IME3:IMM3"/>
    <mergeCell ref="IMN3:IMV3"/>
    <mergeCell ref="IIS3:IJA3"/>
    <mergeCell ref="IJB3:IJJ3"/>
    <mergeCell ref="IJK3:IJS3"/>
    <mergeCell ref="IJT3:IKB3"/>
    <mergeCell ref="IKC3:IKK3"/>
    <mergeCell ref="IKL3:IKT3"/>
    <mergeCell ref="IGQ3:IGY3"/>
    <mergeCell ref="IGZ3:IHH3"/>
    <mergeCell ref="IHI3:IHQ3"/>
    <mergeCell ref="IHR3:IHZ3"/>
    <mergeCell ref="IIA3:III3"/>
    <mergeCell ref="IIJ3:IIR3"/>
    <mergeCell ref="IEO3:IEW3"/>
    <mergeCell ref="IEX3:IFF3"/>
    <mergeCell ref="IFG3:IFO3"/>
    <mergeCell ref="IFP3:IFX3"/>
    <mergeCell ref="IFY3:IGG3"/>
    <mergeCell ref="IGH3:IGP3"/>
    <mergeCell ref="ICM3:ICU3"/>
    <mergeCell ref="ICV3:IDD3"/>
    <mergeCell ref="IDE3:IDM3"/>
    <mergeCell ref="IDN3:IDV3"/>
    <mergeCell ref="IDW3:IEE3"/>
    <mergeCell ref="IEF3:IEN3"/>
    <mergeCell ref="IAK3:IAS3"/>
    <mergeCell ref="IAT3:IBB3"/>
    <mergeCell ref="IBC3:IBK3"/>
    <mergeCell ref="IBL3:IBT3"/>
    <mergeCell ref="IBU3:ICC3"/>
    <mergeCell ref="ICD3:ICL3"/>
    <mergeCell ref="HYI3:HYQ3"/>
    <mergeCell ref="HYR3:HYZ3"/>
    <mergeCell ref="HZA3:HZI3"/>
    <mergeCell ref="HZJ3:HZR3"/>
    <mergeCell ref="HZS3:IAA3"/>
    <mergeCell ref="IAB3:IAJ3"/>
    <mergeCell ref="HWG3:HWO3"/>
    <mergeCell ref="HWP3:HWX3"/>
    <mergeCell ref="HWY3:HXG3"/>
    <mergeCell ref="HXH3:HXP3"/>
    <mergeCell ref="HXQ3:HXY3"/>
    <mergeCell ref="HXZ3:HYH3"/>
    <mergeCell ref="HUE3:HUM3"/>
    <mergeCell ref="HUN3:HUV3"/>
    <mergeCell ref="HUW3:HVE3"/>
    <mergeCell ref="HVF3:HVN3"/>
    <mergeCell ref="HVO3:HVW3"/>
    <mergeCell ref="HVX3:HWF3"/>
    <mergeCell ref="HSC3:HSK3"/>
    <mergeCell ref="HSL3:HST3"/>
    <mergeCell ref="HSU3:HTC3"/>
    <mergeCell ref="HTD3:HTL3"/>
    <mergeCell ref="HTM3:HTU3"/>
    <mergeCell ref="HTV3:HUD3"/>
    <mergeCell ref="HQA3:HQI3"/>
    <mergeCell ref="HQJ3:HQR3"/>
    <mergeCell ref="HQS3:HRA3"/>
    <mergeCell ref="HRB3:HRJ3"/>
    <mergeCell ref="HRK3:HRS3"/>
    <mergeCell ref="HRT3:HSB3"/>
    <mergeCell ref="HNY3:HOG3"/>
    <mergeCell ref="HOH3:HOP3"/>
    <mergeCell ref="HOQ3:HOY3"/>
    <mergeCell ref="HOZ3:HPH3"/>
    <mergeCell ref="HPI3:HPQ3"/>
    <mergeCell ref="HPR3:HPZ3"/>
    <mergeCell ref="HLW3:HME3"/>
    <mergeCell ref="HMF3:HMN3"/>
    <mergeCell ref="HMO3:HMW3"/>
    <mergeCell ref="HMX3:HNF3"/>
    <mergeCell ref="HNG3:HNO3"/>
    <mergeCell ref="HNP3:HNX3"/>
    <mergeCell ref="HJU3:HKC3"/>
    <mergeCell ref="HKD3:HKL3"/>
    <mergeCell ref="HKM3:HKU3"/>
    <mergeCell ref="HKV3:HLD3"/>
    <mergeCell ref="HLE3:HLM3"/>
    <mergeCell ref="HLN3:HLV3"/>
    <mergeCell ref="HHS3:HIA3"/>
    <mergeCell ref="HIB3:HIJ3"/>
    <mergeCell ref="HIK3:HIS3"/>
    <mergeCell ref="HIT3:HJB3"/>
    <mergeCell ref="HJC3:HJK3"/>
    <mergeCell ref="HJL3:HJT3"/>
    <mergeCell ref="HFQ3:HFY3"/>
    <mergeCell ref="HFZ3:HGH3"/>
    <mergeCell ref="HGI3:HGQ3"/>
    <mergeCell ref="HGR3:HGZ3"/>
    <mergeCell ref="HHA3:HHI3"/>
    <mergeCell ref="HHJ3:HHR3"/>
    <mergeCell ref="HDO3:HDW3"/>
    <mergeCell ref="HDX3:HEF3"/>
    <mergeCell ref="HEG3:HEO3"/>
    <mergeCell ref="HEP3:HEX3"/>
    <mergeCell ref="HEY3:HFG3"/>
    <mergeCell ref="HFH3:HFP3"/>
    <mergeCell ref="HBM3:HBU3"/>
    <mergeCell ref="HBV3:HCD3"/>
    <mergeCell ref="HCE3:HCM3"/>
    <mergeCell ref="HCN3:HCV3"/>
    <mergeCell ref="HCW3:HDE3"/>
    <mergeCell ref="HDF3:HDN3"/>
    <mergeCell ref="GZK3:GZS3"/>
    <mergeCell ref="GZT3:HAB3"/>
    <mergeCell ref="HAC3:HAK3"/>
    <mergeCell ref="HAL3:HAT3"/>
    <mergeCell ref="HAU3:HBC3"/>
    <mergeCell ref="HBD3:HBL3"/>
    <mergeCell ref="GXI3:GXQ3"/>
    <mergeCell ref="GXR3:GXZ3"/>
    <mergeCell ref="GYA3:GYI3"/>
    <mergeCell ref="GYJ3:GYR3"/>
    <mergeCell ref="GYS3:GZA3"/>
    <mergeCell ref="GZB3:GZJ3"/>
    <mergeCell ref="GVG3:GVO3"/>
    <mergeCell ref="GVP3:GVX3"/>
    <mergeCell ref="GVY3:GWG3"/>
    <mergeCell ref="GWH3:GWP3"/>
    <mergeCell ref="GWQ3:GWY3"/>
    <mergeCell ref="GWZ3:GXH3"/>
    <mergeCell ref="GTE3:GTM3"/>
    <mergeCell ref="GTN3:GTV3"/>
    <mergeCell ref="GTW3:GUE3"/>
    <mergeCell ref="GUF3:GUN3"/>
    <mergeCell ref="GUO3:GUW3"/>
    <mergeCell ref="GUX3:GVF3"/>
    <mergeCell ref="GRC3:GRK3"/>
    <mergeCell ref="GRL3:GRT3"/>
    <mergeCell ref="GRU3:GSC3"/>
    <mergeCell ref="GSD3:GSL3"/>
    <mergeCell ref="GSM3:GSU3"/>
    <mergeCell ref="GSV3:GTD3"/>
    <mergeCell ref="GPA3:GPI3"/>
    <mergeCell ref="GPJ3:GPR3"/>
    <mergeCell ref="GPS3:GQA3"/>
    <mergeCell ref="GQB3:GQJ3"/>
    <mergeCell ref="GQK3:GQS3"/>
    <mergeCell ref="GQT3:GRB3"/>
    <mergeCell ref="GMY3:GNG3"/>
    <mergeCell ref="GNH3:GNP3"/>
    <mergeCell ref="GNQ3:GNY3"/>
    <mergeCell ref="GNZ3:GOH3"/>
    <mergeCell ref="GOI3:GOQ3"/>
    <mergeCell ref="GOR3:GOZ3"/>
    <mergeCell ref="GKW3:GLE3"/>
    <mergeCell ref="GLF3:GLN3"/>
    <mergeCell ref="GLO3:GLW3"/>
    <mergeCell ref="GLX3:GMF3"/>
    <mergeCell ref="GMG3:GMO3"/>
    <mergeCell ref="GMP3:GMX3"/>
    <mergeCell ref="GIU3:GJC3"/>
    <mergeCell ref="GJD3:GJL3"/>
    <mergeCell ref="GJM3:GJU3"/>
    <mergeCell ref="GJV3:GKD3"/>
    <mergeCell ref="GKE3:GKM3"/>
    <mergeCell ref="GKN3:GKV3"/>
    <mergeCell ref="GGS3:GHA3"/>
    <mergeCell ref="GHB3:GHJ3"/>
    <mergeCell ref="GHK3:GHS3"/>
    <mergeCell ref="GHT3:GIB3"/>
    <mergeCell ref="GIC3:GIK3"/>
    <mergeCell ref="GIL3:GIT3"/>
    <mergeCell ref="GEQ3:GEY3"/>
    <mergeCell ref="GEZ3:GFH3"/>
    <mergeCell ref="GFI3:GFQ3"/>
    <mergeCell ref="GFR3:GFZ3"/>
    <mergeCell ref="GGA3:GGI3"/>
    <mergeCell ref="GGJ3:GGR3"/>
    <mergeCell ref="GCO3:GCW3"/>
    <mergeCell ref="GCX3:GDF3"/>
    <mergeCell ref="GDG3:GDO3"/>
    <mergeCell ref="GDP3:GDX3"/>
    <mergeCell ref="GDY3:GEG3"/>
    <mergeCell ref="GEH3:GEP3"/>
    <mergeCell ref="GAM3:GAU3"/>
    <mergeCell ref="GAV3:GBD3"/>
    <mergeCell ref="GBE3:GBM3"/>
    <mergeCell ref="GBN3:GBV3"/>
    <mergeCell ref="GBW3:GCE3"/>
    <mergeCell ref="GCF3:GCN3"/>
    <mergeCell ref="FYK3:FYS3"/>
    <mergeCell ref="FYT3:FZB3"/>
    <mergeCell ref="FZC3:FZK3"/>
    <mergeCell ref="FZL3:FZT3"/>
    <mergeCell ref="FZU3:GAC3"/>
    <mergeCell ref="GAD3:GAL3"/>
    <mergeCell ref="FWI3:FWQ3"/>
    <mergeCell ref="FWR3:FWZ3"/>
    <mergeCell ref="FXA3:FXI3"/>
    <mergeCell ref="FXJ3:FXR3"/>
    <mergeCell ref="FXS3:FYA3"/>
    <mergeCell ref="FYB3:FYJ3"/>
    <mergeCell ref="FUG3:FUO3"/>
    <mergeCell ref="FUP3:FUX3"/>
    <mergeCell ref="FUY3:FVG3"/>
    <mergeCell ref="FVH3:FVP3"/>
    <mergeCell ref="FVQ3:FVY3"/>
    <mergeCell ref="FVZ3:FWH3"/>
    <mergeCell ref="FSE3:FSM3"/>
    <mergeCell ref="FSN3:FSV3"/>
    <mergeCell ref="FSW3:FTE3"/>
    <mergeCell ref="FTF3:FTN3"/>
    <mergeCell ref="FTO3:FTW3"/>
    <mergeCell ref="FTX3:FUF3"/>
    <mergeCell ref="FQC3:FQK3"/>
    <mergeCell ref="FQL3:FQT3"/>
    <mergeCell ref="FQU3:FRC3"/>
    <mergeCell ref="FRD3:FRL3"/>
    <mergeCell ref="FRM3:FRU3"/>
    <mergeCell ref="FRV3:FSD3"/>
    <mergeCell ref="FOA3:FOI3"/>
    <mergeCell ref="FOJ3:FOR3"/>
    <mergeCell ref="FOS3:FPA3"/>
    <mergeCell ref="FPB3:FPJ3"/>
    <mergeCell ref="FPK3:FPS3"/>
    <mergeCell ref="FPT3:FQB3"/>
    <mergeCell ref="FLY3:FMG3"/>
    <mergeCell ref="FMH3:FMP3"/>
    <mergeCell ref="FMQ3:FMY3"/>
    <mergeCell ref="FMZ3:FNH3"/>
    <mergeCell ref="FNI3:FNQ3"/>
    <mergeCell ref="FNR3:FNZ3"/>
    <mergeCell ref="FJW3:FKE3"/>
    <mergeCell ref="FKF3:FKN3"/>
    <mergeCell ref="FKO3:FKW3"/>
    <mergeCell ref="FKX3:FLF3"/>
    <mergeCell ref="FLG3:FLO3"/>
    <mergeCell ref="FLP3:FLX3"/>
    <mergeCell ref="FHU3:FIC3"/>
    <mergeCell ref="FID3:FIL3"/>
    <mergeCell ref="FIM3:FIU3"/>
    <mergeCell ref="FIV3:FJD3"/>
    <mergeCell ref="FJE3:FJM3"/>
    <mergeCell ref="FJN3:FJV3"/>
    <mergeCell ref="FFS3:FGA3"/>
    <mergeCell ref="FGB3:FGJ3"/>
    <mergeCell ref="FGK3:FGS3"/>
    <mergeCell ref="FGT3:FHB3"/>
    <mergeCell ref="FHC3:FHK3"/>
    <mergeCell ref="FHL3:FHT3"/>
    <mergeCell ref="FDQ3:FDY3"/>
    <mergeCell ref="FDZ3:FEH3"/>
    <mergeCell ref="FEI3:FEQ3"/>
    <mergeCell ref="FER3:FEZ3"/>
    <mergeCell ref="FFA3:FFI3"/>
    <mergeCell ref="FFJ3:FFR3"/>
    <mergeCell ref="FBO3:FBW3"/>
    <mergeCell ref="FBX3:FCF3"/>
    <mergeCell ref="FCG3:FCO3"/>
    <mergeCell ref="FCP3:FCX3"/>
    <mergeCell ref="FCY3:FDG3"/>
    <mergeCell ref="FDH3:FDP3"/>
    <mergeCell ref="EZM3:EZU3"/>
    <mergeCell ref="EZV3:FAD3"/>
    <mergeCell ref="FAE3:FAM3"/>
    <mergeCell ref="FAN3:FAV3"/>
    <mergeCell ref="FAW3:FBE3"/>
    <mergeCell ref="FBF3:FBN3"/>
    <mergeCell ref="EXK3:EXS3"/>
    <mergeCell ref="EXT3:EYB3"/>
    <mergeCell ref="EYC3:EYK3"/>
    <mergeCell ref="EYL3:EYT3"/>
    <mergeCell ref="EYU3:EZC3"/>
    <mergeCell ref="EZD3:EZL3"/>
    <mergeCell ref="EVI3:EVQ3"/>
    <mergeCell ref="EVR3:EVZ3"/>
    <mergeCell ref="EWA3:EWI3"/>
    <mergeCell ref="EWJ3:EWR3"/>
    <mergeCell ref="EWS3:EXA3"/>
    <mergeCell ref="EXB3:EXJ3"/>
    <mergeCell ref="ETG3:ETO3"/>
    <mergeCell ref="ETP3:ETX3"/>
    <mergeCell ref="ETY3:EUG3"/>
    <mergeCell ref="EUH3:EUP3"/>
    <mergeCell ref="EUQ3:EUY3"/>
    <mergeCell ref="EUZ3:EVH3"/>
    <mergeCell ref="ERE3:ERM3"/>
    <mergeCell ref="ERN3:ERV3"/>
    <mergeCell ref="ERW3:ESE3"/>
    <mergeCell ref="ESF3:ESN3"/>
    <mergeCell ref="ESO3:ESW3"/>
    <mergeCell ref="ESX3:ETF3"/>
    <mergeCell ref="EPC3:EPK3"/>
    <mergeCell ref="EPL3:EPT3"/>
    <mergeCell ref="EPU3:EQC3"/>
    <mergeCell ref="EQD3:EQL3"/>
    <mergeCell ref="EQM3:EQU3"/>
    <mergeCell ref="EQV3:ERD3"/>
    <mergeCell ref="ENA3:ENI3"/>
    <mergeCell ref="ENJ3:ENR3"/>
    <mergeCell ref="ENS3:EOA3"/>
    <mergeCell ref="EOB3:EOJ3"/>
    <mergeCell ref="EOK3:EOS3"/>
    <mergeCell ref="EOT3:EPB3"/>
    <mergeCell ref="EKY3:ELG3"/>
    <mergeCell ref="ELH3:ELP3"/>
    <mergeCell ref="ELQ3:ELY3"/>
    <mergeCell ref="ELZ3:EMH3"/>
    <mergeCell ref="EMI3:EMQ3"/>
    <mergeCell ref="EMR3:EMZ3"/>
    <mergeCell ref="EIW3:EJE3"/>
    <mergeCell ref="EJF3:EJN3"/>
    <mergeCell ref="EJO3:EJW3"/>
    <mergeCell ref="EJX3:EKF3"/>
    <mergeCell ref="EKG3:EKO3"/>
    <mergeCell ref="EKP3:EKX3"/>
    <mergeCell ref="EGU3:EHC3"/>
    <mergeCell ref="EHD3:EHL3"/>
    <mergeCell ref="EHM3:EHU3"/>
    <mergeCell ref="EHV3:EID3"/>
    <mergeCell ref="EIE3:EIM3"/>
    <mergeCell ref="EIN3:EIV3"/>
    <mergeCell ref="EES3:EFA3"/>
    <mergeCell ref="EFB3:EFJ3"/>
    <mergeCell ref="EFK3:EFS3"/>
    <mergeCell ref="EFT3:EGB3"/>
    <mergeCell ref="EGC3:EGK3"/>
    <mergeCell ref="EGL3:EGT3"/>
    <mergeCell ref="ECQ3:ECY3"/>
    <mergeCell ref="ECZ3:EDH3"/>
    <mergeCell ref="EDI3:EDQ3"/>
    <mergeCell ref="EDR3:EDZ3"/>
    <mergeCell ref="EEA3:EEI3"/>
    <mergeCell ref="EEJ3:EER3"/>
    <mergeCell ref="EAO3:EAW3"/>
    <mergeCell ref="EAX3:EBF3"/>
    <mergeCell ref="EBG3:EBO3"/>
    <mergeCell ref="EBP3:EBX3"/>
    <mergeCell ref="EBY3:ECG3"/>
    <mergeCell ref="ECH3:ECP3"/>
    <mergeCell ref="DYM3:DYU3"/>
    <mergeCell ref="DYV3:DZD3"/>
    <mergeCell ref="DZE3:DZM3"/>
    <mergeCell ref="DZN3:DZV3"/>
    <mergeCell ref="DZW3:EAE3"/>
    <mergeCell ref="EAF3:EAN3"/>
    <mergeCell ref="DWK3:DWS3"/>
    <mergeCell ref="DWT3:DXB3"/>
    <mergeCell ref="DXC3:DXK3"/>
    <mergeCell ref="DXL3:DXT3"/>
    <mergeCell ref="DXU3:DYC3"/>
    <mergeCell ref="DYD3:DYL3"/>
    <mergeCell ref="DUI3:DUQ3"/>
    <mergeCell ref="DUR3:DUZ3"/>
    <mergeCell ref="DVA3:DVI3"/>
    <mergeCell ref="DVJ3:DVR3"/>
    <mergeCell ref="DVS3:DWA3"/>
    <mergeCell ref="DWB3:DWJ3"/>
    <mergeCell ref="DSG3:DSO3"/>
    <mergeCell ref="DSP3:DSX3"/>
    <mergeCell ref="DSY3:DTG3"/>
    <mergeCell ref="DTH3:DTP3"/>
    <mergeCell ref="DTQ3:DTY3"/>
    <mergeCell ref="DTZ3:DUH3"/>
    <mergeCell ref="DQE3:DQM3"/>
    <mergeCell ref="DQN3:DQV3"/>
    <mergeCell ref="DQW3:DRE3"/>
    <mergeCell ref="DRF3:DRN3"/>
    <mergeCell ref="DRO3:DRW3"/>
    <mergeCell ref="DRX3:DSF3"/>
    <mergeCell ref="DOC3:DOK3"/>
    <mergeCell ref="DOL3:DOT3"/>
    <mergeCell ref="DOU3:DPC3"/>
    <mergeCell ref="DPD3:DPL3"/>
    <mergeCell ref="DPM3:DPU3"/>
    <mergeCell ref="DPV3:DQD3"/>
    <mergeCell ref="DMA3:DMI3"/>
    <mergeCell ref="DMJ3:DMR3"/>
    <mergeCell ref="DMS3:DNA3"/>
    <mergeCell ref="DNB3:DNJ3"/>
    <mergeCell ref="DNK3:DNS3"/>
    <mergeCell ref="DNT3:DOB3"/>
    <mergeCell ref="DJY3:DKG3"/>
    <mergeCell ref="DKH3:DKP3"/>
    <mergeCell ref="DKQ3:DKY3"/>
    <mergeCell ref="DKZ3:DLH3"/>
    <mergeCell ref="DLI3:DLQ3"/>
    <mergeCell ref="DLR3:DLZ3"/>
    <mergeCell ref="DHW3:DIE3"/>
    <mergeCell ref="DIF3:DIN3"/>
    <mergeCell ref="DIO3:DIW3"/>
    <mergeCell ref="DIX3:DJF3"/>
    <mergeCell ref="DJG3:DJO3"/>
    <mergeCell ref="DJP3:DJX3"/>
    <mergeCell ref="DFU3:DGC3"/>
    <mergeCell ref="DGD3:DGL3"/>
    <mergeCell ref="DGM3:DGU3"/>
    <mergeCell ref="DGV3:DHD3"/>
    <mergeCell ref="DHE3:DHM3"/>
    <mergeCell ref="DHN3:DHV3"/>
    <mergeCell ref="DDS3:DEA3"/>
    <mergeCell ref="DEB3:DEJ3"/>
    <mergeCell ref="DEK3:DES3"/>
    <mergeCell ref="DET3:DFB3"/>
    <mergeCell ref="DFC3:DFK3"/>
    <mergeCell ref="DFL3:DFT3"/>
    <mergeCell ref="DBQ3:DBY3"/>
    <mergeCell ref="DBZ3:DCH3"/>
    <mergeCell ref="DCI3:DCQ3"/>
    <mergeCell ref="DCR3:DCZ3"/>
    <mergeCell ref="DDA3:DDI3"/>
    <mergeCell ref="DDJ3:DDR3"/>
    <mergeCell ref="CZO3:CZW3"/>
    <mergeCell ref="CZX3:DAF3"/>
    <mergeCell ref="DAG3:DAO3"/>
    <mergeCell ref="DAP3:DAX3"/>
    <mergeCell ref="DAY3:DBG3"/>
    <mergeCell ref="DBH3:DBP3"/>
    <mergeCell ref="CXM3:CXU3"/>
    <mergeCell ref="CXV3:CYD3"/>
    <mergeCell ref="CYE3:CYM3"/>
    <mergeCell ref="CYN3:CYV3"/>
    <mergeCell ref="CYW3:CZE3"/>
    <mergeCell ref="CZF3:CZN3"/>
    <mergeCell ref="CVK3:CVS3"/>
    <mergeCell ref="CVT3:CWB3"/>
    <mergeCell ref="CWC3:CWK3"/>
    <mergeCell ref="CWL3:CWT3"/>
    <mergeCell ref="CWU3:CXC3"/>
    <mergeCell ref="CXD3:CXL3"/>
    <mergeCell ref="CTI3:CTQ3"/>
    <mergeCell ref="CTR3:CTZ3"/>
    <mergeCell ref="CUA3:CUI3"/>
    <mergeCell ref="CUJ3:CUR3"/>
    <mergeCell ref="CUS3:CVA3"/>
    <mergeCell ref="CVB3:CVJ3"/>
    <mergeCell ref="CRG3:CRO3"/>
    <mergeCell ref="CRP3:CRX3"/>
    <mergeCell ref="CRY3:CSG3"/>
    <mergeCell ref="CSH3:CSP3"/>
    <mergeCell ref="CSQ3:CSY3"/>
    <mergeCell ref="CSZ3:CTH3"/>
    <mergeCell ref="CPE3:CPM3"/>
    <mergeCell ref="CPN3:CPV3"/>
    <mergeCell ref="CPW3:CQE3"/>
    <mergeCell ref="CQF3:CQN3"/>
    <mergeCell ref="CQO3:CQW3"/>
    <mergeCell ref="CQX3:CRF3"/>
    <mergeCell ref="CNC3:CNK3"/>
    <mergeCell ref="CNL3:CNT3"/>
    <mergeCell ref="CNU3:COC3"/>
    <mergeCell ref="COD3:COL3"/>
    <mergeCell ref="COM3:COU3"/>
    <mergeCell ref="COV3:CPD3"/>
    <mergeCell ref="CLA3:CLI3"/>
    <mergeCell ref="CLJ3:CLR3"/>
    <mergeCell ref="CLS3:CMA3"/>
    <mergeCell ref="CMB3:CMJ3"/>
    <mergeCell ref="CMK3:CMS3"/>
    <mergeCell ref="CMT3:CNB3"/>
    <mergeCell ref="CIY3:CJG3"/>
    <mergeCell ref="CJH3:CJP3"/>
    <mergeCell ref="CJQ3:CJY3"/>
    <mergeCell ref="CJZ3:CKH3"/>
    <mergeCell ref="CKI3:CKQ3"/>
    <mergeCell ref="CKR3:CKZ3"/>
    <mergeCell ref="CGW3:CHE3"/>
    <mergeCell ref="CHF3:CHN3"/>
    <mergeCell ref="CHO3:CHW3"/>
    <mergeCell ref="CHX3:CIF3"/>
    <mergeCell ref="CIG3:CIO3"/>
    <mergeCell ref="CIP3:CIX3"/>
    <mergeCell ref="CEU3:CFC3"/>
    <mergeCell ref="CFD3:CFL3"/>
    <mergeCell ref="CFM3:CFU3"/>
    <mergeCell ref="CFV3:CGD3"/>
    <mergeCell ref="CGE3:CGM3"/>
    <mergeCell ref="CGN3:CGV3"/>
    <mergeCell ref="CCS3:CDA3"/>
    <mergeCell ref="CDB3:CDJ3"/>
    <mergeCell ref="CDK3:CDS3"/>
    <mergeCell ref="CDT3:CEB3"/>
    <mergeCell ref="CEC3:CEK3"/>
    <mergeCell ref="CEL3:CET3"/>
    <mergeCell ref="CAQ3:CAY3"/>
    <mergeCell ref="CAZ3:CBH3"/>
    <mergeCell ref="CBI3:CBQ3"/>
    <mergeCell ref="CBR3:CBZ3"/>
    <mergeCell ref="CCA3:CCI3"/>
    <mergeCell ref="CCJ3:CCR3"/>
    <mergeCell ref="BYO3:BYW3"/>
    <mergeCell ref="BYX3:BZF3"/>
    <mergeCell ref="BZG3:BZO3"/>
    <mergeCell ref="BZP3:BZX3"/>
    <mergeCell ref="BZY3:CAG3"/>
    <mergeCell ref="CAH3:CAP3"/>
    <mergeCell ref="BWM3:BWU3"/>
    <mergeCell ref="BWV3:BXD3"/>
    <mergeCell ref="BXE3:BXM3"/>
    <mergeCell ref="BXN3:BXV3"/>
    <mergeCell ref="BXW3:BYE3"/>
    <mergeCell ref="BYF3:BYN3"/>
    <mergeCell ref="BUK3:BUS3"/>
    <mergeCell ref="BUT3:BVB3"/>
    <mergeCell ref="BVC3:BVK3"/>
    <mergeCell ref="BVL3:BVT3"/>
    <mergeCell ref="BVU3:BWC3"/>
    <mergeCell ref="BWD3:BWL3"/>
    <mergeCell ref="BSI3:BSQ3"/>
    <mergeCell ref="BSR3:BSZ3"/>
    <mergeCell ref="BTA3:BTI3"/>
    <mergeCell ref="BTJ3:BTR3"/>
    <mergeCell ref="BTS3:BUA3"/>
    <mergeCell ref="BUB3:BUJ3"/>
    <mergeCell ref="BQG3:BQO3"/>
    <mergeCell ref="BQP3:BQX3"/>
    <mergeCell ref="BQY3:BRG3"/>
    <mergeCell ref="BRH3:BRP3"/>
    <mergeCell ref="BRQ3:BRY3"/>
    <mergeCell ref="BRZ3:BSH3"/>
    <mergeCell ref="BOE3:BOM3"/>
    <mergeCell ref="BON3:BOV3"/>
    <mergeCell ref="BOW3:BPE3"/>
    <mergeCell ref="BPF3:BPN3"/>
    <mergeCell ref="BPO3:BPW3"/>
    <mergeCell ref="BPX3:BQF3"/>
    <mergeCell ref="BMC3:BMK3"/>
    <mergeCell ref="BML3:BMT3"/>
    <mergeCell ref="BMU3:BNC3"/>
    <mergeCell ref="BND3:BNL3"/>
    <mergeCell ref="BNM3:BNU3"/>
    <mergeCell ref="BNV3:BOD3"/>
    <mergeCell ref="BKA3:BKI3"/>
    <mergeCell ref="BKJ3:BKR3"/>
    <mergeCell ref="BKS3:BLA3"/>
    <mergeCell ref="BLB3:BLJ3"/>
    <mergeCell ref="BLK3:BLS3"/>
    <mergeCell ref="BLT3:BMB3"/>
    <mergeCell ref="BHY3:BIG3"/>
    <mergeCell ref="BIH3:BIP3"/>
    <mergeCell ref="BIQ3:BIY3"/>
    <mergeCell ref="BIZ3:BJH3"/>
    <mergeCell ref="BJI3:BJQ3"/>
    <mergeCell ref="BJR3:BJZ3"/>
    <mergeCell ref="BFW3:BGE3"/>
    <mergeCell ref="BGF3:BGN3"/>
    <mergeCell ref="BGO3:BGW3"/>
    <mergeCell ref="BGX3:BHF3"/>
    <mergeCell ref="BHG3:BHO3"/>
    <mergeCell ref="BHP3:BHX3"/>
    <mergeCell ref="BDU3:BEC3"/>
    <mergeCell ref="BED3:BEL3"/>
    <mergeCell ref="BEM3:BEU3"/>
    <mergeCell ref="BEV3:BFD3"/>
    <mergeCell ref="BFE3:BFM3"/>
    <mergeCell ref="BFN3:BFV3"/>
    <mergeCell ref="BBS3:BCA3"/>
    <mergeCell ref="BCB3:BCJ3"/>
    <mergeCell ref="BCK3:BCS3"/>
    <mergeCell ref="BCT3:BDB3"/>
    <mergeCell ref="BDC3:BDK3"/>
    <mergeCell ref="BDL3:BDT3"/>
    <mergeCell ref="AZQ3:AZY3"/>
    <mergeCell ref="AZZ3:BAH3"/>
    <mergeCell ref="BAI3:BAQ3"/>
    <mergeCell ref="BAR3:BAZ3"/>
    <mergeCell ref="BBA3:BBI3"/>
    <mergeCell ref="BBJ3:BBR3"/>
    <mergeCell ref="AXO3:AXW3"/>
    <mergeCell ref="AXX3:AYF3"/>
    <mergeCell ref="AYG3:AYO3"/>
    <mergeCell ref="AYP3:AYX3"/>
    <mergeCell ref="AYY3:AZG3"/>
    <mergeCell ref="AZH3:AZP3"/>
    <mergeCell ref="AVM3:AVU3"/>
    <mergeCell ref="AVV3:AWD3"/>
    <mergeCell ref="AWE3:AWM3"/>
    <mergeCell ref="AWN3:AWV3"/>
    <mergeCell ref="AWW3:AXE3"/>
    <mergeCell ref="AXF3:AXN3"/>
    <mergeCell ref="ATK3:ATS3"/>
    <mergeCell ref="ATT3:AUB3"/>
    <mergeCell ref="AUC3:AUK3"/>
    <mergeCell ref="AUL3:AUT3"/>
    <mergeCell ref="AUU3:AVC3"/>
    <mergeCell ref="AVD3:AVL3"/>
    <mergeCell ref="ARI3:ARQ3"/>
    <mergeCell ref="ARR3:ARZ3"/>
    <mergeCell ref="ASA3:ASI3"/>
    <mergeCell ref="ASJ3:ASR3"/>
    <mergeCell ref="ASS3:ATA3"/>
    <mergeCell ref="ATB3:ATJ3"/>
    <mergeCell ref="APG3:APO3"/>
    <mergeCell ref="APP3:APX3"/>
    <mergeCell ref="APY3:AQG3"/>
    <mergeCell ref="AQH3:AQP3"/>
    <mergeCell ref="AQQ3:AQY3"/>
    <mergeCell ref="AQZ3:ARH3"/>
    <mergeCell ref="ANE3:ANM3"/>
    <mergeCell ref="ANN3:ANV3"/>
    <mergeCell ref="ANW3:AOE3"/>
    <mergeCell ref="AOF3:AON3"/>
    <mergeCell ref="AOO3:AOW3"/>
    <mergeCell ref="AOX3:APF3"/>
    <mergeCell ref="ALC3:ALK3"/>
    <mergeCell ref="ALL3:ALT3"/>
    <mergeCell ref="ALU3:AMC3"/>
    <mergeCell ref="AMD3:AML3"/>
    <mergeCell ref="AMM3:AMU3"/>
    <mergeCell ref="AMV3:AND3"/>
    <mergeCell ref="AJA3:AJI3"/>
    <mergeCell ref="AJJ3:AJR3"/>
    <mergeCell ref="AJS3:AKA3"/>
    <mergeCell ref="AKB3:AKJ3"/>
    <mergeCell ref="AKK3:AKS3"/>
    <mergeCell ref="AKT3:ALB3"/>
    <mergeCell ref="AGY3:AHG3"/>
    <mergeCell ref="AHH3:AHP3"/>
    <mergeCell ref="AHQ3:AHY3"/>
    <mergeCell ref="AHZ3:AIH3"/>
    <mergeCell ref="AII3:AIQ3"/>
    <mergeCell ref="AIR3:AIZ3"/>
    <mergeCell ref="AEW3:AFE3"/>
    <mergeCell ref="AFF3:AFN3"/>
    <mergeCell ref="AFO3:AFW3"/>
    <mergeCell ref="AFX3:AGF3"/>
    <mergeCell ref="AGG3:AGO3"/>
    <mergeCell ref="AGP3:AGX3"/>
    <mergeCell ref="ACU3:ADC3"/>
    <mergeCell ref="ADD3:ADL3"/>
    <mergeCell ref="ADM3:ADU3"/>
    <mergeCell ref="ADV3:AED3"/>
    <mergeCell ref="AEE3:AEM3"/>
    <mergeCell ref="AEN3:AEV3"/>
    <mergeCell ref="AAS3:ABA3"/>
    <mergeCell ref="ABB3:ABJ3"/>
    <mergeCell ref="ABK3:ABS3"/>
    <mergeCell ref="ABT3:ACB3"/>
    <mergeCell ref="ACC3:ACK3"/>
    <mergeCell ref="ACL3:ACT3"/>
    <mergeCell ref="YQ3:YY3"/>
    <mergeCell ref="YZ3:ZH3"/>
    <mergeCell ref="ZI3:ZQ3"/>
    <mergeCell ref="ZR3:ZZ3"/>
    <mergeCell ref="AAA3:AAI3"/>
    <mergeCell ref="AAJ3:AAR3"/>
    <mergeCell ref="WX3:XF3"/>
    <mergeCell ref="XG3:XO3"/>
    <mergeCell ref="XP3:XX3"/>
    <mergeCell ref="XY3:YG3"/>
    <mergeCell ref="YH3:YP3"/>
    <mergeCell ref="VE3:VM3"/>
    <mergeCell ref="VN3:VV3"/>
    <mergeCell ref="VW3:WE3"/>
    <mergeCell ref="WF3:WN3"/>
    <mergeCell ref="SK3:SS3"/>
    <mergeCell ref="ST3:TB3"/>
    <mergeCell ref="TC3:TK3"/>
    <mergeCell ref="TL3:TT3"/>
    <mergeCell ref="TU3:UC3"/>
    <mergeCell ref="UD3:UL3"/>
    <mergeCell ref="RA3:RI3"/>
    <mergeCell ref="RJ3:RR3"/>
    <mergeCell ref="RS3:SA3"/>
    <mergeCell ref="SB3:SJ3"/>
    <mergeCell ref="OG3:OO3"/>
    <mergeCell ref="OP3:OX3"/>
    <mergeCell ref="OY3:PG3"/>
    <mergeCell ref="PH3:PP3"/>
    <mergeCell ref="PQ3:PY3"/>
    <mergeCell ref="PZ3:QH3"/>
    <mergeCell ref="LV3:MD3"/>
    <mergeCell ref="IA3:II3"/>
    <mergeCell ref="IJ3:IR3"/>
    <mergeCell ref="IS3:JA3"/>
    <mergeCell ref="JB3:JJ3"/>
    <mergeCell ref="JK3:JS3"/>
    <mergeCell ref="JT3:KB3"/>
    <mergeCell ref="FY3:GG3"/>
    <mergeCell ref="GH3:GP3"/>
    <mergeCell ref="GQ3:GY3"/>
    <mergeCell ref="GZ3:HH3"/>
    <mergeCell ref="HI3:HQ3"/>
    <mergeCell ref="HR3:HZ3"/>
    <mergeCell ref="QI3:QQ3"/>
    <mergeCell ref="QR3:QZ3"/>
    <mergeCell ref="UM3:UU3"/>
    <mergeCell ref="UV3:VD3"/>
    <mergeCell ref="XEI2:XEQ2"/>
    <mergeCell ref="XER2:XEZ2"/>
    <mergeCell ref="XFA2:XFD2"/>
    <mergeCell ref="A3:J3"/>
    <mergeCell ref="S3:AA3"/>
    <mergeCell ref="AB3:AJ3"/>
    <mergeCell ref="AK3:AS3"/>
    <mergeCell ref="AT3:BB3"/>
    <mergeCell ref="BC3:BK3"/>
    <mergeCell ref="BL3:BT3"/>
    <mergeCell ref="XCG2:XCO2"/>
    <mergeCell ref="XCP2:XCX2"/>
    <mergeCell ref="XCY2:XDG2"/>
    <mergeCell ref="XDH2:XDP2"/>
    <mergeCell ref="XDQ2:XDY2"/>
    <mergeCell ref="XDZ2:XEH2"/>
    <mergeCell ref="XAE2:XAM2"/>
    <mergeCell ref="XAN2:XAV2"/>
    <mergeCell ref="XAW2:XBE2"/>
    <mergeCell ref="XBF2:XBN2"/>
    <mergeCell ref="KC3:KK3"/>
    <mergeCell ref="KL3:KT3"/>
    <mergeCell ref="KU3:LC3"/>
    <mergeCell ref="ME3:MM3"/>
    <mergeCell ref="MN3:MV3"/>
    <mergeCell ref="MW3:NE3"/>
    <mergeCell ref="NF3:NN3"/>
    <mergeCell ref="NO3:NW3"/>
    <mergeCell ref="NX3:OF3"/>
    <mergeCell ref="WO3:WW3"/>
    <mergeCell ref="LD3:LL3"/>
    <mergeCell ref="LM3:LU3"/>
    <mergeCell ref="XBO2:XBW2"/>
    <mergeCell ref="XBX2:XCF2"/>
    <mergeCell ref="WYC2:WYK2"/>
    <mergeCell ref="WYL2:WYT2"/>
    <mergeCell ref="WYU2:WZC2"/>
    <mergeCell ref="WZD2:WZL2"/>
    <mergeCell ref="WZM2:WZU2"/>
    <mergeCell ref="WZV2:XAD2"/>
    <mergeCell ref="WWA2:WWI2"/>
    <mergeCell ref="WWJ2:WWR2"/>
    <mergeCell ref="WWS2:WXA2"/>
    <mergeCell ref="WXB2:WXJ2"/>
    <mergeCell ref="WXK2:WXS2"/>
    <mergeCell ref="WXT2:WYB2"/>
    <mergeCell ref="WTY2:WUG2"/>
    <mergeCell ref="WUH2:WUP2"/>
    <mergeCell ref="WUQ2:WUY2"/>
    <mergeCell ref="WUZ2:WVH2"/>
    <mergeCell ref="WVI2:WVQ2"/>
    <mergeCell ref="WVR2:WVZ2"/>
    <mergeCell ref="WRW2:WSE2"/>
    <mergeCell ref="WSF2:WSN2"/>
    <mergeCell ref="WSO2:WSW2"/>
    <mergeCell ref="WSX2:WTF2"/>
    <mergeCell ref="WTG2:WTO2"/>
    <mergeCell ref="WTP2:WTX2"/>
    <mergeCell ref="WPU2:WQC2"/>
    <mergeCell ref="WQD2:WQL2"/>
    <mergeCell ref="WQM2:WQU2"/>
    <mergeCell ref="WQV2:WRD2"/>
    <mergeCell ref="WRE2:WRM2"/>
    <mergeCell ref="WRN2:WRV2"/>
    <mergeCell ref="WNS2:WOA2"/>
    <mergeCell ref="WOB2:WOJ2"/>
    <mergeCell ref="WOK2:WOS2"/>
    <mergeCell ref="WOT2:WPB2"/>
    <mergeCell ref="WPC2:WPK2"/>
    <mergeCell ref="WPL2:WPT2"/>
    <mergeCell ref="WLQ2:WLY2"/>
    <mergeCell ref="WLZ2:WMH2"/>
    <mergeCell ref="WMI2:WMQ2"/>
    <mergeCell ref="WMR2:WMZ2"/>
    <mergeCell ref="WNA2:WNI2"/>
    <mergeCell ref="WNJ2:WNR2"/>
    <mergeCell ref="WJO2:WJW2"/>
    <mergeCell ref="WJX2:WKF2"/>
    <mergeCell ref="WKG2:WKO2"/>
    <mergeCell ref="WKP2:WKX2"/>
    <mergeCell ref="WKY2:WLG2"/>
    <mergeCell ref="WLH2:WLP2"/>
    <mergeCell ref="WHM2:WHU2"/>
    <mergeCell ref="WHV2:WID2"/>
    <mergeCell ref="WIE2:WIM2"/>
    <mergeCell ref="WIN2:WIV2"/>
    <mergeCell ref="WIW2:WJE2"/>
    <mergeCell ref="WJF2:WJN2"/>
    <mergeCell ref="WFK2:WFS2"/>
    <mergeCell ref="WFT2:WGB2"/>
    <mergeCell ref="WGC2:WGK2"/>
    <mergeCell ref="WGL2:WGT2"/>
    <mergeCell ref="WGU2:WHC2"/>
    <mergeCell ref="WHD2:WHL2"/>
    <mergeCell ref="WDI2:WDQ2"/>
    <mergeCell ref="WDR2:WDZ2"/>
    <mergeCell ref="WEA2:WEI2"/>
    <mergeCell ref="WEJ2:WER2"/>
    <mergeCell ref="WES2:WFA2"/>
    <mergeCell ref="WFB2:WFJ2"/>
    <mergeCell ref="WBG2:WBO2"/>
    <mergeCell ref="WBP2:WBX2"/>
    <mergeCell ref="WBY2:WCG2"/>
    <mergeCell ref="WCH2:WCP2"/>
    <mergeCell ref="WCQ2:WCY2"/>
    <mergeCell ref="WCZ2:WDH2"/>
    <mergeCell ref="VZE2:VZM2"/>
    <mergeCell ref="VZN2:VZV2"/>
    <mergeCell ref="VZW2:WAE2"/>
    <mergeCell ref="WAF2:WAN2"/>
    <mergeCell ref="WAO2:WAW2"/>
    <mergeCell ref="WAX2:WBF2"/>
    <mergeCell ref="VXC2:VXK2"/>
    <mergeCell ref="VXL2:VXT2"/>
    <mergeCell ref="VXU2:VYC2"/>
    <mergeCell ref="VYD2:VYL2"/>
    <mergeCell ref="VYM2:VYU2"/>
    <mergeCell ref="VYV2:VZD2"/>
    <mergeCell ref="VVA2:VVI2"/>
    <mergeCell ref="VVJ2:VVR2"/>
    <mergeCell ref="VVS2:VWA2"/>
    <mergeCell ref="VWB2:VWJ2"/>
    <mergeCell ref="VWK2:VWS2"/>
    <mergeCell ref="VWT2:VXB2"/>
    <mergeCell ref="VSY2:VTG2"/>
    <mergeCell ref="VTH2:VTP2"/>
    <mergeCell ref="VTQ2:VTY2"/>
    <mergeCell ref="VTZ2:VUH2"/>
    <mergeCell ref="VUI2:VUQ2"/>
    <mergeCell ref="VUR2:VUZ2"/>
    <mergeCell ref="VQW2:VRE2"/>
    <mergeCell ref="VRF2:VRN2"/>
    <mergeCell ref="VRO2:VRW2"/>
    <mergeCell ref="VRX2:VSF2"/>
    <mergeCell ref="VSG2:VSO2"/>
    <mergeCell ref="VSP2:VSX2"/>
    <mergeCell ref="VOU2:VPC2"/>
    <mergeCell ref="VPD2:VPL2"/>
    <mergeCell ref="VPM2:VPU2"/>
    <mergeCell ref="VPV2:VQD2"/>
    <mergeCell ref="VQE2:VQM2"/>
    <mergeCell ref="VQN2:VQV2"/>
    <mergeCell ref="VMS2:VNA2"/>
    <mergeCell ref="VNB2:VNJ2"/>
    <mergeCell ref="VNK2:VNS2"/>
    <mergeCell ref="VNT2:VOB2"/>
    <mergeCell ref="VOC2:VOK2"/>
    <mergeCell ref="VOL2:VOT2"/>
    <mergeCell ref="VKQ2:VKY2"/>
    <mergeCell ref="VKZ2:VLH2"/>
    <mergeCell ref="VLI2:VLQ2"/>
    <mergeCell ref="VLR2:VLZ2"/>
    <mergeCell ref="VMA2:VMI2"/>
    <mergeCell ref="VMJ2:VMR2"/>
    <mergeCell ref="VIO2:VIW2"/>
    <mergeCell ref="VIX2:VJF2"/>
    <mergeCell ref="VJG2:VJO2"/>
    <mergeCell ref="VJP2:VJX2"/>
    <mergeCell ref="VJY2:VKG2"/>
    <mergeCell ref="VKH2:VKP2"/>
    <mergeCell ref="VGM2:VGU2"/>
    <mergeCell ref="VGV2:VHD2"/>
    <mergeCell ref="VHE2:VHM2"/>
    <mergeCell ref="VHN2:VHV2"/>
    <mergeCell ref="VHW2:VIE2"/>
    <mergeCell ref="VIF2:VIN2"/>
    <mergeCell ref="VEK2:VES2"/>
    <mergeCell ref="VET2:VFB2"/>
    <mergeCell ref="VFC2:VFK2"/>
    <mergeCell ref="VFL2:VFT2"/>
    <mergeCell ref="VFU2:VGC2"/>
    <mergeCell ref="VGD2:VGL2"/>
    <mergeCell ref="VCI2:VCQ2"/>
    <mergeCell ref="VCR2:VCZ2"/>
    <mergeCell ref="VDA2:VDI2"/>
    <mergeCell ref="VDJ2:VDR2"/>
    <mergeCell ref="VDS2:VEA2"/>
    <mergeCell ref="VEB2:VEJ2"/>
    <mergeCell ref="VAG2:VAO2"/>
    <mergeCell ref="VAP2:VAX2"/>
    <mergeCell ref="VAY2:VBG2"/>
    <mergeCell ref="VBH2:VBP2"/>
    <mergeCell ref="VBQ2:VBY2"/>
    <mergeCell ref="VBZ2:VCH2"/>
    <mergeCell ref="UYE2:UYM2"/>
    <mergeCell ref="UYN2:UYV2"/>
    <mergeCell ref="UYW2:UZE2"/>
    <mergeCell ref="UZF2:UZN2"/>
    <mergeCell ref="UZO2:UZW2"/>
    <mergeCell ref="UZX2:VAF2"/>
    <mergeCell ref="UWC2:UWK2"/>
    <mergeCell ref="UWL2:UWT2"/>
    <mergeCell ref="UWU2:UXC2"/>
    <mergeCell ref="UXD2:UXL2"/>
    <mergeCell ref="UXM2:UXU2"/>
    <mergeCell ref="UXV2:UYD2"/>
    <mergeCell ref="UUA2:UUI2"/>
    <mergeCell ref="UUJ2:UUR2"/>
    <mergeCell ref="UUS2:UVA2"/>
    <mergeCell ref="UVB2:UVJ2"/>
    <mergeCell ref="UVK2:UVS2"/>
    <mergeCell ref="UVT2:UWB2"/>
    <mergeCell ref="URY2:USG2"/>
    <mergeCell ref="USH2:USP2"/>
    <mergeCell ref="USQ2:USY2"/>
    <mergeCell ref="USZ2:UTH2"/>
    <mergeCell ref="UTI2:UTQ2"/>
    <mergeCell ref="UTR2:UTZ2"/>
    <mergeCell ref="UPW2:UQE2"/>
    <mergeCell ref="UQF2:UQN2"/>
    <mergeCell ref="UQO2:UQW2"/>
    <mergeCell ref="UQX2:URF2"/>
    <mergeCell ref="URG2:URO2"/>
    <mergeCell ref="URP2:URX2"/>
    <mergeCell ref="UNU2:UOC2"/>
    <mergeCell ref="UOD2:UOL2"/>
    <mergeCell ref="UOM2:UOU2"/>
    <mergeCell ref="UOV2:UPD2"/>
    <mergeCell ref="UPE2:UPM2"/>
    <mergeCell ref="UPN2:UPV2"/>
    <mergeCell ref="ULS2:UMA2"/>
    <mergeCell ref="UMB2:UMJ2"/>
    <mergeCell ref="UMK2:UMS2"/>
    <mergeCell ref="UMT2:UNB2"/>
    <mergeCell ref="UNC2:UNK2"/>
    <mergeCell ref="UNL2:UNT2"/>
    <mergeCell ref="UJQ2:UJY2"/>
    <mergeCell ref="UJZ2:UKH2"/>
    <mergeCell ref="UKI2:UKQ2"/>
    <mergeCell ref="UKR2:UKZ2"/>
    <mergeCell ref="ULA2:ULI2"/>
    <mergeCell ref="ULJ2:ULR2"/>
    <mergeCell ref="UHO2:UHW2"/>
    <mergeCell ref="UHX2:UIF2"/>
    <mergeCell ref="UIG2:UIO2"/>
    <mergeCell ref="UIP2:UIX2"/>
    <mergeCell ref="UIY2:UJG2"/>
    <mergeCell ref="UJH2:UJP2"/>
    <mergeCell ref="UFM2:UFU2"/>
    <mergeCell ref="UFV2:UGD2"/>
    <mergeCell ref="UGE2:UGM2"/>
    <mergeCell ref="UGN2:UGV2"/>
    <mergeCell ref="UGW2:UHE2"/>
    <mergeCell ref="UHF2:UHN2"/>
    <mergeCell ref="UDK2:UDS2"/>
    <mergeCell ref="UDT2:UEB2"/>
    <mergeCell ref="UEC2:UEK2"/>
    <mergeCell ref="UEL2:UET2"/>
    <mergeCell ref="UEU2:UFC2"/>
    <mergeCell ref="UFD2:UFL2"/>
    <mergeCell ref="UBI2:UBQ2"/>
    <mergeCell ref="UBR2:UBZ2"/>
    <mergeCell ref="UCA2:UCI2"/>
    <mergeCell ref="UCJ2:UCR2"/>
    <mergeCell ref="UCS2:UDA2"/>
    <mergeCell ref="UDB2:UDJ2"/>
    <mergeCell ref="TZG2:TZO2"/>
    <mergeCell ref="TZP2:TZX2"/>
    <mergeCell ref="TZY2:UAG2"/>
    <mergeCell ref="UAH2:UAP2"/>
    <mergeCell ref="UAQ2:UAY2"/>
    <mergeCell ref="UAZ2:UBH2"/>
    <mergeCell ref="TXE2:TXM2"/>
    <mergeCell ref="TXN2:TXV2"/>
    <mergeCell ref="TXW2:TYE2"/>
    <mergeCell ref="TYF2:TYN2"/>
    <mergeCell ref="TYO2:TYW2"/>
    <mergeCell ref="TYX2:TZF2"/>
    <mergeCell ref="TVC2:TVK2"/>
    <mergeCell ref="TVL2:TVT2"/>
    <mergeCell ref="TVU2:TWC2"/>
    <mergeCell ref="TWD2:TWL2"/>
    <mergeCell ref="TWM2:TWU2"/>
    <mergeCell ref="TWV2:TXD2"/>
    <mergeCell ref="TTA2:TTI2"/>
    <mergeCell ref="TTJ2:TTR2"/>
    <mergeCell ref="TTS2:TUA2"/>
    <mergeCell ref="TUB2:TUJ2"/>
    <mergeCell ref="TUK2:TUS2"/>
    <mergeCell ref="TUT2:TVB2"/>
    <mergeCell ref="TQY2:TRG2"/>
    <mergeCell ref="TRH2:TRP2"/>
    <mergeCell ref="TRQ2:TRY2"/>
    <mergeCell ref="TRZ2:TSH2"/>
    <mergeCell ref="TSI2:TSQ2"/>
    <mergeCell ref="TSR2:TSZ2"/>
    <mergeCell ref="TOW2:TPE2"/>
    <mergeCell ref="TPF2:TPN2"/>
    <mergeCell ref="TPO2:TPW2"/>
    <mergeCell ref="TPX2:TQF2"/>
    <mergeCell ref="TQG2:TQO2"/>
    <mergeCell ref="TQP2:TQX2"/>
    <mergeCell ref="TMU2:TNC2"/>
    <mergeCell ref="TND2:TNL2"/>
    <mergeCell ref="TNM2:TNU2"/>
    <mergeCell ref="TNV2:TOD2"/>
    <mergeCell ref="TOE2:TOM2"/>
    <mergeCell ref="TON2:TOV2"/>
    <mergeCell ref="TKS2:TLA2"/>
    <mergeCell ref="TLB2:TLJ2"/>
    <mergeCell ref="TLK2:TLS2"/>
    <mergeCell ref="TLT2:TMB2"/>
    <mergeCell ref="TMC2:TMK2"/>
    <mergeCell ref="TML2:TMT2"/>
    <mergeCell ref="TIQ2:TIY2"/>
    <mergeCell ref="TIZ2:TJH2"/>
    <mergeCell ref="TJI2:TJQ2"/>
    <mergeCell ref="TJR2:TJZ2"/>
    <mergeCell ref="TKA2:TKI2"/>
    <mergeCell ref="TKJ2:TKR2"/>
    <mergeCell ref="TGO2:TGW2"/>
    <mergeCell ref="TGX2:THF2"/>
    <mergeCell ref="THG2:THO2"/>
    <mergeCell ref="THP2:THX2"/>
    <mergeCell ref="THY2:TIG2"/>
    <mergeCell ref="TIH2:TIP2"/>
    <mergeCell ref="TEM2:TEU2"/>
    <mergeCell ref="TEV2:TFD2"/>
    <mergeCell ref="TFE2:TFM2"/>
    <mergeCell ref="TFN2:TFV2"/>
    <mergeCell ref="TFW2:TGE2"/>
    <mergeCell ref="TGF2:TGN2"/>
    <mergeCell ref="TCK2:TCS2"/>
    <mergeCell ref="TCT2:TDB2"/>
    <mergeCell ref="TDC2:TDK2"/>
    <mergeCell ref="TDL2:TDT2"/>
    <mergeCell ref="TDU2:TEC2"/>
    <mergeCell ref="TED2:TEL2"/>
    <mergeCell ref="TAI2:TAQ2"/>
    <mergeCell ref="TAR2:TAZ2"/>
    <mergeCell ref="TBA2:TBI2"/>
    <mergeCell ref="TBJ2:TBR2"/>
    <mergeCell ref="TBS2:TCA2"/>
    <mergeCell ref="TCB2:TCJ2"/>
    <mergeCell ref="SYG2:SYO2"/>
    <mergeCell ref="SYP2:SYX2"/>
    <mergeCell ref="SYY2:SZG2"/>
    <mergeCell ref="SZH2:SZP2"/>
    <mergeCell ref="SZQ2:SZY2"/>
    <mergeCell ref="SZZ2:TAH2"/>
    <mergeCell ref="SWE2:SWM2"/>
    <mergeCell ref="SWN2:SWV2"/>
    <mergeCell ref="SWW2:SXE2"/>
    <mergeCell ref="SXF2:SXN2"/>
    <mergeCell ref="SXO2:SXW2"/>
    <mergeCell ref="SXX2:SYF2"/>
    <mergeCell ref="SUC2:SUK2"/>
    <mergeCell ref="SUL2:SUT2"/>
    <mergeCell ref="SUU2:SVC2"/>
    <mergeCell ref="SVD2:SVL2"/>
    <mergeCell ref="SVM2:SVU2"/>
    <mergeCell ref="SVV2:SWD2"/>
    <mergeCell ref="SSA2:SSI2"/>
    <mergeCell ref="SSJ2:SSR2"/>
    <mergeCell ref="SSS2:STA2"/>
    <mergeCell ref="STB2:STJ2"/>
    <mergeCell ref="STK2:STS2"/>
    <mergeCell ref="STT2:SUB2"/>
    <mergeCell ref="SPY2:SQG2"/>
    <mergeCell ref="SQH2:SQP2"/>
    <mergeCell ref="SQQ2:SQY2"/>
    <mergeCell ref="SQZ2:SRH2"/>
    <mergeCell ref="SRI2:SRQ2"/>
    <mergeCell ref="SRR2:SRZ2"/>
    <mergeCell ref="SNW2:SOE2"/>
    <mergeCell ref="SOF2:SON2"/>
    <mergeCell ref="SOO2:SOW2"/>
    <mergeCell ref="SOX2:SPF2"/>
    <mergeCell ref="SPG2:SPO2"/>
    <mergeCell ref="SPP2:SPX2"/>
    <mergeCell ref="SLU2:SMC2"/>
    <mergeCell ref="SMD2:SML2"/>
    <mergeCell ref="SMM2:SMU2"/>
    <mergeCell ref="SMV2:SND2"/>
    <mergeCell ref="SNE2:SNM2"/>
    <mergeCell ref="SNN2:SNV2"/>
    <mergeCell ref="SJS2:SKA2"/>
    <mergeCell ref="SKB2:SKJ2"/>
    <mergeCell ref="SKK2:SKS2"/>
    <mergeCell ref="SKT2:SLB2"/>
    <mergeCell ref="SLC2:SLK2"/>
    <mergeCell ref="SLL2:SLT2"/>
    <mergeCell ref="SHQ2:SHY2"/>
    <mergeCell ref="SHZ2:SIH2"/>
    <mergeCell ref="SII2:SIQ2"/>
    <mergeCell ref="SIR2:SIZ2"/>
    <mergeCell ref="SJA2:SJI2"/>
    <mergeCell ref="SJJ2:SJR2"/>
    <mergeCell ref="SFO2:SFW2"/>
    <mergeCell ref="SFX2:SGF2"/>
    <mergeCell ref="SGG2:SGO2"/>
    <mergeCell ref="SGP2:SGX2"/>
    <mergeCell ref="SGY2:SHG2"/>
    <mergeCell ref="SHH2:SHP2"/>
    <mergeCell ref="SDM2:SDU2"/>
    <mergeCell ref="SDV2:SED2"/>
    <mergeCell ref="SEE2:SEM2"/>
    <mergeCell ref="SEN2:SEV2"/>
    <mergeCell ref="SEW2:SFE2"/>
    <mergeCell ref="SFF2:SFN2"/>
    <mergeCell ref="SBK2:SBS2"/>
    <mergeCell ref="SBT2:SCB2"/>
    <mergeCell ref="SCC2:SCK2"/>
    <mergeCell ref="SCL2:SCT2"/>
    <mergeCell ref="SCU2:SDC2"/>
    <mergeCell ref="SDD2:SDL2"/>
    <mergeCell ref="RZI2:RZQ2"/>
    <mergeCell ref="RZR2:RZZ2"/>
    <mergeCell ref="SAA2:SAI2"/>
    <mergeCell ref="SAJ2:SAR2"/>
    <mergeCell ref="SAS2:SBA2"/>
    <mergeCell ref="SBB2:SBJ2"/>
    <mergeCell ref="RXG2:RXO2"/>
    <mergeCell ref="RXP2:RXX2"/>
    <mergeCell ref="RXY2:RYG2"/>
    <mergeCell ref="RYH2:RYP2"/>
    <mergeCell ref="RYQ2:RYY2"/>
    <mergeCell ref="RYZ2:RZH2"/>
    <mergeCell ref="RVE2:RVM2"/>
    <mergeCell ref="RVN2:RVV2"/>
    <mergeCell ref="RVW2:RWE2"/>
    <mergeCell ref="RWF2:RWN2"/>
    <mergeCell ref="RWO2:RWW2"/>
    <mergeCell ref="RWX2:RXF2"/>
    <mergeCell ref="RTC2:RTK2"/>
    <mergeCell ref="RTL2:RTT2"/>
    <mergeCell ref="RTU2:RUC2"/>
    <mergeCell ref="RUD2:RUL2"/>
    <mergeCell ref="RUM2:RUU2"/>
    <mergeCell ref="RUV2:RVD2"/>
    <mergeCell ref="RRA2:RRI2"/>
    <mergeCell ref="RRJ2:RRR2"/>
    <mergeCell ref="RRS2:RSA2"/>
    <mergeCell ref="RSB2:RSJ2"/>
    <mergeCell ref="RSK2:RSS2"/>
    <mergeCell ref="RST2:RTB2"/>
    <mergeCell ref="ROY2:RPG2"/>
    <mergeCell ref="RPH2:RPP2"/>
    <mergeCell ref="RPQ2:RPY2"/>
    <mergeCell ref="RPZ2:RQH2"/>
    <mergeCell ref="RQI2:RQQ2"/>
    <mergeCell ref="RQR2:RQZ2"/>
    <mergeCell ref="RMW2:RNE2"/>
    <mergeCell ref="RNF2:RNN2"/>
    <mergeCell ref="RNO2:RNW2"/>
    <mergeCell ref="RNX2:ROF2"/>
    <mergeCell ref="ROG2:ROO2"/>
    <mergeCell ref="ROP2:ROX2"/>
    <mergeCell ref="RKU2:RLC2"/>
    <mergeCell ref="RLD2:RLL2"/>
    <mergeCell ref="RLM2:RLU2"/>
    <mergeCell ref="RLV2:RMD2"/>
    <mergeCell ref="RME2:RMM2"/>
    <mergeCell ref="RMN2:RMV2"/>
    <mergeCell ref="RIS2:RJA2"/>
    <mergeCell ref="RJB2:RJJ2"/>
    <mergeCell ref="RJK2:RJS2"/>
    <mergeCell ref="RJT2:RKB2"/>
    <mergeCell ref="RKC2:RKK2"/>
    <mergeCell ref="RKL2:RKT2"/>
    <mergeCell ref="RGQ2:RGY2"/>
    <mergeCell ref="RGZ2:RHH2"/>
    <mergeCell ref="RHI2:RHQ2"/>
    <mergeCell ref="RHR2:RHZ2"/>
    <mergeCell ref="RIA2:RII2"/>
    <mergeCell ref="RIJ2:RIR2"/>
    <mergeCell ref="REO2:REW2"/>
    <mergeCell ref="REX2:RFF2"/>
    <mergeCell ref="RFG2:RFO2"/>
    <mergeCell ref="RFP2:RFX2"/>
    <mergeCell ref="RFY2:RGG2"/>
    <mergeCell ref="RGH2:RGP2"/>
    <mergeCell ref="RCM2:RCU2"/>
    <mergeCell ref="RCV2:RDD2"/>
    <mergeCell ref="RDE2:RDM2"/>
    <mergeCell ref="RDN2:RDV2"/>
    <mergeCell ref="RDW2:REE2"/>
    <mergeCell ref="REF2:REN2"/>
    <mergeCell ref="RAK2:RAS2"/>
    <mergeCell ref="RAT2:RBB2"/>
    <mergeCell ref="RBC2:RBK2"/>
    <mergeCell ref="RBL2:RBT2"/>
    <mergeCell ref="RBU2:RCC2"/>
    <mergeCell ref="RCD2:RCL2"/>
    <mergeCell ref="QYI2:QYQ2"/>
    <mergeCell ref="QYR2:QYZ2"/>
    <mergeCell ref="QZA2:QZI2"/>
    <mergeCell ref="QZJ2:QZR2"/>
    <mergeCell ref="QZS2:RAA2"/>
    <mergeCell ref="RAB2:RAJ2"/>
    <mergeCell ref="QWG2:QWO2"/>
    <mergeCell ref="QWP2:QWX2"/>
    <mergeCell ref="QWY2:QXG2"/>
    <mergeCell ref="QXH2:QXP2"/>
    <mergeCell ref="QXQ2:QXY2"/>
    <mergeCell ref="QXZ2:QYH2"/>
    <mergeCell ref="QUE2:QUM2"/>
    <mergeCell ref="QUN2:QUV2"/>
    <mergeCell ref="QUW2:QVE2"/>
    <mergeCell ref="QVF2:QVN2"/>
    <mergeCell ref="QVO2:QVW2"/>
    <mergeCell ref="QVX2:QWF2"/>
    <mergeCell ref="QSC2:QSK2"/>
    <mergeCell ref="QSL2:QST2"/>
    <mergeCell ref="QSU2:QTC2"/>
    <mergeCell ref="QTD2:QTL2"/>
    <mergeCell ref="QTM2:QTU2"/>
    <mergeCell ref="QTV2:QUD2"/>
    <mergeCell ref="QQA2:QQI2"/>
    <mergeCell ref="QQJ2:QQR2"/>
    <mergeCell ref="QQS2:QRA2"/>
    <mergeCell ref="QRB2:QRJ2"/>
    <mergeCell ref="QRK2:QRS2"/>
    <mergeCell ref="QRT2:QSB2"/>
    <mergeCell ref="QNY2:QOG2"/>
    <mergeCell ref="QOH2:QOP2"/>
    <mergeCell ref="QOQ2:QOY2"/>
    <mergeCell ref="QOZ2:QPH2"/>
    <mergeCell ref="QPI2:QPQ2"/>
    <mergeCell ref="QPR2:QPZ2"/>
    <mergeCell ref="QLW2:QME2"/>
    <mergeCell ref="QMF2:QMN2"/>
    <mergeCell ref="QMO2:QMW2"/>
    <mergeCell ref="QMX2:QNF2"/>
    <mergeCell ref="QNG2:QNO2"/>
    <mergeCell ref="QNP2:QNX2"/>
    <mergeCell ref="QJU2:QKC2"/>
    <mergeCell ref="QKD2:QKL2"/>
    <mergeCell ref="QKM2:QKU2"/>
    <mergeCell ref="QKV2:QLD2"/>
    <mergeCell ref="QLE2:QLM2"/>
    <mergeCell ref="QLN2:QLV2"/>
    <mergeCell ref="QHS2:QIA2"/>
    <mergeCell ref="QIB2:QIJ2"/>
    <mergeCell ref="QIK2:QIS2"/>
    <mergeCell ref="QIT2:QJB2"/>
    <mergeCell ref="QJC2:QJK2"/>
    <mergeCell ref="QJL2:QJT2"/>
    <mergeCell ref="QFQ2:QFY2"/>
    <mergeCell ref="QFZ2:QGH2"/>
    <mergeCell ref="QGI2:QGQ2"/>
    <mergeCell ref="QGR2:QGZ2"/>
    <mergeCell ref="QHA2:QHI2"/>
    <mergeCell ref="QHJ2:QHR2"/>
    <mergeCell ref="QDO2:QDW2"/>
    <mergeCell ref="QDX2:QEF2"/>
    <mergeCell ref="QEG2:QEO2"/>
    <mergeCell ref="QEP2:QEX2"/>
    <mergeCell ref="QEY2:QFG2"/>
    <mergeCell ref="QFH2:QFP2"/>
    <mergeCell ref="QBM2:QBU2"/>
    <mergeCell ref="QBV2:QCD2"/>
    <mergeCell ref="QCE2:QCM2"/>
    <mergeCell ref="QCN2:QCV2"/>
    <mergeCell ref="QCW2:QDE2"/>
    <mergeCell ref="QDF2:QDN2"/>
    <mergeCell ref="PZK2:PZS2"/>
    <mergeCell ref="PZT2:QAB2"/>
    <mergeCell ref="QAC2:QAK2"/>
    <mergeCell ref="QAL2:QAT2"/>
    <mergeCell ref="QAU2:QBC2"/>
    <mergeCell ref="QBD2:QBL2"/>
    <mergeCell ref="PXI2:PXQ2"/>
    <mergeCell ref="PXR2:PXZ2"/>
    <mergeCell ref="PYA2:PYI2"/>
    <mergeCell ref="PYJ2:PYR2"/>
    <mergeCell ref="PYS2:PZA2"/>
    <mergeCell ref="PZB2:PZJ2"/>
    <mergeCell ref="PVG2:PVO2"/>
    <mergeCell ref="PVP2:PVX2"/>
    <mergeCell ref="PVY2:PWG2"/>
    <mergeCell ref="PWH2:PWP2"/>
    <mergeCell ref="PWQ2:PWY2"/>
    <mergeCell ref="PWZ2:PXH2"/>
    <mergeCell ref="PTE2:PTM2"/>
    <mergeCell ref="PTN2:PTV2"/>
    <mergeCell ref="PTW2:PUE2"/>
    <mergeCell ref="PUF2:PUN2"/>
    <mergeCell ref="PUO2:PUW2"/>
    <mergeCell ref="PUX2:PVF2"/>
    <mergeCell ref="PRC2:PRK2"/>
    <mergeCell ref="PRL2:PRT2"/>
    <mergeCell ref="PRU2:PSC2"/>
    <mergeCell ref="PSD2:PSL2"/>
    <mergeCell ref="PSM2:PSU2"/>
    <mergeCell ref="PSV2:PTD2"/>
    <mergeCell ref="PPA2:PPI2"/>
    <mergeCell ref="PPJ2:PPR2"/>
    <mergeCell ref="PPS2:PQA2"/>
    <mergeCell ref="PQB2:PQJ2"/>
    <mergeCell ref="PQK2:PQS2"/>
    <mergeCell ref="PQT2:PRB2"/>
    <mergeCell ref="PMY2:PNG2"/>
    <mergeCell ref="PNH2:PNP2"/>
    <mergeCell ref="PNQ2:PNY2"/>
    <mergeCell ref="PNZ2:POH2"/>
    <mergeCell ref="POI2:POQ2"/>
    <mergeCell ref="POR2:POZ2"/>
    <mergeCell ref="PKW2:PLE2"/>
    <mergeCell ref="PLF2:PLN2"/>
    <mergeCell ref="PLO2:PLW2"/>
    <mergeCell ref="PLX2:PMF2"/>
    <mergeCell ref="PMG2:PMO2"/>
    <mergeCell ref="PMP2:PMX2"/>
    <mergeCell ref="PIU2:PJC2"/>
    <mergeCell ref="PJD2:PJL2"/>
    <mergeCell ref="PJM2:PJU2"/>
    <mergeCell ref="PJV2:PKD2"/>
    <mergeCell ref="PKE2:PKM2"/>
    <mergeCell ref="PKN2:PKV2"/>
    <mergeCell ref="PGS2:PHA2"/>
    <mergeCell ref="PHB2:PHJ2"/>
    <mergeCell ref="PHK2:PHS2"/>
    <mergeCell ref="PHT2:PIB2"/>
    <mergeCell ref="PIC2:PIK2"/>
    <mergeCell ref="PIL2:PIT2"/>
    <mergeCell ref="PEQ2:PEY2"/>
    <mergeCell ref="PEZ2:PFH2"/>
    <mergeCell ref="PFI2:PFQ2"/>
    <mergeCell ref="PFR2:PFZ2"/>
    <mergeCell ref="PGA2:PGI2"/>
    <mergeCell ref="PGJ2:PGR2"/>
    <mergeCell ref="PCO2:PCW2"/>
    <mergeCell ref="PCX2:PDF2"/>
    <mergeCell ref="PDG2:PDO2"/>
    <mergeCell ref="PDP2:PDX2"/>
    <mergeCell ref="PDY2:PEG2"/>
    <mergeCell ref="PEH2:PEP2"/>
    <mergeCell ref="PAM2:PAU2"/>
    <mergeCell ref="PAV2:PBD2"/>
    <mergeCell ref="PBE2:PBM2"/>
    <mergeCell ref="PBN2:PBV2"/>
    <mergeCell ref="PBW2:PCE2"/>
    <mergeCell ref="PCF2:PCN2"/>
    <mergeCell ref="OYK2:OYS2"/>
    <mergeCell ref="OYT2:OZB2"/>
    <mergeCell ref="OZC2:OZK2"/>
    <mergeCell ref="OZL2:OZT2"/>
    <mergeCell ref="OZU2:PAC2"/>
    <mergeCell ref="PAD2:PAL2"/>
    <mergeCell ref="OWI2:OWQ2"/>
    <mergeCell ref="OWR2:OWZ2"/>
    <mergeCell ref="OXA2:OXI2"/>
    <mergeCell ref="OXJ2:OXR2"/>
    <mergeCell ref="OXS2:OYA2"/>
    <mergeCell ref="OYB2:OYJ2"/>
    <mergeCell ref="OUG2:OUO2"/>
    <mergeCell ref="OUP2:OUX2"/>
    <mergeCell ref="OUY2:OVG2"/>
    <mergeCell ref="OVH2:OVP2"/>
    <mergeCell ref="OVQ2:OVY2"/>
    <mergeCell ref="OVZ2:OWH2"/>
    <mergeCell ref="OSE2:OSM2"/>
    <mergeCell ref="OSN2:OSV2"/>
    <mergeCell ref="OSW2:OTE2"/>
    <mergeCell ref="OTF2:OTN2"/>
    <mergeCell ref="OTO2:OTW2"/>
    <mergeCell ref="OTX2:OUF2"/>
    <mergeCell ref="OQC2:OQK2"/>
    <mergeCell ref="OQL2:OQT2"/>
    <mergeCell ref="OQU2:ORC2"/>
    <mergeCell ref="ORD2:ORL2"/>
    <mergeCell ref="ORM2:ORU2"/>
    <mergeCell ref="ORV2:OSD2"/>
    <mergeCell ref="OOA2:OOI2"/>
    <mergeCell ref="OOJ2:OOR2"/>
    <mergeCell ref="OOS2:OPA2"/>
    <mergeCell ref="OPB2:OPJ2"/>
    <mergeCell ref="OPK2:OPS2"/>
    <mergeCell ref="OPT2:OQB2"/>
    <mergeCell ref="OLY2:OMG2"/>
    <mergeCell ref="OMH2:OMP2"/>
    <mergeCell ref="OMQ2:OMY2"/>
    <mergeCell ref="OMZ2:ONH2"/>
    <mergeCell ref="ONI2:ONQ2"/>
    <mergeCell ref="ONR2:ONZ2"/>
    <mergeCell ref="OJW2:OKE2"/>
    <mergeCell ref="OKF2:OKN2"/>
    <mergeCell ref="OKO2:OKW2"/>
    <mergeCell ref="OKX2:OLF2"/>
    <mergeCell ref="OLG2:OLO2"/>
    <mergeCell ref="OLP2:OLX2"/>
    <mergeCell ref="OHU2:OIC2"/>
    <mergeCell ref="OID2:OIL2"/>
    <mergeCell ref="OIM2:OIU2"/>
    <mergeCell ref="OIV2:OJD2"/>
    <mergeCell ref="OJE2:OJM2"/>
    <mergeCell ref="OJN2:OJV2"/>
    <mergeCell ref="OFS2:OGA2"/>
    <mergeCell ref="OGB2:OGJ2"/>
    <mergeCell ref="OGK2:OGS2"/>
    <mergeCell ref="OGT2:OHB2"/>
    <mergeCell ref="OHC2:OHK2"/>
    <mergeCell ref="OHL2:OHT2"/>
    <mergeCell ref="ODQ2:ODY2"/>
    <mergeCell ref="ODZ2:OEH2"/>
    <mergeCell ref="OEI2:OEQ2"/>
    <mergeCell ref="OER2:OEZ2"/>
    <mergeCell ref="OFA2:OFI2"/>
    <mergeCell ref="OFJ2:OFR2"/>
    <mergeCell ref="OBO2:OBW2"/>
    <mergeCell ref="OBX2:OCF2"/>
    <mergeCell ref="OCG2:OCO2"/>
    <mergeCell ref="OCP2:OCX2"/>
    <mergeCell ref="OCY2:ODG2"/>
    <mergeCell ref="ODH2:ODP2"/>
    <mergeCell ref="NZM2:NZU2"/>
    <mergeCell ref="NZV2:OAD2"/>
    <mergeCell ref="OAE2:OAM2"/>
    <mergeCell ref="OAN2:OAV2"/>
    <mergeCell ref="OAW2:OBE2"/>
    <mergeCell ref="OBF2:OBN2"/>
    <mergeCell ref="NXK2:NXS2"/>
    <mergeCell ref="NXT2:NYB2"/>
    <mergeCell ref="NYC2:NYK2"/>
    <mergeCell ref="NYL2:NYT2"/>
    <mergeCell ref="NYU2:NZC2"/>
    <mergeCell ref="NZD2:NZL2"/>
    <mergeCell ref="NVI2:NVQ2"/>
    <mergeCell ref="NVR2:NVZ2"/>
    <mergeCell ref="NWA2:NWI2"/>
    <mergeCell ref="NWJ2:NWR2"/>
    <mergeCell ref="NWS2:NXA2"/>
    <mergeCell ref="NXB2:NXJ2"/>
    <mergeCell ref="NTG2:NTO2"/>
    <mergeCell ref="NTP2:NTX2"/>
    <mergeCell ref="NTY2:NUG2"/>
    <mergeCell ref="NUH2:NUP2"/>
    <mergeCell ref="NUQ2:NUY2"/>
    <mergeCell ref="NUZ2:NVH2"/>
    <mergeCell ref="NRE2:NRM2"/>
    <mergeCell ref="NRN2:NRV2"/>
    <mergeCell ref="NRW2:NSE2"/>
    <mergeCell ref="NSF2:NSN2"/>
    <mergeCell ref="NSO2:NSW2"/>
    <mergeCell ref="NSX2:NTF2"/>
    <mergeCell ref="NPC2:NPK2"/>
    <mergeCell ref="NPL2:NPT2"/>
    <mergeCell ref="NPU2:NQC2"/>
    <mergeCell ref="NQD2:NQL2"/>
    <mergeCell ref="NQM2:NQU2"/>
    <mergeCell ref="NQV2:NRD2"/>
    <mergeCell ref="NNA2:NNI2"/>
    <mergeCell ref="NNJ2:NNR2"/>
    <mergeCell ref="NNS2:NOA2"/>
    <mergeCell ref="NOB2:NOJ2"/>
    <mergeCell ref="NOK2:NOS2"/>
    <mergeCell ref="NOT2:NPB2"/>
    <mergeCell ref="NKY2:NLG2"/>
    <mergeCell ref="NLH2:NLP2"/>
    <mergeCell ref="NLQ2:NLY2"/>
    <mergeCell ref="NLZ2:NMH2"/>
    <mergeCell ref="NMI2:NMQ2"/>
    <mergeCell ref="NMR2:NMZ2"/>
    <mergeCell ref="NIW2:NJE2"/>
    <mergeCell ref="NJF2:NJN2"/>
    <mergeCell ref="NJO2:NJW2"/>
    <mergeCell ref="NJX2:NKF2"/>
    <mergeCell ref="NKG2:NKO2"/>
    <mergeCell ref="NKP2:NKX2"/>
    <mergeCell ref="NGU2:NHC2"/>
    <mergeCell ref="NHD2:NHL2"/>
    <mergeCell ref="NHM2:NHU2"/>
    <mergeCell ref="NHV2:NID2"/>
    <mergeCell ref="NIE2:NIM2"/>
    <mergeCell ref="NIN2:NIV2"/>
    <mergeCell ref="NES2:NFA2"/>
    <mergeCell ref="NFB2:NFJ2"/>
    <mergeCell ref="NFK2:NFS2"/>
    <mergeCell ref="NFT2:NGB2"/>
    <mergeCell ref="NGC2:NGK2"/>
    <mergeCell ref="NGL2:NGT2"/>
    <mergeCell ref="NCQ2:NCY2"/>
    <mergeCell ref="NCZ2:NDH2"/>
    <mergeCell ref="NDI2:NDQ2"/>
    <mergeCell ref="NDR2:NDZ2"/>
    <mergeCell ref="NEA2:NEI2"/>
    <mergeCell ref="NEJ2:NER2"/>
    <mergeCell ref="NAO2:NAW2"/>
    <mergeCell ref="NAX2:NBF2"/>
    <mergeCell ref="NBG2:NBO2"/>
    <mergeCell ref="NBP2:NBX2"/>
    <mergeCell ref="NBY2:NCG2"/>
    <mergeCell ref="NCH2:NCP2"/>
    <mergeCell ref="MYM2:MYU2"/>
    <mergeCell ref="MYV2:MZD2"/>
    <mergeCell ref="MZE2:MZM2"/>
    <mergeCell ref="MZN2:MZV2"/>
    <mergeCell ref="MZW2:NAE2"/>
    <mergeCell ref="NAF2:NAN2"/>
    <mergeCell ref="MWK2:MWS2"/>
    <mergeCell ref="MWT2:MXB2"/>
    <mergeCell ref="MXC2:MXK2"/>
    <mergeCell ref="MXL2:MXT2"/>
    <mergeCell ref="MXU2:MYC2"/>
    <mergeCell ref="MYD2:MYL2"/>
    <mergeCell ref="MUI2:MUQ2"/>
    <mergeCell ref="MUR2:MUZ2"/>
    <mergeCell ref="MVA2:MVI2"/>
    <mergeCell ref="MVJ2:MVR2"/>
    <mergeCell ref="MVS2:MWA2"/>
    <mergeCell ref="MWB2:MWJ2"/>
    <mergeCell ref="MSG2:MSO2"/>
    <mergeCell ref="MSP2:MSX2"/>
    <mergeCell ref="MSY2:MTG2"/>
    <mergeCell ref="MTH2:MTP2"/>
    <mergeCell ref="MTQ2:MTY2"/>
    <mergeCell ref="MTZ2:MUH2"/>
    <mergeCell ref="MQE2:MQM2"/>
    <mergeCell ref="MQN2:MQV2"/>
    <mergeCell ref="MQW2:MRE2"/>
    <mergeCell ref="MRF2:MRN2"/>
    <mergeCell ref="MRO2:MRW2"/>
    <mergeCell ref="MRX2:MSF2"/>
    <mergeCell ref="MOC2:MOK2"/>
    <mergeCell ref="MOL2:MOT2"/>
    <mergeCell ref="MOU2:MPC2"/>
    <mergeCell ref="MPD2:MPL2"/>
    <mergeCell ref="MPM2:MPU2"/>
    <mergeCell ref="MPV2:MQD2"/>
    <mergeCell ref="MMA2:MMI2"/>
    <mergeCell ref="MMJ2:MMR2"/>
    <mergeCell ref="MMS2:MNA2"/>
    <mergeCell ref="MNB2:MNJ2"/>
    <mergeCell ref="MNK2:MNS2"/>
    <mergeCell ref="MNT2:MOB2"/>
    <mergeCell ref="MJY2:MKG2"/>
    <mergeCell ref="MKH2:MKP2"/>
    <mergeCell ref="MKQ2:MKY2"/>
    <mergeCell ref="MKZ2:MLH2"/>
    <mergeCell ref="MLI2:MLQ2"/>
    <mergeCell ref="MLR2:MLZ2"/>
    <mergeCell ref="MHW2:MIE2"/>
    <mergeCell ref="MIF2:MIN2"/>
    <mergeCell ref="MIO2:MIW2"/>
    <mergeCell ref="MIX2:MJF2"/>
    <mergeCell ref="MJG2:MJO2"/>
    <mergeCell ref="MJP2:MJX2"/>
    <mergeCell ref="MFU2:MGC2"/>
    <mergeCell ref="MGD2:MGL2"/>
    <mergeCell ref="MGM2:MGU2"/>
    <mergeCell ref="MGV2:MHD2"/>
    <mergeCell ref="MHE2:MHM2"/>
    <mergeCell ref="MHN2:MHV2"/>
    <mergeCell ref="MDS2:MEA2"/>
    <mergeCell ref="MEB2:MEJ2"/>
    <mergeCell ref="MEK2:MES2"/>
    <mergeCell ref="MET2:MFB2"/>
    <mergeCell ref="MFC2:MFK2"/>
    <mergeCell ref="MFL2:MFT2"/>
    <mergeCell ref="MBQ2:MBY2"/>
    <mergeCell ref="MBZ2:MCH2"/>
    <mergeCell ref="MCI2:MCQ2"/>
    <mergeCell ref="MCR2:MCZ2"/>
    <mergeCell ref="MDA2:MDI2"/>
    <mergeCell ref="MDJ2:MDR2"/>
    <mergeCell ref="LZO2:LZW2"/>
    <mergeCell ref="LZX2:MAF2"/>
    <mergeCell ref="MAG2:MAO2"/>
    <mergeCell ref="MAP2:MAX2"/>
    <mergeCell ref="MAY2:MBG2"/>
    <mergeCell ref="MBH2:MBP2"/>
    <mergeCell ref="LXM2:LXU2"/>
    <mergeCell ref="LXV2:LYD2"/>
    <mergeCell ref="LYE2:LYM2"/>
    <mergeCell ref="LYN2:LYV2"/>
    <mergeCell ref="LYW2:LZE2"/>
    <mergeCell ref="LZF2:LZN2"/>
    <mergeCell ref="LVK2:LVS2"/>
    <mergeCell ref="LVT2:LWB2"/>
    <mergeCell ref="LWC2:LWK2"/>
    <mergeCell ref="LWL2:LWT2"/>
    <mergeCell ref="LWU2:LXC2"/>
    <mergeCell ref="LXD2:LXL2"/>
    <mergeCell ref="LTI2:LTQ2"/>
    <mergeCell ref="LTR2:LTZ2"/>
    <mergeCell ref="LUA2:LUI2"/>
    <mergeCell ref="LUJ2:LUR2"/>
    <mergeCell ref="LUS2:LVA2"/>
    <mergeCell ref="LVB2:LVJ2"/>
    <mergeCell ref="LRG2:LRO2"/>
    <mergeCell ref="LRP2:LRX2"/>
    <mergeCell ref="LRY2:LSG2"/>
    <mergeCell ref="LSH2:LSP2"/>
    <mergeCell ref="LSQ2:LSY2"/>
    <mergeCell ref="LSZ2:LTH2"/>
    <mergeCell ref="LPE2:LPM2"/>
    <mergeCell ref="LPN2:LPV2"/>
    <mergeCell ref="LPW2:LQE2"/>
    <mergeCell ref="LQF2:LQN2"/>
    <mergeCell ref="LQO2:LQW2"/>
    <mergeCell ref="LQX2:LRF2"/>
    <mergeCell ref="LNC2:LNK2"/>
    <mergeCell ref="LNL2:LNT2"/>
    <mergeCell ref="LNU2:LOC2"/>
    <mergeCell ref="LOD2:LOL2"/>
    <mergeCell ref="LOM2:LOU2"/>
    <mergeCell ref="LOV2:LPD2"/>
    <mergeCell ref="LLA2:LLI2"/>
    <mergeCell ref="LLJ2:LLR2"/>
    <mergeCell ref="LLS2:LMA2"/>
    <mergeCell ref="LMB2:LMJ2"/>
    <mergeCell ref="LMK2:LMS2"/>
    <mergeCell ref="LMT2:LNB2"/>
    <mergeCell ref="LIY2:LJG2"/>
    <mergeCell ref="LJH2:LJP2"/>
    <mergeCell ref="LJQ2:LJY2"/>
    <mergeCell ref="LJZ2:LKH2"/>
    <mergeCell ref="LKI2:LKQ2"/>
    <mergeCell ref="LKR2:LKZ2"/>
    <mergeCell ref="LGW2:LHE2"/>
    <mergeCell ref="LHF2:LHN2"/>
    <mergeCell ref="LHO2:LHW2"/>
    <mergeCell ref="LHX2:LIF2"/>
    <mergeCell ref="LIG2:LIO2"/>
    <mergeCell ref="LIP2:LIX2"/>
    <mergeCell ref="LEU2:LFC2"/>
    <mergeCell ref="LFD2:LFL2"/>
    <mergeCell ref="LFM2:LFU2"/>
    <mergeCell ref="LFV2:LGD2"/>
    <mergeCell ref="LGE2:LGM2"/>
    <mergeCell ref="LGN2:LGV2"/>
    <mergeCell ref="LCS2:LDA2"/>
    <mergeCell ref="LDB2:LDJ2"/>
    <mergeCell ref="LDK2:LDS2"/>
    <mergeCell ref="LDT2:LEB2"/>
    <mergeCell ref="LEC2:LEK2"/>
    <mergeCell ref="LEL2:LET2"/>
    <mergeCell ref="LAQ2:LAY2"/>
    <mergeCell ref="LAZ2:LBH2"/>
    <mergeCell ref="LBI2:LBQ2"/>
    <mergeCell ref="LBR2:LBZ2"/>
    <mergeCell ref="LCA2:LCI2"/>
    <mergeCell ref="LCJ2:LCR2"/>
    <mergeCell ref="KYO2:KYW2"/>
    <mergeCell ref="KYX2:KZF2"/>
    <mergeCell ref="KZG2:KZO2"/>
    <mergeCell ref="KZP2:KZX2"/>
    <mergeCell ref="KZY2:LAG2"/>
    <mergeCell ref="LAH2:LAP2"/>
    <mergeCell ref="KWM2:KWU2"/>
    <mergeCell ref="KWV2:KXD2"/>
    <mergeCell ref="KXE2:KXM2"/>
    <mergeCell ref="KXN2:KXV2"/>
    <mergeCell ref="KXW2:KYE2"/>
    <mergeCell ref="KYF2:KYN2"/>
    <mergeCell ref="KUK2:KUS2"/>
    <mergeCell ref="KUT2:KVB2"/>
    <mergeCell ref="KVC2:KVK2"/>
    <mergeCell ref="KVL2:KVT2"/>
    <mergeCell ref="KVU2:KWC2"/>
    <mergeCell ref="KWD2:KWL2"/>
    <mergeCell ref="KSI2:KSQ2"/>
    <mergeCell ref="KSR2:KSZ2"/>
    <mergeCell ref="KTA2:KTI2"/>
    <mergeCell ref="KTJ2:KTR2"/>
    <mergeCell ref="KTS2:KUA2"/>
    <mergeCell ref="KUB2:KUJ2"/>
    <mergeCell ref="KQG2:KQO2"/>
    <mergeCell ref="KQP2:KQX2"/>
    <mergeCell ref="KQY2:KRG2"/>
    <mergeCell ref="KRH2:KRP2"/>
    <mergeCell ref="KRQ2:KRY2"/>
    <mergeCell ref="KRZ2:KSH2"/>
    <mergeCell ref="KOE2:KOM2"/>
    <mergeCell ref="KON2:KOV2"/>
    <mergeCell ref="KOW2:KPE2"/>
    <mergeCell ref="KPF2:KPN2"/>
    <mergeCell ref="KPO2:KPW2"/>
    <mergeCell ref="KPX2:KQF2"/>
    <mergeCell ref="KMC2:KMK2"/>
    <mergeCell ref="KML2:KMT2"/>
    <mergeCell ref="KMU2:KNC2"/>
    <mergeCell ref="KND2:KNL2"/>
    <mergeCell ref="KNM2:KNU2"/>
    <mergeCell ref="KNV2:KOD2"/>
    <mergeCell ref="KKA2:KKI2"/>
    <mergeCell ref="KKJ2:KKR2"/>
    <mergeCell ref="KKS2:KLA2"/>
    <mergeCell ref="KLB2:KLJ2"/>
    <mergeCell ref="KLK2:KLS2"/>
    <mergeCell ref="KLT2:KMB2"/>
    <mergeCell ref="KHY2:KIG2"/>
    <mergeCell ref="KIH2:KIP2"/>
    <mergeCell ref="KIQ2:KIY2"/>
    <mergeCell ref="KIZ2:KJH2"/>
    <mergeCell ref="KJI2:KJQ2"/>
    <mergeCell ref="KJR2:KJZ2"/>
    <mergeCell ref="KFW2:KGE2"/>
    <mergeCell ref="KGF2:KGN2"/>
    <mergeCell ref="KGO2:KGW2"/>
    <mergeCell ref="KGX2:KHF2"/>
    <mergeCell ref="KHG2:KHO2"/>
    <mergeCell ref="KHP2:KHX2"/>
    <mergeCell ref="KDU2:KEC2"/>
    <mergeCell ref="KED2:KEL2"/>
    <mergeCell ref="KEM2:KEU2"/>
    <mergeCell ref="KEV2:KFD2"/>
    <mergeCell ref="KFE2:KFM2"/>
    <mergeCell ref="KFN2:KFV2"/>
    <mergeCell ref="KBS2:KCA2"/>
    <mergeCell ref="KCB2:KCJ2"/>
    <mergeCell ref="KCK2:KCS2"/>
    <mergeCell ref="KCT2:KDB2"/>
    <mergeCell ref="KDC2:KDK2"/>
    <mergeCell ref="KDL2:KDT2"/>
    <mergeCell ref="JZQ2:JZY2"/>
    <mergeCell ref="JZZ2:KAH2"/>
    <mergeCell ref="KAI2:KAQ2"/>
    <mergeCell ref="KAR2:KAZ2"/>
    <mergeCell ref="KBA2:KBI2"/>
    <mergeCell ref="KBJ2:KBR2"/>
    <mergeCell ref="JXO2:JXW2"/>
    <mergeCell ref="JXX2:JYF2"/>
    <mergeCell ref="JYG2:JYO2"/>
    <mergeCell ref="JYP2:JYX2"/>
    <mergeCell ref="JYY2:JZG2"/>
    <mergeCell ref="JZH2:JZP2"/>
    <mergeCell ref="JVM2:JVU2"/>
    <mergeCell ref="JVV2:JWD2"/>
    <mergeCell ref="JWE2:JWM2"/>
    <mergeCell ref="JWN2:JWV2"/>
    <mergeCell ref="JWW2:JXE2"/>
    <mergeCell ref="JXF2:JXN2"/>
    <mergeCell ref="JTK2:JTS2"/>
    <mergeCell ref="JTT2:JUB2"/>
    <mergeCell ref="JUC2:JUK2"/>
    <mergeCell ref="JUL2:JUT2"/>
    <mergeCell ref="JUU2:JVC2"/>
    <mergeCell ref="JVD2:JVL2"/>
    <mergeCell ref="JRI2:JRQ2"/>
    <mergeCell ref="JRR2:JRZ2"/>
    <mergeCell ref="JSA2:JSI2"/>
    <mergeCell ref="JSJ2:JSR2"/>
    <mergeCell ref="JSS2:JTA2"/>
    <mergeCell ref="JTB2:JTJ2"/>
    <mergeCell ref="JPG2:JPO2"/>
    <mergeCell ref="JPP2:JPX2"/>
    <mergeCell ref="JPY2:JQG2"/>
    <mergeCell ref="JQH2:JQP2"/>
    <mergeCell ref="JQQ2:JQY2"/>
    <mergeCell ref="JQZ2:JRH2"/>
    <mergeCell ref="JNE2:JNM2"/>
    <mergeCell ref="JNN2:JNV2"/>
    <mergeCell ref="JNW2:JOE2"/>
    <mergeCell ref="JOF2:JON2"/>
    <mergeCell ref="JOO2:JOW2"/>
    <mergeCell ref="JOX2:JPF2"/>
    <mergeCell ref="JLC2:JLK2"/>
    <mergeCell ref="JLL2:JLT2"/>
    <mergeCell ref="JLU2:JMC2"/>
    <mergeCell ref="JMD2:JML2"/>
    <mergeCell ref="JMM2:JMU2"/>
    <mergeCell ref="JMV2:JND2"/>
    <mergeCell ref="JJA2:JJI2"/>
    <mergeCell ref="JJJ2:JJR2"/>
    <mergeCell ref="JJS2:JKA2"/>
    <mergeCell ref="JKB2:JKJ2"/>
    <mergeCell ref="JKK2:JKS2"/>
    <mergeCell ref="JKT2:JLB2"/>
    <mergeCell ref="JGY2:JHG2"/>
    <mergeCell ref="JHH2:JHP2"/>
    <mergeCell ref="JHQ2:JHY2"/>
    <mergeCell ref="JHZ2:JIH2"/>
    <mergeCell ref="JII2:JIQ2"/>
    <mergeCell ref="JIR2:JIZ2"/>
    <mergeCell ref="JEW2:JFE2"/>
    <mergeCell ref="JFF2:JFN2"/>
    <mergeCell ref="JFO2:JFW2"/>
    <mergeCell ref="JFX2:JGF2"/>
    <mergeCell ref="JGG2:JGO2"/>
    <mergeCell ref="JGP2:JGX2"/>
    <mergeCell ref="JCU2:JDC2"/>
    <mergeCell ref="JDD2:JDL2"/>
    <mergeCell ref="JDM2:JDU2"/>
    <mergeCell ref="JDV2:JED2"/>
    <mergeCell ref="JEE2:JEM2"/>
    <mergeCell ref="JEN2:JEV2"/>
    <mergeCell ref="JAS2:JBA2"/>
    <mergeCell ref="JBB2:JBJ2"/>
    <mergeCell ref="JBK2:JBS2"/>
    <mergeCell ref="JBT2:JCB2"/>
    <mergeCell ref="JCC2:JCK2"/>
    <mergeCell ref="JCL2:JCT2"/>
    <mergeCell ref="IYQ2:IYY2"/>
    <mergeCell ref="IYZ2:IZH2"/>
    <mergeCell ref="IZI2:IZQ2"/>
    <mergeCell ref="IZR2:IZZ2"/>
    <mergeCell ref="JAA2:JAI2"/>
    <mergeCell ref="JAJ2:JAR2"/>
    <mergeCell ref="IWO2:IWW2"/>
    <mergeCell ref="IWX2:IXF2"/>
    <mergeCell ref="IXG2:IXO2"/>
    <mergeCell ref="IXP2:IXX2"/>
    <mergeCell ref="IXY2:IYG2"/>
    <mergeCell ref="IYH2:IYP2"/>
    <mergeCell ref="IUM2:IUU2"/>
    <mergeCell ref="IUV2:IVD2"/>
    <mergeCell ref="IVE2:IVM2"/>
    <mergeCell ref="IVN2:IVV2"/>
    <mergeCell ref="IVW2:IWE2"/>
    <mergeCell ref="IWF2:IWN2"/>
    <mergeCell ref="ISK2:ISS2"/>
    <mergeCell ref="IST2:ITB2"/>
    <mergeCell ref="ITC2:ITK2"/>
    <mergeCell ref="ITL2:ITT2"/>
    <mergeCell ref="ITU2:IUC2"/>
    <mergeCell ref="IUD2:IUL2"/>
    <mergeCell ref="IQI2:IQQ2"/>
    <mergeCell ref="IQR2:IQZ2"/>
    <mergeCell ref="IRA2:IRI2"/>
    <mergeCell ref="IRJ2:IRR2"/>
    <mergeCell ref="IRS2:ISA2"/>
    <mergeCell ref="ISB2:ISJ2"/>
    <mergeCell ref="IOG2:IOO2"/>
    <mergeCell ref="IOP2:IOX2"/>
    <mergeCell ref="IOY2:IPG2"/>
    <mergeCell ref="IPH2:IPP2"/>
    <mergeCell ref="IPQ2:IPY2"/>
    <mergeCell ref="IPZ2:IQH2"/>
    <mergeCell ref="IME2:IMM2"/>
    <mergeCell ref="IMN2:IMV2"/>
    <mergeCell ref="IMW2:INE2"/>
    <mergeCell ref="INF2:INN2"/>
    <mergeCell ref="INO2:INW2"/>
    <mergeCell ref="INX2:IOF2"/>
    <mergeCell ref="IKC2:IKK2"/>
    <mergeCell ref="IKL2:IKT2"/>
    <mergeCell ref="IKU2:ILC2"/>
    <mergeCell ref="ILD2:ILL2"/>
    <mergeCell ref="ILM2:ILU2"/>
    <mergeCell ref="ILV2:IMD2"/>
    <mergeCell ref="IIA2:III2"/>
    <mergeCell ref="IIJ2:IIR2"/>
    <mergeCell ref="IIS2:IJA2"/>
    <mergeCell ref="IJB2:IJJ2"/>
    <mergeCell ref="IJK2:IJS2"/>
    <mergeCell ref="IJT2:IKB2"/>
    <mergeCell ref="IFY2:IGG2"/>
    <mergeCell ref="IGH2:IGP2"/>
    <mergeCell ref="IGQ2:IGY2"/>
    <mergeCell ref="IGZ2:IHH2"/>
    <mergeCell ref="IHI2:IHQ2"/>
    <mergeCell ref="IHR2:IHZ2"/>
    <mergeCell ref="IDW2:IEE2"/>
    <mergeCell ref="IEF2:IEN2"/>
    <mergeCell ref="IEO2:IEW2"/>
    <mergeCell ref="IEX2:IFF2"/>
    <mergeCell ref="IFG2:IFO2"/>
    <mergeCell ref="IFP2:IFX2"/>
    <mergeCell ref="IBU2:ICC2"/>
    <mergeCell ref="ICD2:ICL2"/>
    <mergeCell ref="ICM2:ICU2"/>
    <mergeCell ref="ICV2:IDD2"/>
    <mergeCell ref="IDE2:IDM2"/>
    <mergeCell ref="IDN2:IDV2"/>
    <mergeCell ref="HZS2:IAA2"/>
    <mergeCell ref="IAB2:IAJ2"/>
    <mergeCell ref="IAK2:IAS2"/>
    <mergeCell ref="IAT2:IBB2"/>
    <mergeCell ref="IBC2:IBK2"/>
    <mergeCell ref="IBL2:IBT2"/>
    <mergeCell ref="HXQ2:HXY2"/>
    <mergeCell ref="HXZ2:HYH2"/>
    <mergeCell ref="HYI2:HYQ2"/>
    <mergeCell ref="HYR2:HYZ2"/>
    <mergeCell ref="HZA2:HZI2"/>
    <mergeCell ref="HZJ2:HZR2"/>
    <mergeCell ref="HVO2:HVW2"/>
    <mergeCell ref="HVX2:HWF2"/>
    <mergeCell ref="HWG2:HWO2"/>
    <mergeCell ref="HWP2:HWX2"/>
    <mergeCell ref="HWY2:HXG2"/>
    <mergeCell ref="HXH2:HXP2"/>
    <mergeCell ref="HTM2:HTU2"/>
    <mergeCell ref="HTV2:HUD2"/>
    <mergeCell ref="HUE2:HUM2"/>
    <mergeCell ref="HUN2:HUV2"/>
    <mergeCell ref="HUW2:HVE2"/>
    <mergeCell ref="HVF2:HVN2"/>
    <mergeCell ref="HRK2:HRS2"/>
    <mergeCell ref="HRT2:HSB2"/>
    <mergeCell ref="HSC2:HSK2"/>
    <mergeCell ref="HSL2:HST2"/>
    <mergeCell ref="HSU2:HTC2"/>
    <mergeCell ref="HTD2:HTL2"/>
    <mergeCell ref="HPI2:HPQ2"/>
    <mergeCell ref="HPR2:HPZ2"/>
    <mergeCell ref="HQA2:HQI2"/>
    <mergeCell ref="HQJ2:HQR2"/>
    <mergeCell ref="HQS2:HRA2"/>
    <mergeCell ref="HRB2:HRJ2"/>
    <mergeCell ref="HNG2:HNO2"/>
    <mergeCell ref="HNP2:HNX2"/>
    <mergeCell ref="HNY2:HOG2"/>
    <mergeCell ref="HOH2:HOP2"/>
    <mergeCell ref="HOQ2:HOY2"/>
    <mergeCell ref="HOZ2:HPH2"/>
    <mergeCell ref="HLE2:HLM2"/>
    <mergeCell ref="HLN2:HLV2"/>
    <mergeCell ref="HLW2:HME2"/>
    <mergeCell ref="HMF2:HMN2"/>
    <mergeCell ref="HMO2:HMW2"/>
    <mergeCell ref="HMX2:HNF2"/>
    <mergeCell ref="HJC2:HJK2"/>
    <mergeCell ref="HJL2:HJT2"/>
    <mergeCell ref="HJU2:HKC2"/>
    <mergeCell ref="HKD2:HKL2"/>
    <mergeCell ref="HKM2:HKU2"/>
    <mergeCell ref="HKV2:HLD2"/>
    <mergeCell ref="HHA2:HHI2"/>
    <mergeCell ref="HHJ2:HHR2"/>
    <mergeCell ref="HHS2:HIA2"/>
    <mergeCell ref="HIB2:HIJ2"/>
    <mergeCell ref="HIK2:HIS2"/>
    <mergeCell ref="HIT2:HJB2"/>
    <mergeCell ref="HEY2:HFG2"/>
    <mergeCell ref="HFH2:HFP2"/>
    <mergeCell ref="HFQ2:HFY2"/>
    <mergeCell ref="HFZ2:HGH2"/>
    <mergeCell ref="HGI2:HGQ2"/>
    <mergeCell ref="HGR2:HGZ2"/>
    <mergeCell ref="HCW2:HDE2"/>
    <mergeCell ref="HDF2:HDN2"/>
    <mergeCell ref="HDO2:HDW2"/>
    <mergeCell ref="HDX2:HEF2"/>
    <mergeCell ref="HEG2:HEO2"/>
    <mergeCell ref="HEP2:HEX2"/>
    <mergeCell ref="HAU2:HBC2"/>
    <mergeCell ref="HBD2:HBL2"/>
    <mergeCell ref="HBM2:HBU2"/>
    <mergeCell ref="HBV2:HCD2"/>
    <mergeCell ref="HCE2:HCM2"/>
    <mergeCell ref="HCN2:HCV2"/>
    <mergeCell ref="GYS2:GZA2"/>
    <mergeCell ref="GZB2:GZJ2"/>
    <mergeCell ref="GZK2:GZS2"/>
    <mergeCell ref="GZT2:HAB2"/>
    <mergeCell ref="HAC2:HAK2"/>
    <mergeCell ref="HAL2:HAT2"/>
    <mergeCell ref="GWQ2:GWY2"/>
    <mergeCell ref="GWZ2:GXH2"/>
    <mergeCell ref="GXI2:GXQ2"/>
    <mergeCell ref="GXR2:GXZ2"/>
    <mergeCell ref="GYA2:GYI2"/>
    <mergeCell ref="GYJ2:GYR2"/>
    <mergeCell ref="GUO2:GUW2"/>
    <mergeCell ref="GUX2:GVF2"/>
    <mergeCell ref="GVG2:GVO2"/>
    <mergeCell ref="GVP2:GVX2"/>
    <mergeCell ref="GVY2:GWG2"/>
    <mergeCell ref="GWH2:GWP2"/>
    <mergeCell ref="GSM2:GSU2"/>
    <mergeCell ref="GSV2:GTD2"/>
    <mergeCell ref="GTE2:GTM2"/>
    <mergeCell ref="GTN2:GTV2"/>
    <mergeCell ref="GTW2:GUE2"/>
    <mergeCell ref="GUF2:GUN2"/>
    <mergeCell ref="GQK2:GQS2"/>
    <mergeCell ref="GQT2:GRB2"/>
    <mergeCell ref="GRC2:GRK2"/>
    <mergeCell ref="GRL2:GRT2"/>
    <mergeCell ref="GRU2:GSC2"/>
    <mergeCell ref="GSD2:GSL2"/>
    <mergeCell ref="GOI2:GOQ2"/>
    <mergeCell ref="GOR2:GOZ2"/>
    <mergeCell ref="GPA2:GPI2"/>
    <mergeCell ref="GPJ2:GPR2"/>
    <mergeCell ref="GPS2:GQA2"/>
    <mergeCell ref="GQB2:GQJ2"/>
    <mergeCell ref="GMG2:GMO2"/>
    <mergeCell ref="GMP2:GMX2"/>
    <mergeCell ref="GMY2:GNG2"/>
    <mergeCell ref="GNH2:GNP2"/>
    <mergeCell ref="GNQ2:GNY2"/>
    <mergeCell ref="GNZ2:GOH2"/>
    <mergeCell ref="GKE2:GKM2"/>
    <mergeCell ref="GKN2:GKV2"/>
    <mergeCell ref="GKW2:GLE2"/>
    <mergeCell ref="GLF2:GLN2"/>
    <mergeCell ref="GLO2:GLW2"/>
    <mergeCell ref="GLX2:GMF2"/>
    <mergeCell ref="GIC2:GIK2"/>
    <mergeCell ref="GIL2:GIT2"/>
    <mergeCell ref="GIU2:GJC2"/>
    <mergeCell ref="GJD2:GJL2"/>
    <mergeCell ref="GJM2:GJU2"/>
    <mergeCell ref="GJV2:GKD2"/>
    <mergeCell ref="GGA2:GGI2"/>
    <mergeCell ref="GGJ2:GGR2"/>
    <mergeCell ref="GGS2:GHA2"/>
    <mergeCell ref="GHB2:GHJ2"/>
    <mergeCell ref="GHK2:GHS2"/>
    <mergeCell ref="GHT2:GIB2"/>
    <mergeCell ref="GDY2:GEG2"/>
    <mergeCell ref="GEH2:GEP2"/>
    <mergeCell ref="GEQ2:GEY2"/>
    <mergeCell ref="GEZ2:GFH2"/>
    <mergeCell ref="GFI2:GFQ2"/>
    <mergeCell ref="GFR2:GFZ2"/>
    <mergeCell ref="GBW2:GCE2"/>
    <mergeCell ref="GCF2:GCN2"/>
    <mergeCell ref="GCO2:GCW2"/>
    <mergeCell ref="GCX2:GDF2"/>
    <mergeCell ref="GDG2:GDO2"/>
    <mergeCell ref="GDP2:GDX2"/>
    <mergeCell ref="FZU2:GAC2"/>
    <mergeCell ref="GAD2:GAL2"/>
    <mergeCell ref="GAM2:GAU2"/>
    <mergeCell ref="GAV2:GBD2"/>
    <mergeCell ref="GBE2:GBM2"/>
    <mergeCell ref="GBN2:GBV2"/>
    <mergeCell ref="FXS2:FYA2"/>
    <mergeCell ref="FYB2:FYJ2"/>
    <mergeCell ref="FYK2:FYS2"/>
    <mergeCell ref="FYT2:FZB2"/>
    <mergeCell ref="FZC2:FZK2"/>
    <mergeCell ref="FZL2:FZT2"/>
    <mergeCell ref="FVQ2:FVY2"/>
    <mergeCell ref="FVZ2:FWH2"/>
    <mergeCell ref="FWI2:FWQ2"/>
    <mergeCell ref="FWR2:FWZ2"/>
    <mergeCell ref="FXA2:FXI2"/>
    <mergeCell ref="FXJ2:FXR2"/>
    <mergeCell ref="FTO2:FTW2"/>
    <mergeCell ref="FTX2:FUF2"/>
    <mergeCell ref="FUG2:FUO2"/>
    <mergeCell ref="FUP2:FUX2"/>
    <mergeCell ref="FUY2:FVG2"/>
    <mergeCell ref="FVH2:FVP2"/>
    <mergeCell ref="FRM2:FRU2"/>
    <mergeCell ref="FRV2:FSD2"/>
    <mergeCell ref="FSE2:FSM2"/>
    <mergeCell ref="FSN2:FSV2"/>
    <mergeCell ref="FSW2:FTE2"/>
    <mergeCell ref="FTF2:FTN2"/>
    <mergeCell ref="FPK2:FPS2"/>
    <mergeCell ref="FPT2:FQB2"/>
    <mergeCell ref="FQC2:FQK2"/>
    <mergeCell ref="FQL2:FQT2"/>
    <mergeCell ref="FQU2:FRC2"/>
    <mergeCell ref="FRD2:FRL2"/>
    <mergeCell ref="FNI2:FNQ2"/>
    <mergeCell ref="FNR2:FNZ2"/>
    <mergeCell ref="FOA2:FOI2"/>
    <mergeCell ref="FOJ2:FOR2"/>
    <mergeCell ref="FOS2:FPA2"/>
    <mergeCell ref="FPB2:FPJ2"/>
    <mergeCell ref="FLG2:FLO2"/>
    <mergeCell ref="FLP2:FLX2"/>
    <mergeCell ref="FLY2:FMG2"/>
    <mergeCell ref="FMH2:FMP2"/>
    <mergeCell ref="FMQ2:FMY2"/>
    <mergeCell ref="FMZ2:FNH2"/>
    <mergeCell ref="FJE2:FJM2"/>
    <mergeCell ref="FJN2:FJV2"/>
    <mergeCell ref="FJW2:FKE2"/>
    <mergeCell ref="FKF2:FKN2"/>
    <mergeCell ref="FKO2:FKW2"/>
    <mergeCell ref="FKX2:FLF2"/>
    <mergeCell ref="FHC2:FHK2"/>
    <mergeCell ref="FHL2:FHT2"/>
    <mergeCell ref="FHU2:FIC2"/>
    <mergeCell ref="FID2:FIL2"/>
    <mergeCell ref="FIM2:FIU2"/>
    <mergeCell ref="FIV2:FJD2"/>
    <mergeCell ref="FFA2:FFI2"/>
    <mergeCell ref="FFJ2:FFR2"/>
    <mergeCell ref="FFS2:FGA2"/>
    <mergeCell ref="FGB2:FGJ2"/>
    <mergeCell ref="FGK2:FGS2"/>
    <mergeCell ref="FGT2:FHB2"/>
    <mergeCell ref="FCY2:FDG2"/>
    <mergeCell ref="FDH2:FDP2"/>
    <mergeCell ref="FDQ2:FDY2"/>
    <mergeCell ref="FDZ2:FEH2"/>
    <mergeCell ref="FEI2:FEQ2"/>
    <mergeCell ref="FER2:FEZ2"/>
    <mergeCell ref="FAW2:FBE2"/>
    <mergeCell ref="FBF2:FBN2"/>
    <mergeCell ref="FBO2:FBW2"/>
    <mergeCell ref="FBX2:FCF2"/>
    <mergeCell ref="FCG2:FCO2"/>
    <mergeCell ref="FCP2:FCX2"/>
    <mergeCell ref="EYU2:EZC2"/>
    <mergeCell ref="EZD2:EZL2"/>
    <mergeCell ref="EZM2:EZU2"/>
    <mergeCell ref="EZV2:FAD2"/>
    <mergeCell ref="FAE2:FAM2"/>
    <mergeCell ref="FAN2:FAV2"/>
    <mergeCell ref="EWS2:EXA2"/>
    <mergeCell ref="EXB2:EXJ2"/>
    <mergeCell ref="EXK2:EXS2"/>
    <mergeCell ref="EXT2:EYB2"/>
    <mergeCell ref="EYC2:EYK2"/>
    <mergeCell ref="EYL2:EYT2"/>
    <mergeCell ref="EUQ2:EUY2"/>
    <mergeCell ref="EUZ2:EVH2"/>
    <mergeCell ref="EVI2:EVQ2"/>
    <mergeCell ref="EVR2:EVZ2"/>
    <mergeCell ref="EWA2:EWI2"/>
    <mergeCell ref="EWJ2:EWR2"/>
    <mergeCell ref="ESO2:ESW2"/>
    <mergeCell ref="ESX2:ETF2"/>
    <mergeCell ref="ETG2:ETO2"/>
    <mergeCell ref="ETP2:ETX2"/>
    <mergeCell ref="ETY2:EUG2"/>
    <mergeCell ref="EUH2:EUP2"/>
    <mergeCell ref="EQM2:EQU2"/>
    <mergeCell ref="EQV2:ERD2"/>
    <mergeCell ref="ERE2:ERM2"/>
    <mergeCell ref="ERN2:ERV2"/>
    <mergeCell ref="ERW2:ESE2"/>
    <mergeCell ref="ESF2:ESN2"/>
    <mergeCell ref="EOK2:EOS2"/>
    <mergeCell ref="EOT2:EPB2"/>
    <mergeCell ref="EPC2:EPK2"/>
    <mergeCell ref="EPL2:EPT2"/>
    <mergeCell ref="EPU2:EQC2"/>
    <mergeCell ref="EQD2:EQL2"/>
    <mergeCell ref="EMI2:EMQ2"/>
    <mergeCell ref="EMR2:EMZ2"/>
    <mergeCell ref="ENA2:ENI2"/>
    <mergeCell ref="ENJ2:ENR2"/>
    <mergeCell ref="ENS2:EOA2"/>
    <mergeCell ref="EOB2:EOJ2"/>
    <mergeCell ref="EKG2:EKO2"/>
    <mergeCell ref="EKP2:EKX2"/>
    <mergeCell ref="EKY2:ELG2"/>
    <mergeCell ref="ELH2:ELP2"/>
    <mergeCell ref="ELQ2:ELY2"/>
    <mergeCell ref="ELZ2:EMH2"/>
    <mergeCell ref="EIE2:EIM2"/>
    <mergeCell ref="EIN2:EIV2"/>
    <mergeCell ref="EIW2:EJE2"/>
    <mergeCell ref="EJF2:EJN2"/>
    <mergeCell ref="EJO2:EJW2"/>
    <mergeCell ref="EJX2:EKF2"/>
    <mergeCell ref="EGC2:EGK2"/>
    <mergeCell ref="EGL2:EGT2"/>
    <mergeCell ref="EGU2:EHC2"/>
    <mergeCell ref="EHD2:EHL2"/>
    <mergeCell ref="EHM2:EHU2"/>
    <mergeCell ref="EHV2:EID2"/>
    <mergeCell ref="EEA2:EEI2"/>
    <mergeCell ref="EEJ2:EER2"/>
    <mergeCell ref="EES2:EFA2"/>
    <mergeCell ref="EFB2:EFJ2"/>
    <mergeCell ref="EFK2:EFS2"/>
    <mergeCell ref="EFT2:EGB2"/>
    <mergeCell ref="EBY2:ECG2"/>
    <mergeCell ref="ECH2:ECP2"/>
    <mergeCell ref="ECQ2:ECY2"/>
    <mergeCell ref="ECZ2:EDH2"/>
    <mergeCell ref="EDI2:EDQ2"/>
    <mergeCell ref="EDR2:EDZ2"/>
    <mergeCell ref="DZW2:EAE2"/>
    <mergeCell ref="EAF2:EAN2"/>
    <mergeCell ref="EAO2:EAW2"/>
    <mergeCell ref="EAX2:EBF2"/>
    <mergeCell ref="EBG2:EBO2"/>
    <mergeCell ref="EBP2:EBX2"/>
    <mergeCell ref="DXU2:DYC2"/>
    <mergeCell ref="DYD2:DYL2"/>
    <mergeCell ref="DYM2:DYU2"/>
    <mergeCell ref="DYV2:DZD2"/>
    <mergeCell ref="DZE2:DZM2"/>
    <mergeCell ref="DZN2:DZV2"/>
    <mergeCell ref="DVS2:DWA2"/>
    <mergeCell ref="DWB2:DWJ2"/>
    <mergeCell ref="DWK2:DWS2"/>
    <mergeCell ref="DWT2:DXB2"/>
    <mergeCell ref="DXC2:DXK2"/>
    <mergeCell ref="DXL2:DXT2"/>
    <mergeCell ref="DTQ2:DTY2"/>
    <mergeCell ref="DTZ2:DUH2"/>
    <mergeCell ref="DUI2:DUQ2"/>
    <mergeCell ref="DUR2:DUZ2"/>
    <mergeCell ref="DVA2:DVI2"/>
    <mergeCell ref="DVJ2:DVR2"/>
    <mergeCell ref="DRO2:DRW2"/>
    <mergeCell ref="DRX2:DSF2"/>
    <mergeCell ref="DSG2:DSO2"/>
    <mergeCell ref="DSP2:DSX2"/>
    <mergeCell ref="DSY2:DTG2"/>
    <mergeCell ref="DTH2:DTP2"/>
    <mergeCell ref="DPM2:DPU2"/>
    <mergeCell ref="DPV2:DQD2"/>
    <mergeCell ref="DQE2:DQM2"/>
    <mergeCell ref="DQN2:DQV2"/>
    <mergeCell ref="DQW2:DRE2"/>
    <mergeCell ref="DRF2:DRN2"/>
    <mergeCell ref="DNK2:DNS2"/>
    <mergeCell ref="DNT2:DOB2"/>
    <mergeCell ref="DOC2:DOK2"/>
    <mergeCell ref="DOL2:DOT2"/>
    <mergeCell ref="DOU2:DPC2"/>
    <mergeCell ref="DPD2:DPL2"/>
    <mergeCell ref="DLI2:DLQ2"/>
    <mergeCell ref="DLR2:DLZ2"/>
    <mergeCell ref="DMA2:DMI2"/>
    <mergeCell ref="DMJ2:DMR2"/>
    <mergeCell ref="DMS2:DNA2"/>
    <mergeCell ref="DNB2:DNJ2"/>
    <mergeCell ref="DJG2:DJO2"/>
    <mergeCell ref="DJP2:DJX2"/>
    <mergeCell ref="DJY2:DKG2"/>
    <mergeCell ref="DKH2:DKP2"/>
    <mergeCell ref="DKQ2:DKY2"/>
    <mergeCell ref="DKZ2:DLH2"/>
    <mergeCell ref="DHE2:DHM2"/>
    <mergeCell ref="DHN2:DHV2"/>
    <mergeCell ref="DHW2:DIE2"/>
    <mergeCell ref="DIF2:DIN2"/>
    <mergeCell ref="DIO2:DIW2"/>
    <mergeCell ref="DIX2:DJF2"/>
    <mergeCell ref="DFC2:DFK2"/>
    <mergeCell ref="DFL2:DFT2"/>
    <mergeCell ref="DFU2:DGC2"/>
    <mergeCell ref="DGD2:DGL2"/>
    <mergeCell ref="DGM2:DGU2"/>
    <mergeCell ref="DGV2:DHD2"/>
    <mergeCell ref="DDA2:DDI2"/>
    <mergeCell ref="DDJ2:DDR2"/>
    <mergeCell ref="DDS2:DEA2"/>
    <mergeCell ref="DEB2:DEJ2"/>
    <mergeCell ref="DEK2:DES2"/>
    <mergeCell ref="DET2:DFB2"/>
    <mergeCell ref="DAY2:DBG2"/>
    <mergeCell ref="DBH2:DBP2"/>
    <mergeCell ref="DBQ2:DBY2"/>
    <mergeCell ref="DBZ2:DCH2"/>
    <mergeCell ref="DCI2:DCQ2"/>
    <mergeCell ref="DCR2:DCZ2"/>
    <mergeCell ref="CYW2:CZE2"/>
    <mergeCell ref="CZF2:CZN2"/>
    <mergeCell ref="CZO2:CZW2"/>
    <mergeCell ref="CZX2:DAF2"/>
    <mergeCell ref="DAG2:DAO2"/>
    <mergeCell ref="DAP2:DAX2"/>
    <mergeCell ref="CWU2:CXC2"/>
    <mergeCell ref="CXD2:CXL2"/>
    <mergeCell ref="CXM2:CXU2"/>
    <mergeCell ref="CXV2:CYD2"/>
    <mergeCell ref="CYE2:CYM2"/>
    <mergeCell ref="CYN2:CYV2"/>
    <mergeCell ref="CUS2:CVA2"/>
    <mergeCell ref="CVB2:CVJ2"/>
    <mergeCell ref="CVK2:CVS2"/>
    <mergeCell ref="CVT2:CWB2"/>
    <mergeCell ref="CWC2:CWK2"/>
    <mergeCell ref="CWL2:CWT2"/>
    <mergeCell ref="CSQ2:CSY2"/>
    <mergeCell ref="CSZ2:CTH2"/>
    <mergeCell ref="CTI2:CTQ2"/>
    <mergeCell ref="CTR2:CTZ2"/>
    <mergeCell ref="CUA2:CUI2"/>
    <mergeCell ref="CUJ2:CUR2"/>
    <mergeCell ref="CQO2:CQW2"/>
    <mergeCell ref="CQX2:CRF2"/>
    <mergeCell ref="CRG2:CRO2"/>
    <mergeCell ref="CRP2:CRX2"/>
    <mergeCell ref="CRY2:CSG2"/>
    <mergeCell ref="CSH2:CSP2"/>
    <mergeCell ref="COM2:COU2"/>
    <mergeCell ref="COV2:CPD2"/>
    <mergeCell ref="CPE2:CPM2"/>
    <mergeCell ref="CPN2:CPV2"/>
    <mergeCell ref="CPW2:CQE2"/>
    <mergeCell ref="CQF2:CQN2"/>
    <mergeCell ref="CMK2:CMS2"/>
    <mergeCell ref="CMT2:CNB2"/>
    <mergeCell ref="CNC2:CNK2"/>
    <mergeCell ref="CNL2:CNT2"/>
    <mergeCell ref="CNU2:COC2"/>
    <mergeCell ref="COD2:COL2"/>
    <mergeCell ref="CKI2:CKQ2"/>
    <mergeCell ref="CKR2:CKZ2"/>
    <mergeCell ref="CLA2:CLI2"/>
    <mergeCell ref="CLJ2:CLR2"/>
    <mergeCell ref="CLS2:CMA2"/>
    <mergeCell ref="CMB2:CMJ2"/>
    <mergeCell ref="CIG2:CIO2"/>
    <mergeCell ref="CIP2:CIX2"/>
    <mergeCell ref="CIY2:CJG2"/>
    <mergeCell ref="CJH2:CJP2"/>
    <mergeCell ref="CJQ2:CJY2"/>
    <mergeCell ref="CJZ2:CKH2"/>
    <mergeCell ref="CGE2:CGM2"/>
    <mergeCell ref="CGN2:CGV2"/>
    <mergeCell ref="CGW2:CHE2"/>
    <mergeCell ref="CHF2:CHN2"/>
    <mergeCell ref="CHO2:CHW2"/>
    <mergeCell ref="CHX2:CIF2"/>
    <mergeCell ref="CEC2:CEK2"/>
    <mergeCell ref="CEL2:CET2"/>
    <mergeCell ref="CEU2:CFC2"/>
    <mergeCell ref="CFD2:CFL2"/>
    <mergeCell ref="CFM2:CFU2"/>
    <mergeCell ref="CFV2:CGD2"/>
    <mergeCell ref="CCA2:CCI2"/>
    <mergeCell ref="CCJ2:CCR2"/>
    <mergeCell ref="CCS2:CDA2"/>
    <mergeCell ref="CDB2:CDJ2"/>
    <mergeCell ref="CDK2:CDS2"/>
    <mergeCell ref="CDT2:CEB2"/>
    <mergeCell ref="BZY2:CAG2"/>
    <mergeCell ref="CAH2:CAP2"/>
    <mergeCell ref="CAQ2:CAY2"/>
    <mergeCell ref="CAZ2:CBH2"/>
    <mergeCell ref="CBI2:CBQ2"/>
    <mergeCell ref="CBR2:CBZ2"/>
    <mergeCell ref="BXW2:BYE2"/>
    <mergeCell ref="BYF2:BYN2"/>
    <mergeCell ref="BYO2:BYW2"/>
    <mergeCell ref="BYX2:BZF2"/>
    <mergeCell ref="BZG2:BZO2"/>
    <mergeCell ref="BZP2:BZX2"/>
    <mergeCell ref="BVU2:BWC2"/>
    <mergeCell ref="BWD2:BWL2"/>
    <mergeCell ref="BWM2:BWU2"/>
    <mergeCell ref="BWV2:BXD2"/>
    <mergeCell ref="BXE2:BXM2"/>
    <mergeCell ref="BXN2:BXV2"/>
    <mergeCell ref="BTS2:BUA2"/>
    <mergeCell ref="BUB2:BUJ2"/>
    <mergeCell ref="BUK2:BUS2"/>
    <mergeCell ref="BUT2:BVB2"/>
    <mergeCell ref="BVC2:BVK2"/>
    <mergeCell ref="BVL2:BVT2"/>
    <mergeCell ref="BRQ2:BRY2"/>
    <mergeCell ref="BRZ2:BSH2"/>
    <mergeCell ref="BSI2:BSQ2"/>
    <mergeCell ref="BSR2:BSZ2"/>
    <mergeCell ref="BTA2:BTI2"/>
    <mergeCell ref="BTJ2:BTR2"/>
    <mergeCell ref="BPO2:BPW2"/>
    <mergeCell ref="BPX2:BQF2"/>
    <mergeCell ref="BQG2:BQO2"/>
    <mergeCell ref="BQP2:BQX2"/>
    <mergeCell ref="BQY2:BRG2"/>
    <mergeCell ref="BRH2:BRP2"/>
    <mergeCell ref="BNM2:BNU2"/>
    <mergeCell ref="BNV2:BOD2"/>
    <mergeCell ref="BOE2:BOM2"/>
    <mergeCell ref="BON2:BOV2"/>
    <mergeCell ref="BOW2:BPE2"/>
    <mergeCell ref="BPF2:BPN2"/>
    <mergeCell ref="BLK2:BLS2"/>
    <mergeCell ref="BLT2:BMB2"/>
    <mergeCell ref="BMC2:BMK2"/>
    <mergeCell ref="BML2:BMT2"/>
    <mergeCell ref="BMU2:BNC2"/>
    <mergeCell ref="BND2:BNL2"/>
    <mergeCell ref="BJI2:BJQ2"/>
    <mergeCell ref="BJR2:BJZ2"/>
    <mergeCell ref="BKA2:BKI2"/>
    <mergeCell ref="BKJ2:BKR2"/>
    <mergeCell ref="BKS2:BLA2"/>
    <mergeCell ref="BLB2:BLJ2"/>
    <mergeCell ref="BHG2:BHO2"/>
    <mergeCell ref="BHP2:BHX2"/>
    <mergeCell ref="BHY2:BIG2"/>
    <mergeCell ref="BIH2:BIP2"/>
    <mergeCell ref="BIQ2:BIY2"/>
    <mergeCell ref="BIZ2:BJH2"/>
    <mergeCell ref="BFE2:BFM2"/>
    <mergeCell ref="BFN2:BFV2"/>
    <mergeCell ref="BFW2:BGE2"/>
    <mergeCell ref="BGF2:BGN2"/>
    <mergeCell ref="BGO2:BGW2"/>
    <mergeCell ref="BGX2:BHF2"/>
    <mergeCell ref="BDC2:BDK2"/>
    <mergeCell ref="BDL2:BDT2"/>
    <mergeCell ref="BDU2:BEC2"/>
    <mergeCell ref="BED2:BEL2"/>
    <mergeCell ref="BEM2:BEU2"/>
    <mergeCell ref="BEV2:BFD2"/>
    <mergeCell ref="BBA2:BBI2"/>
    <mergeCell ref="BBJ2:BBR2"/>
    <mergeCell ref="BBS2:BCA2"/>
    <mergeCell ref="BCB2:BCJ2"/>
    <mergeCell ref="BCK2:BCS2"/>
    <mergeCell ref="BCT2:BDB2"/>
    <mergeCell ref="AYY2:AZG2"/>
    <mergeCell ref="AZH2:AZP2"/>
    <mergeCell ref="AZQ2:AZY2"/>
    <mergeCell ref="AZZ2:BAH2"/>
    <mergeCell ref="BAI2:BAQ2"/>
    <mergeCell ref="BAR2:BAZ2"/>
    <mergeCell ref="AWW2:AXE2"/>
    <mergeCell ref="AXF2:AXN2"/>
    <mergeCell ref="AXO2:AXW2"/>
    <mergeCell ref="AXX2:AYF2"/>
    <mergeCell ref="AYG2:AYO2"/>
    <mergeCell ref="AYP2:AYX2"/>
    <mergeCell ref="AUU2:AVC2"/>
    <mergeCell ref="AVD2:AVL2"/>
    <mergeCell ref="AVM2:AVU2"/>
    <mergeCell ref="AVV2:AWD2"/>
    <mergeCell ref="AWE2:AWM2"/>
    <mergeCell ref="AWN2:AWV2"/>
    <mergeCell ref="ASS2:ATA2"/>
    <mergeCell ref="ATB2:ATJ2"/>
    <mergeCell ref="ATK2:ATS2"/>
    <mergeCell ref="ATT2:AUB2"/>
    <mergeCell ref="AUC2:AUK2"/>
    <mergeCell ref="AUL2:AUT2"/>
    <mergeCell ref="AQQ2:AQY2"/>
    <mergeCell ref="AQZ2:ARH2"/>
    <mergeCell ref="ARI2:ARQ2"/>
    <mergeCell ref="ARR2:ARZ2"/>
    <mergeCell ref="ASA2:ASI2"/>
    <mergeCell ref="ASJ2:ASR2"/>
    <mergeCell ref="AOO2:AOW2"/>
    <mergeCell ref="AOX2:APF2"/>
    <mergeCell ref="APG2:APO2"/>
    <mergeCell ref="APP2:APX2"/>
    <mergeCell ref="APY2:AQG2"/>
    <mergeCell ref="AQH2:AQP2"/>
    <mergeCell ref="AMM2:AMU2"/>
    <mergeCell ref="AMV2:AND2"/>
    <mergeCell ref="ANE2:ANM2"/>
    <mergeCell ref="ANN2:ANV2"/>
    <mergeCell ref="ANW2:AOE2"/>
    <mergeCell ref="AOF2:AON2"/>
    <mergeCell ref="AKK2:AKS2"/>
    <mergeCell ref="AKT2:ALB2"/>
    <mergeCell ref="ALC2:ALK2"/>
    <mergeCell ref="ALL2:ALT2"/>
    <mergeCell ref="ALU2:AMC2"/>
    <mergeCell ref="AMD2:AML2"/>
    <mergeCell ref="AII2:AIQ2"/>
    <mergeCell ref="AIR2:AIZ2"/>
    <mergeCell ref="AJA2:AJI2"/>
    <mergeCell ref="AJJ2:AJR2"/>
    <mergeCell ref="AJS2:AKA2"/>
    <mergeCell ref="AKB2:AKJ2"/>
    <mergeCell ref="AGG2:AGO2"/>
    <mergeCell ref="AGP2:AGX2"/>
    <mergeCell ref="AGY2:AHG2"/>
    <mergeCell ref="AHH2:AHP2"/>
    <mergeCell ref="AHQ2:AHY2"/>
    <mergeCell ref="AHZ2:AIH2"/>
    <mergeCell ref="AEE2:AEM2"/>
    <mergeCell ref="AEN2:AEV2"/>
    <mergeCell ref="AEW2:AFE2"/>
    <mergeCell ref="AFF2:AFN2"/>
    <mergeCell ref="AFO2:AFW2"/>
    <mergeCell ref="AFX2:AGF2"/>
    <mergeCell ref="ACC2:ACK2"/>
    <mergeCell ref="ACL2:ACT2"/>
    <mergeCell ref="ACU2:ADC2"/>
    <mergeCell ref="ADD2:ADL2"/>
    <mergeCell ref="ADM2:ADU2"/>
    <mergeCell ref="ADV2:AED2"/>
    <mergeCell ref="AAA2:AAI2"/>
    <mergeCell ref="AAJ2:AAR2"/>
    <mergeCell ref="AAS2:ABA2"/>
    <mergeCell ref="ABB2:ABJ2"/>
    <mergeCell ref="ABK2:ABS2"/>
    <mergeCell ref="ABT2:ACB2"/>
    <mergeCell ref="XY2:YG2"/>
    <mergeCell ref="YH2:YP2"/>
    <mergeCell ref="YQ2:YY2"/>
    <mergeCell ref="YZ2:ZH2"/>
    <mergeCell ref="ZI2:ZQ2"/>
    <mergeCell ref="ZR2:ZZ2"/>
    <mergeCell ref="VW2:WE2"/>
    <mergeCell ref="WF2:WN2"/>
    <mergeCell ref="WO2:WW2"/>
    <mergeCell ref="WX2:XF2"/>
    <mergeCell ref="XG2:XO2"/>
    <mergeCell ref="XP2:XX2"/>
    <mergeCell ref="TU2:UC2"/>
    <mergeCell ref="UD2:UL2"/>
    <mergeCell ref="UM2:UU2"/>
    <mergeCell ref="UV2:VD2"/>
    <mergeCell ref="VE2:VM2"/>
    <mergeCell ref="VN2:VV2"/>
    <mergeCell ref="RS2:SA2"/>
    <mergeCell ref="SB2:SJ2"/>
    <mergeCell ref="SK2:SS2"/>
    <mergeCell ref="ST2:TB2"/>
    <mergeCell ref="TC2:TK2"/>
    <mergeCell ref="TL2:TT2"/>
    <mergeCell ref="PQ2:PY2"/>
    <mergeCell ref="PZ2:QH2"/>
    <mergeCell ref="QI2:QQ2"/>
    <mergeCell ref="QR2:QZ2"/>
    <mergeCell ref="RA2:RI2"/>
    <mergeCell ref="RJ2:RR2"/>
    <mergeCell ref="NO2:NW2"/>
    <mergeCell ref="NX2:OF2"/>
    <mergeCell ref="OG2:OO2"/>
    <mergeCell ref="OP2:OX2"/>
    <mergeCell ref="OY2:PG2"/>
    <mergeCell ref="PH2:PP2"/>
    <mergeCell ref="LV2:MD2"/>
    <mergeCell ref="ME2:MM2"/>
    <mergeCell ref="MN2:MV2"/>
    <mergeCell ref="MW2:NE2"/>
    <mergeCell ref="NF2:NN2"/>
    <mergeCell ref="JK2:JS2"/>
    <mergeCell ref="JT2:KB2"/>
    <mergeCell ref="KC2:KK2"/>
    <mergeCell ref="KL2:KT2"/>
    <mergeCell ref="KU2:LC2"/>
    <mergeCell ref="LD2:LL2"/>
    <mergeCell ref="HI2:HQ2"/>
    <mergeCell ref="HR2:HZ2"/>
    <mergeCell ref="IA2:II2"/>
    <mergeCell ref="IJ2:IR2"/>
    <mergeCell ref="IS2:JA2"/>
    <mergeCell ref="JB2:JJ2"/>
    <mergeCell ref="GZ2:HH2"/>
    <mergeCell ref="DE2:DM2"/>
    <mergeCell ref="DN2:DV2"/>
    <mergeCell ref="DW2:EE2"/>
    <mergeCell ref="EF2:EN2"/>
    <mergeCell ref="EO2:EW2"/>
    <mergeCell ref="EX2:FF2"/>
    <mergeCell ref="BC2:BK2"/>
    <mergeCell ref="BL2:BT2"/>
    <mergeCell ref="BU2:CC2"/>
    <mergeCell ref="CD2:CL2"/>
    <mergeCell ref="CM2:CU2"/>
    <mergeCell ref="CV2:DD2"/>
    <mergeCell ref="DW3:EE3"/>
    <mergeCell ref="EF3:EN3"/>
    <mergeCell ref="EO3:EW3"/>
    <mergeCell ref="LM2:LU2"/>
    <mergeCell ref="EX3:FF3"/>
    <mergeCell ref="FG3:FO3"/>
    <mergeCell ref="FP3:FX3"/>
    <mergeCell ref="BU3:CC3"/>
    <mergeCell ref="CD3:CL3"/>
    <mergeCell ref="CM3:CU3"/>
    <mergeCell ref="CV3:DD3"/>
    <mergeCell ref="DE3:DM3"/>
    <mergeCell ref="DN3:DV3"/>
    <mergeCell ref="A4:J4"/>
    <mergeCell ref="D92:H92"/>
    <mergeCell ref="D93:H93"/>
    <mergeCell ref="D94:G94"/>
    <mergeCell ref="D95:G95"/>
    <mergeCell ref="D96:G96"/>
    <mergeCell ref="A1:J1"/>
    <mergeCell ref="A2:J2"/>
    <mergeCell ref="S2:AA2"/>
    <mergeCell ref="AB2:AJ2"/>
    <mergeCell ref="AK2:AS2"/>
    <mergeCell ref="AT2:BB2"/>
    <mergeCell ref="FG2:FO2"/>
    <mergeCell ref="FP2:FX2"/>
    <mergeCell ref="FY2:GG2"/>
    <mergeCell ref="GH2:GP2"/>
    <mergeCell ref="GQ2:GY2"/>
    <mergeCell ref="D73:H73"/>
    <mergeCell ref="D87:H87"/>
    <mergeCell ref="D91:H91"/>
  </mergeCells>
  <printOptions horizontalCentered="1"/>
  <pageMargins left="0.27" right="0.118110236220472" top="0.47244094488188998" bottom="0.43307086614173201" header="0.31496062992126" footer="0.31496062992126"/>
  <pageSetup paperSize="9" scale="91" fitToHeight="0" orientation="landscape" r:id="rId1"/>
  <headerFooter alignWithMargins="0"/>
  <rowBreaks count="2" manualBreakCount="2">
    <brk id="27" max="9" man="1"/>
    <brk id="91" max="9"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T336"/>
  <sheetViews>
    <sheetView topLeftCell="A154" zoomScaleNormal="100" workbookViewId="0">
      <selection activeCell="B176" sqref="B176"/>
    </sheetView>
  </sheetViews>
  <sheetFormatPr defaultColWidth="9.140625" defaultRowHeight="12.75" x14ac:dyDescent="0.2"/>
  <cols>
    <col min="1" max="1" width="6.85546875" style="907" customWidth="1"/>
    <col min="2" max="2" width="38.5703125" style="6" customWidth="1"/>
    <col min="3" max="3" width="5.42578125" style="908" bestFit="1" customWidth="1"/>
    <col min="4" max="4" width="10.7109375" style="909" bestFit="1" customWidth="1"/>
    <col min="5" max="5" width="7.28515625" style="909" bestFit="1" customWidth="1"/>
    <col min="6" max="6" width="9.28515625" style="909" bestFit="1" customWidth="1"/>
    <col min="7" max="7" width="9.85546875" style="910" bestFit="1" customWidth="1"/>
    <col min="8" max="8" width="6.42578125" style="897" bestFit="1" customWidth="1"/>
    <col min="9" max="9" width="10.28515625" style="6" bestFit="1" customWidth="1"/>
    <col min="10" max="10" width="11.7109375" style="6" bestFit="1" customWidth="1"/>
    <col min="11" max="16384" width="9.140625" style="6"/>
  </cols>
  <sheetData>
    <row r="1" spans="1:9" ht="15.75" x14ac:dyDescent="0.2">
      <c r="A1" s="967" t="s">
        <v>76</v>
      </c>
      <c r="B1" s="967"/>
      <c r="C1" s="967"/>
      <c r="D1" s="967"/>
      <c r="E1" s="967"/>
      <c r="F1" s="967"/>
      <c r="G1" s="967"/>
      <c r="H1" s="5"/>
    </row>
    <row r="2" spans="1:9" s="173" customFormat="1" ht="21" x14ac:dyDescent="0.2">
      <c r="A2" s="7" t="str">
        <f>Summary!A7</f>
        <v>Project: Bheri Khola Bridge</v>
      </c>
      <c r="B2" s="1"/>
      <c r="C2" s="1"/>
      <c r="D2" s="750"/>
      <c r="E2" s="751"/>
      <c r="F2" s="751"/>
      <c r="G2" s="752"/>
    </row>
    <row r="3" spans="1:9" s="173" customFormat="1" ht="21.75" thickBot="1" x14ac:dyDescent="0.25">
      <c r="A3" s="7" t="str">
        <f>Summary!A8</f>
        <v xml:space="preserve">Location: Salyan and Surkhet
</v>
      </c>
      <c r="B3" s="1"/>
      <c r="C3" s="1"/>
      <c r="D3" s="750"/>
      <c r="E3" s="751"/>
      <c r="F3" s="751"/>
      <c r="G3" s="752"/>
    </row>
    <row r="4" spans="1:9" x14ac:dyDescent="0.2">
      <c r="A4" s="968" t="s">
        <v>77</v>
      </c>
      <c r="B4" s="970" t="s">
        <v>5</v>
      </c>
      <c r="C4" s="972" t="s">
        <v>78</v>
      </c>
      <c r="D4" s="974" t="s">
        <v>79</v>
      </c>
      <c r="E4" s="974"/>
      <c r="F4" s="974"/>
      <c r="G4" s="975" t="s">
        <v>75</v>
      </c>
      <c r="H4" s="965" t="s">
        <v>7</v>
      </c>
    </row>
    <row r="5" spans="1:9" ht="13.5" thickBot="1" x14ac:dyDescent="0.25">
      <c r="A5" s="969"/>
      <c r="B5" s="971"/>
      <c r="C5" s="973"/>
      <c r="D5" s="753" t="s">
        <v>80</v>
      </c>
      <c r="E5" s="753" t="s">
        <v>81</v>
      </c>
      <c r="F5" s="753" t="s">
        <v>82</v>
      </c>
      <c r="G5" s="976"/>
      <c r="H5" s="966"/>
    </row>
    <row r="6" spans="1:9" x14ac:dyDescent="0.2">
      <c r="A6" s="754" t="s">
        <v>85</v>
      </c>
      <c r="B6" s="755" t="s">
        <v>320</v>
      </c>
      <c r="C6" s="756"/>
      <c r="D6" s="757"/>
      <c r="E6" s="757"/>
      <c r="F6" s="757"/>
      <c r="G6" s="758"/>
      <c r="H6" s="759"/>
    </row>
    <row r="7" spans="1:9" ht="79.5" customHeight="1" x14ac:dyDescent="0.2">
      <c r="A7" s="736" t="s">
        <v>86</v>
      </c>
      <c r="B7" s="717" t="s">
        <v>162</v>
      </c>
      <c r="C7" s="718"/>
      <c r="D7" s="716"/>
      <c r="E7" s="716"/>
      <c r="F7" s="716"/>
      <c r="G7" s="719"/>
      <c r="H7" s="713"/>
    </row>
    <row r="8" spans="1:9" x14ac:dyDescent="0.2">
      <c r="A8" s="736"/>
      <c r="B8" s="704" t="s">
        <v>1087</v>
      </c>
      <c r="C8" s="704">
        <v>1</v>
      </c>
      <c r="D8" s="705">
        <f>12.5+2*0.1</f>
        <v>12.7</v>
      </c>
      <c r="E8" s="705" t="s">
        <v>1095</v>
      </c>
      <c r="F8" s="705">
        <v>217.1</v>
      </c>
      <c r="G8" s="706">
        <f>ROUND(PRODUCT(C8:F8),2)</f>
        <v>2757.17</v>
      </c>
      <c r="H8" s="713"/>
    </row>
    <row r="9" spans="1:9" s="761" customFormat="1" ht="13.5" thickBot="1" x14ac:dyDescent="0.25">
      <c r="A9" s="760"/>
      <c r="B9" s="707" t="s">
        <v>1044</v>
      </c>
      <c r="C9" s="707">
        <v>1</v>
      </c>
      <c r="D9" s="708">
        <f>8.9+0.1*2</f>
        <v>9.1</v>
      </c>
      <c r="E9" s="708" t="s">
        <v>1095</v>
      </c>
      <c r="F9" s="708">
        <v>207</v>
      </c>
      <c r="G9" s="709">
        <f>ROUND(PRODUCT(C9:F9),2)</f>
        <v>1883.7</v>
      </c>
      <c r="H9" s="714"/>
    </row>
    <row r="10" spans="1:9" ht="13.5" thickBot="1" x14ac:dyDescent="0.25">
      <c r="A10" s="762">
        <v>1.1000000000000001</v>
      </c>
      <c r="B10" s="710" t="s">
        <v>253</v>
      </c>
      <c r="C10" s="711"/>
      <c r="D10" s="712"/>
      <c r="E10" s="712"/>
      <c r="F10" s="712"/>
      <c r="G10" s="125">
        <f>SUM(G8:G9)</f>
        <v>4640.87</v>
      </c>
      <c r="H10" s="126" t="s">
        <v>250</v>
      </c>
      <c r="I10" s="763"/>
    </row>
    <row r="11" spans="1:9" ht="13.5" thickBot="1" x14ac:dyDescent="0.25">
      <c r="A11" s="736"/>
      <c r="B11" s="704" t="s">
        <v>1097</v>
      </c>
      <c r="C11" s="704">
        <v>1</v>
      </c>
      <c r="D11" s="705">
        <f>8.4+0.1*2</f>
        <v>8.6</v>
      </c>
      <c r="E11" s="705" t="s">
        <v>1095</v>
      </c>
      <c r="F11" s="705">
        <v>14.1</v>
      </c>
      <c r="G11" s="706">
        <f>ROUND(PRODUCT(C11:F11),2)</f>
        <v>121.26</v>
      </c>
      <c r="H11" s="713"/>
    </row>
    <row r="12" spans="1:9" ht="13.5" thickBot="1" x14ac:dyDescent="0.25">
      <c r="A12" s="762">
        <v>1.2</v>
      </c>
      <c r="B12" s="710" t="s">
        <v>1096</v>
      </c>
      <c r="C12" s="711"/>
      <c r="D12" s="712"/>
      <c r="E12" s="712"/>
      <c r="F12" s="712"/>
      <c r="G12" s="125">
        <f>SUM(G11)</f>
        <v>121.26</v>
      </c>
      <c r="H12" s="126" t="s">
        <v>250</v>
      </c>
      <c r="I12" s="763"/>
    </row>
    <row r="13" spans="1:9" ht="92.25" customHeight="1" x14ac:dyDescent="0.2">
      <c r="A13" s="736" t="s">
        <v>145</v>
      </c>
      <c r="B13" s="717" t="s">
        <v>1247</v>
      </c>
      <c r="C13" s="718"/>
      <c r="D13" s="716"/>
      <c r="E13" s="716"/>
      <c r="F13" s="716"/>
      <c r="G13" s="719"/>
      <c r="H13" s="713"/>
      <c r="I13" s="763"/>
    </row>
    <row r="14" spans="1:9" ht="12.75" customHeight="1" x14ac:dyDescent="0.2">
      <c r="A14" s="765">
        <v>2.1</v>
      </c>
      <c r="B14" s="720"/>
      <c r="C14" s="721"/>
      <c r="D14" s="722"/>
      <c r="E14" s="722"/>
      <c r="F14" s="722"/>
      <c r="G14" s="723"/>
      <c r="H14" s="724"/>
      <c r="I14" s="763"/>
    </row>
    <row r="15" spans="1:9" ht="15" x14ac:dyDescent="0.2">
      <c r="A15" s="766"/>
      <c r="B15" s="704" t="s">
        <v>238</v>
      </c>
      <c r="C15" s="721">
        <v>12</v>
      </c>
      <c r="D15" s="726">
        <v>21</v>
      </c>
      <c r="E15" s="726"/>
      <c r="F15" s="726"/>
      <c r="G15" s="706">
        <f>ROUND(PRODUCT(C15:F15),2)</f>
        <v>252</v>
      </c>
      <c r="H15" s="724"/>
      <c r="I15" s="763"/>
    </row>
    <row r="16" spans="1:9" ht="15.75" thickBot="1" x14ac:dyDescent="0.25">
      <c r="A16" s="767"/>
      <c r="B16" s="704" t="s">
        <v>1044</v>
      </c>
      <c r="C16" s="721">
        <v>12</v>
      </c>
      <c r="D16" s="726">
        <v>21</v>
      </c>
      <c r="E16" s="726"/>
      <c r="F16" s="726"/>
      <c r="G16" s="706">
        <f>ROUND(PRODUCT(C16:F16),2)</f>
        <v>252</v>
      </c>
      <c r="H16" s="724"/>
      <c r="I16" s="763"/>
    </row>
    <row r="17" spans="1:9" ht="13.5" thickBot="1" x14ac:dyDescent="0.25">
      <c r="A17" s="741"/>
      <c r="B17" s="728" t="s">
        <v>83</v>
      </c>
      <c r="C17" s="711"/>
      <c r="D17" s="712"/>
      <c r="E17" s="712"/>
      <c r="F17" s="712"/>
      <c r="G17" s="125">
        <f>SUM(G15:G16)</f>
        <v>504</v>
      </c>
      <c r="H17" s="126" t="s">
        <v>17</v>
      </c>
      <c r="I17" s="763"/>
    </row>
    <row r="18" spans="1:9" ht="39" customHeight="1" x14ac:dyDescent="0.2">
      <c r="A18" s="736" t="s">
        <v>146</v>
      </c>
      <c r="B18" s="717" t="s">
        <v>1144</v>
      </c>
      <c r="C18" s="718"/>
      <c r="D18" s="716"/>
      <c r="E18" s="716"/>
      <c r="F18" s="716"/>
      <c r="G18" s="719"/>
      <c r="H18" s="713"/>
    </row>
    <row r="19" spans="1:9" x14ac:dyDescent="0.2">
      <c r="A19" s="765">
        <v>3.1</v>
      </c>
      <c r="B19" s="720" t="s">
        <v>234</v>
      </c>
      <c r="C19" s="721"/>
      <c r="D19" s="722"/>
      <c r="E19" s="722"/>
      <c r="F19" s="722"/>
      <c r="G19" s="723"/>
      <c r="H19" s="724"/>
    </row>
    <row r="20" spans="1:9" s="748" customFormat="1" ht="15" x14ac:dyDescent="0.2">
      <c r="A20" s="766"/>
      <c r="B20" s="725" t="s">
        <v>182</v>
      </c>
      <c r="C20" s="721"/>
      <c r="D20" s="726"/>
      <c r="E20" s="726"/>
      <c r="F20" s="726"/>
      <c r="G20" s="706"/>
      <c r="H20" s="724"/>
    </row>
    <row r="21" spans="1:9" s="748" customFormat="1" ht="15" x14ac:dyDescent="0.2">
      <c r="A21" s="767"/>
      <c r="B21" s="704" t="s">
        <v>1087</v>
      </c>
      <c r="C21" s="721">
        <v>1</v>
      </c>
      <c r="D21" s="726">
        <f>12.5+2*0.1</f>
        <v>12.7</v>
      </c>
      <c r="E21" s="726">
        <f>8.9+2*0.1</f>
        <v>9.1</v>
      </c>
      <c r="F21" s="726">
        <v>0.1</v>
      </c>
      <c r="G21" s="706">
        <f>ROUND(PRODUCT(C21:F21),2)</f>
        <v>11.56</v>
      </c>
      <c r="H21" s="724"/>
    </row>
    <row r="22" spans="1:9" s="748" customFormat="1" ht="15" x14ac:dyDescent="0.2">
      <c r="A22" s="767"/>
      <c r="B22" s="704" t="s">
        <v>1088</v>
      </c>
      <c r="C22" s="721">
        <v>1</v>
      </c>
      <c r="D22" s="726">
        <f>8.4+2*0.1</f>
        <v>8.6</v>
      </c>
      <c r="E22" s="726">
        <f>6+2*0.1</f>
        <v>6.2</v>
      </c>
      <c r="F22" s="726">
        <v>0.1</v>
      </c>
      <c r="G22" s="706">
        <f t="shared" ref="G22" si="0">ROUND(PRODUCT(C22:F22),2)</f>
        <v>5.33</v>
      </c>
      <c r="H22" s="724"/>
    </row>
    <row r="23" spans="1:9" ht="13.5" thickBot="1" x14ac:dyDescent="0.25">
      <c r="A23" s="738"/>
      <c r="B23" s="727" t="s">
        <v>1044</v>
      </c>
      <c r="C23" s="721">
        <f>number_pier</f>
        <v>1</v>
      </c>
      <c r="D23" s="726">
        <f>12.5+2*0.1</f>
        <v>12.7</v>
      </c>
      <c r="E23" s="726">
        <f>8.9+2*0.1</f>
        <v>9.1</v>
      </c>
      <c r="F23" s="726">
        <v>0.1</v>
      </c>
      <c r="G23" s="706">
        <f>ROUND(PRODUCT(C23:F23),2)</f>
        <v>11.56</v>
      </c>
      <c r="H23" s="724"/>
    </row>
    <row r="24" spans="1:9" ht="13.5" thickBot="1" x14ac:dyDescent="0.25">
      <c r="A24" s="741"/>
      <c r="B24" s="728" t="s">
        <v>83</v>
      </c>
      <c r="C24" s="711"/>
      <c r="D24" s="712"/>
      <c r="E24" s="712"/>
      <c r="F24" s="712"/>
      <c r="G24" s="125">
        <f>SUM(G21:G23)</f>
        <v>28.45</v>
      </c>
      <c r="H24" s="126" t="s">
        <v>250</v>
      </c>
    </row>
    <row r="25" spans="1:9" x14ac:dyDescent="0.2">
      <c r="A25" s="768">
        <v>3.2</v>
      </c>
      <c r="B25" s="729" t="s">
        <v>246</v>
      </c>
      <c r="C25" s="715"/>
      <c r="D25" s="730"/>
      <c r="E25" s="730"/>
      <c r="F25" s="730"/>
      <c r="G25" s="258"/>
      <c r="H25" s="259"/>
    </row>
    <row r="26" spans="1:9" x14ac:dyDescent="0.2">
      <c r="A26" s="1152"/>
      <c r="B26" s="1153" t="s">
        <v>1244</v>
      </c>
      <c r="C26" s="715"/>
      <c r="D26" s="730"/>
      <c r="E26" s="730"/>
      <c r="F26" s="730"/>
      <c r="G26" s="258"/>
      <c r="H26" s="259"/>
    </row>
    <row r="27" spans="1:9" x14ac:dyDescent="0.2">
      <c r="A27" s="1152"/>
      <c r="B27" s="1154" t="s">
        <v>244</v>
      </c>
      <c r="C27" s="715">
        <v>12</v>
      </c>
      <c r="D27" s="730">
        <v>21</v>
      </c>
      <c r="E27" s="730" t="s">
        <v>1043</v>
      </c>
      <c r="F27" s="730">
        <f>PI()*1.2*1.2/4</f>
        <v>1.131</v>
      </c>
      <c r="G27" s="706">
        <f t="shared" ref="G27:G28" si="1">ROUND(PRODUCT(C27:F27),2)</f>
        <v>285.01</v>
      </c>
      <c r="H27" s="259"/>
    </row>
    <row r="28" spans="1:9" x14ac:dyDescent="0.2">
      <c r="A28" s="1152"/>
      <c r="B28" s="1154" t="s">
        <v>1044</v>
      </c>
      <c r="C28" s="715">
        <v>12</v>
      </c>
      <c r="D28" s="730">
        <v>21</v>
      </c>
      <c r="E28" s="730" t="s">
        <v>1043</v>
      </c>
      <c r="F28" s="730">
        <f>PI()*1.2*1.2/4</f>
        <v>1.131</v>
      </c>
      <c r="G28" s="706">
        <f t="shared" si="1"/>
        <v>285.01</v>
      </c>
      <c r="H28" s="259"/>
    </row>
    <row r="29" spans="1:9" s="748" customFormat="1" ht="15" x14ac:dyDescent="0.2">
      <c r="A29" s="766"/>
      <c r="B29" s="731" t="s">
        <v>174</v>
      </c>
      <c r="C29" s="732"/>
      <c r="D29" s="716"/>
      <c r="E29" s="716"/>
      <c r="F29" s="716"/>
      <c r="G29" s="122"/>
      <c r="H29" s="123"/>
    </row>
    <row r="30" spans="1:9" s="748" customFormat="1" ht="15" x14ac:dyDescent="0.2">
      <c r="A30" s="766"/>
      <c r="B30" s="202" t="s">
        <v>1087</v>
      </c>
      <c r="C30" s="718">
        <v>1</v>
      </c>
      <c r="D30" s="716">
        <f>D21-2*0.1</f>
        <v>12.5</v>
      </c>
      <c r="E30" s="716">
        <v>8.9</v>
      </c>
      <c r="F30" s="716">
        <v>1.8</v>
      </c>
      <c r="G30" s="706">
        <f t="shared" ref="G30:G31" si="2">ROUND(PRODUCT(C30:F30),2)</f>
        <v>200.25</v>
      </c>
      <c r="H30" s="123"/>
    </row>
    <row r="31" spans="1:9" s="748" customFormat="1" ht="15" x14ac:dyDescent="0.2">
      <c r="A31" s="766"/>
      <c r="B31" s="202" t="s">
        <v>1088</v>
      </c>
      <c r="C31" s="718">
        <v>1</v>
      </c>
      <c r="D31" s="716">
        <f>D22-2*0.1</f>
        <v>8.4</v>
      </c>
      <c r="E31" s="716">
        <v>6</v>
      </c>
      <c r="F31" s="716">
        <v>0.7</v>
      </c>
      <c r="G31" s="706">
        <f t="shared" si="2"/>
        <v>35.28</v>
      </c>
      <c r="H31" s="123"/>
    </row>
    <row r="32" spans="1:9" x14ac:dyDescent="0.2">
      <c r="A32" s="736"/>
      <c r="B32" s="731" t="s">
        <v>1044</v>
      </c>
      <c r="C32" s="732"/>
      <c r="D32" s="716"/>
      <c r="E32" s="716"/>
      <c r="F32" s="716"/>
      <c r="G32" s="706"/>
      <c r="H32" s="123"/>
    </row>
    <row r="33" spans="1:15" ht="13.5" thickBot="1" x14ac:dyDescent="0.25">
      <c r="A33" s="736"/>
      <c r="B33" s="202" t="s">
        <v>1224</v>
      </c>
      <c r="C33" s="718">
        <f>number_pier</f>
        <v>1</v>
      </c>
      <c r="D33" s="716">
        <v>12.5</v>
      </c>
      <c r="E33" s="716">
        <v>8.9</v>
      </c>
      <c r="F33" s="716">
        <v>1.8</v>
      </c>
      <c r="G33" s="706">
        <f>ROUND(PRODUCT(C33:F33),2)</f>
        <v>200.25</v>
      </c>
      <c r="H33" s="123"/>
    </row>
    <row r="34" spans="1:15" ht="13.5" thickBot="1" x14ac:dyDescent="0.25">
      <c r="A34" s="741"/>
      <c r="B34" s="124" t="s">
        <v>83</v>
      </c>
      <c r="C34" s="711"/>
      <c r="D34" s="733"/>
      <c r="E34" s="733"/>
      <c r="F34" s="733"/>
      <c r="G34" s="125">
        <f>SUM(G27:G33)</f>
        <v>1005.8</v>
      </c>
      <c r="H34" s="126" t="s">
        <v>250</v>
      </c>
    </row>
    <row r="35" spans="1:15" x14ac:dyDescent="0.2">
      <c r="A35" s="769"/>
      <c r="B35" s="260"/>
      <c r="C35" s="734"/>
      <c r="D35" s="735"/>
      <c r="E35" s="735"/>
      <c r="F35" s="735"/>
      <c r="G35" s="261"/>
      <c r="H35" s="262"/>
    </row>
    <row r="36" spans="1:15" ht="50.25" customHeight="1" x14ac:dyDescent="0.2">
      <c r="A36" s="736" t="s">
        <v>235</v>
      </c>
      <c r="B36" s="213" t="s">
        <v>154</v>
      </c>
      <c r="C36" s="718"/>
      <c r="D36" s="716"/>
      <c r="E36" s="716"/>
      <c r="F36" s="716"/>
      <c r="G36" s="122"/>
      <c r="H36" s="123"/>
      <c r="O36" s="6">
        <f>1258-75</f>
        <v>1183</v>
      </c>
    </row>
    <row r="37" spans="1:15" x14ac:dyDescent="0.2">
      <c r="A37" s="736"/>
      <c r="B37" s="737" t="s">
        <v>1248</v>
      </c>
      <c r="C37" s="732">
        <v>1</v>
      </c>
      <c r="D37" s="716">
        <v>138826.15</v>
      </c>
      <c r="E37" s="716"/>
      <c r="F37" s="716"/>
      <c r="G37" s="706">
        <v>69413.070000000007</v>
      </c>
      <c r="H37" s="123"/>
    </row>
    <row r="38" spans="1:15" x14ac:dyDescent="0.2">
      <c r="A38" s="738"/>
      <c r="B38" s="737" t="s">
        <v>1249</v>
      </c>
      <c r="C38" s="732">
        <v>1</v>
      </c>
      <c r="D38" s="716">
        <v>5472.78</v>
      </c>
      <c r="E38" s="716"/>
      <c r="F38" s="716"/>
      <c r="G38" s="706">
        <f t="shared" ref="G38:G39" si="3">ROUND(PRODUCT(C38:F38),2)</f>
        <v>5472.78</v>
      </c>
      <c r="H38" s="266"/>
      <c r="J38" s="6" t="s">
        <v>1245</v>
      </c>
    </row>
    <row r="39" spans="1:15" ht="13.5" thickBot="1" x14ac:dyDescent="0.25">
      <c r="A39" s="738"/>
      <c r="B39" s="739" t="s">
        <v>1045</v>
      </c>
      <c r="C39" s="740">
        <v>1</v>
      </c>
      <c r="D39" s="722">
        <v>40264.18</v>
      </c>
      <c r="E39" s="722"/>
      <c r="F39" s="722"/>
      <c r="G39" s="706">
        <f t="shared" si="3"/>
        <v>40264.18</v>
      </c>
      <c r="H39" s="266"/>
      <c r="O39" s="6">
        <f>(5700-150)/200</f>
        <v>27.75</v>
      </c>
    </row>
    <row r="40" spans="1:15" ht="13.5" thickBot="1" x14ac:dyDescent="0.25">
      <c r="A40" s="741"/>
      <c r="B40" s="124" t="s">
        <v>83</v>
      </c>
      <c r="C40" s="711"/>
      <c r="D40" s="733"/>
      <c r="E40" s="733"/>
      <c r="F40" s="733"/>
      <c r="G40" s="125">
        <f>SUM(G37:G39)</f>
        <v>115150.03</v>
      </c>
      <c r="H40" s="126" t="s">
        <v>58</v>
      </c>
    </row>
    <row r="41" spans="1:15" ht="13.5" thickBot="1" x14ac:dyDescent="0.25">
      <c r="A41" s="741"/>
      <c r="B41" s="124"/>
      <c r="C41" s="711"/>
      <c r="D41" s="733"/>
      <c r="E41" s="733"/>
      <c r="F41" s="733"/>
      <c r="G41" s="125">
        <f>G40/1000</f>
        <v>115.15</v>
      </c>
      <c r="H41" s="126" t="s">
        <v>143</v>
      </c>
    </row>
    <row r="42" spans="1:15" x14ac:dyDescent="0.2">
      <c r="A42" s="764"/>
      <c r="B42" s="263"/>
      <c r="C42" s="715"/>
      <c r="D42" s="730"/>
      <c r="E42" s="730"/>
      <c r="F42" s="730"/>
      <c r="G42" s="258"/>
      <c r="H42" s="259"/>
    </row>
    <row r="43" spans="1:15" ht="54" customHeight="1" x14ac:dyDescent="0.2">
      <c r="A43" s="736" t="s">
        <v>1250</v>
      </c>
      <c r="B43" s="770" t="s">
        <v>265</v>
      </c>
      <c r="C43" s="732"/>
      <c r="D43" s="716"/>
      <c r="E43" s="716"/>
      <c r="F43" s="716"/>
      <c r="G43" s="256"/>
      <c r="H43" s="257"/>
    </row>
    <row r="44" spans="1:15" s="748" customFormat="1" ht="15" x14ac:dyDescent="0.2">
      <c r="A44" s="736"/>
      <c r="B44" s="743" t="s">
        <v>174</v>
      </c>
      <c r="C44" s="732"/>
      <c r="D44" s="716"/>
      <c r="E44" s="716"/>
      <c r="F44" s="716"/>
      <c r="G44" s="256"/>
      <c r="H44" s="123"/>
    </row>
    <row r="45" spans="1:15" s="748" customFormat="1" ht="15" x14ac:dyDescent="0.2">
      <c r="A45" s="736"/>
      <c r="B45" s="742" t="s">
        <v>1089</v>
      </c>
      <c r="C45" s="718">
        <v>1</v>
      </c>
      <c r="D45" s="716">
        <f>2*(D30+E30)</f>
        <v>42.8</v>
      </c>
      <c r="E45" s="716"/>
      <c r="F45" s="716">
        <v>2</v>
      </c>
      <c r="G45" s="706">
        <f>ROUND(PRODUCT(C45:F45),2)</f>
        <v>85.6</v>
      </c>
      <c r="H45" s="123"/>
    </row>
    <row r="46" spans="1:15" s="748" customFormat="1" ht="15" x14ac:dyDescent="0.2">
      <c r="A46" s="736"/>
      <c r="B46" s="202" t="s">
        <v>1090</v>
      </c>
      <c r="C46" s="718">
        <v>1</v>
      </c>
      <c r="D46" s="716">
        <f>2*(D31+E31)</f>
        <v>28.8</v>
      </c>
      <c r="E46" s="716"/>
      <c r="F46" s="716">
        <f>F31</f>
        <v>0.7</v>
      </c>
      <c r="G46" s="706">
        <f t="shared" ref="G46" si="4">C46*D46*F46</f>
        <v>20.16</v>
      </c>
      <c r="H46" s="123"/>
    </row>
    <row r="47" spans="1:15" x14ac:dyDescent="0.2">
      <c r="A47" s="736"/>
      <c r="C47" s="732"/>
      <c r="D47" s="716"/>
      <c r="E47" s="716"/>
      <c r="F47" s="716"/>
      <c r="G47" s="706"/>
      <c r="H47" s="123"/>
    </row>
    <row r="48" spans="1:15" ht="13.5" thickBot="1" x14ac:dyDescent="0.25">
      <c r="A48" s="736"/>
      <c r="B48" s="743" t="s">
        <v>1044</v>
      </c>
      <c r="C48" s="718">
        <v>1</v>
      </c>
      <c r="D48" s="716">
        <f>2*(D33+E33)</f>
        <v>42.8</v>
      </c>
      <c r="E48" s="716"/>
      <c r="F48" s="716">
        <f>F33</f>
        <v>1.8</v>
      </c>
      <c r="G48" s="706">
        <f>ROUND(PRODUCT(C48:F48),2)</f>
        <v>77.040000000000006</v>
      </c>
      <c r="H48" s="123"/>
    </row>
    <row r="49" spans="1:8" ht="13.5" thickBot="1" x14ac:dyDescent="0.25">
      <c r="A49" s="741"/>
      <c r="B49" s="124" t="s">
        <v>83</v>
      </c>
      <c r="C49" s="711"/>
      <c r="D49" s="733"/>
      <c r="E49" s="733"/>
      <c r="F49" s="733"/>
      <c r="G49" s="125">
        <f>SUM(G45:G48)</f>
        <v>182.8</v>
      </c>
      <c r="H49" s="126" t="s">
        <v>249</v>
      </c>
    </row>
    <row r="50" spans="1:8" ht="51" x14ac:dyDescent="0.2">
      <c r="A50" s="736" t="s">
        <v>1251</v>
      </c>
      <c r="B50" s="771" t="s">
        <v>1046</v>
      </c>
      <c r="C50" s="732"/>
      <c r="D50" s="716"/>
      <c r="E50" s="716"/>
      <c r="F50" s="716"/>
      <c r="G50" s="122"/>
      <c r="H50" s="123"/>
    </row>
    <row r="51" spans="1:8" x14ac:dyDescent="0.2">
      <c r="A51" s="736"/>
      <c r="B51" s="704" t="s">
        <v>1087</v>
      </c>
      <c r="C51" s="704">
        <v>1</v>
      </c>
      <c r="D51" s="705">
        <f>D8</f>
        <v>12.7</v>
      </c>
      <c r="E51" s="705" t="s">
        <v>1043</v>
      </c>
      <c r="F51" s="1155">
        <v>75.31</v>
      </c>
      <c r="G51" s="706">
        <f>ROUND(PRODUCT(C51:F51),2)</f>
        <v>956.44</v>
      </c>
      <c r="H51" s="713"/>
    </row>
    <row r="52" spans="1:8" x14ac:dyDescent="0.2">
      <c r="A52" s="736"/>
      <c r="B52" s="704" t="s">
        <v>1044</v>
      </c>
      <c r="C52" s="704">
        <v>1</v>
      </c>
      <c r="D52" s="705">
        <f>D9</f>
        <v>9.1</v>
      </c>
      <c r="E52" s="705" t="s">
        <v>1043</v>
      </c>
      <c r="F52" s="1155">
        <v>68.144000000000005</v>
      </c>
      <c r="G52" s="706">
        <f>ROUND(PRODUCT(C52:F52),2)</f>
        <v>620.11</v>
      </c>
      <c r="H52" s="713"/>
    </row>
    <row r="53" spans="1:8" ht="13.5" thickBot="1" x14ac:dyDescent="0.25">
      <c r="A53" s="736"/>
      <c r="B53" s="704" t="s">
        <v>1097</v>
      </c>
      <c r="C53" s="704">
        <v>1</v>
      </c>
      <c r="D53" s="744">
        <f>D11</f>
        <v>8.6</v>
      </c>
      <c r="E53" s="705" t="s">
        <v>1043</v>
      </c>
      <c r="F53" s="1155">
        <v>52.34</v>
      </c>
      <c r="G53" s="706">
        <f>ROUND(PRODUCT(C53:F53),2)</f>
        <v>450.12</v>
      </c>
      <c r="H53" s="713"/>
    </row>
    <row r="54" spans="1:8" ht="13.5" thickBot="1" x14ac:dyDescent="0.25">
      <c r="A54" s="741"/>
      <c r="B54" s="124" t="s">
        <v>83</v>
      </c>
      <c r="C54" s="711"/>
      <c r="D54" s="733"/>
      <c r="E54" s="733"/>
      <c r="F54" s="733"/>
      <c r="G54" s="125">
        <f>SUM(G51:G53)</f>
        <v>2026.67</v>
      </c>
      <c r="H54" s="126" t="s">
        <v>250</v>
      </c>
    </row>
    <row r="55" spans="1:8" x14ac:dyDescent="0.2">
      <c r="A55" s="764"/>
      <c r="B55" s="772"/>
      <c r="C55" s="715"/>
      <c r="D55" s="730"/>
      <c r="E55" s="730"/>
      <c r="F55" s="730"/>
      <c r="G55" s="264"/>
      <c r="H55" s="265"/>
    </row>
    <row r="56" spans="1:8" ht="76.5" x14ac:dyDescent="0.2">
      <c r="A56" s="736" t="s">
        <v>1252</v>
      </c>
      <c r="B56" s="771" t="str">
        <f>'Summary of rates'!C96</f>
        <v>Providing and laying 25mm dia tor steel dowel bar including drilling 35mm dia bore hole in rock necessary bending, hooking, tying reinforcement in position and grouting etc. complete as per Drawings and Technical Specifications</v>
      </c>
      <c r="C56" s="732"/>
      <c r="D56" s="716"/>
      <c r="E56" s="716"/>
      <c r="F56" s="716"/>
      <c r="G56" s="122"/>
      <c r="H56" s="123"/>
    </row>
    <row r="57" spans="1:8" ht="13.5" thickBot="1" x14ac:dyDescent="0.25">
      <c r="A57" s="736"/>
      <c r="B57" s="745" t="s">
        <v>1090</v>
      </c>
      <c r="C57" s="732">
        <f>7*12</f>
        <v>84</v>
      </c>
      <c r="D57" s="716">
        <f>1+1.25</f>
        <v>2.25</v>
      </c>
      <c r="E57" s="716"/>
      <c r="F57" s="716"/>
      <c r="G57" s="1156">
        <f>ROUND(PRODUCT(C57:F57),2)</f>
        <v>189</v>
      </c>
      <c r="H57" s="123"/>
    </row>
    <row r="58" spans="1:8" ht="13.5" thickBot="1" x14ac:dyDescent="0.25">
      <c r="A58" s="741"/>
      <c r="B58" s="124" t="s">
        <v>83</v>
      </c>
      <c r="C58" s="711"/>
      <c r="D58" s="733"/>
      <c r="E58" s="733"/>
      <c r="F58" s="733"/>
      <c r="G58" s="125">
        <f>SUM(G57:G57)</f>
        <v>189</v>
      </c>
      <c r="H58" s="126" t="s">
        <v>63</v>
      </c>
    </row>
    <row r="59" spans="1:8" ht="13.5" thickBot="1" x14ac:dyDescent="0.25">
      <c r="A59" s="764"/>
      <c r="B59" s="772"/>
      <c r="C59" s="715"/>
      <c r="D59" s="730"/>
      <c r="E59" s="730"/>
      <c r="F59" s="730"/>
      <c r="G59" s="264"/>
      <c r="H59" s="265"/>
    </row>
    <row r="60" spans="1:8" x14ac:dyDescent="0.2">
      <c r="A60" s="754" t="s">
        <v>321</v>
      </c>
      <c r="B60" s="755" t="s">
        <v>322</v>
      </c>
      <c r="C60" s="756"/>
      <c r="D60" s="757"/>
      <c r="E60" s="757"/>
      <c r="F60" s="757"/>
      <c r="G60" s="758"/>
      <c r="H60" s="759"/>
    </row>
    <row r="61" spans="1:8" ht="38.25" x14ac:dyDescent="0.2">
      <c r="A61" s="736" t="s">
        <v>323</v>
      </c>
      <c r="B61" s="717" t="s">
        <v>1175</v>
      </c>
      <c r="C61" s="718"/>
      <c r="D61" s="716"/>
      <c r="E61" s="716"/>
      <c r="F61" s="716"/>
      <c r="G61" s="719"/>
      <c r="H61" s="713"/>
    </row>
    <row r="62" spans="1:8" x14ac:dyDescent="0.2">
      <c r="A62" s="768">
        <v>1.1000000000000001</v>
      </c>
      <c r="B62" s="729" t="s">
        <v>246</v>
      </c>
      <c r="C62" s="715"/>
      <c r="D62" s="730"/>
      <c r="E62" s="730"/>
      <c r="F62" s="730"/>
      <c r="G62" s="258"/>
      <c r="H62" s="259"/>
    </row>
    <row r="63" spans="1:8" s="748" customFormat="1" ht="15" x14ac:dyDescent="0.2">
      <c r="A63" s="736"/>
      <c r="B63" s="731" t="s">
        <v>174</v>
      </c>
      <c r="C63" s="732"/>
      <c r="D63" s="716"/>
      <c r="E63" s="716"/>
      <c r="F63" s="716"/>
      <c r="G63" s="122"/>
      <c r="H63" s="123"/>
    </row>
    <row r="64" spans="1:8" s="748" customFormat="1" ht="15" x14ac:dyDescent="0.2">
      <c r="A64" s="736"/>
      <c r="B64" s="747" t="s">
        <v>1089</v>
      </c>
      <c r="C64" s="732"/>
      <c r="D64" s="716"/>
      <c r="E64" s="716"/>
      <c r="F64" s="716"/>
      <c r="G64" s="122"/>
      <c r="H64" s="123"/>
    </row>
    <row r="65" spans="1:8" s="748" customFormat="1" ht="15" x14ac:dyDescent="0.2">
      <c r="A65" s="736"/>
      <c r="B65" s="737" t="s">
        <v>184</v>
      </c>
      <c r="C65" s="718">
        <v>1</v>
      </c>
      <c r="D65" s="705">
        <v>1.5</v>
      </c>
      <c r="E65" s="716">
        <v>8.4</v>
      </c>
      <c r="F65" s="716">
        <v>4.41</v>
      </c>
      <c r="G65" s="706">
        <f t="shared" ref="G65:G71" si="5">ROUND(PRODUCT(C65:F65),2)</f>
        <v>55.57</v>
      </c>
      <c r="H65" s="123"/>
    </row>
    <row r="66" spans="1:8" s="748" customFormat="1" ht="15" x14ac:dyDescent="0.2">
      <c r="A66" s="736"/>
      <c r="B66" s="737" t="s">
        <v>176</v>
      </c>
      <c r="C66" s="718">
        <v>1</v>
      </c>
      <c r="D66" s="705">
        <f>1.5+0.1+0.6</f>
        <v>2.2000000000000002</v>
      </c>
      <c r="E66" s="716">
        <f>E65</f>
        <v>8.4</v>
      </c>
      <c r="F66" s="716">
        <v>0.6</v>
      </c>
      <c r="G66" s="706">
        <f t="shared" si="5"/>
        <v>11.09</v>
      </c>
      <c r="H66" s="123"/>
    </row>
    <row r="67" spans="1:8" s="748" customFormat="1" ht="15" x14ac:dyDescent="0.2">
      <c r="A67" s="736"/>
      <c r="B67" s="737" t="s">
        <v>1166</v>
      </c>
      <c r="C67" s="718">
        <v>1</v>
      </c>
      <c r="D67" s="705">
        <v>0.6</v>
      </c>
      <c r="E67" s="716">
        <f>E66</f>
        <v>8.4</v>
      </c>
      <c r="F67" s="716">
        <v>0.6</v>
      </c>
      <c r="G67" s="706">
        <f t="shared" si="5"/>
        <v>3.02</v>
      </c>
      <c r="H67" s="123"/>
    </row>
    <row r="68" spans="1:8" s="748" customFormat="1" ht="15" x14ac:dyDescent="0.2">
      <c r="A68" s="736"/>
      <c r="B68" s="737" t="s">
        <v>1027</v>
      </c>
      <c r="C68" s="718">
        <v>2</v>
      </c>
      <c r="D68" s="705">
        <v>1</v>
      </c>
      <c r="E68" s="716">
        <v>1</v>
      </c>
      <c r="F68" s="716">
        <v>0.5</v>
      </c>
      <c r="G68" s="706">
        <f t="shared" si="5"/>
        <v>1</v>
      </c>
      <c r="H68" s="123"/>
    </row>
    <row r="69" spans="1:8" s="748" customFormat="1" ht="15" x14ac:dyDescent="0.2">
      <c r="A69" s="736"/>
      <c r="B69" s="737" t="s">
        <v>175</v>
      </c>
      <c r="C69" s="718">
        <v>1</v>
      </c>
      <c r="D69" s="705">
        <v>0.4</v>
      </c>
      <c r="E69" s="716">
        <f>E65</f>
        <v>8.4</v>
      </c>
      <c r="F69" s="716">
        <f>1.75+2.725</f>
        <v>4.4749999999999996</v>
      </c>
      <c r="G69" s="706">
        <f t="shared" si="5"/>
        <v>15.04</v>
      </c>
      <c r="H69" s="123"/>
    </row>
    <row r="70" spans="1:8" s="748" customFormat="1" ht="15" x14ac:dyDescent="0.2">
      <c r="A70" s="736"/>
      <c r="B70" s="737" t="s">
        <v>196</v>
      </c>
      <c r="C70" s="718">
        <v>1</v>
      </c>
      <c r="D70" s="705">
        <v>0.25</v>
      </c>
      <c r="E70" s="716">
        <f>E65</f>
        <v>8.4</v>
      </c>
      <c r="F70" s="716">
        <f>(0.25+0.5)/2</f>
        <v>0.375</v>
      </c>
      <c r="G70" s="706">
        <f t="shared" si="5"/>
        <v>0.79</v>
      </c>
      <c r="H70" s="123"/>
    </row>
    <row r="71" spans="1:8" s="748" customFormat="1" ht="15" x14ac:dyDescent="0.2">
      <c r="A71" s="736"/>
      <c r="B71" s="737" t="s">
        <v>1091</v>
      </c>
      <c r="C71" s="718">
        <v>2</v>
      </c>
      <c r="D71" s="716">
        <v>0.9</v>
      </c>
      <c r="E71" s="716">
        <v>1.8</v>
      </c>
      <c r="F71" s="716">
        <v>0.9</v>
      </c>
      <c r="G71" s="746">
        <f t="shared" si="5"/>
        <v>2.92</v>
      </c>
      <c r="H71" s="123"/>
    </row>
    <row r="72" spans="1:8" s="748" customFormat="1" ht="15" x14ac:dyDescent="0.2">
      <c r="A72" s="736"/>
      <c r="B72" s="737" t="s">
        <v>251</v>
      </c>
      <c r="C72" s="718">
        <v>2</v>
      </c>
      <c r="D72" s="705">
        <v>3.5</v>
      </c>
      <c r="E72" s="716">
        <v>0.4</v>
      </c>
      <c r="F72" s="716">
        <f>(2.725+(2.725+1.75))/2</f>
        <v>3.6</v>
      </c>
      <c r="G72" s="706">
        <f>ROUND(PRODUCT(C72:F72),2)</f>
        <v>10.08</v>
      </c>
      <c r="H72" s="123"/>
    </row>
    <row r="73" spans="1:8" s="748" customFormat="1" ht="15" x14ac:dyDescent="0.2">
      <c r="A73" s="736"/>
      <c r="B73" s="737" t="s">
        <v>241</v>
      </c>
      <c r="C73" s="718">
        <v>2</v>
      </c>
      <c r="D73" s="705">
        <v>0.3</v>
      </c>
      <c r="E73" s="716">
        <v>0.3</v>
      </c>
      <c r="F73" s="716">
        <f>F69</f>
        <v>4.4749999999999996</v>
      </c>
      <c r="G73" s="706">
        <f>ROUND(PRODUCT(C73:F73),2)</f>
        <v>0.81</v>
      </c>
      <c r="H73" s="123"/>
    </row>
    <row r="74" spans="1:8" s="748" customFormat="1" ht="15" x14ac:dyDescent="0.2">
      <c r="A74" s="736"/>
      <c r="B74" s="747" t="s">
        <v>1090</v>
      </c>
      <c r="C74" s="732"/>
      <c r="D74" s="716"/>
      <c r="E74" s="716"/>
      <c r="F74" s="716"/>
      <c r="G74" s="122"/>
      <c r="H74" s="123"/>
    </row>
    <row r="75" spans="1:8" s="748" customFormat="1" ht="15" x14ac:dyDescent="0.2">
      <c r="A75" s="736"/>
      <c r="B75" s="737" t="s">
        <v>184</v>
      </c>
      <c r="C75" s="732">
        <v>1</v>
      </c>
      <c r="D75" s="716">
        <v>0</v>
      </c>
      <c r="E75" s="716">
        <f>E65</f>
        <v>8.4</v>
      </c>
      <c r="F75" s="716">
        <v>0</v>
      </c>
      <c r="G75" s="706">
        <f>ROUND(PRODUCT(C75:F75),2)</f>
        <v>0</v>
      </c>
      <c r="H75" s="123"/>
    </row>
    <row r="76" spans="1:8" s="748" customFormat="1" ht="15" x14ac:dyDescent="0.2">
      <c r="A76" s="736"/>
      <c r="B76" s="737" t="s">
        <v>176</v>
      </c>
      <c r="C76" s="732">
        <v>1</v>
      </c>
      <c r="D76" s="716">
        <v>2.2000000000000002</v>
      </c>
      <c r="E76" s="716">
        <f>E75</f>
        <v>8.4</v>
      </c>
      <c r="F76" s="716">
        <v>0.3</v>
      </c>
      <c r="G76" s="706">
        <f>ROUND(PRODUCT(C76:F76),2)</f>
        <v>5.54</v>
      </c>
      <c r="H76" s="123"/>
    </row>
    <row r="77" spans="1:8" s="748" customFormat="1" ht="15" x14ac:dyDescent="0.2">
      <c r="A77" s="736"/>
      <c r="B77" s="737" t="s">
        <v>1166</v>
      </c>
      <c r="C77" s="732">
        <v>1</v>
      </c>
      <c r="D77" s="716">
        <v>0.6</v>
      </c>
      <c r="E77" s="716">
        <f>E76</f>
        <v>8.4</v>
      </c>
      <c r="F77" s="716">
        <v>0.6</v>
      </c>
      <c r="G77" s="706">
        <f t="shared" ref="G77" si="6">ROUND(PRODUCT(C77:F77),2)</f>
        <v>3.02</v>
      </c>
      <c r="H77" s="123"/>
    </row>
    <row r="78" spans="1:8" s="748" customFormat="1" ht="15" x14ac:dyDescent="0.2">
      <c r="A78" s="736"/>
      <c r="B78" s="737" t="s">
        <v>1027</v>
      </c>
      <c r="C78" s="718">
        <v>2</v>
      </c>
      <c r="D78" s="705">
        <f>D68</f>
        <v>1</v>
      </c>
      <c r="E78" s="705">
        <f>E68</f>
        <v>1</v>
      </c>
      <c r="F78" s="705">
        <f>F68</f>
        <v>0.5</v>
      </c>
      <c r="G78" s="706">
        <f>ROUND(PRODUCT(C78:F78),2)</f>
        <v>1</v>
      </c>
      <c r="H78" s="123"/>
    </row>
    <row r="79" spans="1:8" s="748" customFormat="1" ht="15" x14ac:dyDescent="0.2">
      <c r="A79" s="736"/>
      <c r="B79" s="737" t="s">
        <v>175</v>
      </c>
      <c r="C79" s="718">
        <v>1</v>
      </c>
      <c r="D79" s="705">
        <f>D69</f>
        <v>0.4</v>
      </c>
      <c r="E79" s="705">
        <f>E69</f>
        <v>8.4</v>
      </c>
      <c r="F79" s="705">
        <v>3.875</v>
      </c>
      <c r="G79" s="706">
        <f>ROUND(PRODUCT(C79:F79),2)</f>
        <v>13.02</v>
      </c>
      <c r="H79" s="123"/>
    </row>
    <row r="80" spans="1:8" s="748" customFormat="1" ht="15" x14ac:dyDescent="0.2">
      <c r="A80" s="736"/>
      <c r="B80" s="737" t="s">
        <v>196</v>
      </c>
      <c r="C80" s="718">
        <v>1</v>
      </c>
      <c r="D80" s="705">
        <v>0.3</v>
      </c>
      <c r="E80" s="705">
        <f>E70</f>
        <v>8.4</v>
      </c>
      <c r="F80" s="705">
        <f>F70</f>
        <v>0.375</v>
      </c>
      <c r="G80" s="706">
        <f>ROUND(PRODUCT(C80:F80),2)</f>
        <v>0.95</v>
      </c>
      <c r="H80" s="123"/>
    </row>
    <row r="81" spans="1:8" s="748" customFormat="1" ht="15" x14ac:dyDescent="0.2">
      <c r="A81" s="736"/>
      <c r="B81" s="737" t="s">
        <v>1091</v>
      </c>
      <c r="C81" s="718">
        <v>2</v>
      </c>
      <c r="D81" s="719">
        <f>D71</f>
        <v>0.9</v>
      </c>
      <c r="E81" s="719">
        <f>E71</f>
        <v>1.8</v>
      </c>
      <c r="F81" s="716">
        <f>F71</f>
        <v>0.9</v>
      </c>
      <c r="G81" s="746">
        <f t="shared" ref="G81" si="7">ROUND(PRODUCT(C81:F81),2)</f>
        <v>2.92</v>
      </c>
      <c r="H81" s="123"/>
    </row>
    <row r="82" spans="1:8" s="748" customFormat="1" ht="15" x14ac:dyDescent="0.2">
      <c r="A82" s="736"/>
      <c r="B82" s="737" t="s">
        <v>251</v>
      </c>
      <c r="C82" s="718">
        <v>2</v>
      </c>
      <c r="D82" s="705">
        <f>D72</f>
        <v>3.5</v>
      </c>
      <c r="E82" s="716">
        <f>E72</f>
        <v>0.4</v>
      </c>
      <c r="F82" s="716">
        <f>F72</f>
        <v>3.6</v>
      </c>
      <c r="G82" s="706">
        <f>ROUND(PRODUCT(C82:F82),2)</f>
        <v>10.08</v>
      </c>
      <c r="H82" s="123"/>
    </row>
    <row r="83" spans="1:8" s="748" customFormat="1" ht="15" x14ac:dyDescent="0.2">
      <c r="A83" s="736"/>
      <c r="B83" s="737" t="s">
        <v>241</v>
      </c>
      <c r="C83" s="718">
        <v>2</v>
      </c>
      <c r="D83" s="716">
        <f>D73</f>
        <v>0.3</v>
      </c>
      <c r="E83" s="716">
        <f>E73</f>
        <v>0.3</v>
      </c>
      <c r="F83" s="716">
        <f>F73</f>
        <v>4.4749999999999996</v>
      </c>
      <c r="G83" s="706">
        <f>ROUND(PRODUCT(C83:F83),2)</f>
        <v>0.81</v>
      </c>
      <c r="H83" s="123"/>
    </row>
    <row r="84" spans="1:8" x14ac:dyDescent="0.2">
      <c r="A84" s="736"/>
      <c r="B84" s="731" t="s">
        <v>1044</v>
      </c>
      <c r="C84" s="732"/>
      <c r="D84" s="716"/>
      <c r="E84" s="716"/>
      <c r="F84" s="716"/>
      <c r="G84" s="706"/>
      <c r="H84" s="123"/>
    </row>
    <row r="85" spans="1:8" x14ac:dyDescent="0.2">
      <c r="A85" s="736"/>
      <c r="B85" s="737" t="s">
        <v>1011</v>
      </c>
      <c r="C85" s="718">
        <f>number_pier</f>
        <v>1</v>
      </c>
      <c r="D85" s="705" t="s">
        <v>1043</v>
      </c>
      <c r="E85" s="716">
        <f>PI()/4*2.6^2</f>
        <v>5.3090000000000002</v>
      </c>
      <c r="F85" s="716">
        <v>15.01</v>
      </c>
      <c r="G85" s="706">
        <f t="shared" ref="G85:G89" si="8">ROUND(PRODUCT(C85:F85),2)</f>
        <v>79.69</v>
      </c>
      <c r="H85" s="123"/>
    </row>
    <row r="86" spans="1:8" x14ac:dyDescent="0.2">
      <c r="A86" s="736"/>
      <c r="B86" s="737" t="s">
        <v>1225</v>
      </c>
      <c r="C86" s="718">
        <f>number_pier</f>
        <v>1</v>
      </c>
      <c r="D86" s="963" t="s">
        <v>1167</v>
      </c>
      <c r="E86" s="964"/>
      <c r="F86" s="716">
        <f>(1/3)*1.1*(2.8*2.8+4.25*5.8+SQRT((2.8*2.8*4.25*5.8)))</f>
        <v>17.010000000000002</v>
      </c>
      <c r="G86" s="706">
        <f>ROUND(PRODUCT(C86:F86),2)</f>
        <v>17.010000000000002</v>
      </c>
      <c r="H86" s="123"/>
    </row>
    <row r="87" spans="1:8" x14ac:dyDescent="0.2">
      <c r="A87" s="736"/>
      <c r="B87" s="737" t="s">
        <v>1226</v>
      </c>
      <c r="C87" s="718">
        <f>number_pier</f>
        <v>1</v>
      </c>
      <c r="D87" s="716">
        <v>5.8</v>
      </c>
      <c r="E87" s="749">
        <v>4.25</v>
      </c>
      <c r="F87" s="716">
        <v>1</v>
      </c>
      <c r="G87" s="706">
        <f t="shared" ref="G87" si="9">ROUND(PRODUCT(C87:F87),2)</f>
        <v>24.65</v>
      </c>
      <c r="H87" s="266"/>
    </row>
    <row r="88" spans="1:8" x14ac:dyDescent="0.2">
      <c r="A88" s="736"/>
      <c r="B88" s="737" t="s">
        <v>1091</v>
      </c>
      <c r="C88" s="718">
        <v>4</v>
      </c>
      <c r="D88" s="719">
        <f>D81</f>
        <v>0.9</v>
      </c>
      <c r="E88" s="719">
        <f>E81</f>
        <v>1.8</v>
      </c>
      <c r="F88" s="716">
        <f>F81</f>
        <v>0.9</v>
      </c>
      <c r="G88" s="746">
        <f t="shared" si="8"/>
        <v>5.83</v>
      </c>
      <c r="H88" s="266"/>
    </row>
    <row r="89" spans="1:8" ht="13.5" thickBot="1" x14ac:dyDescent="0.25">
      <c r="A89" s="738"/>
      <c r="B89" s="739" t="s">
        <v>1027</v>
      </c>
      <c r="C89" s="721">
        <v>4</v>
      </c>
      <c r="D89" s="716">
        <f>D68</f>
        <v>1</v>
      </c>
      <c r="E89" s="716">
        <f>E68</f>
        <v>1</v>
      </c>
      <c r="F89" s="716">
        <f>F68</f>
        <v>0.5</v>
      </c>
      <c r="G89" s="706">
        <f t="shared" si="8"/>
        <v>2</v>
      </c>
      <c r="H89" s="266"/>
    </row>
    <row r="90" spans="1:8" ht="13.5" thickBot="1" x14ac:dyDescent="0.25">
      <c r="A90" s="741"/>
      <c r="B90" s="124" t="s">
        <v>83</v>
      </c>
      <c r="C90" s="711"/>
      <c r="D90" s="733"/>
      <c r="E90" s="733"/>
      <c r="F90" s="733"/>
      <c r="G90" s="125">
        <f>SUM(G65:G89)</f>
        <v>266.83999999999997</v>
      </c>
      <c r="H90" s="126" t="s">
        <v>250</v>
      </c>
    </row>
    <row r="91" spans="1:8" ht="53.25" customHeight="1" x14ac:dyDescent="0.2">
      <c r="A91" s="764" t="s">
        <v>266</v>
      </c>
      <c r="B91" s="773" t="s">
        <v>154</v>
      </c>
      <c r="C91" s="774"/>
      <c r="D91" s="730"/>
      <c r="E91" s="730"/>
      <c r="F91" s="730"/>
      <c r="G91" s="264"/>
      <c r="H91" s="265"/>
    </row>
    <row r="92" spans="1:8" x14ac:dyDescent="0.2">
      <c r="A92" s="736"/>
      <c r="B92" s="737" t="s">
        <v>1121</v>
      </c>
      <c r="C92" s="732">
        <v>1</v>
      </c>
      <c r="D92" s="716">
        <f>3978.36+(442.72+460.08)+2156.77</f>
        <v>7037.93</v>
      </c>
      <c r="E92" s="716"/>
      <c r="F92" s="716"/>
      <c r="G92" s="706">
        <f t="shared" ref="G92:G97" si="10">ROUND(PRODUCT(C92:F92),2)</f>
        <v>7037.93</v>
      </c>
      <c r="H92" s="123"/>
    </row>
    <row r="93" spans="1:8" x14ac:dyDescent="0.2">
      <c r="A93" s="736"/>
      <c r="B93" s="737" t="s">
        <v>1122</v>
      </c>
      <c r="C93" s="732">
        <v>1</v>
      </c>
      <c r="D93" s="1159">
        <f>1637.38</f>
        <v>1637.38</v>
      </c>
      <c r="E93" s="716"/>
      <c r="F93" s="716"/>
      <c r="G93" s="706">
        <f t="shared" si="10"/>
        <v>1637.38</v>
      </c>
      <c r="H93" s="123"/>
    </row>
    <row r="94" spans="1:8" x14ac:dyDescent="0.2">
      <c r="A94" s="736"/>
      <c r="B94" s="737" t="s">
        <v>1257</v>
      </c>
      <c r="C94" s="732">
        <v>4</v>
      </c>
      <c r="D94" s="716">
        <v>134.1</v>
      </c>
      <c r="E94" s="716"/>
      <c r="F94" s="716"/>
      <c r="G94" s="706">
        <f t="shared" si="10"/>
        <v>536.4</v>
      </c>
      <c r="H94" s="123"/>
    </row>
    <row r="95" spans="1:8" x14ac:dyDescent="0.2">
      <c r="A95" s="736"/>
      <c r="B95" s="737" t="s">
        <v>1027</v>
      </c>
      <c r="C95" s="732">
        <v>4</v>
      </c>
      <c r="D95" s="716">
        <f>71.59+34.09</f>
        <v>105.68</v>
      </c>
      <c r="E95" s="716"/>
      <c r="F95" s="716"/>
      <c r="G95" s="706">
        <f t="shared" si="10"/>
        <v>422.72</v>
      </c>
      <c r="H95" s="123"/>
    </row>
    <row r="96" spans="1:8" x14ac:dyDescent="0.2">
      <c r="A96" s="736"/>
      <c r="B96" s="737" t="s">
        <v>1209</v>
      </c>
      <c r="C96" s="732">
        <v>4</v>
      </c>
      <c r="D96" s="716">
        <v>494.74</v>
      </c>
      <c r="E96" s="716"/>
      <c r="F96" s="716"/>
      <c r="G96" s="706">
        <f t="shared" si="10"/>
        <v>1978.96</v>
      </c>
      <c r="H96" s="123"/>
    </row>
    <row r="97" spans="1:8" ht="13.5" thickBot="1" x14ac:dyDescent="0.25">
      <c r="A97" s="775"/>
      <c r="B97" s="776" t="s">
        <v>1044</v>
      </c>
      <c r="C97" s="777">
        <v>1</v>
      </c>
      <c r="D97" s="778">
        <f>4989.76+15651.66</f>
        <v>20641.419999999998</v>
      </c>
      <c r="E97" s="778"/>
      <c r="F97" s="778"/>
      <c r="G97" s="779">
        <f t="shared" si="10"/>
        <v>20641.419999999998</v>
      </c>
      <c r="H97" s="399"/>
    </row>
    <row r="98" spans="1:8" ht="13.5" thickBot="1" x14ac:dyDescent="0.25">
      <c r="A98" s="741"/>
      <c r="B98" s="124" t="s">
        <v>83</v>
      </c>
      <c r="C98" s="711"/>
      <c r="D98" s="733"/>
      <c r="E98" s="733"/>
      <c r="F98" s="733"/>
      <c r="G98" s="125">
        <f>SUM(G92:G97)</f>
        <v>32254.81</v>
      </c>
      <c r="H98" s="126" t="s">
        <v>58</v>
      </c>
    </row>
    <row r="99" spans="1:8" ht="13.5" thickBot="1" x14ac:dyDescent="0.25">
      <c r="A99" s="741"/>
      <c r="B99" s="124"/>
      <c r="C99" s="711"/>
      <c r="D99" s="733"/>
      <c r="E99" s="733"/>
      <c r="F99" s="733"/>
      <c r="G99" s="125">
        <f>G98/1000</f>
        <v>32.25</v>
      </c>
      <c r="H99" s="126" t="s">
        <v>143</v>
      </c>
    </row>
    <row r="100" spans="1:8" x14ac:dyDescent="0.2">
      <c r="A100" s="736"/>
      <c r="B100" s="267"/>
      <c r="C100" s="732"/>
      <c r="D100" s="716"/>
      <c r="E100" s="716"/>
      <c r="F100" s="716"/>
      <c r="G100" s="256"/>
      <c r="H100" s="257"/>
    </row>
    <row r="101" spans="1:8" ht="51" x14ac:dyDescent="0.2">
      <c r="A101" s="736" t="s">
        <v>324</v>
      </c>
      <c r="B101" s="770" t="s">
        <v>265</v>
      </c>
      <c r="C101" s="732"/>
      <c r="D101" s="716"/>
      <c r="E101" s="716"/>
      <c r="F101" s="716"/>
      <c r="G101" s="256"/>
      <c r="H101" s="257"/>
    </row>
    <row r="102" spans="1:8" s="748" customFormat="1" ht="15" x14ac:dyDescent="0.2">
      <c r="A102" s="736"/>
      <c r="B102" s="731" t="s">
        <v>174</v>
      </c>
      <c r="C102" s="732"/>
      <c r="D102" s="716"/>
      <c r="E102" s="716"/>
      <c r="F102" s="716"/>
      <c r="G102" s="122"/>
      <c r="H102" s="123"/>
    </row>
    <row r="103" spans="1:8" s="748" customFormat="1" ht="15" x14ac:dyDescent="0.2">
      <c r="A103" s="736"/>
      <c r="B103" s="747" t="s">
        <v>1089</v>
      </c>
      <c r="C103" s="732"/>
      <c r="D103" s="716"/>
      <c r="E103" s="716"/>
      <c r="F103" s="716"/>
      <c r="G103" s="122"/>
      <c r="H103" s="123"/>
    </row>
    <row r="104" spans="1:8" s="748" customFormat="1" ht="15" x14ac:dyDescent="0.2">
      <c r="A104" s="736"/>
      <c r="B104" s="780" t="s">
        <v>184</v>
      </c>
      <c r="C104" s="718">
        <v>1</v>
      </c>
      <c r="D104" s="716">
        <f>E65</f>
        <v>8.4</v>
      </c>
      <c r="E104" s="716"/>
      <c r="F104" s="716">
        <f>F65</f>
        <v>4.41</v>
      </c>
      <c r="G104" s="706">
        <f t="shared" ref="G104:G118" si="11">ROUND(PRODUCT(C104:F104),2)</f>
        <v>37.04</v>
      </c>
      <c r="H104" s="123"/>
    </row>
    <row r="105" spans="1:8" s="748" customFormat="1" ht="15" x14ac:dyDescent="0.2">
      <c r="A105" s="736"/>
      <c r="B105" s="780" t="s">
        <v>1145</v>
      </c>
      <c r="C105" s="718">
        <v>1</v>
      </c>
      <c r="D105" s="716">
        <f>D104</f>
        <v>8.4</v>
      </c>
      <c r="E105" s="716"/>
      <c r="F105" s="716">
        <v>0.84799999999999998</v>
      </c>
      <c r="G105" s="706">
        <f t="shared" si="11"/>
        <v>7.12</v>
      </c>
      <c r="H105" s="123"/>
    </row>
    <row r="106" spans="1:8" s="748" customFormat="1" ht="15" x14ac:dyDescent="0.2">
      <c r="A106" s="736"/>
      <c r="B106" s="780" t="s">
        <v>1147</v>
      </c>
      <c r="C106" s="718">
        <v>2</v>
      </c>
      <c r="D106" s="716">
        <f>D65</f>
        <v>1.5</v>
      </c>
      <c r="E106" s="716"/>
      <c r="F106" s="716">
        <f>F104</f>
        <v>4.41</v>
      </c>
      <c r="G106" s="706">
        <f t="shared" si="11"/>
        <v>13.23</v>
      </c>
      <c r="H106" s="123"/>
    </row>
    <row r="107" spans="1:8" s="748" customFormat="1" ht="15" x14ac:dyDescent="0.2">
      <c r="A107" s="736"/>
      <c r="B107" s="780" t="s">
        <v>1146</v>
      </c>
      <c r="C107" s="718">
        <v>1</v>
      </c>
      <c r="D107" s="716">
        <f>D105</f>
        <v>8.4</v>
      </c>
      <c r="E107" s="716"/>
      <c r="F107" s="716">
        <v>0.1</v>
      </c>
      <c r="G107" s="706">
        <f t="shared" si="11"/>
        <v>0.84</v>
      </c>
      <c r="H107" s="123"/>
    </row>
    <row r="108" spans="1:8" s="748" customFormat="1" ht="15" x14ac:dyDescent="0.2">
      <c r="A108" s="736"/>
      <c r="B108" s="780" t="s">
        <v>176</v>
      </c>
      <c r="C108" s="718">
        <v>1</v>
      </c>
      <c r="D108" s="716">
        <f>2*(D66+E66)</f>
        <v>21.2</v>
      </c>
      <c r="E108" s="716"/>
      <c r="F108" s="716">
        <f>F66</f>
        <v>0.6</v>
      </c>
      <c r="G108" s="706">
        <f t="shared" si="11"/>
        <v>12.72</v>
      </c>
      <c r="H108" s="123"/>
    </row>
    <row r="109" spans="1:8" s="748" customFormat="1" ht="15" x14ac:dyDescent="0.2">
      <c r="A109" s="736"/>
      <c r="B109" s="780" t="s">
        <v>185</v>
      </c>
      <c r="C109" s="781">
        <v>2</v>
      </c>
      <c r="D109" s="705">
        <f>(E79+D79)</f>
        <v>8.8000000000000007</v>
      </c>
      <c r="E109" s="705"/>
      <c r="F109" s="705">
        <f>F69</f>
        <v>4.4749999999999996</v>
      </c>
      <c r="G109" s="706">
        <f t="shared" si="11"/>
        <v>78.760000000000005</v>
      </c>
      <c r="H109" s="123"/>
    </row>
    <row r="110" spans="1:8" s="748" customFormat="1" ht="15" x14ac:dyDescent="0.2">
      <c r="A110" s="736"/>
      <c r="B110" s="742" t="s">
        <v>1168</v>
      </c>
      <c r="C110" s="718">
        <v>2</v>
      </c>
      <c r="D110" s="716"/>
      <c r="E110" s="716">
        <f>D69</f>
        <v>0.4</v>
      </c>
      <c r="F110" s="716">
        <f>F109</f>
        <v>4.4749999999999996</v>
      </c>
      <c r="G110" s="706">
        <f>ROUND(PRODUCT(C110:F110),2)</f>
        <v>3.58</v>
      </c>
      <c r="H110" s="123"/>
    </row>
    <row r="111" spans="1:8" s="748" customFormat="1" ht="15" x14ac:dyDescent="0.2">
      <c r="A111" s="736"/>
      <c r="B111" s="742" t="s">
        <v>1169</v>
      </c>
      <c r="C111" s="718">
        <v>1</v>
      </c>
      <c r="D111" s="716">
        <f>D104</f>
        <v>8.4</v>
      </c>
      <c r="E111" s="716"/>
      <c r="F111" s="716">
        <f>0.25+0.25</f>
        <v>0.5</v>
      </c>
      <c r="G111" s="706">
        <f t="shared" ref="G111:G112" si="12">ROUND(PRODUCT(C111:F111),2)</f>
        <v>4.2</v>
      </c>
      <c r="H111" s="123"/>
    </row>
    <row r="112" spans="1:8" s="748" customFormat="1" ht="15" x14ac:dyDescent="0.2">
      <c r="A112" s="736"/>
      <c r="B112" s="737" t="s">
        <v>1026</v>
      </c>
      <c r="C112" s="718">
        <v>1</v>
      </c>
      <c r="D112" s="716">
        <f>D104</f>
        <v>8.4</v>
      </c>
      <c r="E112" s="716"/>
      <c r="F112" s="716">
        <f>SQRT(D70^2+D70^2)+D70</f>
        <v>0.60399999999999998</v>
      </c>
      <c r="G112" s="706">
        <f t="shared" si="12"/>
        <v>5.07</v>
      </c>
      <c r="H112" s="123"/>
    </row>
    <row r="113" spans="1:8" s="748" customFormat="1" ht="15" x14ac:dyDescent="0.2">
      <c r="A113" s="736"/>
      <c r="B113" s="780" t="s">
        <v>1254</v>
      </c>
      <c r="C113" s="718">
        <v>2</v>
      </c>
      <c r="D113" s="716">
        <f>2*(D68+E68)</f>
        <v>4</v>
      </c>
      <c r="E113" s="716"/>
      <c r="F113" s="716">
        <f>F68</f>
        <v>0.5</v>
      </c>
      <c r="G113" s="706">
        <f t="shared" si="11"/>
        <v>4</v>
      </c>
      <c r="H113" s="123"/>
    </row>
    <row r="114" spans="1:8" s="748" customFormat="1" ht="15" x14ac:dyDescent="0.2">
      <c r="A114" s="736"/>
      <c r="B114" s="780" t="s">
        <v>236</v>
      </c>
      <c r="C114" s="718">
        <v>2</v>
      </c>
      <c r="D114" s="716">
        <v>3.5</v>
      </c>
      <c r="E114" s="716"/>
      <c r="F114" s="716">
        <f>(2.725+(2.725+1.75))/2</f>
        <v>3.6</v>
      </c>
      <c r="G114" s="706">
        <f t="shared" si="11"/>
        <v>25.2</v>
      </c>
      <c r="H114" s="123"/>
    </row>
    <row r="115" spans="1:8" s="748" customFormat="1" ht="15" x14ac:dyDescent="0.2">
      <c r="A115" s="736"/>
      <c r="B115" s="780"/>
      <c r="C115" s="718">
        <v>2</v>
      </c>
      <c r="D115" s="716">
        <v>3.2</v>
      </c>
      <c r="E115" s="716"/>
      <c r="F115" s="716">
        <f>F114</f>
        <v>3.6</v>
      </c>
      <c r="G115" s="706">
        <f t="shared" si="11"/>
        <v>23.04</v>
      </c>
      <c r="H115" s="123"/>
    </row>
    <row r="116" spans="1:8" s="748" customFormat="1" ht="15" x14ac:dyDescent="0.2">
      <c r="A116" s="736"/>
      <c r="B116" s="780" t="s">
        <v>1148</v>
      </c>
      <c r="C116" s="718">
        <v>2</v>
      </c>
      <c r="D116" s="716"/>
      <c r="E116" s="716">
        <v>0.4</v>
      </c>
      <c r="F116" s="716">
        <v>2.7250000000000001</v>
      </c>
      <c r="G116" s="706">
        <f t="shared" si="11"/>
        <v>2.1800000000000002</v>
      </c>
      <c r="H116" s="123"/>
    </row>
    <row r="117" spans="1:8" s="748" customFormat="1" ht="15" x14ac:dyDescent="0.2">
      <c r="A117" s="736"/>
      <c r="B117" s="780" t="s">
        <v>1149</v>
      </c>
      <c r="C117" s="718">
        <v>2</v>
      </c>
      <c r="D117" s="716"/>
      <c r="E117" s="716">
        <v>0.4</v>
      </c>
      <c r="F117" s="716">
        <f>SQRT(1.75^2+(3.1-0.3)^2)</f>
        <v>3.302</v>
      </c>
      <c r="G117" s="706">
        <f t="shared" si="11"/>
        <v>2.64</v>
      </c>
      <c r="H117" s="123"/>
    </row>
    <row r="118" spans="1:8" s="748" customFormat="1" ht="15" x14ac:dyDescent="0.2">
      <c r="A118" s="736"/>
      <c r="B118" s="780" t="s">
        <v>242</v>
      </c>
      <c r="C118" s="718">
        <v>2</v>
      </c>
      <c r="D118" s="716">
        <f>SQRT(0.3^2+0.3^2)</f>
        <v>0.42399999999999999</v>
      </c>
      <c r="E118" s="716"/>
      <c r="F118" s="716">
        <f>F109</f>
        <v>4.4749999999999996</v>
      </c>
      <c r="G118" s="706">
        <f t="shared" si="11"/>
        <v>3.79</v>
      </c>
      <c r="H118" s="123"/>
    </row>
    <row r="119" spans="1:8" s="748" customFormat="1" ht="15" x14ac:dyDescent="0.2">
      <c r="A119" s="736"/>
      <c r="B119" s="780" t="s">
        <v>1170</v>
      </c>
      <c r="C119" s="718"/>
      <c r="D119" s="716"/>
      <c r="E119" s="716"/>
      <c r="F119" s="716"/>
      <c r="G119" s="706"/>
      <c r="H119" s="123"/>
    </row>
    <row r="120" spans="1:8" s="748" customFormat="1" ht="15" x14ac:dyDescent="0.2">
      <c r="A120" s="736"/>
      <c r="B120" s="782" t="s">
        <v>1171</v>
      </c>
      <c r="C120" s="718">
        <f>2*2</f>
        <v>4</v>
      </c>
      <c r="D120" s="783"/>
      <c r="E120" s="716">
        <f>D88</f>
        <v>0.9</v>
      </c>
      <c r="F120" s="716">
        <f>F88</f>
        <v>0.9</v>
      </c>
      <c r="G120" s="746">
        <f>ROUND(PRODUCT(C120:F120),2)</f>
        <v>3.24</v>
      </c>
      <c r="H120" s="123"/>
    </row>
    <row r="121" spans="1:8" s="748" customFormat="1" ht="15" x14ac:dyDescent="0.2">
      <c r="A121" s="736"/>
      <c r="B121" s="784" t="s">
        <v>1172</v>
      </c>
      <c r="C121" s="718">
        <f>2*2</f>
        <v>4</v>
      </c>
      <c r="D121" s="719"/>
      <c r="E121" s="716">
        <f>E88</f>
        <v>1.8</v>
      </c>
      <c r="F121" s="716">
        <f>F88</f>
        <v>0.9</v>
      </c>
      <c r="G121" s="746">
        <f t="shared" ref="G121:G125" si="13">ROUND(PRODUCT(C121:F121),2)</f>
        <v>6.48</v>
      </c>
      <c r="H121" s="123"/>
    </row>
    <row r="122" spans="1:8" s="748" customFormat="1" ht="15" x14ac:dyDescent="0.2">
      <c r="A122" s="736"/>
      <c r="B122" s="784" t="s">
        <v>1168</v>
      </c>
      <c r="C122" s="718">
        <f>2*2*2</f>
        <v>8</v>
      </c>
      <c r="D122" s="719"/>
      <c r="E122" s="716">
        <v>0.9</v>
      </c>
      <c r="F122" s="716">
        <f>F121</f>
        <v>0.9</v>
      </c>
      <c r="G122" s="746">
        <f t="shared" si="13"/>
        <v>6.48</v>
      </c>
      <c r="H122" s="123"/>
    </row>
    <row r="123" spans="1:8" s="748" customFormat="1" ht="15" x14ac:dyDescent="0.2">
      <c r="A123" s="736"/>
      <c r="B123" s="747" t="s">
        <v>1090</v>
      </c>
      <c r="C123" s="732"/>
      <c r="D123" s="716"/>
      <c r="E123" s="716"/>
      <c r="F123" s="716"/>
      <c r="G123" s="122"/>
      <c r="H123" s="123"/>
    </row>
    <row r="124" spans="1:8" s="748" customFormat="1" ht="15" x14ac:dyDescent="0.2">
      <c r="A124" s="736"/>
      <c r="B124" s="780" t="s">
        <v>1255</v>
      </c>
      <c r="C124" s="732">
        <v>1</v>
      </c>
      <c r="D124" s="716">
        <f>E75</f>
        <v>8.4</v>
      </c>
      <c r="E124" s="716"/>
      <c r="F124" s="716">
        <v>0.3</v>
      </c>
      <c r="G124" s="746">
        <f t="shared" si="13"/>
        <v>2.52</v>
      </c>
      <c r="H124" s="123"/>
    </row>
    <row r="125" spans="1:8" s="748" customFormat="1" ht="15" x14ac:dyDescent="0.2">
      <c r="A125" s="736"/>
      <c r="B125" s="780" t="s">
        <v>1256</v>
      </c>
      <c r="C125" s="732">
        <v>2</v>
      </c>
      <c r="D125" s="716">
        <v>1.8</v>
      </c>
      <c r="E125" s="716"/>
      <c r="F125" s="716">
        <f>F124</f>
        <v>0.3</v>
      </c>
      <c r="G125" s="746">
        <f t="shared" si="13"/>
        <v>1.08</v>
      </c>
      <c r="H125" s="123"/>
    </row>
    <row r="126" spans="1:8" s="748" customFormat="1" ht="15" x14ac:dyDescent="0.2">
      <c r="A126" s="736"/>
      <c r="B126" s="780" t="s">
        <v>185</v>
      </c>
      <c r="C126" s="732">
        <v>2</v>
      </c>
      <c r="D126" s="716">
        <f>D109</f>
        <v>8.8000000000000007</v>
      </c>
      <c r="E126" s="716"/>
      <c r="F126" s="716">
        <f>F109</f>
        <v>4.4749999999999996</v>
      </c>
      <c r="G126" s="746">
        <f t="shared" ref="G126" si="14">ROUND(PRODUCT(C126:F126),2)</f>
        <v>78.760000000000005</v>
      </c>
      <c r="H126" s="123"/>
    </row>
    <row r="127" spans="1:8" s="748" customFormat="1" ht="15" x14ac:dyDescent="0.2">
      <c r="A127" s="736"/>
      <c r="B127" s="1158" t="s">
        <v>1168</v>
      </c>
      <c r="C127" s="718">
        <v>2</v>
      </c>
      <c r="D127" s="716"/>
      <c r="E127" s="716">
        <f>E110</f>
        <v>0.4</v>
      </c>
      <c r="F127" s="716">
        <f>F110</f>
        <v>4.4749999999999996</v>
      </c>
      <c r="G127" s="706">
        <f>ROUND(PRODUCT(C127:F127),2)</f>
        <v>3.58</v>
      </c>
      <c r="H127" s="123"/>
    </row>
    <row r="128" spans="1:8" s="748" customFormat="1" ht="15" x14ac:dyDescent="0.2">
      <c r="A128" s="736"/>
      <c r="B128" s="742" t="s">
        <v>1169</v>
      </c>
      <c r="C128" s="718">
        <v>1</v>
      </c>
      <c r="D128" s="716">
        <f>D111</f>
        <v>8.4</v>
      </c>
      <c r="E128" s="716"/>
      <c r="F128" s="716">
        <f>F111</f>
        <v>0.5</v>
      </c>
      <c r="G128" s="706">
        <f t="shared" ref="G128" si="15">ROUND(PRODUCT(C128:F128),2)</f>
        <v>4.2</v>
      </c>
      <c r="H128" s="123"/>
    </row>
    <row r="129" spans="1:8" s="748" customFormat="1" ht="15" x14ac:dyDescent="0.2">
      <c r="A129" s="736"/>
      <c r="B129" s="780" t="s">
        <v>1254</v>
      </c>
      <c r="C129" s="718">
        <v>2</v>
      </c>
      <c r="D129" s="716">
        <f>D113</f>
        <v>4</v>
      </c>
      <c r="E129" s="716"/>
      <c r="F129" s="716">
        <f>F113</f>
        <v>0.5</v>
      </c>
      <c r="G129" s="706">
        <f>ROUND(PRODUCT(C129:F129),2)</f>
        <v>4</v>
      </c>
      <c r="H129" s="123"/>
    </row>
    <row r="130" spans="1:8" s="748" customFormat="1" ht="15" x14ac:dyDescent="0.2">
      <c r="A130" s="736"/>
      <c r="B130" s="780" t="s">
        <v>236</v>
      </c>
      <c r="C130" s="718">
        <f>C114</f>
        <v>2</v>
      </c>
      <c r="D130" s="716">
        <f>D114</f>
        <v>3.5</v>
      </c>
      <c r="E130" s="716"/>
      <c r="F130" s="716">
        <f>F114</f>
        <v>3.6</v>
      </c>
      <c r="G130" s="706">
        <f t="shared" ref="G130:G131" si="16">ROUND(PRODUCT(C130:F130),2)</f>
        <v>25.2</v>
      </c>
      <c r="H130" s="123"/>
    </row>
    <row r="131" spans="1:8" s="748" customFormat="1" ht="15" x14ac:dyDescent="0.2">
      <c r="A131" s="736"/>
      <c r="B131" s="780"/>
      <c r="C131" s="718">
        <f>C115</f>
        <v>2</v>
      </c>
      <c r="D131" s="716">
        <f>D115</f>
        <v>3.2</v>
      </c>
      <c r="E131" s="716"/>
      <c r="F131" s="716">
        <f>F115</f>
        <v>3.6</v>
      </c>
      <c r="G131" s="706">
        <f t="shared" si="16"/>
        <v>23.04</v>
      </c>
      <c r="H131" s="123"/>
    </row>
    <row r="132" spans="1:8" s="748" customFormat="1" ht="15" x14ac:dyDescent="0.2">
      <c r="A132" s="736"/>
      <c r="B132" s="780" t="s">
        <v>1148</v>
      </c>
      <c r="C132" s="718">
        <f>C116</f>
        <v>2</v>
      </c>
      <c r="D132" s="716"/>
      <c r="E132" s="716">
        <f>E116</f>
        <v>0.4</v>
      </c>
      <c r="F132" s="716">
        <f>F116</f>
        <v>2.7250000000000001</v>
      </c>
      <c r="G132" s="706">
        <f t="shared" ref="G132:G134" si="17">ROUND(PRODUCT(C132:F132),2)</f>
        <v>2.1800000000000002</v>
      </c>
      <c r="H132" s="123"/>
    </row>
    <row r="133" spans="1:8" s="748" customFormat="1" ht="15" x14ac:dyDescent="0.2">
      <c r="A133" s="736"/>
      <c r="B133" s="780" t="s">
        <v>242</v>
      </c>
      <c r="C133" s="718"/>
      <c r="D133" s="716"/>
      <c r="E133" s="716"/>
      <c r="F133" s="716"/>
      <c r="G133" s="706"/>
      <c r="H133" s="123"/>
    </row>
    <row r="134" spans="1:8" s="748" customFormat="1" ht="15" x14ac:dyDescent="0.2">
      <c r="A134" s="736"/>
      <c r="B134" s="780" t="s">
        <v>1149</v>
      </c>
      <c r="C134" s="718">
        <f>C117</f>
        <v>2</v>
      </c>
      <c r="D134" s="716"/>
      <c r="E134" s="716">
        <f>E117</f>
        <v>0.4</v>
      </c>
      <c r="F134" s="716">
        <f>F117</f>
        <v>3.302</v>
      </c>
      <c r="G134" s="706">
        <f t="shared" si="17"/>
        <v>2.64</v>
      </c>
      <c r="H134" s="123"/>
    </row>
    <row r="135" spans="1:8" s="748" customFormat="1" ht="15" x14ac:dyDescent="0.2">
      <c r="A135" s="736"/>
      <c r="B135" s="780" t="s">
        <v>1170</v>
      </c>
      <c r="C135" s="718"/>
      <c r="D135" s="716"/>
      <c r="E135" s="716"/>
      <c r="F135" s="716"/>
      <c r="G135" s="706"/>
      <c r="H135" s="123"/>
    </row>
    <row r="136" spans="1:8" s="748" customFormat="1" ht="15" x14ac:dyDescent="0.2">
      <c r="A136" s="736"/>
      <c r="B136" s="782" t="s">
        <v>1171</v>
      </c>
      <c r="C136" s="718">
        <f>C120</f>
        <v>4</v>
      </c>
      <c r="D136" s="783"/>
      <c r="E136" s="719">
        <f>E120</f>
        <v>0.9</v>
      </c>
      <c r="F136" s="719">
        <f>F120</f>
        <v>0.9</v>
      </c>
      <c r="G136" s="746">
        <f>ROUND(PRODUCT(C136:F136),2)</f>
        <v>3.24</v>
      </c>
      <c r="H136" s="123"/>
    </row>
    <row r="137" spans="1:8" s="748" customFormat="1" ht="15" x14ac:dyDescent="0.2">
      <c r="A137" s="736"/>
      <c r="B137" s="784" t="s">
        <v>1172</v>
      </c>
      <c r="C137" s="718">
        <f>C121</f>
        <v>4</v>
      </c>
      <c r="D137" s="719"/>
      <c r="E137" s="719">
        <f>E121</f>
        <v>1.8</v>
      </c>
      <c r="F137" s="719">
        <f>F121</f>
        <v>0.9</v>
      </c>
      <c r="G137" s="746">
        <f t="shared" ref="G137:G138" si="18">ROUND(PRODUCT(C137:F137),2)</f>
        <v>6.48</v>
      </c>
      <c r="H137" s="123"/>
    </row>
    <row r="138" spans="1:8" s="748" customFormat="1" ht="15" x14ac:dyDescent="0.2">
      <c r="A138" s="736"/>
      <c r="B138" s="1160" t="s">
        <v>1168</v>
      </c>
      <c r="C138" s="718">
        <f>C122</f>
        <v>8</v>
      </c>
      <c r="D138" s="719"/>
      <c r="E138" s="719">
        <f>E122</f>
        <v>0.9</v>
      </c>
      <c r="F138" s="719">
        <f>F122</f>
        <v>0.9</v>
      </c>
      <c r="G138" s="746">
        <f t="shared" si="18"/>
        <v>6.48</v>
      </c>
      <c r="H138" s="123"/>
    </row>
    <row r="139" spans="1:8" x14ac:dyDescent="0.2">
      <c r="A139" s="736"/>
      <c r="B139" s="743" t="s">
        <v>1044</v>
      </c>
      <c r="C139" s="732"/>
      <c r="D139" s="716"/>
      <c r="E139" s="716"/>
      <c r="F139" s="716"/>
      <c r="G139" s="706"/>
      <c r="H139" s="123"/>
    </row>
    <row r="140" spans="1:8" x14ac:dyDescent="0.2">
      <c r="A140" s="736"/>
      <c r="B140" s="780" t="s">
        <v>1047</v>
      </c>
      <c r="C140" s="718">
        <f>number_pier</f>
        <v>1</v>
      </c>
      <c r="D140" s="716" t="s">
        <v>1048</v>
      </c>
      <c r="E140" s="716">
        <f>2*PI()*1.2</f>
        <v>7.54</v>
      </c>
      <c r="F140" s="716">
        <f>F85</f>
        <v>15.01</v>
      </c>
      <c r="G140" s="706">
        <f>ROUND(PRODUCT(C140:F140),2)</f>
        <v>113.18</v>
      </c>
      <c r="H140" s="123"/>
    </row>
    <row r="141" spans="1:8" x14ac:dyDescent="0.2">
      <c r="A141" s="736"/>
      <c r="B141" s="1157" t="s">
        <v>1173</v>
      </c>
      <c r="C141" s="718">
        <v>2</v>
      </c>
      <c r="D141" s="716">
        <f>2*((5.8+2.8)/2+(4.25+2.8)/2)</f>
        <v>15.65</v>
      </c>
      <c r="E141" s="716"/>
      <c r="F141" s="716">
        <v>1</v>
      </c>
      <c r="G141" s="706">
        <f t="shared" ref="G141:G147" si="19">ROUND(PRODUCT(C141:F141),2)</f>
        <v>31.3</v>
      </c>
      <c r="H141" s="123"/>
    </row>
    <row r="142" spans="1:8" x14ac:dyDescent="0.2">
      <c r="A142" s="738"/>
      <c r="B142" s="739" t="s">
        <v>1174</v>
      </c>
      <c r="C142" s="718">
        <v>2</v>
      </c>
      <c r="D142" s="722">
        <f>2*(D87+E87)</f>
        <v>20.100000000000001</v>
      </c>
      <c r="E142" s="722"/>
      <c r="F142" s="722">
        <f>F87</f>
        <v>1</v>
      </c>
      <c r="G142" s="706">
        <f t="shared" si="19"/>
        <v>40.200000000000003</v>
      </c>
      <c r="H142" s="266"/>
    </row>
    <row r="143" spans="1:8" x14ac:dyDescent="0.2">
      <c r="A143" s="738"/>
      <c r="B143" s="739" t="s">
        <v>247</v>
      </c>
      <c r="C143" s="739"/>
      <c r="D143" s="739"/>
      <c r="E143" s="722"/>
      <c r="F143" s="722"/>
      <c r="G143" s="706"/>
      <c r="H143" s="266"/>
    </row>
    <row r="144" spans="1:8" x14ac:dyDescent="0.2">
      <c r="A144" s="738"/>
      <c r="B144" s="785" t="s">
        <v>1171</v>
      </c>
      <c r="C144" s="785">
        <f>2*4</f>
        <v>8</v>
      </c>
      <c r="D144" s="739"/>
      <c r="E144" s="719">
        <v>0.9</v>
      </c>
      <c r="F144" s="719">
        <v>1.57</v>
      </c>
      <c r="G144" s="746">
        <f>ROUND(PRODUCT(C144:F144),2)</f>
        <v>11.3</v>
      </c>
      <c r="H144" s="266"/>
    </row>
    <row r="145" spans="1:8" x14ac:dyDescent="0.2">
      <c r="A145" s="738"/>
      <c r="B145" s="784" t="s">
        <v>1172</v>
      </c>
      <c r="C145" s="718">
        <f>2*4</f>
        <v>8</v>
      </c>
      <c r="D145" s="719"/>
      <c r="E145" s="719">
        <v>0.9</v>
      </c>
      <c r="F145" s="716">
        <v>1.35</v>
      </c>
      <c r="G145" s="746">
        <f t="shared" ref="G145:G146" si="20">ROUND(PRODUCT(C145:F145),2)</f>
        <v>9.7200000000000006</v>
      </c>
      <c r="H145" s="266"/>
    </row>
    <row r="146" spans="1:8" x14ac:dyDescent="0.2">
      <c r="A146" s="738"/>
      <c r="B146" s="1160" t="s">
        <v>1168</v>
      </c>
      <c r="C146" s="718">
        <f>2*2*4</f>
        <v>16</v>
      </c>
      <c r="D146" s="719"/>
      <c r="E146" s="719">
        <v>0.9</v>
      </c>
      <c r="F146" s="716">
        <v>1.35</v>
      </c>
      <c r="G146" s="746">
        <f t="shared" si="20"/>
        <v>19.440000000000001</v>
      </c>
      <c r="H146" s="266"/>
    </row>
    <row r="147" spans="1:8" ht="13.5" thickBot="1" x14ac:dyDescent="0.25">
      <c r="A147" s="738"/>
      <c r="B147" s="739" t="s">
        <v>1049</v>
      </c>
      <c r="C147" s="718">
        <v>4</v>
      </c>
      <c r="D147" s="716">
        <f>2*(D89+E89)</f>
        <v>4</v>
      </c>
      <c r="E147" s="716"/>
      <c r="F147" s="716">
        <f>F89</f>
        <v>0.5</v>
      </c>
      <c r="G147" s="706">
        <f t="shared" si="19"/>
        <v>8</v>
      </c>
      <c r="H147" s="266"/>
    </row>
    <row r="148" spans="1:8" ht="13.5" thickBot="1" x14ac:dyDescent="0.25">
      <c r="A148" s="741"/>
      <c r="B148" s="124" t="s">
        <v>83</v>
      </c>
      <c r="C148" s="711"/>
      <c r="D148" s="733"/>
      <c r="E148" s="733"/>
      <c r="F148" s="733"/>
      <c r="G148" s="125">
        <f>SUM(G104:G147)</f>
        <v>636.15</v>
      </c>
      <c r="H148" s="126" t="s">
        <v>249</v>
      </c>
    </row>
    <row r="149" spans="1:8" x14ac:dyDescent="0.2">
      <c r="A149" s="775"/>
      <c r="B149" s="127"/>
      <c r="C149" s="777"/>
      <c r="D149" s="778"/>
      <c r="E149" s="778"/>
      <c r="F149" s="778"/>
      <c r="G149" s="128"/>
      <c r="H149" s="262"/>
    </row>
    <row r="150" spans="1:8" ht="63.75" x14ac:dyDescent="0.2">
      <c r="A150" s="736" t="s">
        <v>325</v>
      </c>
      <c r="B150" s="786" t="s">
        <v>252</v>
      </c>
      <c r="C150" s="732"/>
      <c r="D150" s="716"/>
      <c r="E150" s="716"/>
      <c r="F150" s="716"/>
      <c r="G150" s="256"/>
      <c r="H150" s="259"/>
    </row>
    <row r="151" spans="1:8" x14ac:dyDescent="0.2">
      <c r="A151" s="736"/>
      <c r="B151" s="786" t="s">
        <v>1087</v>
      </c>
      <c r="C151" s="732">
        <v>1</v>
      </c>
      <c r="D151" s="716">
        <f>E65</f>
        <v>8.4</v>
      </c>
      <c r="E151" s="716"/>
      <c r="F151" s="716">
        <v>9.36</v>
      </c>
      <c r="G151" s="706">
        <f>ROUND(PRODUCT(C151:F151),2)</f>
        <v>78.62</v>
      </c>
      <c r="H151" s="257"/>
    </row>
    <row r="152" spans="1:8" ht="13.5" thickBot="1" x14ac:dyDescent="0.25">
      <c r="A152" s="736"/>
      <c r="B152" s="786" t="s">
        <v>1097</v>
      </c>
      <c r="C152" s="732">
        <v>1</v>
      </c>
      <c r="D152" s="716">
        <f>E75</f>
        <v>8.4</v>
      </c>
      <c r="E152" s="716"/>
      <c r="F152" s="716">
        <v>3.8849999999999998</v>
      </c>
      <c r="G152" s="706">
        <f>ROUND(PRODUCT(C152:F152),2)</f>
        <v>32.630000000000003</v>
      </c>
      <c r="H152" s="259"/>
    </row>
    <row r="153" spans="1:8" ht="13.5" thickBot="1" x14ac:dyDescent="0.25">
      <c r="A153" s="741"/>
      <c r="B153" s="124" t="s">
        <v>83</v>
      </c>
      <c r="C153" s="711"/>
      <c r="D153" s="733"/>
      <c r="E153" s="733"/>
      <c r="F153" s="733"/>
      <c r="G153" s="125">
        <f>SUM(G151:G152)</f>
        <v>111.25</v>
      </c>
      <c r="H153" s="126" t="s">
        <v>249</v>
      </c>
    </row>
    <row r="154" spans="1:8" ht="89.25" x14ac:dyDescent="0.2">
      <c r="A154" s="775" t="s">
        <v>1217</v>
      </c>
      <c r="B154" s="787" t="s">
        <v>1183</v>
      </c>
      <c r="C154" s="788"/>
      <c r="D154" s="789"/>
      <c r="E154" s="789"/>
      <c r="F154" s="789"/>
      <c r="G154" s="512"/>
      <c r="H154" s="129"/>
    </row>
    <row r="155" spans="1:8" ht="13.5" thickBot="1" x14ac:dyDescent="0.25">
      <c r="A155" s="790"/>
      <c r="B155" s="1161" t="s">
        <v>1176</v>
      </c>
      <c r="C155" s="746">
        <v>22</v>
      </c>
      <c r="D155" s="746">
        <f>(1.3+1.558)/2+0.1</f>
        <v>1.53</v>
      </c>
      <c r="E155" s="746"/>
      <c r="F155" s="746"/>
      <c r="G155" s="746">
        <f>ROUND(PRODUCT(C155:F155),2)</f>
        <v>33.659999999999997</v>
      </c>
      <c r="H155" s="129"/>
    </row>
    <row r="156" spans="1:8" ht="13.5" thickBot="1" x14ac:dyDescent="0.25">
      <c r="A156" s="741"/>
      <c r="B156" s="124" t="s">
        <v>83</v>
      </c>
      <c r="C156" s="124"/>
      <c r="D156" s="733"/>
      <c r="E156" s="733"/>
      <c r="F156" s="733"/>
      <c r="G156" s="125">
        <f>G155</f>
        <v>33.659999999999997</v>
      </c>
      <c r="H156" s="126" t="s">
        <v>63</v>
      </c>
    </row>
    <row r="157" spans="1:8" x14ac:dyDescent="0.2">
      <c r="A157" s="791" t="s">
        <v>88</v>
      </c>
      <c r="B157" s="792" t="s">
        <v>87</v>
      </c>
      <c r="C157" s="793"/>
      <c r="D157" s="794"/>
      <c r="E157" s="794"/>
      <c r="F157" s="794"/>
      <c r="G157" s="706"/>
      <c r="H157" s="795"/>
    </row>
    <row r="158" spans="1:8" ht="39" thickBot="1" x14ac:dyDescent="0.25">
      <c r="A158" s="181" t="s">
        <v>1050</v>
      </c>
      <c r="B158" s="717" t="s">
        <v>1139</v>
      </c>
      <c r="C158" s="781">
        <v>2</v>
      </c>
      <c r="D158" s="705">
        <v>3.5</v>
      </c>
      <c r="E158" s="705">
        <f>8.6</f>
        <v>8.6</v>
      </c>
      <c r="F158" s="705">
        <v>0.1</v>
      </c>
      <c r="G158" s="706">
        <f>ROUND(PRODUCT(C158:F158),2)</f>
        <v>6.02</v>
      </c>
      <c r="H158" s="795"/>
    </row>
    <row r="159" spans="1:8" ht="13.5" thickBot="1" x14ac:dyDescent="0.25">
      <c r="A159" s="741"/>
      <c r="B159" s="124" t="s">
        <v>83</v>
      </c>
      <c r="C159" s="711"/>
      <c r="D159" s="733"/>
      <c r="E159" s="733"/>
      <c r="F159" s="733"/>
      <c r="G159" s="125">
        <f>SUM(G158)</f>
        <v>6.02</v>
      </c>
      <c r="H159" s="126" t="s">
        <v>250</v>
      </c>
    </row>
    <row r="160" spans="1:8" x14ac:dyDescent="0.2">
      <c r="A160" s="791"/>
      <c r="B160" s="792"/>
      <c r="C160" s="793"/>
      <c r="D160" s="794"/>
      <c r="E160" s="794"/>
      <c r="F160" s="794"/>
      <c r="G160" s="706"/>
      <c r="H160" s="795"/>
    </row>
    <row r="161" spans="1:9" ht="38.25" x14ac:dyDescent="0.2">
      <c r="A161" s="796" t="s">
        <v>1054</v>
      </c>
      <c r="B161" s="717" t="s">
        <v>169</v>
      </c>
      <c r="C161" s="718"/>
      <c r="D161" s="716"/>
      <c r="E161" s="716"/>
      <c r="F161" s="716"/>
      <c r="G161" s="122"/>
      <c r="H161" s="123"/>
    </row>
    <row r="162" spans="1:9" x14ac:dyDescent="0.2">
      <c r="A162" s="797">
        <v>1.1000000000000001</v>
      </c>
      <c r="B162" s="720" t="s">
        <v>193</v>
      </c>
      <c r="C162" s="718"/>
      <c r="D162" s="716"/>
      <c r="E162" s="716"/>
      <c r="F162" s="716"/>
      <c r="G162" s="122"/>
      <c r="H162" s="123"/>
    </row>
    <row r="163" spans="1:9" x14ac:dyDescent="0.2">
      <c r="A163" s="796"/>
      <c r="B163" s="720" t="s">
        <v>1258</v>
      </c>
      <c r="C163" s="718"/>
      <c r="D163" s="716"/>
      <c r="E163" s="716"/>
      <c r="F163" s="716"/>
      <c r="G163" s="122"/>
      <c r="H163" s="123"/>
    </row>
    <row r="164" spans="1:9" ht="25.5" x14ac:dyDescent="0.2">
      <c r="A164" s="796"/>
      <c r="B164" s="1163" t="s">
        <v>1211</v>
      </c>
      <c r="C164" s="718">
        <v>2</v>
      </c>
      <c r="D164" s="959">
        <v>34.299999999999997</v>
      </c>
      <c r="E164" s="959"/>
      <c r="F164" s="959"/>
      <c r="G164" s="706">
        <f t="shared" ref="G164:G170" si="21">ROUND(PRODUCT(C164:F164),2)</f>
        <v>68.599999999999994</v>
      </c>
      <c r="H164" s="123"/>
      <c r="I164" s="798"/>
    </row>
    <row r="165" spans="1:9" x14ac:dyDescent="0.2">
      <c r="A165" s="796"/>
      <c r="B165" s="799" t="s">
        <v>187</v>
      </c>
      <c r="C165" s="704"/>
      <c r="D165" s="705"/>
      <c r="E165" s="705"/>
      <c r="F165" s="705"/>
      <c r="G165" s="706"/>
      <c r="H165" s="123"/>
    </row>
    <row r="166" spans="1:9" x14ac:dyDescent="0.2">
      <c r="A166" s="796"/>
      <c r="B166" s="182" t="s">
        <v>894</v>
      </c>
      <c r="C166" s="704">
        <f>number_approachslab</f>
        <v>2</v>
      </c>
      <c r="D166" s="705">
        <f>length_approachslab</f>
        <v>3.5</v>
      </c>
      <c r="E166" s="716">
        <v>8.6</v>
      </c>
      <c r="F166" s="716">
        <v>0.3</v>
      </c>
      <c r="G166" s="706">
        <f t="shared" si="21"/>
        <v>18.059999999999999</v>
      </c>
      <c r="H166" s="123"/>
    </row>
    <row r="167" spans="1:9" x14ac:dyDescent="0.2">
      <c r="A167" s="796"/>
      <c r="B167" s="717" t="s">
        <v>188</v>
      </c>
      <c r="C167" s="718">
        <f>number_enddeck*2</f>
        <v>4</v>
      </c>
      <c r="D167" s="705">
        <v>3.9</v>
      </c>
      <c r="E167" s="716" t="s">
        <v>1051</v>
      </c>
      <c r="F167" s="716">
        <f>area_kerb</f>
        <v>0.10199999999999999</v>
      </c>
      <c r="G167" s="706">
        <f t="shared" si="21"/>
        <v>1.59</v>
      </c>
      <c r="H167" s="123"/>
    </row>
    <row r="168" spans="1:9" x14ac:dyDescent="0.2">
      <c r="A168" s="796"/>
      <c r="B168" s="717" t="s">
        <v>1052</v>
      </c>
      <c r="C168" s="718">
        <f>number_enddeck*2</f>
        <v>4</v>
      </c>
      <c r="D168" s="705">
        <v>3.9</v>
      </c>
      <c r="E168" s="716" t="s">
        <v>1051</v>
      </c>
      <c r="F168" s="716">
        <f>area_railingpostbase</f>
        <v>0.09</v>
      </c>
      <c r="G168" s="706">
        <f t="shared" si="21"/>
        <v>1.4</v>
      </c>
      <c r="H168" s="123"/>
    </row>
    <row r="169" spans="1:9" x14ac:dyDescent="0.2">
      <c r="A169" s="800"/>
      <c r="B169" s="725" t="s">
        <v>248</v>
      </c>
      <c r="C169" s="718">
        <f>number_enddeck*2</f>
        <v>4</v>
      </c>
      <c r="D169" s="705">
        <f>length_approachslab</f>
        <v>3.5</v>
      </c>
      <c r="E169" s="705">
        <v>1.3</v>
      </c>
      <c r="F169" s="705">
        <f>thickness_footpathslab</f>
        <v>0.15</v>
      </c>
      <c r="G169" s="706">
        <f t="shared" si="21"/>
        <v>2.73</v>
      </c>
      <c r="H169" s="123"/>
    </row>
    <row r="170" spans="1:9" ht="13.5" thickBot="1" x14ac:dyDescent="0.25">
      <c r="A170" s="800"/>
      <c r="B170" s="182" t="s">
        <v>1053</v>
      </c>
      <c r="C170" s="704">
        <f>number_approachslab*2*number_railing_approachslab</f>
        <v>12</v>
      </c>
      <c r="D170" s="705">
        <f>size_railing_I</f>
        <v>0.2</v>
      </c>
      <c r="E170" s="705">
        <f>size_railing_II</f>
        <v>0.2</v>
      </c>
      <c r="F170" s="705">
        <f>height_railing</f>
        <v>1</v>
      </c>
      <c r="G170" s="706">
        <f t="shared" si="21"/>
        <v>0.48</v>
      </c>
      <c r="H170" s="123"/>
    </row>
    <row r="171" spans="1:9" ht="13.5" thickBot="1" x14ac:dyDescent="0.25">
      <c r="A171" s="741"/>
      <c r="B171" s="124" t="s">
        <v>190</v>
      </c>
      <c r="C171" s="711"/>
      <c r="D171" s="733"/>
      <c r="E171" s="733"/>
      <c r="F171" s="733"/>
      <c r="G171" s="125">
        <f>+SUM(G164:G170)</f>
        <v>92.86</v>
      </c>
      <c r="H171" s="126" t="s">
        <v>250</v>
      </c>
    </row>
    <row r="172" spans="1:9" x14ac:dyDescent="0.2">
      <c r="A172" s="797">
        <v>1.2</v>
      </c>
      <c r="B172" s="720" t="s">
        <v>1040</v>
      </c>
      <c r="C172" s="718"/>
      <c r="D172" s="716"/>
      <c r="E172" s="716"/>
      <c r="F172" s="716"/>
      <c r="G172" s="122"/>
      <c r="H172" s="123"/>
    </row>
    <row r="173" spans="1:9" ht="13.5" thickBot="1" x14ac:dyDescent="0.25">
      <c r="A173" s="796"/>
      <c r="B173" s="1163" t="s">
        <v>1210</v>
      </c>
      <c r="C173" s="718">
        <v>2</v>
      </c>
      <c r="D173" s="956">
        <v>267.73</v>
      </c>
      <c r="E173" s="957"/>
      <c r="F173" s="958"/>
      <c r="G173" s="706">
        <f t="shared" ref="G173" si="22">ROUND(PRODUCT(C173:F173),2)</f>
        <v>535.46</v>
      </c>
      <c r="H173" s="123"/>
    </row>
    <row r="174" spans="1:9" ht="13.5" thickBot="1" x14ac:dyDescent="0.25">
      <c r="A174" s="741"/>
      <c r="B174" s="124" t="s">
        <v>190</v>
      </c>
      <c r="C174" s="711"/>
      <c r="D174" s="733"/>
      <c r="E174" s="733"/>
      <c r="F174" s="733"/>
      <c r="G174" s="125">
        <f>SUM(G173)</f>
        <v>535.46</v>
      </c>
      <c r="H174" s="126" t="s">
        <v>250</v>
      </c>
    </row>
    <row r="175" spans="1:9" x14ac:dyDescent="0.2">
      <c r="A175" s="769"/>
      <c r="B175" s="260"/>
      <c r="C175" s="734"/>
      <c r="D175" s="735"/>
      <c r="E175" s="735"/>
      <c r="F175" s="735"/>
      <c r="G175" s="261"/>
      <c r="H175" s="262"/>
    </row>
    <row r="176" spans="1:9" ht="127.5" customHeight="1" thickBot="1" x14ac:dyDescent="0.25">
      <c r="A176" s="801" t="s">
        <v>1055</v>
      </c>
      <c r="B176" s="1164" t="s">
        <v>1212</v>
      </c>
      <c r="C176" s="803">
        <v>2</v>
      </c>
      <c r="D176" s="804"/>
      <c r="E176" s="804"/>
      <c r="F176" s="804">
        <v>9.1</v>
      </c>
      <c r="G176" s="404">
        <f t="shared" ref="G176" si="23">ROUND(PRODUCT(C176:F176),2)</f>
        <v>18.2</v>
      </c>
      <c r="H176" s="405" t="s">
        <v>768</v>
      </c>
      <c r="I176" s="805"/>
    </row>
    <row r="177" spans="1:72" x14ac:dyDescent="0.2">
      <c r="A177" s="769"/>
      <c r="B177" s="260"/>
      <c r="C177" s="734"/>
      <c r="D177" s="735"/>
      <c r="E177" s="735"/>
      <c r="F177" s="735"/>
      <c r="G177" s="261"/>
      <c r="H177" s="262"/>
      <c r="I177" s="806"/>
      <c r="J177" s="806"/>
      <c r="K177" s="806"/>
      <c r="L177" s="806"/>
      <c r="N177" s="6">
        <f>40105/3950</f>
        <v>10.153164556962</v>
      </c>
      <c r="Q177" s="806"/>
      <c r="R177" s="806"/>
      <c r="S177" s="806"/>
      <c r="T177" s="806"/>
      <c r="U177" s="806"/>
      <c r="V177" s="806"/>
      <c r="W177" s="806"/>
      <c r="X177" s="806"/>
      <c r="Y177" s="806"/>
      <c r="Z177" s="806"/>
      <c r="AA177" s="806"/>
      <c r="AB177" s="806"/>
      <c r="AC177" s="806"/>
      <c r="AD177" s="806"/>
      <c r="AE177" s="806"/>
      <c r="AF177" s="806"/>
      <c r="AG177" s="806"/>
      <c r="AH177" s="806"/>
      <c r="AI177" s="806"/>
      <c r="AJ177" s="806"/>
      <c r="AK177" s="806"/>
      <c r="AL177" s="806"/>
      <c r="AM177" s="806"/>
      <c r="AN177" s="806"/>
      <c r="AO177" s="806"/>
      <c r="AP177" s="806"/>
      <c r="AQ177" s="806"/>
      <c r="AR177" s="806"/>
      <c r="AS177" s="806"/>
      <c r="AT177" s="806"/>
      <c r="AU177" s="806"/>
      <c r="AV177" s="806"/>
      <c r="AW177" s="806"/>
      <c r="AX177" s="806"/>
      <c r="AY177" s="806"/>
      <c r="AZ177" s="806"/>
      <c r="BA177" s="806"/>
      <c r="BB177" s="806"/>
      <c r="BC177" s="806"/>
      <c r="BD177" s="806"/>
      <c r="BE177" s="806"/>
      <c r="BF177" s="806"/>
      <c r="BG177" s="806"/>
      <c r="BH177" s="806"/>
      <c r="BI177" s="806"/>
      <c r="BJ177" s="806"/>
      <c r="BK177" s="806"/>
      <c r="BL177" s="806"/>
      <c r="BM177" s="806"/>
      <c r="BN177" s="806"/>
      <c r="BO177" s="806"/>
      <c r="BP177" s="806"/>
      <c r="BQ177" s="806"/>
      <c r="BR177" s="806"/>
      <c r="BS177" s="806"/>
      <c r="BT177" s="806"/>
    </row>
    <row r="178" spans="1:72" ht="38.25" x14ac:dyDescent="0.2">
      <c r="A178" s="807" t="s">
        <v>1056</v>
      </c>
      <c r="B178" s="808" t="s">
        <v>155</v>
      </c>
      <c r="C178" s="774"/>
      <c r="D178" s="730"/>
      <c r="E178" s="730"/>
      <c r="F178" s="730"/>
      <c r="G178" s="264"/>
      <c r="H178" s="259"/>
      <c r="I178" s="806"/>
      <c r="J178" s="806"/>
      <c r="K178" s="806"/>
      <c r="L178" s="806"/>
      <c r="Q178" s="806"/>
      <c r="R178" s="806"/>
      <c r="S178" s="806"/>
      <c r="T178" s="806"/>
      <c r="U178" s="806"/>
      <c r="V178" s="806"/>
      <c r="W178" s="806"/>
      <c r="X178" s="806"/>
      <c r="Y178" s="806"/>
      <c r="Z178" s="806"/>
      <c r="AA178" s="806"/>
      <c r="AB178" s="806"/>
      <c r="AC178" s="806"/>
      <c r="AD178" s="806"/>
      <c r="AE178" s="806"/>
      <c r="AF178" s="806"/>
      <c r="AG178" s="806"/>
      <c r="AH178" s="806"/>
      <c r="AI178" s="806"/>
      <c r="AJ178" s="806"/>
      <c r="AK178" s="806"/>
      <c r="AL178" s="806"/>
      <c r="AM178" s="806"/>
      <c r="AN178" s="806"/>
      <c r="AO178" s="806"/>
      <c r="AP178" s="806"/>
      <c r="AQ178" s="806"/>
      <c r="AR178" s="806"/>
      <c r="AS178" s="806"/>
      <c r="AT178" s="806"/>
      <c r="AU178" s="806"/>
      <c r="AV178" s="806"/>
      <c r="AW178" s="806"/>
      <c r="AX178" s="806"/>
      <c r="AY178" s="806"/>
      <c r="AZ178" s="806"/>
      <c r="BA178" s="806"/>
      <c r="BB178" s="806"/>
      <c r="BC178" s="806"/>
      <c r="BD178" s="806"/>
      <c r="BE178" s="806"/>
      <c r="BF178" s="806"/>
      <c r="BG178" s="806"/>
      <c r="BH178" s="806"/>
      <c r="BI178" s="806"/>
      <c r="BJ178" s="806"/>
      <c r="BK178" s="806"/>
      <c r="BL178" s="806"/>
      <c r="BM178" s="806"/>
      <c r="BN178" s="806"/>
      <c r="BO178" s="806"/>
      <c r="BP178" s="806"/>
      <c r="BQ178" s="806"/>
      <c r="BR178" s="806"/>
      <c r="BS178" s="806"/>
      <c r="BT178" s="806"/>
    </row>
    <row r="179" spans="1:72" x14ac:dyDescent="0.2">
      <c r="A179" s="807"/>
      <c r="B179" s="808" t="s">
        <v>1259</v>
      </c>
      <c r="C179" s="774">
        <v>2</v>
      </c>
      <c r="D179" s="1162">
        <v>34229.480000000003</v>
      </c>
      <c r="E179" s="730"/>
      <c r="F179" s="730"/>
      <c r="G179" s="706">
        <f t="shared" ref="G179:G182" si="24">ROUND(PRODUCT(C179:F179),2)</f>
        <v>68458.960000000006</v>
      </c>
      <c r="H179" s="259"/>
      <c r="I179" s="806"/>
      <c r="J179" s="806"/>
      <c r="K179" s="806"/>
      <c r="L179" s="806"/>
      <c r="Q179" s="806"/>
      <c r="R179" s="806"/>
      <c r="S179" s="806"/>
      <c r="T179" s="806"/>
      <c r="U179" s="806"/>
      <c r="V179" s="806"/>
      <c r="W179" s="806"/>
      <c r="X179" s="806"/>
      <c r="Y179" s="806"/>
      <c r="Z179" s="806"/>
      <c r="AA179" s="806"/>
      <c r="AB179" s="806"/>
      <c r="AC179" s="806"/>
      <c r="AD179" s="806"/>
      <c r="AE179" s="806"/>
      <c r="AF179" s="806"/>
      <c r="AG179" s="806"/>
      <c r="AH179" s="806"/>
      <c r="AI179" s="806"/>
      <c r="AJ179" s="806"/>
      <c r="AK179" s="806"/>
      <c r="AL179" s="806"/>
      <c r="AM179" s="806"/>
      <c r="AN179" s="806"/>
      <c r="AO179" s="806"/>
      <c r="AP179" s="806"/>
      <c r="AQ179" s="806"/>
      <c r="AR179" s="806"/>
      <c r="AS179" s="806"/>
      <c r="AT179" s="806"/>
      <c r="AU179" s="806"/>
      <c r="AV179" s="806"/>
      <c r="AW179" s="806"/>
      <c r="AX179" s="806"/>
      <c r="AY179" s="806"/>
      <c r="AZ179" s="806"/>
      <c r="BA179" s="806"/>
      <c r="BB179" s="806"/>
      <c r="BC179" s="806"/>
      <c r="BD179" s="806"/>
      <c r="BE179" s="806"/>
      <c r="BF179" s="806"/>
      <c r="BG179" s="806"/>
      <c r="BH179" s="806"/>
      <c r="BI179" s="806"/>
      <c r="BJ179" s="806"/>
      <c r="BK179" s="806"/>
      <c r="BL179" s="806"/>
      <c r="BM179" s="806"/>
      <c r="BN179" s="806"/>
      <c r="BO179" s="806"/>
      <c r="BP179" s="806"/>
      <c r="BQ179" s="806"/>
      <c r="BR179" s="806"/>
      <c r="BS179" s="806"/>
      <c r="BT179" s="806"/>
    </row>
    <row r="180" spans="1:72" x14ac:dyDescent="0.2">
      <c r="A180" s="809"/>
      <c r="B180" s="810" t="s">
        <v>1123</v>
      </c>
      <c r="C180" s="811"/>
      <c r="D180" s="812"/>
      <c r="E180" s="812"/>
      <c r="F180" s="812"/>
      <c r="G180" s="706"/>
      <c r="H180" s="402"/>
      <c r="I180" s="806"/>
      <c r="J180" s="806"/>
      <c r="K180" s="806"/>
      <c r="L180" s="806"/>
      <c r="Q180" s="806"/>
      <c r="R180" s="806"/>
      <c r="S180" s="806"/>
      <c r="T180" s="806"/>
      <c r="U180" s="806"/>
      <c r="V180" s="806"/>
      <c r="W180" s="806"/>
      <c r="X180" s="806"/>
      <c r="Y180" s="806"/>
      <c r="Z180" s="806"/>
      <c r="AA180" s="806"/>
      <c r="AB180" s="806"/>
      <c r="AC180" s="806"/>
      <c r="AD180" s="806"/>
      <c r="AE180" s="806"/>
      <c r="AF180" s="806"/>
      <c r="AG180" s="806"/>
      <c r="AH180" s="806"/>
      <c r="AI180" s="806"/>
      <c r="AJ180" s="806"/>
      <c r="AK180" s="806"/>
      <c r="AL180" s="806"/>
      <c r="AM180" s="806"/>
      <c r="AN180" s="806"/>
      <c r="AO180" s="806"/>
      <c r="AP180" s="806"/>
      <c r="AQ180" s="806"/>
      <c r="AR180" s="806"/>
      <c r="AS180" s="806"/>
      <c r="AT180" s="806"/>
      <c r="AU180" s="806"/>
      <c r="AV180" s="806"/>
      <c r="AW180" s="806"/>
      <c r="AX180" s="806"/>
      <c r="AY180" s="806"/>
      <c r="AZ180" s="806"/>
      <c r="BA180" s="806"/>
      <c r="BB180" s="806"/>
      <c r="BC180" s="806"/>
      <c r="BD180" s="806"/>
      <c r="BE180" s="806"/>
      <c r="BF180" s="806"/>
      <c r="BG180" s="806"/>
      <c r="BH180" s="806"/>
      <c r="BI180" s="806"/>
      <c r="BJ180" s="806"/>
      <c r="BK180" s="806"/>
      <c r="BL180" s="806"/>
      <c r="BM180" s="806"/>
      <c r="BN180" s="806"/>
      <c r="BO180" s="806"/>
      <c r="BP180" s="806"/>
      <c r="BQ180" s="806"/>
      <c r="BR180" s="806"/>
      <c r="BS180" s="806"/>
      <c r="BT180" s="806"/>
    </row>
    <row r="181" spans="1:72" x14ac:dyDescent="0.2">
      <c r="A181" s="800"/>
      <c r="B181" s="780" t="s">
        <v>189</v>
      </c>
      <c r="C181" s="813">
        <v>2</v>
      </c>
      <c r="D181" s="814">
        <v>476.4</v>
      </c>
      <c r="E181" s="814"/>
      <c r="F181" s="814"/>
      <c r="G181" s="706">
        <f t="shared" si="24"/>
        <v>952.8</v>
      </c>
      <c r="H181" s="401"/>
      <c r="I181" s="806"/>
      <c r="J181" s="806"/>
      <c r="K181" s="806"/>
      <c r="L181" s="806"/>
      <c r="Q181" s="806"/>
      <c r="R181" s="806"/>
      <c r="S181" s="806"/>
      <c r="T181" s="806"/>
      <c r="U181" s="806"/>
      <c r="V181" s="806"/>
      <c r="W181" s="806"/>
      <c r="X181" s="806"/>
      <c r="Y181" s="806"/>
      <c r="Z181" s="806"/>
      <c r="AA181" s="806"/>
      <c r="AB181" s="806"/>
      <c r="AC181" s="806"/>
      <c r="AD181" s="806"/>
      <c r="AE181" s="806"/>
      <c r="AF181" s="806"/>
      <c r="AG181" s="806"/>
      <c r="AH181" s="806"/>
      <c r="AI181" s="806"/>
      <c r="AJ181" s="806"/>
      <c r="AK181" s="806"/>
      <c r="AL181" s="806"/>
      <c r="AM181" s="806"/>
      <c r="AN181" s="806"/>
      <c r="AO181" s="806"/>
      <c r="AP181" s="806"/>
      <c r="AQ181" s="806"/>
      <c r="AR181" s="806"/>
      <c r="AS181" s="806"/>
      <c r="AT181" s="806"/>
      <c r="AU181" s="806"/>
      <c r="AV181" s="806"/>
      <c r="AW181" s="806"/>
      <c r="AX181" s="806"/>
      <c r="AY181" s="806"/>
      <c r="AZ181" s="806"/>
      <c r="BA181" s="806"/>
      <c r="BB181" s="806"/>
      <c r="BC181" s="806"/>
      <c r="BD181" s="806"/>
      <c r="BE181" s="806"/>
      <c r="BF181" s="806"/>
      <c r="BG181" s="806"/>
      <c r="BH181" s="806"/>
      <c r="BI181" s="806"/>
      <c r="BJ181" s="806"/>
      <c r="BK181" s="806"/>
      <c r="BL181" s="806"/>
      <c r="BM181" s="806"/>
      <c r="BN181" s="806"/>
      <c r="BO181" s="806"/>
      <c r="BP181" s="806"/>
      <c r="BQ181" s="806"/>
      <c r="BR181" s="806"/>
      <c r="BS181" s="806"/>
      <c r="BT181" s="806"/>
    </row>
    <row r="182" spans="1:72" ht="13.5" thickBot="1" x14ac:dyDescent="0.25">
      <c r="A182" s="800"/>
      <c r="B182" s="815" t="s">
        <v>1124</v>
      </c>
      <c r="C182" s="704">
        <v>1</v>
      </c>
      <c r="D182" s="814">
        <f>13.05*32+0+0</f>
        <v>417.6</v>
      </c>
      <c r="E182" s="814"/>
      <c r="F182" s="814"/>
      <c r="G182" s="706">
        <f t="shared" si="24"/>
        <v>417.6</v>
      </c>
      <c r="H182" s="401"/>
      <c r="I182" s="806"/>
      <c r="J182" s="806"/>
      <c r="K182" s="806"/>
      <c r="L182" s="806"/>
      <c r="Q182" s="806"/>
      <c r="R182" s="806"/>
      <c r="S182" s="806"/>
      <c r="T182" s="806"/>
      <c r="U182" s="806"/>
      <c r="V182" s="806"/>
      <c r="W182" s="806"/>
      <c r="X182" s="806"/>
      <c r="Y182" s="806"/>
      <c r="Z182" s="806"/>
      <c r="AA182" s="806"/>
      <c r="AB182" s="806"/>
      <c r="AC182" s="806"/>
      <c r="AD182" s="806"/>
      <c r="AE182" s="806"/>
      <c r="AF182" s="806"/>
      <c r="AG182" s="806"/>
      <c r="AH182" s="806"/>
      <c r="AI182" s="806"/>
      <c r="AJ182" s="806"/>
      <c r="AK182" s="806"/>
      <c r="AL182" s="806"/>
      <c r="AM182" s="806"/>
      <c r="AN182" s="806"/>
      <c r="AO182" s="806"/>
      <c r="AP182" s="806"/>
      <c r="AQ182" s="806"/>
      <c r="AR182" s="806"/>
      <c r="AS182" s="806"/>
      <c r="AT182" s="806"/>
      <c r="AU182" s="806"/>
      <c r="AV182" s="806"/>
      <c r="AW182" s="806"/>
      <c r="AX182" s="806"/>
      <c r="AY182" s="806"/>
      <c r="AZ182" s="806"/>
      <c r="BA182" s="806"/>
      <c r="BB182" s="806"/>
      <c r="BC182" s="806"/>
      <c r="BD182" s="806"/>
      <c r="BE182" s="806"/>
      <c r="BF182" s="806"/>
      <c r="BG182" s="806"/>
      <c r="BH182" s="806"/>
      <c r="BI182" s="806"/>
      <c r="BJ182" s="806"/>
      <c r="BK182" s="806"/>
      <c r="BL182" s="806"/>
      <c r="BM182" s="806"/>
      <c r="BN182" s="806"/>
      <c r="BO182" s="806"/>
      <c r="BP182" s="806"/>
      <c r="BQ182" s="806"/>
      <c r="BR182" s="806"/>
      <c r="BS182" s="806"/>
      <c r="BT182" s="806"/>
    </row>
    <row r="183" spans="1:72" ht="13.5" thickBot="1" x14ac:dyDescent="0.25">
      <c r="A183" s="741"/>
      <c r="B183" s="124" t="s">
        <v>190</v>
      </c>
      <c r="C183" s="711"/>
      <c r="D183" s="733"/>
      <c r="E183" s="733"/>
      <c r="F183" s="733"/>
      <c r="G183" s="125">
        <f>SUM(G179:G182)</f>
        <v>69829.36</v>
      </c>
      <c r="H183" s="126" t="s">
        <v>50</v>
      </c>
      <c r="I183" s="806"/>
      <c r="J183" s="806"/>
      <c r="K183" s="806"/>
      <c r="L183" s="806"/>
      <c r="M183" s="806"/>
      <c r="N183" s="806"/>
      <c r="O183" s="806"/>
      <c r="P183" s="806"/>
      <c r="Q183" s="806"/>
      <c r="R183" s="806"/>
      <c r="S183" s="806"/>
      <c r="T183" s="806"/>
      <c r="U183" s="806"/>
      <c r="V183" s="806"/>
      <c r="W183" s="806"/>
      <c r="X183" s="806"/>
      <c r="Y183" s="806"/>
      <c r="Z183" s="806"/>
      <c r="AA183" s="806"/>
      <c r="AB183" s="806"/>
      <c r="AC183" s="806"/>
      <c r="AD183" s="806"/>
      <c r="AE183" s="806"/>
      <c r="AF183" s="806"/>
      <c r="AG183" s="806"/>
      <c r="AH183" s="806"/>
      <c r="AI183" s="806"/>
      <c r="AJ183" s="806"/>
      <c r="AK183" s="806"/>
      <c r="AL183" s="806"/>
      <c r="AM183" s="806"/>
      <c r="AN183" s="806"/>
      <c r="AO183" s="806"/>
      <c r="AP183" s="806"/>
      <c r="AQ183" s="806"/>
      <c r="AR183" s="806"/>
      <c r="AS183" s="806"/>
      <c r="AT183" s="806"/>
      <c r="AU183" s="806"/>
      <c r="AV183" s="806"/>
      <c r="AW183" s="806"/>
      <c r="AX183" s="806"/>
      <c r="AY183" s="806"/>
      <c r="AZ183" s="806"/>
      <c r="BA183" s="806"/>
      <c r="BB183" s="806"/>
      <c r="BC183" s="806"/>
      <c r="BD183" s="806"/>
      <c r="BE183" s="806"/>
      <c r="BF183" s="806"/>
      <c r="BG183" s="806"/>
      <c r="BH183" s="806"/>
      <c r="BI183" s="806"/>
      <c r="BJ183" s="806"/>
      <c r="BK183" s="806"/>
      <c r="BL183" s="806"/>
      <c r="BM183" s="806"/>
      <c r="BN183" s="806"/>
      <c r="BO183" s="806"/>
      <c r="BP183" s="806"/>
      <c r="BQ183" s="806"/>
      <c r="BR183" s="806"/>
      <c r="BS183" s="806"/>
      <c r="BT183" s="806"/>
    </row>
    <row r="184" spans="1:72" ht="13.5" thickBot="1" x14ac:dyDescent="0.25">
      <c r="A184" s="801"/>
      <c r="B184" s="403"/>
      <c r="C184" s="803"/>
      <c r="D184" s="804"/>
      <c r="E184" s="804"/>
      <c r="F184" s="804"/>
      <c r="G184" s="404">
        <f>G183/1000</f>
        <v>69.83</v>
      </c>
      <c r="H184" s="405" t="s">
        <v>143</v>
      </c>
      <c r="I184" s="806"/>
      <c r="J184" s="806"/>
      <c r="K184" s="806"/>
      <c r="L184" s="806"/>
      <c r="M184" s="806"/>
      <c r="N184" s="806"/>
      <c r="O184" s="806"/>
      <c r="P184" s="806"/>
      <c r="Q184" s="806"/>
      <c r="R184" s="806"/>
      <c r="S184" s="806"/>
      <c r="T184" s="806"/>
      <c r="U184" s="806"/>
      <c r="V184" s="806"/>
      <c r="W184" s="806"/>
      <c r="X184" s="806"/>
      <c r="Y184" s="806"/>
      <c r="Z184" s="806"/>
      <c r="AA184" s="806"/>
      <c r="AB184" s="806"/>
      <c r="AC184" s="806"/>
      <c r="AD184" s="806"/>
      <c r="AE184" s="806"/>
      <c r="AF184" s="806"/>
      <c r="AG184" s="806"/>
      <c r="AH184" s="806"/>
      <c r="AI184" s="806"/>
      <c r="AJ184" s="806"/>
      <c r="AK184" s="806"/>
      <c r="AL184" s="806"/>
      <c r="AM184" s="806"/>
      <c r="AN184" s="806"/>
      <c r="AO184" s="806"/>
      <c r="AP184" s="806"/>
      <c r="AQ184" s="806"/>
      <c r="AR184" s="806"/>
      <c r="AS184" s="806"/>
      <c r="AT184" s="806"/>
      <c r="AU184" s="806"/>
      <c r="AV184" s="806"/>
      <c r="AW184" s="806"/>
      <c r="AX184" s="806"/>
      <c r="AY184" s="806"/>
      <c r="AZ184" s="806"/>
      <c r="BA184" s="806"/>
      <c r="BB184" s="806"/>
      <c r="BC184" s="806"/>
      <c r="BD184" s="806"/>
      <c r="BE184" s="806"/>
      <c r="BF184" s="806"/>
      <c r="BG184" s="806"/>
      <c r="BH184" s="806"/>
      <c r="BI184" s="806"/>
      <c r="BJ184" s="806"/>
      <c r="BK184" s="806"/>
      <c r="BL184" s="806"/>
      <c r="BM184" s="806"/>
      <c r="BN184" s="806"/>
      <c r="BO184" s="806"/>
      <c r="BP184" s="806"/>
      <c r="BQ184" s="806"/>
      <c r="BR184" s="806"/>
      <c r="BS184" s="806"/>
      <c r="BT184" s="806"/>
    </row>
    <row r="185" spans="1:72" x14ac:dyDescent="0.2">
      <c r="A185" s="769"/>
      <c r="B185" s="485"/>
      <c r="C185" s="734"/>
      <c r="D185" s="735"/>
      <c r="E185" s="735"/>
      <c r="F185" s="735"/>
      <c r="G185" s="261"/>
      <c r="H185" s="262"/>
      <c r="I185" s="806"/>
      <c r="J185" s="806"/>
      <c r="K185" s="806"/>
      <c r="L185" s="806"/>
      <c r="M185" s="806"/>
      <c r="N185" s="806"/>
      <c r="O185" s="806"/>
      <c r="P185" s="806"/>
      <c r="Q185" s="806"/>
      <c r="R185" s="806"/>
      <c r="S185" s="806"/>
      <c r="T185" s="806"/>
      <c r="U185" s="806"/>
      <c r="V185" s="806"/>
      <c r="W185" s="806"/>
      <c r="X185" s="806"/>
      <c r="Y185" s="806"/>
      <c r="Z185" s="806"/>
      <c r="AA185" s="806"/>
      <c r="AB185" s="806"/>
      <c r="AC185" s="806"/>
      <c r="AD185" s="806"/>
      <c r="AE185" s="806"/>
      <c r="AF185" s="806"/>
      <c r="AG185" s="806"/>
      <c r="AH185" s="806"/>
      <c r="AI185" s="806"/>
      <c r="AJ185" s="806"/>
      <c r="AK185" s="806"/>
      <c r="AL185" s="806"/>
      <c r="AM185" s="806"/>
      <c r="AN185" s="806"/>
      <c r="AO185" s="806"/>
      <c r="AP185" s="806"/>
      <c r="AQ185" s="806"/>
      <c r="AR185" s="806"/>
      <c r="AS185" s="806"/>
      <c r="AT185" s="806"/>
      <c r="AU185" s="806"/>
      <c r="AV185" s="806"/>
      <c r="AW185" s="806"/>
      <c r="AX185" s="806"/>
      <c r="AY185" s="806"/>
      <c r="AZ185" s="806"/>
      <c r="BA185" s="806"/>
      <c r="BB185" s="806"/>
      <c r="BC185" s="806"/>
      <c r="BD185" s="806"/>
      <c r="BE185" s="806"/>
      <c r="BF185" s="806"/>
      <c r="BG185" s="806"/>
      <c r="BH185" s="806"/>
      <c r="BI185" s="806"/>
      <c r="BJ185" s="806"/>
      <c r="BK185" s="806"/>
      <c r="BL185" s="806"/>
      <c r="BM185" s="806"/>
      <c r="BN185" s="806"/>
      <c r="BO185" s="806"/>
      <c r="BP185" s="806"/>
      <c r="BQ185" s="806"/>
      <c r="BR185" s="806"/>
      <c r="BS185" s="806"/>
      <c r="BT185" s="806"/>
    </row>
    <row r="186" spans="1:72" ht="70.5" customHeight="1" thickBot="1" x14ac:dyDescent="0.25">
      <c r="A186" s="816" t="s">
        <v>1057</v>
      </c>
      <c r="B186" s="802" t="s">
        <v>172</v>
      </c>
      <c r="C186" s="803">
        <f>number_enddeck+number_intermediatedeck+1</f>
        <v>3</v>
      </c>
      <c r="D186" s="817">
        <f>width_slab</f>
        <v>11</v>
      </c>
      <c r="E186" s="804"/>
      <c r="F186" s="804"/>
      <c r="G186" s="818">
        <f t="shared" ref="G186:G193" si="25">ROUND(PRODUCT(C186:F186),2)</f>
        <v>33</v>
      </c>
      <c r="H186" s="405" t="s">
        <v>63</v>
      </c>
      <c r="I186" s="819"/>
      <c r="J186" s="819"/>
      <c r="K186" s="819"/>
      <c r="L186" s="819"/>
      <c r="M186" s="819"/>
      <c r="N186" s="819"/>
      <c r="O186" s="819"/>
      <c r="P186" s="819"/>
      <c r="Q186" s="819"/>
      <c r="R186" s="819"/>
      <c r="S186" s="819"/>
      <c r="T186" s="819"/>
      <c r="U186" s="819"/>
      <c r="V186" s="819"/>
      <c r="W186" s="819"/>
      <c r="X186" s="819"/>
      <c r="Y186" s="819"/>
      <c r="Z186" s="819"/>
      <c r="AA186" s="819"/>
      <c r="AB186" s="819"/>
      <c r="AC186" s="819"/>
      <c r="AD186" s="819"/>
      <c r="AE186" s="819"/>
      <c r="AF186" s="819"/>
      <c r="AG186" s="819"/>
      <c r="AH186" s="819"/>
      <c r="AI186" s="819"/>
      <c r="AJ186" s="819"/>
      <c r="AK186" s="819"/>
      <c r="AL186" s="819"/>
      <c r="AM186" s="819"/>
      <c r="AN186" s="819"/>
      <c r="AO186" s="819"/>
      <c r="AP186" s="819"/>
      <c r="AQ186" s="819"/>
      <c r="AR186" s="819"/>
      <c r="AS186" s="819"/>
      <c r="AT186" s="819"/>
      <c r="AU186" s="819"/>
      <c r="AV186" s="819"/>
      <c r="AW186" s="819"/>
      <c r="AX186" s="819"/>
      <c r="AY186" s="819"/>
      <c r="AZ186" s="819"/>
      <c r="BA186" s="819"/>
      <c r="BB186" s="819"/>
      <c r="BC186" s="819"/>
      <c r="BD186" s="819"/>
      <c r="BE186" s="819"/>
      <c r="BF186" s="819"/>
      <c r="BG186" s="819"/>
      <c r="BH186" s="819"/>
      <c r="BI186" s="819"/>
      <c r="BJ186" s="819"/>
      <c r="BK186" s="819"/>
      <c r="BL186" s="819"/>
      <c r="BM186" s="819"/>
      <c r="BN186" s="819"/>
      <c r="BO186" s="819"/>
      <c r="BP186" s="819"/>
      <c r="BQ186" s="819"/>
      <c r="BR186" s="819"/>
      <c r="BS186" s="819"/>
      <c r="BT186" s="819"/>
    </row>
    <row r="187" spans="1:72" ht="13.5" thickBot="1" x14ac:dyDescent="0.25">
      <c r="A187" s="820"/>
      <c r="B187" s="821"/>
      <c r="C187" s="777"/>
      <c r="D187" s="822"/>
      <c r="E187" s="778"/>
      <c r="F187" s="778"/>
      <c r="G187" s="823"/>
      <c r="H187" s="129"/>
      <c r="I187" s="819"/>
      <c r="J187" s="819"/>
      <c r="K187" s="819"/>
      <c r="L187" s="819"/>
      <c r="M187" s="819"/>
      <c r="N187" s="819"/>
      <c r="O187" s="819"/>
      <c r="P187" s="819"/>
      <c r="Q187" s="819"/>
      <c r="R187" s="819"/>
      <c r="S187" s="819"/>
      <c r="T187" s="819"/>
      <c r="U187" s="819"/>
      <c r="V187" s="819"/>
      <c r="W187" s="819"/>
      <c r="X187" s="819"/>
      <c r="Y187" s="819"/>
      <c r="Z187" s="819"/>
      <c r="AA187" s="819"/>
      <c r="AB187" s="819"/>
      <c r="AC187" s="819"/>
      <c r="AD187" s="819"/>
      <c r="AE187" s="819"/>
      <c r="AF187" s="819"/>
      <c r="AG187" s="819"/>
      <c r="AH187" s="819"/>
      <c r="AI187" s="819"/>
      <c r="AJ187" s="819"/>
      <c r="AK187" s="819"/>
      <c r="AL187" s="819"/>
      <c r="AM187" s="819"/>
      <c r="AN187" s="819"/>
      <c r="AO187" s="819"/>
      <c r="AP187" s="819"/>
      <c r="AQ187" s="819"/>
      <c r="AR187" s="819"/>
      <c r="AS187" s="819"/>
      <c r="AT187" s="819"/>
      <c r="AU187" s="819"/>
      <c r="AV187" s="819"/>
      <c r="AW187" s="819"/>
      <c r="AX187" s="819"/>
      <c r="AY187" s="819"/>
      <c r="AZ187" s="819"/>
      <c r="BA187" s="819"/>
      <c r="BB187" s="819"/>
      <c r="BC187" s="819"/>
      <c r="BD187" s="819"/>
      <c r="BE187" s="819"/>
      <c r="BF187" s="819"/>
      <c r="BG187" s="819"/>
      <c r="BH187" s="819"/>
      <c r="BI187" s="819"/>
      <c r="BJ187" s="819"/>
      <c r="BK187" s="819"/>
      <c r="BL187" s="819"/>
      <c r="BM187" s="819"/>
      <c r="BN187" s="819"/>
      <c r="BO187" s="819"/>
      <c r="BP187" s="819"/>
      <c r="BQ187" s="819"/>
      <c r="BR187" s="819"/>
      <c r="BS187" s="819"/>
      <c r="BT187" s="819"/>
    </row>
    <row r="188" spans="1:72" ht="68.25" customHeight="1" thickBot="1" x14ac:dyDescent="0.25">
      <c r="A188" s="824" t="s">
        <v>1059</v>
      </c>
      <c r="B188" s="825" t="s">
        <v>1058</v>
      </c>
      <c r="C188" s="826">
        <v>8</v>
      </c>
      <c r="D188" s="733"/>
      <c r="E188" s="733"/>
      <c r="F188" s="733"/>
      <c r="G188" s="827">
        <f t="shared" si="25"/>
        <v>8</v>
      </c>
      <c r="H188" s="126" t="s">
        <v>1</v>
      </c>
      <c r="I188" s="819"/>
      <c r="J188" s="819"/>
      <c r="K188" s="819"/>
      <c r="L188" s="819"/>
      <c r="M188" s="819"/>
      <c r="N188" s="819"/>
      <c r="O188" s="819"/>
      <c r="P188" s="819"/>
      <c r="Q188" s="819"/>
      <c r="R188" s="819"/>
      <c r="S188" s="819"/>
      <c r="T188" s="819"/>
      <c r="U188" s="819"/>
      <c r="V188" s="819"/>
      <c r="W188" s="819"/>
      <c r="X188" s="819"/>
      <c r="Y188" s="819"/>
      <c r="Z188" s="819"/>
      <c r="AA188" s="819"/>
      <c r="AB188" s="819"/>
      <c r="AC188" s="819"/>
      <c r="AD188" s="819"/>
      <c r="AE188" s="819"/>
      <c r="AF188" s="819"/>
      <c r="AG188" s="819"/>
      <c r="AH188" s="819"/>
      <c r="AI188" s="819"/>
      <c r="AJ188" s="819"/>
      <c r="AK188" s="819"/>
      <c r="AL188" s="819"/>
      <c r="AM188" s="819"/>
      <c r="AN188" s="819"/>
      <c r="AO188" s="819"/>
      <c r="AP188" s="819"/>
      <c r="AQ188" s="819"/>
      <c r="AR188" s="819"/>
      <c r="AS188" s="819"/>
      <c r="AT188" s="819"/>
      <c r="AU188" s="819"/>
      <c r="AV188" s="819"/>
      <c r="AW188" s="819"/>
      <c r="AX188" s="819"/>
      <c r="AY188" s="819"/>
      <c r="AZ188" s="819"/>
      <c r="BA188" s="819"/>
      <c r="BB188" s="819"/>
      <c r="BC188" s="819"/>
      <c r="BD188" s="819"/>
      <c r="BE188" s="819"/>
      <c r="BF188" s="819"/>
      <c r="BG188" s="819"/>
      <c r="BH188" s="819"/>
      <c r="BI188" s="819"/>
      <c r="BJ188" s="819"/>
      <c r="BK188" s="819"/>
      <c r="BL188" s="819"/>
      <c r="BM188" s="819"/>
      <c r="BN188" s="819"/>
      <c r="BO188" s="819"/>
      <c r="BP188" s="819"/>
      <c r="BQ188" s="819"/>
      <c r="BR188" s="819"/>
      <c r="BS188" s="819"/>
      <c r="BT188" s="819"/>
    </row>
    <row r="189" spans="1:72" x14ac:dyDescent="0.2">
      <c r="A189" s="807"/>
      <c r="B189" s="808"/>
      <c r="C189" s="828"/>
      <c r="D189" s="730"/>
      <c r="E189" s="730"/>
      <c r="F189" s="730"/>
      <c r="G189" s="829"/>
      <c r="H189" s="259"/>
      <c r="I189" s="819"/>
      <c r="J189" s="819"/>
      <c r="K189" s="819"/>
      <c r="L189" s="819"/>
      <c r="M189" s="819"/>
      <c r="N189" s="819"/>
      <c r="O189" s="819"/>
      <c r="P189" s="819"/>
      <c r="Q189" s="819"/>
      <c r="R189" s="819"/>
      <c r="S189" s="819"/>
      <c r="T189" s="819"/>
      <c r="U189" s="819"/>
      <c r="V189" s="819"/>
      <c r="W189" s="819"/>
      <c r="X189" s="819"/>
      <c r="Y189" s="819"/>
      <c r="Z189" s="819"/>
      <c r="AA189" s="819"/>
      <c r="AB189" s="819"/>
      <c r="AC189" s="819"/>
      <c r="AD189" s="819"/>
      <c r="AE189" s="819"/>
      <c r="AF189" s="819"/>
      <c r="AG189" s="819"/>
      <c r="AH189" s="819"/>
      <c r="AI189" s="819"/>
      <c r="AJ189" s="819"/>
      <c r="AK189" s="819"/>
      <c r="AL189" s="819"/>
      <c r="AM189" s="819"/>
      <c r="AN189" s="819"/>
      <c r="AO189" s="819"/>
      <c r="AP189" s="819"/>
      <c r="AQ189" s="819"/>
      <c r="AR189" s="819"/>
      <c r="AS189" s="819"/>
      <c r="AT189" s="819"/>
      <c r="AU189" s="819"/>
      <c r="AV189" s="819"/>
      <c r="AW189" s="819"/>
      <c r="AX189" s="819"/>
      <c r="AY189" s="819"/>
      <c r="AZ189" s="819"/>
      <c r="BA189" s="819"/>
      <c r="BB189" s="819"/>
      <c r="BC189" s="819"/>
      <c r="BD189" s="819"/>
      <c r="BE189" s="819"/>
      <c r="BF189" s="819"/>
      <c r="BG189" s="819"/>
      <c r="BH189" s="819"/>
      <c r="BI189" s="819"/>
      <c r="BJ189" s="819"/>
      <c r="BK189" s="819"/>
      <c r="BL189" s="819"/>
      <c r="BM189" s="819"/>
      <c r="BN189" s="819"/>
      <c r="BO189" s="819"/>
      <c r="BP189" s="819"/>
      <c r="BQ189" s="819"/>
      <c r="BR189" s="819"/>
      <c r="BS189" s="819"/>
      <c r="BT189" s="819"/>
    </row>
    <row r="190" spans="1:72" ht="25.5" x14ac:dyDescent="0.2">
      <c r="A190" s="796" t="s">
        <v>1061</v>
      </c>
      <c r="B190" s="815" t="s">
        <v>1213</v>
      </c>
      <c r="C190" s="830"/>
      <c r="D190" s="814"/>
      <c r="E190" s="716"/>
      <c r="F190" s="716"/>
      <c r="G190" s="831"/>
      <c r="H190" s="257"/>
      <c r="I190" s="819"/>
      <c r="J190" s="819"/>
      <c r="K190" s="819"/>
      <c r="L190" s="819"/>
      <c r="M190" s="819"/>
      <c r="N190" s="819"/>
      <c r="O190" s="819"/>
      <c r="P190" s="819"/>
      <c r="Q190" s="819"/>
      <c r="R190" s="819"/>
      <c r="S190" s="819"/>
      <c r="T190" s="819"/>
      <c r="U190" s="819"/>
      <c r="V190" s="819"/>
      <c r="W190" s="819"/>
      <c r="X190" s="819"/>
      <c r="Y190" s="819"/>
      <c r="Z190" s="819"/>
      <c r="AA190" s="819"/>
      <c r="AB190" s="819"/>
      <c r="AC190" s="819"/>
      <c r="AD190" s="819"/>
      <c r="AE190" s="819"/>
      <c r="AF190" s="819"/>
      <c r="AG190" s="819"/>
      <c r="AH190" s="819"/>
      <c r="AI190" s="819"/>
      <c r="AJ190" s="819"/>
      <c r="AK190" s="819"/>
      <c r="AL190" s="819"/>
      <c r="AM190" s="819"/>
      <c r="AN190" s="819"/>
      <c r="AO190" s="819"/>
      <c r="AP190" s="819"/>
      <c r="AQ190" s="819"/>
      <c r="AR190" s="819"/>
      <c r="AS190" s="819"/>
      <c r="AT190" s="819"/>
      <c r="AU190" s="819"/>
      <c r="AV190" s="819"/>
      <c r="AW190" s="819"/>
      <c r="AX190" s="819"/>
      <c r="AY190" s="819"/>
      <c r="AZ190" s="819"/>
      <c r="BA190" s="819"/>
      <c r="BB190" s="819"/>
      <c r="BC190" s="819"/>
      <c r="BD190" s="819"/>
      <c r="BE190" s="819"/>
      <c r="BF190" s="819"/>
      <c r="BG190" s="819"/>
      <c r="BH190" s="819"/>
      <c r="BI190" s="819"/>
      <c r="BJ190" s="819"/>
      <c r="BK190" s="819"/>
      <c r="BL190" s="819"/>
      <c r="BM190" s="819"/>
      <c r="BN190" s="819"/>
      <c r="BO190" s="819"/>
      <c r="BP190" s="819"/>
      <c r="BQ190" s="819"/>
      <c r="BR190" s="819"/>
      <c r="BS190" s="819"/>
      <c r="BT190" s="819"/>
    </row>
    <row r="191" spans="1:72" x14ac:dyDescent="0.2">
      <c r="A191" s="796"/>
      <c r="B191" s="815" t="s">
        <v>1060</v>
      </c>
      <c r="C191" s="830">
        <v>2</v>
      </c>
      <c r="D191" s="814">
        <v>253</v>
      </c>
      <c r="E191" s="716"/>
      <c r="F191" s="716"/>
      <c r="G191" s="706">
        <f t="shared" si="25"/>
        <v>506</v>
      </c>
      <c r="H191" s="257"/>
      <c r="I191" s="819"/>
      <c r="J191" s="819"/>
      <c r="K191" s="819"/>
      <c r="L191" s="819"/>
      <c r="M191" s="819"/>
      <c r="N191" s="819"/>
      <c r="O191" s="819"/>
      <c r="P191" s="819"/>
      <c r="Q191" s="819"/>
      <c r="R191" s="819"/>
      <c r="S191" s="819"/>
      <c r="T191" s="819"/>
      <c r="U191" s="819"/>
      <c r="V191" s="819"/>
      <c r="W191" s="819"/>
      <c r="X191" s="819"/>
      <c r="Y191" s="819"/>
      <c r="Z191" s="819"/>
      <c r="AA191" s="819"/>
      <c r="AB191" s="819"/>
      <c r="AC191" s="819"/>
      <c r="AD191" s="819"/>
      <c r="AE191" s="819"/>
      <c r="AF191" s="819"/>
      <c r="AG191" s="819"/>
      <c r="AH191" s="819"/>
      <c r="AI191" s="819"/>
      <c r="AJ191" s="819"/>
      <c r="AK191" s="819"/>
      <c r="AL191" s="819"/>
      <c r="AM191" s="819"/>
      <c r="AN191" s="819"/>
      <c r="AO191" s="819"/>
      <c r="AP191" s="819"/>
      <c r="AQ191" s="819"/>
      <c r="AR191" s="819"/>
      <c r="AS191" s="819"/>
      <c r="AT191" s="819"/>
      <c r="AU191" s="819"/>
      <c r="AV191" s="819"/>
      <c r="AW191" s="819"/>
      <c r="AX191" s="819"/>
      <c r="AY191" s="819"/>
      <c r="AZ191" s="819"/>
      <c r="BA191" s="819"/>
      <c r="BB191" s="819"/>
      <c r="BC191" s="819"/>
      <c r="BD191" s="819"/>
      <c r="BE191" s="819"/>
      <c r="BF191" s="819"/>
      <c r="BG191" s="819"/>
      <c r="BH191" s="819"/>
      <c r="BI191" s="819"/>
      <c r="BJ191" s="819"/>
      <c r="BK191" s="819"/>
      <c r="BL191" s="819"/>
      <c r="BM191" s="819"/>
      <c r="BN191" s="819"/>
      <c r="BO191" s="819"/>
      <c r="BP191" s="819"/>
      <c r="BQ191" s="819"/>
      <c r="BR191" s="819"/>
      <c r="BS191" s="819"/>
      <c r="BT191" s="819"/>
    </row>
    <row r="192" spans="1:72" hidden="1" x14ac:dyDescent="0.2">
      <c r="A192" s="796"/>
      <c r="B192" s="815" t="s">
        <v>1092</v>
      </c>
      <c r="C192" s="830">
        <f>2*3*number_intermediatedeck</f>
        <v>0</v>
      </c>
      <c r="D192" s="814">
        <f>length_intermediatedeck</f>
        <v>0</v>
      </c>
      <c r="E192" s="716"/>
      <c r="F192" s="716"/>
      <c r="G192" s="706">
        <f t="shared" si="25"/>
        <v>0</v>
      </c>
      <c r="H192" s="257"/>
      <c r="I192" s="819"/>
      <c r="J192" s="819"/>
      <c r="K192" s="819"/>
      <c r="L192" s="819"/>
      <c r="M192" s="819"/>
      <c r="N192" s="819"/>
      <c r="O192" s="819"/>
      <c r="P192" s="819"/>
      <c r="Q192" s="819"/>
      <c r="R192" s="819"/>
      <c r="S192" s="819"/>
      <c r="T192" s="819"/>
      <c r="U192" s="819"/>
      <c r="V192" s="819"/>
      <c r="W192" s="819"/>
      <c r="X192" s="819"/>
      <c r="Y192" s="819"/>
      <c r="Z192" s="819"/>
      <c r="AA192" s="819"/>
      <c r="AB192" s="819"/>
      <c r="AC192" s="819"/>
      <c r="AD192" s="819"/>
      <c r="AE192" s="819"/>
      <c r="AF192" s="819"/>
      <c r="AG192" s="819"/>
      <c r="AH192" s="819"/>
      <c r="AI192" s="819"/>
      <c r="AJ192" s="819"/>
      <c r="AK192" s="819"/>
      <c r="AL192" s="819"/>
      <c r="AM192" s="819"/>
      <c r="AN192" s="819"/>
      <c r="AO192" s="819"/>
      <c r="AP192" s="819"/>
      <c r="AQ192" s="819"/>
      <c r="AR192" s="819"/>
      <c r="AS192" s="819"/>
      <c r="AT192" s="819"/>
      <c r="AU192" s="819"/>
      <c r="AV192" s="819"/>
      <c r="AW192" s="819"/>
      <c r="AX192" s="819"/>
      <c r="AY192" s="819"/>
      <c r="AZ192" s="819"/>
      <c r="BA192" s="819"/>
      <c r="BB192" s="819"/>
      <c r="BC192" s="819"/>
      <c r="BD192" s="819"/>
      <c r="BE192" s="819"/>
      <c r="BF192" s="819"/>
      <c r="BG192" s="819"/>
      <c r="BH192" s="819"/>
      <c r="BI192" s="819"/>
      <c r="BJ192" s="819"/>
      <c r="BK192" s="819"/>
      <c r="BL192" s="819"/>
      <c r="BM192" s="819"/>
      <c r="BN192" s="819"/>
      <c r="BO192" s="819"/>
      <c r="BP192" s="819"/>
      <c r="BQ192" s="819"/>
      <c r="BR192" s="819"/>
      <c r="BS192" s="819"/>
      <c r="BT192" s="819"/>
    </row>
    <row r="193" spans="1:72" ht="13.5" thickBot="1" x14ac:dyDescent="0.25">
      <c r="A193" s="820"/>
      <c r="B193" s="832" t="s">
        <v>1086</v>
      </c>
      <c r="C193" s="833">
        <f>number_approachslab*2*3</f>
        <v>12</v>
      </c>
      <c r="D193" s="822">
        <v>3.9</v>
      </c>
      <c r="E193" s="778"/>
      <c r="F193" s="778"/>
      <c r="G193" s="706">
        <f t="shared" si="25"/>
        <v>46.8</v>
      </c>
      <c r="H193" s="129"/>
      <c r="I193" s="819"/>
      <c r="J193" s="819"/>
      <c r="K193" s="819"/>
      <c r="L193" s="819"/>
      <c r="M193" s="819"/>
      <c r="N193" s="819"/>
      <c r="O193" s="819"/>
      <c r="P193" s="819"/>
      <c r="Q193" s="819"/>
      <c r="R193" s="819"/>
      <c r="S193" s="819"/>
      <c r="T193" s="819"/>
      <c r="U193" s="819"/>
      <c r="V193" s="819"/>
      <c r="W193" s="819"/>
      <c r="X193" s="819"/>
      <c r="Y193" s="819"/>
      <c r="Z193" s="819"/>
      <c r="AA193" s="819"/>
      <c r="AB193" s="819"/>
      <c r="AC193" s="819"/>
      <c r="AD193" s="819"/>
      <c r="AE193" s="819"/>
      <c r="AF193" s="819"/>
      <c r="AG193" s="819"/>
      <c r="AH193" s="819"/>
      <c r="AI193" s="819"/>
      <c r="AJ193" s="819"/>
      <c r="AK193" s="819"/>
      <c r="AL193" s="819"/>
      <c r="AM193" s="819"/>
      <c r="AN193" s="819"/>
      <c r="AO193" s="819"/>
      <c r="AP193" s="819"/>
      <c r="AQ193" s="819"/>
      <c r="AR193" s="819"/>
      <c r="AS193" s="819"/>
      <c r="AT193" s="819"/>
      <c r="AU193" s="819"/>
      <c r="AV193" s="819"/>
      <c r="AW193" s="819"/>
      <c r="AX193" s="819"/>
      <c r="AY193" s="819"/>
      <c r="AZ193" s="819"/>
      <c r="BA193" s="819"/>
      <c r="BB193" s="819"/>
      <c r="BC193" s="819"/>
      <c r="BD193" s="819"/>
      <c r="BE193" s="819"/>
      <c r="BF193" s="819"/>
      <c r="BG193" s="819"/>
      <c r="BH193" s="819"/>
      <c r="BI193" s="819"/>
      <c r="BJ193" s="819"/>
      <c r="BK193" s="819"/>
      <c r="BL193" s="819"/>
      <c r="BM193" s="819"/>
      <c r="BN193" s="819"/>
      <c r="BO193" s="819"/>
      <c r="BP193" s="819"/>
      <c r="BQ193" s="819"/>
      <c r="BR193" s="819"/>
      <c r="BS193" s="819"/>
      <c r="BT193" s="819"/>
    </row>
    <row r="194" spans="1:72" ht="13.5" thickBot="1" x14ac:dyDescent="0.25">
      <c r="A194" s="741"/>
      <c r="B194" s="124" t="s">
        <v>190</v>
      </c>
      <c r="C194" s="711"/>
      <c r="D194" s="733"/>
      <c r="E194" s="733"/>
      <c r="F194" s="733"/>
      <c r="G194" s="125">
        <f>SUM(G191:G193)</f>
        <v>552.79999999999995</v>
      </c>
      <c r="H194" s="126" t="s">
        <v>63</v>
      </c>
      <c r="I194" s="819"/>
      <c r="J194" s="819"/>
      <c r="K194" s="819"/>
      <c r="L194" s="819"/>
      <c r="M194" s="819"/>
      <c r="N194" s="819"/>
      <c r="O194" s="819"/>
      <c r="P194" s="819"/>
      <c r="Q194" s="819"/>
      <c r="R194" s="819"/>
      <c r="S194" s="819"/>
      <c r="T194" s="819"/>
      <c r="U194" s="819"/>
      <c r="V194" s="819"/>
      <c r="W194" s="819"/>
      <c r="X194" s="819"/>
      <c r="Y194" s="819"/>
      <c r="Z194" s="819"/>
      <c r="AA194" s="819"/>
      <c r="AB194" s="819"/>
      <c r="AC194" s="819"/>
      <c r="AD194" s="819"/>
      <c r="AE194" s="819"/>
      <c r="AF194" s="819"/>
      <c r="AG194" s="819"/>
      <c r="AH194" s="819"/>
      <c r="AI194" s="819"/>
      <c r="AJ194" s="819"/>
      <c r="AK194" s="819"/>
      <c r="AL194" s="819"/>
      <c r="AM194" s="819"/>
      <c r="AN194" s="819"/>
      <c r="AO194" s="819"/>
      <c r="AP194" s="819"/>
      <c r="AQ194" s="819"/>
      <c r="AR194" s="819"/>
      <c r="AS194" s="819"/>
      <c r="AT194" s="819"/>
      <c r="AU194" s="819"/>
      <c r="AV194" s="819"/>
      <c r="AW194" s="819"/>
      <c r="AX194" s="819"/>
      <c r="AY194" s="819"/>
      <c r="AZ194" s="819"/>
      <c r="BA194" s="819"/>
      <c r="BB194" s="819"/>
      <c r="BC194" s="819"/>
      <c r="BD194" s="819"/>
      <c r="BE194" s="819"/>
      <c r="BF194" s="819"/>
      <c r="BG194" s="819"/>
      <c r="BH194" s="819"/>
      <c r="BI194" s="819"/>
      <c r="BJ194" s="819"/>
      <c r="BK194" s="819"/>
      <c r="BL194" s="819"/>
      <c r="BM194" s="819"/>
      <c r="BN194" s="819"/>
      <c r="BO194" s="819"/>
      <c r="BP194" s="819"/>
      <c r="BQ194" s="819"/>
      <c r="BR194" s="819"/>
      <c r="BS194" s="819"/>
      <c r="BT194" s="819"/>
    </row>
    <row r="195" spans="1:72" x14ac:dyDescent="0.2">
      <c r="A195" s="769"/>
      <c r="B195" s="260"/>
      <c r="C195" s="734"/>
      <c r="D195" s="735"/>
      <c r="E195" s="735"/>
      <c r="F195" s="735"/>
      <c r="G195" s="261"/>
      <c r="H195" s="262"/>
      <c r="I195" s="819"/>
      <c r="J195" s="819"/>
      <c r="K195" s="819"/>
      <c r="L195" s="819"/>
      <c r="M195" s="819"/>
      <c r="N195" s="819"/>
      <c r="O195" s="819"/>
      <c r="P195" s="819"/>
      <c r="Q195" s="819"/>
      <c r="R195" s="819"/>
      <c r="S195" s="819"/>
      <c r="T195" s="819"/>
      <c r="U195" s="819"/>
      <c r="V195" s="819"/>
      <c r="W195" s="819"/>
      <c r="X195" s="819"/>
      <c r="Y195" s="819"/>
      <c r="Z195" s="819"/>
      <c r="AA195" s="819"/>
      <c r="AB195" s="819"/>
      <c r="AC195" s="819"/>
      <c r="AD195" s="819"/>
      <c r="AE195" s="819"/>
      <c r="AF195" s="819"/>
      <c r="AG195" s="819"/>
      <c r="AH195" s="819"/>
      <c r="AI195" s="819"/>
      <c r="AJ195" s="819"/>
      <c r="AK195" s="819"/>
      <c r="AL195" s="819"/>
      <c r="AM195" s="819"/>
      <c r="AN195" s="819"/>
      <c r="AO195" s="819"/>
      <c r="AP195" s="819"/>
      <c r="AQ195" s="819"/>
      <c r="AR195" s="819"/>
      <c r="AS195" s="819"/>
      <c r="AT195" s="819"/>
      <c r="AU195" s="819"/>
      <c r="AV195" s="819"/>
      <c r="AW195" s="819"/>
      <c r="AX195" s="819"/>
      <c r="AY195" s="819"/>
      <c r="AZ195" s="819"/>
      <c r="BA195" s="819"/>
      <c r="BB195" s="819"/>
      <c r="BC195" s="819"/>
      <c r="BD195" s="819"/>
      <c r="BE195" s="819"/>
      <c r="BF195" s="819"/>
      <c r="BG195" s="819"/>
      <c r="BH195" s="819"/>
      <c r="BI195" s="819"/>
      <c r="BJ195" s="819"/>
      <c r="BK195" s="819"/>
      <c r="BL195" s="819"/>
      <c r="BM195" s="819"/>
      <c r="BN195" s="819"/>
      <c r="BO195" s="819"/>
      <c r="BP195" s="819"/>
      <c r="BQ195" s="819"/>
      <c r="BR195" s="819"/>
      <c r="BS195" s="819"/>
      <c r="BT195" s="819"/>
    </row>
    <row r="196" spans="1:72" ht="63.75" x14ac:dyDescent="0.2">
      <c r="A196" s="796" t="s">
        <v>1064</v>
      </c>
      <c r="B196" s="770" t="s">
        <v>161</v>
      </c>
      <c r="C196" s="732"/>
      <c r="D196" s="716"/>
      <c r="E196" s="716"/>
      <c r="F196" s="716"/>
      <c r="G196" s="256"/>
      <c r="H196" s="257"/>
      <c r="I196" s="819"/>
      <c r="J196" s="819"/>
      <c r="K196" s="819"/>
      <c r="L196" s="819"/>
      <c r="M196" s="819"/>
      <c r="N196" s="819"/>
      <c r="O196" s="819"/>
      <c r="P196" s="819"/>
      <c r="Q196" s="819"/>
      <c r="R196" s="819"/>
      <c r="S196" s="819"/>
      <c r="T196" s="819"/>
      <c r="U196" s="819"/>
      <c r="V196" s="819"/>
      <c r="W196" s="819"/>
      <c r="X196" s="819"/>
      <c r="Y196" s="819"/>
      <c r="Z196" s="819"/>
      <c r="AA196" s="819"/>
      <c r="AB196" s="819"/>
      <c r="AC196" s="819"/>
      <c r="AD196" s="819"/>
      <c r="AE196" s="819"/>
      <c r="AF196" s="819"/>
      <c r="AG196" s="819"/>
      <c r="AH196" s="819"/>
      <c r="AI196" s="819"/>
      <c r="AJ196" s="819"/>
      <c r="AK196" s="819"/>
      <c r="AL196" s="819"/>
      <c r="AM196" s="819"/>
      <c r="AN196" s="819"/>
      <c r="AO196" s="819"/>
      <c r="AP196" s="819"/>
      <c r="AQ196" s="819"/>
      <c r="AR196" s="819"/>
      <c r="AS196" s="819"/>
      <c r="AT196" s="819"/>
      <c r="AU196" s="819"/>
      <c r="AV196" s="819"/>
      <c r="AW196" s="819"/>
      <c r="AX196" s="819"/>
      <c r="AY196" s="819"/>
      <c r="AZ196" s="819"/>
      <c r="BA196" s="819"/>
      <c r="BB196" s="819"/>
      <c r="BC196" s="819"/>
      <c r="BD196" s="819"/>
      <c r="BE196" s="819"/>
      <c r="BF196" s="819"/>
      <c r="BG196" s="819"/>
      <c r="BH196" s="819"/>
      <c r="BI196" s="819"/>
      <c r="BJ196" s="819"/>
      <c r="BK196" s="819"/>
      <c r="BL196" s="819"/>
      <c r="BM196" s="819"/>
      <c r="BN196" s="819"/>
      <c r="BO196" s="819"/>
      <c r="BP196" s="819"/>
      <c r="BQ196" s="819"/>
      <c r="BR196" s="819"/>
      <c r="BS196" s="819"/>
      <c r="BT196" s="819"/>
    </row>
    <row r="197" spans="1:72" x14ac:dyDescent="0.2">
      <c r="A197" s="796"/>
      <c r="B197" s="770" t="s">
        <v>188</v>
      </c>
      <c r="C197" s="732"/>
      <c r="D197" s="716"/>
      <c r="E197" s="716"/>
      <c r="F197" s="716"/>
      <c r="G197" s="256"/>
      <c r="H197" s="257"/>
      <c r="I197" s="819"/>
      <c r="J197" s="819"/>
      <c r="K197" s="819"/>
      <c r="L197" s="819"/>
      <c r="M197" s="819"/>
      <c r="N197" s="819"/>
      <c r="O197" s="819"/>
      <c r="P197" s="819"/>
      <c r="Q197" s="819"/>
      <c r="R197" s="819"/>
      <c r="S197" s="819"/>
      <c r="T197" s="819"/>
      <c r="U197" s="819"/>
      <c r="V197" s="819"/>
      <c r="W197" s="819"/>
      <c r="X197" s="819"/>
      <c r="Y197" s="819"/>
      <c r="Z197" s="819"/>
      <c r="AA197" s="819"/>
      <c r="AB197" s="819"/>
      <c r="AC197" s="819"/>
      <c r="AD197" s="819"/>
      <c r="AE197" s="819"/>
      <c r="AF197" s="819"/>
      <c r="AG197" s="819"/>
      <c r="AH197" s="819"/>
      <c r="AI197" s="819"/>
      <c r="AJ197" s="819"/>
      <c r="AK197" s="819"/>
      <c r="AL197" s="819"/>
      <c r="AM197" s="819"/>
      <c r="AN197" s="819"/>
      <c r="AO197" s="819"/>
      <c r="AP197" s="819"/>
      <c r="AQ197" s="819"/>
      <c r="AR197" s="819"/>
      <c r="AS197" s="819"/>
      <c r="AT197" s="819"/>
      <c r="AU197" s="819"/>
      <c r="AV197" s="819"/>
      <c r="AW197" s="819"/>
      <c r="AX197" s="819"/>
      <c r="AY197" s="819"/>
      <c r="AZ197" s="819"/>
      <c r="BA197" s="819"/>
      <c r="BB197" s="819"/>
      <c r="BC197" s="819"/>
      <c r="BD197" s="819"/>
      <c r="BE197" s="819"/>
      <c r="BF197" s="819"/>
      <c r="BG197" s="819"/>
      <c r="BH197" s="819"/>
      <c r="BI197" s="819"/>
      <c r="BJ197" s="819"/>
      <c r="BK197" s="819"/>
      <c r="BL197" s="819"/>
      <c r="BM197" s="819"/>
      <c r="BN197" s="819"/>
      <c r="BO197" s="819"/>
      <c r="BP197" s="819"/>
      <c r="BQ197" s="819"/>
      <c r="BR197" s="819"/>
      <c r="BS197" s="819"/>
      <c r="BT197" s="819"/>
    </row>
    <row r="198" spans="1:72" x14ac:dyDescent="0.2">
      <c r="A198" s="796"/>
      <c r="B198" s="834" t="s">
        <v>1062</v>
      </c>
      <c r="C198" s="732">
        <f>number_enddeck*2</f>
        <v>4</v>
      </c>
      <c r="D198" s="716">
        <f>length_slab_enddeck</f>
        <v>40.104999999999997</v>
      </c>
      <c r="E198" s="716"/>
      <c r="F198" s="716">
        <v>0.3</v>
      </c>
      <c r="G198" s="706">
        <f>ROUND(PRODUCT(C198:F198),2)</f>
        <v>48.13</v>
      </c>
      <c r="H198" s="257"/>
      <c r="I198" s="819"/>
      <c r="J198" s="819"/>
      <c r="K198" s="819"/>
      <c r="L198" s="819"/>
      <c r="M198" s="819"/>
      <c r="N198" s="819"/>
      <c r="O198" s="819"/>
      <c r="P198" s="819"/>
      <c r="Q198" s="819"/>
      <c r="R198" s="819"/>
      <c r="S198" s="819"/>
      <c r="T198" s="819"/>
      <c r="U198" s="819"/>
      <c r="V198" s="819"/>
      <c r="W198" s="819"/>
      <c r="X198" s="819"/>
      <c r="Y198" s="819"/>
      <c r="Z198" s="819"/>
      <c r="AA198" s="819"/>
      <c r="AB198" s="819"/>
      <c r="AC198" s="819"/>
      <c r="AD198" s="819"/>
      <c r="AE198" s="819"/>
      <c r="AF198" s="819"/>
      <c r="AG198" s="819"/>
      <c r="AH198" s="819"/>
      <c r="AI198" s="819"/>
      <c r="AJ198" s="819"/>
      <c r="AK198" s="819"/>
      <c r="AL198" s="819"/>
      <c r="AM198" s="819"/>
      <c r="AN198" s="819"/>
      <c r="AO198" s="819"/>
      <c r="AP198" s="819"/>
      <c r="AQ198" s="819"/>
      <c r="AR198" s="819"/>
      <c r="AS198" s="819"/>
      <c r="AT198" s="819"/>
      <c r="AU198" s="819"/>
      <c r="AV198" s="819"/>
      <c r="AW198" s="819"/>
      <c r="AX198" s="819"/>
      <c r="AY198" s="819"/>
      <c r="AZ198" s="819"/>
      <c r="BA198" s="819"/>
      <c r="BB198" s="819"/>
      <c r="BC198" s="819"/>
      <c r="BD198" s="819"/>
      <c r="BE198" s="819"/>
      <c r="BF198" s="819"/>
      <c r="BG198" s="819"/>
      <c r="BH198" s="819"/>
      <c r="BI198" s="819"/>
      <c r="BJ198" s="819"/>
      <c r="BK198" s="819"/>
      <c r="BL198" s="819"/>
      <c r="BM198" s="819"/>
      <c r="BN198" s="819"/>
      <c r="BO198" s="819"/>
      <c r="BP198" s="819"/>
      <c r="BQ198" s="819"/>
      <c r="BR198" s="819"/>
      <c r="BS198" s="819"/>
      <c r="BT198" s="819"/>
    </row>
    <row r="199" spans="1:72" x14ac:dyDescent="0.2">
      <c r="A199" s="796"/>
      <c r="B199" s="834"/>
      <c r="C199" s="732">
        <f>number_enddeck*2</f>
        <v>4</v>
      </c>
      <c r="D199" s="716">
        <f>length_slab_enddeck</f>
        <v>40.104999999999997</v>
      </c>
      <c r="E199" s="716">
        <v>0.2</v>
      </c>
      <c r="F199" s="716"/>
      <c r="G199" s="706">
        <f t="shared" ref="G199:G206" si="26">ROUND(PRODUCT(C199:F199),2)</f>
        <v>32.08</v>
      </c>
      <c r="H199" s="257"/>
      <c r="I199" s="819"/>
      <c r="J199" s="819"/>
      <c r="K199" s="819"/>
      <c r="L199" s="819"/>
      <c r="M199" s="819"/>
      <c r="N199" s="819"/>
      <c r="O199" s="819"/>
      <c r="P199" s="819"/>
      <c r="Q199" s="819"/>
      <c r="R199" s="819"/>
      <c r="S199" s="819"/>
      <c r="T199" s="819"/>
      <c r="U199" s="819"/>
      <c r="V199" s="819"/>
      <c r="W199" s="819"/>
      <c r="X199" s="819"/>
      <c r="Y199" s="819"/>
      <c r="Z199" s="819"/>
      <c r="AA199" s="819"/>
      <c r="AB199" s="819"/>
      <c r="AC199" s="819"/>
      <c r="AD199" s="819"/>
      <c r="AE199" s="819"/>
      <c r="AF199" s="819"/>
      <c r="AG199" s="819"/>
      <c r="AH199" s="819"/>
      <c r="AI199" s="819"/>
      <c r="AJ199" s="819"/>
      <c r="AK199" s="819"/>
      <c r="AL199" s="819"/>
      <c r="AM199" s="819"/>
      <c r="AN199" s="819"/>
      <c r="AO199" s="819"/>
      <c r="AP199" s="819"/>
      <c r="AQ199" s="819"/>
      <c r="AR199" s="819"/>
      <c r="AS199" s="819"/>
      <c r="AT199" s="819"/>
      <c r="AU199" s="819"/>
      <c r="AV199" s="819"/>
      <c r="AW199" s="819"/>
      <c r="AX199" s="819"/>
      <c r="AY199" s="819"/>
      <c r="AZ199" s="819"/>
      <c r="BA199" s="819"/>
      <c r="BB199" s="819"/>
      <c r="BC199" s="819"/>
      <c r="BD199" s="819"/>
      <c r="BE199" s="819"/>
      <c r="BF199" s="819"/>
      <c r="BG199" s="819"/>
      <c r="BH199" s="819"/>
      <c r="BI199" s="819"/>
      <c r="BJ199" s="819"/>
      <c r="BK199" s="819"/>
      <c r="BL199" s="819"/>
      <c r="BM199" s="819"/>
      <c r="BN199" s="819"/>
      <c r="BO199" s="819"/>
      <c r="BP199" s="819"/>
      <c r="BQ199" s="819"/>
      <c r="BR199" s="819"/>
      <c r="BS199" s="819"/>
      <c r="BT199" s="819"/>
    </row>
    <row r="200" spans="1:72" hidden="1" x14ac:dyDescent="0.2">
      <c r="A200" s="796"/>
      <c r="B200" s="834" t="s">
        <v>1063</v>
      </c>
      <c r="C200" s="732">
        <f>number_intermediatedeck*2</f>
        <v>0</v>
      </c>
      <c r="D200" s="716">
        <f>length_intermediatedeck</f>
        <v>0</v>
      </c>
      <c r="E200" s="716"/>
      <c r="F200" s="716">
        <v>0.3</v>
      </c>
      <c r="G200" s="706">
        <f t="shared" si="26"/>
        <v>0</v>
      </c>
      <c r="H200" s="257"/>
      <c r="I200" s="819"/>
      <c r="J200" s="819"/>
      <c r="K200" s="819"/>
      <c r="L200" s="819"/>
      <c r="M200" s="819"/>
      <c r="N200" s="819"/>
      <c r="O200" s="819"/>
      <c r="P200" s="819"/>
      <c r="Q200" s="819"/>
      <c r="R200" s="819"/>
      <c r="S200" s="819"/>
      <c r="T200" s="819"/>
      <c r="U200" s="819"/>
      <c r="V200" s="819"/>
      <c r="W200" s="819"/>
      <c r="X200" s="819"/>
      <c r="Y200" s="819"/>
      <c r="Z200" s="819"/>
      <c r="AA200" s="819"/>
      <c r="AB200" s="819"/>
      <c r="AC200" s="819"/>
      <c r="AD200" s="819"/>
      <c r="AE200" s="819"/>
      <c r="AF200" s="819"/>
      <c r="AG200" s="819"/>
      <c r="AH200" s="819"/>
      <c r="AI200" s="819"/>
      <c r="AJ200" s="819"/>
      <c r="AK200" s="819"/>
      <c r="AL200" s="819"/>
      <c r="AM200" s="819"/>
      <c r="AN200" s="819"/>
      <c r="AO200" s="819"/>
      <c r="AP200" s="819"/>
      <c r="AQ200" s="819"/>
      <c r="AR200" s="819"/>
      <c r="AS200" s="819"/>
      <c r="AT200" s="819"/>
      <c r="AU200" s="819"/>
      <c r="AV200" s="819"/>
      <c r="AW200" s="819"/>
      <c r="AX200" s="819"/>
      <c r="AY200" s="819"/>
      <c r="AZ200" s="819"/>
      <c r="BA200" s="819"/>
      <c r="BB200" s="819"/>
      <c r="BC200" s="819"/>
      <c r="BD200" s="819"/>
      <c r="BE200" s="819"/>
      <c r="BF200" s="819"/>
      <c r="BG200" s="819"/>
      <c r="BH200" s="819"/>
      <c r="BI200" s="819"/>
      <c r="BJ200" s="819"/>
      <c r="BK200" s="819"/>
      <c r="BL200" s="819"/>
      <c r="BM200" s="819"/>
      <c r="BN200" s="819"/>
      <c r="BO200" s="819"/>
      <c r="BP200" s="819"/>
      <c r="BQ200" s="819"/>
      <c r="BR200" s="819"/>
      <c r="BS200" s="819"/>
      <c r="BT200" s="819"/>
    </row>
    <row r="201" spans="1:72" hidden="1" x14ac:dyDescent="0.2">
      <c r="A201" s="796"/>
      <c r="B201" s="834"/>
      <c r="C201" s="732">
        <f>number_intermediatedeck*2</f>
        <v>0</v>
      </c>
      <c r="D201" s="716">
        <f>length_intermediatedeck</f>
        <v>0</v>
      </c>
      <c r="E201" s="716">
        <v>0.2</v>
      </c>
      <c r="F201" s="716"/>
      <c r="G201" s="706">
        <f t="shared" si="26"/>
        <v>0</v>
      </c>
      <c r="H201" s="257"/>
      <c r="I201" s="819"/>
      <c r="J201" s="819"/>
      <c r="K201" s="819"/>
      <c r="L201" s="819"/>
      <c r="M201" s="819"/>
      <c r="N201" s="819"/>
      <c r="O201" s="819"/>
      <c r="P201" s="819"/>
      <c r="Q201" s="819"/>
      <c r="R201" s="819"/>
      <c r="S201" s="819"/>
      <c r="T201" s="819"/>
      <c r="U201" s="819"/>
      <c r="V201" s="819"/>
      <c r="W201" s="819"/>
      <c r="X201" s="819"/>
      <c r="Y201" s="819"/>
      <c r="Z201" s="819"/>
      <c r="AA201" s="819"/>
      <c r="AB201" s="819"/>
      <c r="AC201" s="819"/>
      <c r="AD201" s="819"/>
      <c r="AE201" s="819"/>
      <c r="AF201" s="819"/>
      <c r="AG201" s="819"/>
      <c r="AH201" s="819"/>
      <c r="AI201" s="819"/>
      <c r="AJ201" s="819"/>
      <c r="AK201" s="819"/>
      <c r="AL201" s="819"/>
      <c r="AM201" s="819"/>
      <c r="AN201" s="819"/>
      <c r="AO201" s="819"/>
      <c r="AP201" s="819"/>
      <c r="AQ201" s="819"/>
      <c r="AR201" s="819"/>
      <c r="AS201" s="819"/>
      <c r="AT201" s="819"/>
      <c r="AU201" s="819"/>
      <c r="AV201" s="819"/>
      <c r="AW201" s="819"/>
      <c r="AX201" s="819"/>
      <c r="AY201" s="819"/>
      <c r="AZ201" s="819"/>
      <c r="BA201" s="819"/>
      <c r="BB201" s="819"/>
      <c r="BC201" s="819"/>
      <c r="BD201" s="819"/>
      <c r="BE201" s="819"/>
      <c r="BF201" s="819"/>
      <c r="BG201" s="819"/>
      <c r="BH201" s="819"/>
      <c r="BI201" s="819"/>
      <c r="BJ201" s="819"/>
      <c r="BK201" s="819"/>
      <c r="BL201" s="819"/>
      <c r="BM201" s="819"/>
      <c r="BN201" s="819"/>
      <c r="BO201" s="819"/>
      <c r="BP201" s="819"/>
      <c r="BQ201" s="819"/>
      <c r="BR201" s="819"/>
      <c r="BS201" s="819"/>
      <c r="BT201" s="819"/>
    </row>
    <row r="202" spans="1:72" x14ac:dyDescent="0.2">
      <c r="A202" s="796"/>
      <c r="B202" s="834" t="s">
        <v>1085</v>
      </c>
      <c r="C202" s="732">
        <f>number_approachslab*2</f>
        <v>4</v>
      </c>
      <c r="D202" s="716">
        <f>length_approachslab+thickness_backwall</f>
        <v>3.8</v>
      </c>
      <c r="E202" s="716"/>
      <c r="F202" s="716">
        <v>0.3</v>
      </c>
      <c r="G202" s="706">
        <f t="shared" ref="G202:G203" si="27">ROUND(PRODUCT(C202:F202),2)</f>
        <v>4.5599999999999996</v>
      </c>
      <c r="H202" s="257"/>
      <c r="I202" s="819"/>
      <c r="J202" s="819"/>
      <c r="K202" s="819"/>
      <c r="L202" s="819"/>
      <c r="M202" s="819"/>
      <c r="N202" s="819"/>
      <c r="O202" s="819"/>
      <c r="P202" s="819"/>
      <c r="Q202" s="819"/>
      <c r="R202" s="819"/>
      <c r="S202" s="819"/>
      <c r="T202" s="819"/>
      <c r="U202" s="819"/>
      <c r="V202" s="819"/>
      <c r="W202" s="819"/>
      <c r="X202" s="819"/>
      <c r="Y202" s="819"/>
      <c r="Z202" s="819"/>
      <c r="AA202" s="819"/>
      <c r="AB202" s="819"/>
      <c r="AC202" s="819"/>
      <c r="AD202" s="819"/>
      <c r="AE202" s="819"/>
      <c r="AF202" s="819"/>
      <c r="AG202" s="819"/>
      <c r="AH202" s="819"/>
      <c r="AI202" s="819"/>
      <c r="AJ202" s="819"/>
      <c r="AK202" s="819"/>
      <c r="AL202" s="819"/>
      <c r="AM202" s="819"/>
      <c r="AN202" s="819"/>
      <c r="AO202" s="819"/>
      <c r="AP202" s="819"/>
      <c r="AQ202" s="819"/>
      <c r="AR202" s="819"/>
      <c r="AS202" s="819"/>
      <c r="AT202" s="819"/>
      <c r="AU202" s="819"/>
      <c r="AV202" s="819"/>
      <c r="AW202" s="819"/>
      <c r="AX202" s="819"/>
      <c r="AY202" s="819"/>
      <c r="AZ202" s="819"/>
      <c r="BA202" s="819"/>
      <c r="BB202" s="819"/>
      <c r="BC202" s="819"/>
      <c r="BD202" s="819"/>
      <c r="BE202" s="819"/>
      <c r="BF202" s="819"/>
      <c r="BG202" s="819"/>
      <c r="BH202" s="819"/>
      <c r="BI202" s="819"/>
      <c r="BJ202" s="819"/>
      <c r="BK202" s="819"/>
      <c r="BL202" s="819"/>
      <c r="BM202" s="819"/>
      <c r="BN202" s="819"/>
      <c r="BO202" s="819"/>
      <c r="BP202" s="819"/>
      <c r="BQ202" s="819"/>
      <c r="BR202" s="819"/>
      <c r="BS202" s="819"/>
      <c r="BT202" s="819"/>
    </row>
    <row r="203" spans="1:72" x14ac:dyDescent="0.2">
      <c r="A203" s="796"/>
      <c r="B203" s="834"/>
      <c r="C203" s="732">
        <f>number_approachslab*2</f>
        <v>4</v>
      </c>
      <c r="D203" s="716">
        <f>length_approachslab+thickness_backwall</f>
        <v>3.8</v>
      </c>
      <c r="E203" s="716">
        <v>0.2</v>
      </c>
      <c r="F203" s="716"/>
      <c r="G203" s="706">
        <f t="shared" si="27"/>
        <v>3.04</v>
      </c>
      <c r="H203" s="257"/>
      <c r="I203" s="819"/>
      <c r="J203" s="819"/>
      <c r="K203" s="819"/>
      <c r="L203" s="819"/>
      <c r="M203" s="819"/>
      <c r="N203" s="819"/>
      <c r="O203" s="819"/>
      <c r="P203" s="819"/>
      <c r="Q203" s="819"/>
      <c r="R203" s="819"/>
      <c r="S203" s="819"/>
      <c r="T203" s="819"/>
      <c r="U203" s="819"/>
      <c r="V203" s="819"/>
      <c r="W203" s="819"/>
      <c r="X203" s="819"/>
      <c r="Y203" s="819"/>
      <c r="Z203" s="819"/>
      <c r="AA203" s="819"/>
      <c r="AB203" s="819"/>
      <c r="AC203" s="819"/>
      <c r="AD203" s="819"/>
      <c r="AE203" s="819"/>
      <c r="AF203" s="819"/>
      <c r="AG203" s="819"/>
      <c r="AH203" s="819"/>
      <c r="AI203" s="819"/>
      <c r="AJ203" s="819"/>
      <c r="AK203" s="819"/>
      <c r="AL203" s="819"/>
      <c r="AM203" s="819"/>
      <c r="AN203" s="819"/>
      <c r="AO203" s="819"/>
      <c r="AP203" s="819"/>
      <c r="AQ203" s="819"/>
      <c r="AR203" s="819"/>
      <c r="AS203" s="819"/>
      <c r="AT203" s="819"/>
      <c r="AU203" s="819"/>
      <c r="AV203" s="819"/>
      <c r="AW203" s="819"/>
      <c r="AX203" s="819"/>
      <c r="AY203" s="819"/>
      <c r="AZ203" s="819"/>
      <c r="BA203" s="819"/>
      <c r="BB203" s="819"/>
      <c r="BC203" s="819"/>
      <c r="BD203" s="819"/>
      <c r="BE203" s="819"/>
      <c r="BF203" s="819"/>
      <c r="BG203" s="819"/>
      <c r="BH203" s="819"/>
      <c r="BI203" s="819"/>
      <c r="BJ203" s="819"/>
      <c r="BK203" s="819"/>
      <c r="BL203" s="819"/>
      <c r="BM203" s="819"/>
      <c r="BN203" s="819"/>
      <c r="BO203" s="819"/>
      <c r="BP203" s="819"/>
      <c r="BQ203" s="819"/>
      <c r="BR203" s="819"/>
      <c r="BS203" s="819"/>
      <c r="BT203" s="819"/>
    </row>
    <row r="204" spans="1:72" x14ac:dyDescent="0.2">
      <c r="A204" s="796"/>
      <c r="B204" s="770" t="s">
        <v>186</v>
      </c>
      <c r="C204" s="732"/>
      <c r="D204" s="716"/>
      <c r="E204" s="716"/>
      <c r="F204" s="716"/>
      <c r="G204" s="706"/>
      <c r="H204" s="257"/>
      <c r="I204" s="819"/>
      <c r="J204" s="819"/>
      <c r="K204" s="819"/>
      <c r="L204" s="819"/>
      <c r="M204" s="819"/>
      <c r="N204" s="819"/>
      <c r="O204" s="819"/>
      <c r="P204" s="819"/>
      <c r="Q204" s="819"/>
      <c r="R204" s="819"/>
      <c r="S204" s="819"/>
      <c r="T204" s="819"/>
      <c r="U204" s="819"/>
      <c r="V204" s="819"/>
      <c r="W204" s="819"/>
      <c r="X204" s="819"/>
      <c r="Y204" s="819"/>
      <c r="Z204" s="819"/>
      <c r="AA204" s="819"/>
      <c r="AB204" s="819"/>
      <c r="AC204" s="819"/>
      <c r="AD204" s="819"/>
      <c r="AE204" s="819"/>
      <c r="AF204" s="819"/>
      <c r="AG204" s="819"/>
      <c r="AH204" s="819"/>
      <c r="AI204" s="819"/>
      <c r="AJ204" s="819"/>
      <c r="AK204" s="819"/>
      <c r="AL204" s="819"/>
      <c r="AM204" s="819"/>
      <c r="AN204" s="819"/>
      <c r="AO204" s="819"/>
      <c r="AP204" s="819"/>
      <c r="AQ204" s="819"/>
      <c r="AR204" s="819"/>
      <c r="AS204" s="819"/>
      <c r="AT204" s="819"/>
      <c r="AU204" s="819"/>
      <c r="AV204" s="819"/>
      <c r="AW204" s="819"/>
      <c r="AX204" s="819"/>
      <c r="AY204" s="819"/>
      <c r="AZ204" s="819"/>
      <c r="BA204" s="819"/>
      <c r="BB204" s="819"/>
      <c r="BC204" s="819"/>
      <c r="BD204" s="819"/>
      <c r="BE204" s="819"/>
      <c r="BF204" s="819"/>
      <c r="BG204" s="819"/>
      <c r="BH204" s="819"/>
      <c r="BI204" s="819"/>
      <c r="BJ204" s="819"/>
      <c r="BK204" s="819"/>
      <c r="BL204" s="819"/>
      <c r="BM204" s="819"/>
      <c r="BN204" s="819"/>
      <c r="BO204" s="819"/>
      <c r="BP204" s="819"/>
      <c r="BQ204" s="819"/>
      <c r="BR204" s="819"/>
      <c r="BS204" s="819"/>
      <c r="BT204" s="819"/>
    </row>
    <row r="205" spans="1:72" x14ac:dyDescent="0.2">
      <c r="A205" s="796"/>
      <c r="B205" s="202" t="s">
        <v>194</v>
      </c>
      <c r="C205" s="704">
        <f>50+C170</f>
        <v>62</v>
      </c>
      <c r="D205" s="716">
        <f>2*(size_railing_I+size_railing_II)</f>
        <v>0.8</v>
      </c>
      <c r="E205" s="716"/>
      <c r="F205" s="716">
        <f>height_railing</f>
        <v>1</v>
      </c>
      <c r="G205" s="706">
        <f t="shared" si="26"/>
        <v>49.6</v>
      </c>
      <c r="H205" s="257"/>
      <c r="I205" s="819"/>
      <c r="J205" s="819"/>
      <c r="K205" s="819"/>
      <c r="L205" s="819"/>
      <c r="M205" s="819"/>
      <c r="N205" s="819"/>
      <c r="O205" s="819"/>
      <c r="P205" s="819"/>
      <c r="Q205" s="819"/>
      <c r="R205" s="819"/>
      <c r="S205" s="819"/>
      <c r="T205" s="819"/>
      <c r="U205" s="819"/>
      <c r="V205" s="819"/>
      <c r="W205" s="819"/>
      <c r="X205" s="819"/>
      <c r="Y205" s="819"/>
      <c r="Z205" s="819"/>
      <c r="AA205" s="819"/>
      <c r="AB205" s="819"/>
      <c r="AC205" s="819"/>
      <c r="AD205" s="819"/>
      <c r="AE205" s="819"/>
      <c r="AF205" s="819"/>
      <c r="AG205" s="819"/>
      <c r="AH205" s="819"/>
      <c r="AI205" s="819"/>
      <c r="AJ205" s="819"/>
      <c r="AK205" s="819"/>
      <c r="AL205" s="819"/>
      <c r="AM205" s="819"/>
      <c r="AN205" s="819"/>
      <c r="AO205" s="819"/>
      <c r="AP205" s="819"/>
      <c r="AQ205" s="819"/>
      <c r="AR205" s="819"/>
      <c r="AS205" s="819"/>
      <c r="AT205" s="819"/>
      <c r="AU205" s="819"/>
      <c r="AV205" s="819"/>
      <c r="AW205" s="819"/>
      <c r="AX205" s="819"/>
      <c r="AY205" s="819"/>
      <c r="AZ205" s="819"/>
      <c r="BA205" s="819"/>
      <c r="BB205" s="819"/>
      <c r="BC205" s="819"/>
      <c r="BD205" s="819"/>
      <c r="BE205" s="819"/>
      <c r="BF205" s="819"/>
      <c r="BG205" s="819"/>
      <c r="BH205" s="819"/>
      <c r="BI205" s="819"/>
      <c r="BJ205" s="819"/>
      <c r="BK205" s="819"/>
      <c r="BL205" s="819"/>
      <c r="BM205" s="819"/>
      <c r="BN205" s="819"/>
      <c r="BO205" s="819"/>
      <c r="BP205" s="819"/>
      <c r="BQ205" s="819"/>
      <c r="BR205" s="819"/>
      <c r="BS205" s="819"/>
      <c r="BT205" s="819"/>
    </row>
    <row r="206" spans="1:72" ht="13.5" thickBot="1" x14ac:dyDescent="0.25">
      <c r="A206" s="835"/>
      <c r="B206" s="836" t="s">
        <v>195</v>
      </c>
      <c r="C206" s="704">
        <f>C205</f>
        <v>62</v>
      </c>
      <c r="D206" s="722">
        <f>size_railing_I</f>
        <v>0.2</v>
      </c>
      <c r="E206" s="722">
        <f>size_railing_II</f>
        <v>0.2</v>
      </c>
      <c r="F206" s="722"/>
      <c r="G206" s="706">
        <f t="shared" si="26"/>
        <v>2.48</v>
      </c>
      <c r="H206" s="269"/>
      <c r="I206" s="819"/>
      <c r="J206" s="819"/>
      <c r="K206" s="819"/>
      <c r="L206" s="819"/>
      <c r="M206" s="819"/>
      <c r="N206" s="819"/>
      <c r="O206" s="819"/>
      <c r="P206" s="819"/>
      <c r="Q206" s="819"/>
      <c r="R206" s="819"/>
      <c r="S206" s="819"/>
      <c r="T206" s="819"/>
      <c r="U206" s="819"/>
      <c r="V206" s="819"/>
      <c r="W206" s="819"/>
      <c r="X206" s="819"/>
      <c r="Y206" s="819"/>
      <c r="Z206" s="819"/>
      <c r="AA206" s="819"/>
      <c r="AB206" s="819"/>
      <c r="AC206" s="819"/>
      <c r="AD206" s="819"/>
      <c r="AE206" s="819"/>
      <c r="AF206" s="819"/>
      <c r="AG206" s="819"/>
      <c r="AH206" s="819"/>
      <c r="AI206" s="819"/>
      <c r="AJ206" s="819"/>
      <c r="AK206" s="819"/>
      <c r="AL206" s="819"/>
      <c r="AM206" s="819"/>
      <c r="AN206" s="819"/>
      <c r="AO206" s="819"/>
      <c r="AP206" s="819"/>
      <c r="AQ206" s="819"/>
      <c r="AR206" s="819"/>
      <c r="AS206" s="819"/>
      <c r="AT206" s="819"/>
      <c r="AU206" s="819"/>
      <c r="AV206" s="819"/>
      <c r="AW206" s="819"/>
      <c r="AX206" s="819"/>
      <c r="AY206" s="819"/>
      <c r="AZ206" s="819"/>
      <c r="BA206" s="819"/>
      <c r="BB206" s="819"/>
      <c r="BC206" s="819"/>
      <c r="BD206" s="819"/>
      <c r="BE206" s="819"/>
      <c r="BF206" s="819"/>
      <c r="BG206" s="819"/>
      <c r="BH206" s="819"/>
      <c r="BI206" s="819"/>
      <c r="BJ206" s="819"/>
      <c r="BK206" s="819"/>
      <c r="BL206" s="819"/>
      <c r="BM206" s="819"/>
      <c r="BN206" s="819"/>
      <c r="BO206" s="819"/>
      <c r="BP206" s="819"/>
      <c r="BQ206" s="819"/>
      <c r="BR206" s="819"/>
      <c r="BS206" s="819"/>
      <c r="BT206" s="819"/>
    </row>
    <row r="207" spans="1:72" ht="13.5" thickBot="1" x14ac:dyDescent="0.25">
      <c r="A207" s="741"/>
      <c r="B207" s="124" t="s">
        <v>83</v>
      </c>
      <c r="C207" s="711"/>
      <c r="D207" s="733"/>
      <c r="E207" s="733"/>
      <c r="F207" s="733"/>
      <c r="G207" s="125">
        <f>SUM(G198:G206)</f>
        <v>139.88999999999999</v>
      </c>
      <c r="H207" s="126" t="s">
        <v>249</v>
      </c>
      <c r="I207" s="819"/>
      <c r="J207" s="819"/>
      <c r="K207" s="819"/>
      <c r="L207" s="819"/>
      <c r="M207" s="819"/>
      <c r="N207" s="819"/>
      <c r="O207" s="819"/>
      <c r="P207" s="819"/>
      <c r="Q207" s="819"/>
      <c r="R207" s="819"/>
      <c r="S207" s="819"/>
      <c r="T207" s="819"/>
      <c r="U207" s="819"/>
      <c r="V207" s="819"/>
      <c r="W207" s="819"/>
      <c r="X207" s="819"/>
      <c r="Y207" s="819"/>
      <c r="Z207" s="819"/>
      <c r="AA207" s="819"/>
      <c r="AB207" s="819"/>
      <c r="AC207" s="819"/>
      <c r="AD207" s="819"/>
      <c r="AE207" s="819"/>
      <c r="AF207" s="819"/>
      <c r="AG207" s="819"/>
      <c r="AH207" s="819"/>
      <c r="AI207" s="819"/>
      <c r="AJ207" s="819"/>
      <c r="AK207" s="819"/>
      <c r="AL207" s="819"/>
      <c r="AM207" s="819"/>
      <c r="AN207" s="819"/>
      <c r="AO207" s="819"/>
      <c r="AP207" s="819"/>
      <c r="AQ207" s="819"/>
      <c r="AR207" s="819"/>
      <c r="AS207" s="819"/>
      <c r="AT207" s="819"/>
      <c r="AU207" s="819"/>
      <c r="AV207" s="819"/>
      <c r="AW207" s="819"/>
      <c r="AX207" s="819"/>
      <c r="AY207" s="819"/>
      <c r="AZ207" s="819"/>
      <c r="BA207" s="819"/>
      <c r="BB207" s="819"/>
      <c r="BC207" s="819"/>
      <c r="BD207" s="819"/>
      <c r="BE207" s="819"/>
      <c r="BF207" s="819"/>
      <c r="BG207" s="819"/>
      <c r="BH207" s="819"/>
      <c r="BI207" s="819"/>
      <c r="BJ207" s="819"/>
      <c r="BK207" s="819"/>
      <c r="BL207" s="819"/>
      <c r="BM207" s="819"/>
      <c r="BN207" s="819"/>
      <c r="BO207" s="819"/>
      <c r="BP207" s="819"/>
      <c r="BQ207" s="819"/>
      <c r="BR207" s="819"/>
      <c r="BS207" s="819"/>
      <c r="BT207" s="819"/>
    </row>
    <row r="208" spans="1:72" x14ac:dyDescent="0.2">
      <c r="A208" s="837"/>
      <c r="B208" s="270"/>
      <c r="C208" s="734"/>
      <c r="D208" s="735"/>
      <c r="E208" s="735"/>
      <c r="F208" s="735"/>
      <c r="G208" s="261"/>
      <c r="H208" s="262"/>
      <c r="I208" s="819"/>
      <c r="J208" s="819"/>
      <c r="K208" s="819"/>
      <c r="L208" s="819"/>
      <c r="M208" s="819"/>
      <c r="N208" s="819"/>
      <c r="O208" s="819"/>
      <c r="P208" s="819"/>
      <c r="Q208" s="819"/>
      <c r="R208" s="819"/>
      <c r="S208" s="819"/>
      <c r="T208" s="819"/>
      <c r="U208" s="819"/>
      <c r="V208" s="819"/>
      <c r="W208" s="819"/>
      <c r="X208" s="819"/>
      <c r="Y208" s="819"/>
      <c r="Z208" s="819"/>
      <c r="AA208" s="819"/>
      <c r="AB208" s="819"/>
      <c r="AC208" s="819"/>
      <c r="AD208" s="819"/>
      <c r="AE208" s="819"/>
      <c r="AF208" s="819"/>
      <c r="AG208" s="819"/>
      <c r="AH208" s="819"/>
      <c r="AI208" s="819"/>
      <c r="AJ208" s="819"/>
      <c r="AK208" s="819"/>
      <c r="AL208" s="819"/>
      <c r="AM208" s="819"/>
      <c r="AN208" s="819"/>
      <c r="AO208" s="819"/>
      <c r="AP208" s="819"/>
      <c r="AQ208" s="819"/>
      <c r="AR208" s="819"/>
      <c r="AS208" s="819"/>
      <c r="AT208" s="819"/>
      <c r="AU208" s="819"/>
      <c r="AV208" s="819"/>
      <c r="AW208" s="819"/>
      <c r="AX208" s="819"/>
      <c r="AY208" s="819"/>
      <c r="AZ208" s="819"/>
      <c r="BA208" s="819"/>
      <c r="BB208" s="819"/>
      <c r="BC208" s="819"/>
      <c r="BD208" s="819"/>
      <c r="BE208" s="819"/>
      <c r="BF208" s="819"/>
      <c r="BG208" s="819"/>
      <c r="BH208" s="819"/>
      <c r="BI208" s="819"/>
      <c r="BJ208" s="819"/>
      <c r="BK208" s="819"/>
      <c r="BL208" s="819"/>
      <c r="BM208" s="819"/>
      <c r="BN208" s="819"/>
      <c r="BO208" s="819"/>
      <c r="BP208" s="819"/>
      <c r="BQ208" s="819"/>
      <c r="BR208" s="819"/>
      <c r="BS208" s="819"/>
      <c r="BT208" s="819"/>
    </row>
    <row r="209" spans="1:72" ht="25.5" x14ac:dyDescent="0.2">
      <c r="A209" s="796" t="s">
        <v>1126</v>
      </c>
      <c r="B209" s="770" t="s">
        <v>191</v>
      </c>
      <c r="C209" s="732"/>
      <c r="D209" s="716"/>
      <c r="E209" s="716"/>
      <c r="F209" s="716"/>
      <c r="G209" s="831"/>
      <c r="H209" s="257"/>
      <c r="I209" s="819"/>
      <c r="J209" s="819"/>
      <c r="K209" s="819"/>
      <c r="L209" s="819"/>
      <c r="M209" s="819"/>
      <c r="N209" s="819"/>
      <c r="O209" s="819"/>
      <c r="P209" s="819"/>
      <c r="Q209" s="819"/>
      <c r="R209" s="819"/>
      <c r="S209" s="819"/>
      <c r="T209" s="819"/>
      <c r="U209" s="819"/>
      <c r="V209" s="819"/>
      <c r="W209" s="819"/>
      <c r="X209" s="819"/>
      <c r="Y209" s="819"/>
      <c r="Z209" s="819"/>
      <c r="AA209" s="819"/>
      <c r="AB209" s="819"/>
      <c r="AC209" s="819"/>
      <c r="AD209" s="819"/>
      <c r="AE209" s="819"/>
      <c r="AF209" s="819"/>
      <c r="AG209" s="819"/>
      <c r="AH209" s="819"/>
      <c r="AI209" s="819"/>
      <c r="AJ209" s="819"/>
      <c r="AK209" s="819"/>
      <c r="AL209" s="819"/>
      <c r="AM209" s="819"/>
      <c r="AN209" s="819"/>
      <c r="AO209" s="819"/>
      <c r="AP209" s="819"/>
      <c r="AQ209" s="819"/>
      <c r="AR209" s="819"/>
      <c r="AS209" s="819"/>
      <c r="AT209" s="819"/>
      <c r="AU209" s="819"/>
      <c r="AV209" s="819"/>
      <c r="AW209" s="819"/>
      <c r="AX209" s="819"/>
      <c r="AY209" s="819"/>
      <c r="AZ209" s="819"/>
      <c r="BA209" s="819"/>
      <c r="BB209" s="819"/>
      <c r="BC209" s="819"/>
      <c r="BD209" s="819"/>
      <c r="BE209" s="819"/>
      <c r="BF209" s="819"/>
      <c r="BG209" s="819"/>
      <c r="BH209" s="819"/>
      <c r="BI209" s="819"/>
      <c r="BJ209" s="819"/>
      <c r="BK209" s="819"/>
      <c r="BL209" s="819"/>
      <c r="BM209" s="819"/>
      <c r="BN209" s="819"/>
      <c r="BO209" s="819"/>
      <c r="BP209" s="819"/>
      <c r="BQ209" s="819"/>
      <c r="BR209" s="819"/>
      <c r="BS209" s="819"/>
      <c r="BT209" s="819"/>
    </row>
    <row r="210" spans="1:72" ht="13.5" thickBot="1" x14ac:dyDescent="0.25">
      <c r="A210" s="807"/>
      <c r="B210" s="838" t="s">
        <v>1060</v>
      </c>
      <c r="C210" s="828">
        <v>2</v>
      </c>
      <c r="D210" s="839"/>
      <c r="E210" s="730"/>
      <c r="F210" s="730">
        <v>16</v>
      </c>
      <c r="G210" s="779">
        <f>ROUND(PRODUCT(C210:F210),2)</f>
        <v>32</v>
      </c>
      <c r="H210" s="259"/>
      <c r="I210" s="819"/>
      <c r="J210" s="819"/>
      <c r="K210" s="819"/>
      <c r="L210" s="819"/>
      <c r="M210" s="819"/>
      <c r="N210" s="819"/>
      <c r="O210" s="819"/>
      <c r="P210" s="819"/>
      <c r="Q210" s="819"/>
      <c r="R210" s="819"/>
      <c r="S210" s="819"/>
      <c r="T210" s="819"/>
      <c r="U210" s="819"/>
      <c r="V210" s="819"/>
      <c r="W210" s="819"/>
      <c r="X210" s="819"/>
      <c r="Y210" s="819"/>
      <c r="Z210" s="819"/>
      <c r="AA210" s="819"/>
      <c r="AB210" s="819"/>
      <c r="AC210" s="819"/>
      <c r="AD210" s="819"/>
      <c r="AE210" s="819"/>
      <c r="AF210" s="819"/>
      <c r="AG210" s="819"/>
      <c r="AH210" s="819"/>
      <c r="AI210" s="819"/>
      <c r="AJ210" s="819"/>
      <c r="AK210" s="819"/>
      <c r="AL210" s="819"/>
      <c r="AM210" s="819"/>
      <c r="AN210" s="819"/>
      <c r="AO210" s="819"/>
      <c r="AP210" s="819"/>
      <c r="AQ210" s="819"/>
      <c r="AR210" s="819"/>
      <c r="AS210" s="819"/>
      <c r="AT210" s="819"/>
      <c r="AU210" s="819"/>
      <c r="AV210" s="819"/>
      <c r="AW210" s="819"/>
      <c r="AX210" s="819"/>
      <c r="AY210" s="819"/>
      <c r="AZ210" s="819"/>
      <c r="BA210" s="819"/>
      <c r="BB210" s="819"/>
      <c r="BC210" s="819"/>
      <c r="BD210" s="819"/>
      <c r="BE210" s="819"/>
      <c r="BF210" s="819"/>
      <c r="BG210" s="819"/>
      <c r="BH210" s="819"/>
      <c r="BI210" s="819"/>
      <c r="BJ210" s="819"/>
      <c r="BK210" s="819"/>
      <c r="BL210" s="819"/>
      <c r="BM210" s="819"/>
      <c r="BN210" s="819"/>
      <c r="BO210" s="819"/>
      <c r="BP210" s="819"/>
      <c r="BQ210" s="819"/>
      <c r="BR210" s="819"/>
      <c r="BS210" s="819"/>
      <c r="BT210" s="819"/>
    </row>
    <row r="211" spans="1:72" ht="13.5" hidden="1" thickBot="1" x14ac:dyDescent="0.25">
      <c r="A211" s="796"/>
      <c r="B211" s="815" t="s">
        <v>1092</v>
      </c>
      <c r="C211" s="828">
        <f>number_intermediatedeck*2*'Input for Superstructure'!D71</f>
        <v>0</v>
      </c>
      <c r="D211" s="814"/>
      <c r="E211" s="716"/>
      <c r="F211" s="716"/>
      <c r="G211" s="706">
        <f>ROUND(PRODUCT(C211:F211),2)</f>
        <v>0</v>
      </c>
      <c r="H211" s="257"/>
      <c r="I211" s="819"/>
      <c r="J211" s="819"/>
      <c r="K211" s="819"/>
      <c r="L211" s="819"/>
      <c r="M211" s="819"/>
      <c r="N211" s="819"/>
      <c r="O211" s="819"/>
      <c r="P211" s="819"/>
      <c r="Q211" s="819"/>
      <c r="R211" s="819"/>
      <c r="S211" s="819"/>
      <c r="T211" s="819"/>
      <c r="U211" s="819"/>
      <c r="V211" s="819"/>
      <c r="W211" s="819"/>
      <c r="X211" s="819"/>
      <c r="Y211" s="819"/>
      <c r="Z211" s="819"/>
      <c r="AA211" s="819"/>
      <c r="AB211" s="819"/>
      <c r="AC211" s="819"/>
      <c r="AD211" s="819"/>
      <c r="AE211" s="819"/>
      <c r="AF211" s="819"/>
      <c r="AG211" s="819"/>
      <c r="AH211" s="819"/>
      <c r="AI211" s="819"/>
      <c r="AJ211" s="819"/>
      <c r="AK211" s="819"/>
      <c r="AL211" s="819"/>
      <c r="AM211" s="819"/>
      <c r="AN211" s="819"/>
      <c r="AO211" s="819"/>
      <c r="AP211" s="819"/>
      <c r="AQ211" s="819"/>
      <c r="AR211" s="819"/>
      <c r="AS211" s="819"/>
      <c r="AT211" s="819"/>
      <c r="AU211" s="819"/>
      <c r="AV211" s="819"/>
      <c r="AW211" s="819"/>
      <c r="AX211" s="819"/>
      <c r="AY211" s="819"/>
      <c r="AZ211" s="819"/>
      <c r="BA211" s="819"/>
      <c r="BB211" s="819"/>
      <c r="BC211" s="819"/>
      <c r="BD211" s="819"/>
      <c r="BE211" s="819"/>
      <c r="BF211" s="819"/>
      <c r="BG211" s="819"/>
      <c r="BH211" s="819"/>
      <c r="BI211" s="819"/>
      <c r="BJ211" s="819"/>
      <c r="BK211" s="819"/>
      <c r="BL211" s="819"/>
      <c r="BM211" s="819"/>
      <c r="BN211" s="819"/>
      <c r="BO211" s="819"/>
      <c r="BP211" s="819"/>
      <c r="BQ211" s="819"/>
      <c r="BR211" s="819"/>
      <c r="BS211" s="819"/>
      <c r="BT211" s="819"/>
    </row>
    <row r="212" spans="1:72" ht="13.5" thickBot="1" x14ac:dyDescent="0.25">
      <c r="A212" s="840"/>
      <c r="B212" s="841" t="s">
        <v>83</v>
      </c>
      <c r="C212" s="842"/>
      <c r="D212" s="843"/>
      <c r="E212" s="843"/>
      <c r="F212" s="843"/>
      <c r="G212" s="844">
        <f>SUM(G210:G211)</f>
        <v>32</v>
      </c>
      <c r="H212" s="268" t="s">
        <v>451</v>
      </c>
      <c r="I212" s="819"/>
      <c r="J212" s="819"/>
      <c r="K212" s="819"/>
      <c r="L212" s="819"/>
      <c r="M212" s="819"/>
      <c r="N212" s="819"/>
      <c r="O212" s="819"/>
      <c r="P212" s="819"/>
      <c r="Q212" s="819"/>
      <c r="R212" s="819"/>
      <c r="S212" s="819"/>
      <c r="T212" s="819"/>
      <c r="U212" s="819"/>
      <c r="V212" s="819"/>
      <c r="W212" s="819"/>
      <c r="X212" s="819"/>
      <c r="Y212" s="819"/>
      <c r="Z212" s="819"/>
      <c r="AA212" s="819"/>
      <c r="AB212" s="819"/>
      <c r="AC212" s="819"/>
      <c r="AD212" s="819"/>
      <c r="AE212" s="819"/>
      <c r="AF212" s="819"/>
      <c r="AG212" s="819"/>
      <c r="AH212" s="819"/>
      <c r="AI212" s="819"/>
      <c r="AJ212" s="819"/>
      <c r="AK212" s="819"/>
      <c r="AL212" s="819"/>
      <c r="AM212" s="819"/>
      <c r="AN212" s="819"/>
      <c r="AO212" s="819"/>
      <c r="AP212" s="819"/>
      <c r="AQ212" s="819"/>
      <c r="AR212" s="819"/>
      <c r="AS212" s="819"/>
      <c r="AT212" s="819"/>
      <c r="AU212" s="819"/>
      <c r="AV212" s="819"/>
      <c r="AW212" s="819"/>
      <c r="AX212" s="819"/>
      <c r="AY212" s="819"/>
      <c r="AZ212" s="819"/>
      <c r="BA212" s="819"/>
      <c r="BB212" s="819"/>
      <c r="BC212" s="819"/>
      <c r="BD212" s="819"/>
      <c r="BE212" s="819"/>
      <c r="BF212" s="819"/>
      <c r="BG212" s="819"/>
      <c r="BH212" s="819"/>
      <c r="BI212" s="819"/>
      <c r="BJ212" s="819"/>
      <c r="BK212" s="819"/>
      <c r="BL212" s="819"/>
      <c r="BM212" s="819"/>
      <c r="BN212" s="819"/>
      <c r="BO212" s="819"/>
      <c r="BP212" s="819"/>
      <c r="BQ212" s="819"/>
      <c r="BR212" s="819"/>
      <c r="BS212" s="819"/>
      <c r="BT212" s="819"/>
    </row>
    <row r="213" spans="1:72" x14ac:dyDescent="0.2">
      <c r="A213" s="837"/>
      <c r="B213" s="270"/>
      <c r="C213" s="734"/>
      <c r="D213" s="735"/>
      <c r="E213" s="735"/>
      <c r="F213" s="735"/>
      <c r="G213" s="261"/>
      <c r="H213" s="262"/>
      <c r="I213" s="819"/>
      <c r="J213" s="819"/>
      <c r="K213" s="819"/>
      <c r="L213" s="819"/>
      <c r="M213" s="819"/>
      <c r="N213" s="819"/>
      <c r="O213" s="819"/>
      <c r="P213" s="819"/>
      <c r="Q213" s="819"/>
      <c r="R213" s="819"/>
      <c r="S213" s="819"/>
      <c r="T213" s="819"/>
      <c r="U213" s="819"/>
      <c r="V213" s="819"/>
      <c r="W213" s="819"/>
      <c r="X213" s="819"/>
      <c r="Y213" s="819"/>
      <c r="Z213" s="819"/>
      <c r="AA213" s="819"/>
      <c r="AB213" s="819"/>
      <c r="AC213" s="819"/>
      <c r="AD213" s="819"/>
      <c r="AE213" s="819"/>
      <c r="AF213" s="819"/>
      <c r="AG213" s="819"/>
      <c r="AH213" s="819"/>
      <c r="AI213" s="819"/>
      <c r="AJ213" s="819"/>
      <c r="AK213" s="819"/>
      <c r="AL213" s="819"/>
      <c r="AM213" s="819"/>
      <c r="AN213" s="819"/>
      <c r="AO213" s="819"/>
      <c r="AP213" s="819"/>
      <c r="AQ213" s="819"/>
      <c r="AR213" s="819"/>
      <c r="AS213" s="819"/>
      <c r="AT213" s="819"/>
      <c r="AU213" s="819"/>
      <c r="AV213" s="819"/>
      <c r="AW213" s="819"/>
      <c r="AX213" s="819"/>
      <c r="AY213" s="819"/>
      <c r="AZ213" s="819"/>
      <c r="BA213" s="819"/>
      <c r="BB213" s="819"/>
      <c r="BC213" s="819"/>
      <c r="BD213" s="819"/>
      <c r="BE213" s="819"/>
      <c r="BF213" s="819"/>
      <c r="BG213" s="819"/>
      <c r="BH213" s="819"/>
      <c r="BI213" s="819"/>
      <c r="BJ213" s="819"/>
      <c r="BK213" s="819"/>
      <c r="BL213" s="819"/>
      <c r="BM213" s="819"/>
      <c r="BN213" s="819"/>
      <c r="BO213" s="819"/>
      <c r="BP213" s="819"/>
      <c r="BQ213" s="819"/>
      <c r="BR213" s="819"/>
      <c r="BS213" s="819"/>
      <c r="BT213" s="819"/>
    </row>
    <row r="214" spans="1:72" ht="63.75" x14ac:dyDescent="0.2">
      <c r="A214" s="796" t="s">
        <v>1140</v>
      </c>
      <c r="B214" s="770" t="str">
        <f>'Summary of rates'!C35</f>
        <v>Providing and laying bituminous concrete/ Asphalt concrete using crushed aggregates of specified grading, premixed with bituminous binder and filler as per Drawing and Technical Specifications</v>
      </c>
      <c r="C214" s="732"/>
      <c r="D214" s="716"/>
      <c r="E214" s="716"/>
      <c r="F214" s="716"/>
      <c r="G214" s="831"/>
      <c r="H214" s="257"/>
      <c r="I214" s="819"/>
      <c r="J214" s="819"/>
      <c r="K214" s="819"/>
      <c r="L214" s="819"/>
      <c r="M214" s="819"/>
      <c r="N214" s="819"/>
      <c r="O214" s="819"/>
      <c r="P214" s="819"/>
      <c r="Q214" s="819"/>
      <c r="R214" s="819"/>
      <c r="S214" s="819"/>
      <c r="T214" s="819"/>
      <c r="U214" s="819"/>
      <c r="V214" s="819"/>
      <c r="W214" s="819"/>
      <c r="X214" s="819"/>
      <c r="Y214" s="819"/>
      <c r="Z214" s="819"/>
      <c r="AA214" s="819"/>
      <c r="AB214" s="819"/>
      <c r="AC214" s="819"/>
      <c r="AD214" s="819"/>
      <c r="AE214" s="819"/>
      <c r="AF214" s="819"/>
      <c r="AG214" s="819"/>
      <c r="AH214" s="819"/>
      <c r="AI214" s="819"/>
      <c r="AJ214" s="819"/>
      <c r="AK214" s="819"/>
      <c r="AL214" s="819"/>
      <c r="AM214" s="819"/>
      <c r="AN214" s="819"/>
      <c r="AO214" s="819"/>
      <c r="AP214" s="819"/>
      <c r="AQ214" s="819"/>
      <c r="AR214" s="819"/>
      <c r="AS214" s="819"/>
      <c r="AT214" s="819"/>
      <c r="AU214" s="819"/>
      <c r="AV214" s="819"/>
      <c r="AW214" s="819"/>
      <c r="AX214" s="819"/>
      <c r="AY214" s="819"/>
      <c r="AZ214" s="819"/>
      <c r="BA214" s="819"/>
      <c r="BB214" s="819"/>
      <c r="BC214" s="819"/>
      <c r="BD214" s="819"/>
      <c r="BE214" s="819"/>
      <c r="BF214" s="819"/>
      <c r="BG214" s="819"/>
      <c r="BH214" s="819"/>
      <c r="BI214" s="819"/>
      <c r="BJ214" s="819"/>
      <c r="BK214" s="819"/>
      <c r="BL214" s="819"/>
      <c r="BM214" s="819"/>
      <c r="BN214" s="819"/>
      <c r="BO214" s="819"/>
      <c r="BP214" s="819"/>
      <c r="BQ214" s="819"/>
      <c r="BR214" s="819"/>
      <c r="BS214" s="819"/>
      <c r="BT214" s="819"/>
    </row>
    <row r="215" spans="1:72" x14ac:dyDescent="0.2">
      <c r="A215" s="807"/>
      <c r="B215" s="838" t="s">
        <v>1125</v>
      </c>
      <c r="C215" s="828">
        <f>number_enddeck</f>
        <v>2</v>
      </c>
      <c r="D215" s="960">
        <f>316*0.0625</f>
        <v>19.75</v>
      </c>
      <c r="E215" s="961"/>
      <c r="F215" s="962"/>
      <c r="G215" s="779">
        <f>ROUND(PRODUCT(C215:F215),2)</f>
        <v>39.5</v>
      </c>
      <c r="H215" s="259"/>
      <c r="I215" s="819"/>
      <c r="J215" s="819"/>
      <c r="K215" s="819"/>
      <c r="L215" s="819"/>
      <c r="M215" s="819"/>
      <c r="N215" s="819"/>
      <c r="O215" s="819"/>
      <c r="P215" s="819"/>
      <c r="Q215" s="819"/>
      <c r="R215" s="819"/>
      <c r="S215" s="819"/>
      <c r="T215" s="819"/>
      <c r="U215" s="819"/>
      <c r="V215" s="819"/>
      <c r="W215" s="819"/>
      <c r="X215" s="819"/>
      <c r="Y215" s="819"/>
      <c r="Z215" s="819"/>
      <c r="AA215" s="819"/>
      <c r="AB215" s="819"/>
      <c r="AC215" s="819"/>
      <c r="AD215" s="819"/>
      <c r="AE215" s="819"/>
      <c r="AF215" s="819"/>
      <c r="AG215" s="819"/>
      <c r="AH215" s="819"/>
      <c r="AI215" s="819"/>
      <c r="AJ215" s="819"/>
      <c r="AK215" s="819"/>
      <c r="AL215" s="819"/>
      <c r="AM215" s="819"/>
      <c r="AN215" s="819"/>
      <c r="AO215" s="819"/>
      <c r="AP215" s="819"/>
      <c r="AQ215" s="819"/>
      <c r="AR215" s="819"/>
      <c r="AS215" s="819"/>
      <c r="AT215" s="819"/>
      <c r="AU215" s="819"/>
      <c r="AV215" s="819"/>
      <c r="AW215" s="819"/>
      <c r="AX215" s="819"/>
      <c r="AY215" s="819"/>
      <c r="AZ215" s="819"/>
      <c r="BA215" s="819"/>
      <c r="BB215" s="819"/>
      <c r="BC215" s="819"/>
      <c r="BD215" s="819"/>
      <c r="BE215" s="819"/>
      <c r="BF215" s="819"/>
      <c r="BG215" s="819"/>
      <c r="BH215" s="819"/>
      <c r="BI215" s="819"/>
      <c r="BJ215" s="819"/>
      <c r="BK215" s="819"/>
      <c r="BL215" s="819"/>
      <c r="BM215" s="819"/>
      <c r="BN215" s="819"/>
      <c r="BO215" s="819"/>
      <c r="BP215" s="819"/>
      <c r="BQ215" s="819"/>
      <c r="BR215" s="819"/>
      <c r="BS215" s="819"/>
      <c r="BT215" s="819"/>
    </row>
    <row r="216" spans="1:72" ht="13.5" thickBot="1" x14ac:dyDescent="0.25">
      <c r="A216" s="796"/>
      <c r="B216" s="815" t="s">
        <v>1086</v>
      </c>
      <c r="C216" s="828">
        <f>number_approachslab</f>
        <v>2</v>
      </c>
      <c r="D216" s="814">
        <v>3.9</v>
      </c>
      <c r="E216" s="730">
        <f>carriagewaywidth</f>
        <v>7.5</v>
      </c>
      <c r="F216" s="730">
        <v>6.3E-2</v>
      </c>
      <c r="G216" s="706">
        <f>ROUND(PRODUCT(C216:F216),2)</f>
        <v>3.69</v>
      </c>
      <c r="H216" s="257"/>
      <c r="I216" s="819"/>
      <c r="J216" s="819"/>
      <c r="K216" s="819"/>
      <c r="L216" s="819"/>
      <c r="M216" s="819"/>
      <c r="N216" s="819"/>
      <c r="O216" s="819"/>
      <c r="P216" s="819"/>
      <c r="Q216" s="819"/>
      <c r="R216" s="819"/>
      <c r="S216" s="819"/>
      <c r="T216" s="819"/>
      <c r="U216" s="819"/>
      <c r="V216" s="819"/>
      <c r="W216" s="819"/>
      <c r="X216" s="819"/>
      <c r="Y216" s="819"/>
      <c r="Z216" s="819"/>
      <c r="AA216" s="819"/>
      <c r="AB216" s="819"/>
      <c r="AC216" s="819"/>
      <c r="AD216" s="819"/>
      <c r="AE216" s="819"/>
      <c r="AF216" s="819"/>
      <c r="AG216" s="819"/>
      <c r="AH216" s="819"/>
      <c r="AI216" s="819"/>
      <c r="AJ216" s="819"/>
      <c r="AK216" s="819"/>
      <c r="AL216" s="819"/>
      <c r="AM216" s="819"/>
      <c r="AN216" s="819"/>
      <c r="AO216" s="819"/>
      <c r="AP216" s="819"/>
      <c r="AQ216" s="819"/>
      <c r="AR216" s="819"/>
      <c r="AS216" s="819"/>
      <c r="AT216" s="819"/>
      <c r="AU216" s="819"/>
      <c r="AV216" s="819"/>
      <c r="AW216" s="819"/>
      <c r="AX216" s="819"/>
      <c r="AY216" s="819"/>
      <c r="AZ216" s="819"/>
      <c r="BA216" s="819"/>
      <c r="BB216" s="819"/>
      <c r="BC216" s="819"/>
      <c r="BD216" s="819"/>
      <c r="BE216" s="819"/>
      <c r="BF216" s="819"/>
      <c r="BG216" s="819"/>
      <c r="BH216" s="819"/>
      <c r="BI216" s="819"/>
      <c r="BJ216" s="819"/>
      <c r="BK216" s="819"/>
      <c r="BL216" s="819"/>
      <c r="BM216" s="819"/>
      <c r="BN216" s="819"/>
      <c r="BO216" s="819"/>
      <c r="BP216" s="819"/>
      <c r="BQ216" s="819"/>
      <c r="BR216" s="819"/>
      <c r="BS216" s="819"/>
      <c r="BT216" s="819"/>
    </row>
    <row r="217" spans="1:72" ht="13.5" thickBot="1" x14ac:dyDescent="0.25">
      <c r="A217" s="824"/>
      <c r="B217" s="686" t="s">
        <v>83</v>
      </c>
      <c r="C217" s="711"/>
      <c r="D217" s="733"/>
      <c r="E217" s="733"/>
      <c r="F217" s="733"/>
      <c r="G217" s="125">
        <f>SUM(G215:G216)</f>
        <v>43.19</v>
      </c>
      <c r="H217" s="126" t="s">
        <v>250</v>
      </c>
      <c r="I217" s="819"/>
      <c r="J217" s="819"/>
      <c r="K217" s="819"/>
      <c r="L217" s="819"/>
      <c r="M217" s="819"/>
      <c r="N217" s="819"/>
      <c r="O217" s="819"/>
      <c r="P217" s="819"/>
      <c r="Q217" s="819"/>
      <c r="R217" s="819"/>
      <c r="S217" s="819"/>
      <c r="T217" s="819"/>
      <c r="U217" s="819"/>
      <c r="V217" s="819"/>
      <c r="W217" s="819"/>
      <c r="X217" s="819"/>
      <c r="Y217" s="819"/>
      <c r="Z217" s="819"/>
      <c r="AA217" s="819"/>
      <c r="AB217" s="819"/>
      <c r="AC217" s="819"/>
      <c r="AD217" s="819"/>
      <c r="AE217" s="819"/>
      <c r="AF217" s="819"/>
      <c r="AG217" s="819"/>
      <c r="AH217" s="819"/>
      <c r="AI217" s="819"/>
      <c r="AJ217" s="819"/>
      <c r="AK217" s="819"/>
      <c r="AL217" s="819"/>
      <c r="AM217" s="819"/>
      <c r="AN217" s="819"/>
      <c r="AO217" s="819"/>
      <c r="AP217" s="819"/>
      <c r="AQ217" s="819"/>
      <c r="AR217" s="819"/>
      <c r="AS217" s="819"/>
      <c r="AT217" s="819"/>
      <c r="AU217" s="819"/>
      <c r="AV217" s="819"/>
      <c r="AW217" s="819"/>
      <c r="AX217" s="819"/>
      <c r="AY217" s="819"/>
      <c r="AZ217" s="819"/>
      <c r="BA217" s="819"/>
      <c r="BB217" s="819"/>
      <c r="BC217" s="819"/>
      <c r="BD217" s="819"/>
      <c r="BE217" s="819"/>
      <c r="BF217" s="819"/>
      <c r="BG217" s="819"/>
      <c r="BH217" s="819"/>
      <c r="BI217" s="819"/>
      <c r="BJ217" s="819"/>
      <c r="BK217" s="819"/>
      <c r="BL217" s="819"/>
      <c r="BM217" s="819"/>
      <c r="BN217" s="819"/>
      <c r="BO217" s="819"/>
      <c r="BP217" s="819"/>
      <c r="BQ217" s="819"/>
      <c r="BR217" s="819"/>
      <c r="BS217" s="819"/>
      <c r="BT217" s="819"/>
    </row>
    <row r="218" spans="1:72" x14ac:dyDescent="0.2">
      <c r="A218" s="820"/>
      <c r="B218" s="406"/>
      <c r="C218" s="777"/>
      <c r="D218" s="778"/>
      <c r="E218" s="778"/>
      <c r="F218" s="778"/>
      <c r="G218" s="128"/>
      <c r="H218" s="129"/>
      <c r="I218" s="819"/>
      <c r="J218" s="819"/>
      <c r="K218" s="819"/>
      <c r="L218" s="819"/>
      <c r="M218" s="819"/>
      <c r="N218" s="819"/>
      <c r="O218" s="819"/>
      <c r="P218" s="819"/>
      <c r="Q218" s="819"/>
      <c r="R218" s="819"/>
      <c r="S218" s="819"/>
      <c r="T218" s="819"/>
      <c r="U218" s="819"/>
      <c r="V218" s="819"/>
      <c r="W218" s="819"/>
      <c r="X218" s="819"/>
      <c r="Y218" s="819"/>
      <c r="Z218" s="819"/>
      <c r="AA218" s="819"/>
      <c r="AB218" s="819"/>
      <c r="AC218" s="819"/>
      <c r="AD218" s="819"/>
      <c r="AE218" s="819"/>
      <c r="AF218" s="819"/>
      <c r="AG218" s="819"/>
      <c r="AH218" s="819"/>
      <c r="AI218" s="819"/>
      <c r="AJ218" s="819"/>
      <c r="AK218" s="819"/>
      <c r="AL218" s="819"/>
      <c r="AM218" s="819"/>
      <c r="AN218" s="819"/>
      <c r="AO218" s="819"/>
      <c r="AP218" s="819"/>
      <c r="AQ218" s="819"/>
      <c r="AR218" s="819"/>
      <c r="AS218" s="819"/>
      <c r="AT218" s="819"/>
      <c r="AU218" s="819"/>
      <c r="AV218" s="819"/>
      <c r="AW218" s="819"/>
      <c r="AX218" s="819"/>
      <c r="AY218" s="819"/>
      <c r="AZ218" s="819"/>
      <c r="BA218" s="819"/>
      <c r="BB218" s="819"/>
      <c r="BC218" s="819"/>
      <c r="BD218" s="819"/>
      <c r="BE218" s="819"/>
      <c r="BF218" s="819"/>
      <c r="BG218" s="819"/>
      <c r="BH218" s="819"/>
      <c r="BI218" s="819"/>
      <c r="BJ218" s="819"/>
      <c r="BK218" s="819"/>
      <c r="BL218" s="819"/>
      <c r="BM218" s="819"/>
      <c r="BN218" s="819"/>
      <c r="BO218" s="819"/>
      <c r="BP218" s="819"/>
      <c r="BQ218" s="819"/>
      <c r="BR218" s="819"/>
      <c r="BS218" s="819"/>
      <c r="BT218" s="819"/>
    </row>
    <row r="219" spans="1:72" x14ac:dyDescent="0.2">
      <c r="A219" s="845" t="s">
        <v>243</v>
      </c>
      <c r="B219" s="846" t="s">
        <v>326</v>
      </c>
      <c r="C219" s="793"/>
      <c r="D219" s="794"/>
      <c r="E219" s="794"/>
      <c r="F219" s="794"/>
      <c r="G219" s="706"/>
      <c r="H219" s="257"/>
      <c r="I219" s="819"/>
      <c r="J219" s="819"/>
      <c r="K219" s="819"/>
      <c r="L219" s="819"/>
      <c r="M219" s="819"/>
      <c r="N219" s="819"/>
      <c r="O219" s="819"/>
      <c r="P219" s="819"/>
      <c r="Q219" s="819"/>
      <c r="R219" s="819"/>
      <c r="S219" s="819"/>
      <c r="T219" s="819"/>
      <c r="U219" s="819"/>
      <c r="V219" s="819"/>
      <c r="W219" s="819"/>
      <c r="X219" s="819"/>
      <c r="Y219" s="819"/>
      <c r="Z219" s="819"/>
      <c r="AA219" s="819"/>
      <c r="AB219" s="819"/>
      <c r="AC219" s="819"/>
      <c r="AD219" s="819"/>
      <c r="AE219" s="819"/>
      <c r="AF219" s="819"/>
      <c r="AG219" s="819"/>
      <c r="AH219" s="819"/>
      <c r="AI219" s="819"/>
      <c r="AJ219" s="819"/>
      <c r="AK219" s="819"/>
      <c r="AL219" s="819"/>
      <c r="AM219" s="819"/>
      <c r="AN219" s="819"/>
      <c r="AO219" s="819"/>
      <c r="AP219" s="819"/>
      <c r="AQ219" s="819"/>
      <c r="AR219" s="819"/>
      <c r="AS219" s="819"/>
      <c r="AT219" s="819"/>
      <c r="AU219" s="819"/>
      <c r="AV219" s="819"/>
      <c r="AW219" s="819"/>
      <c r="AX219" s="819"/>
      <c r="AY219" s="819"/>
      <c r="AZ219" s="819"/>
      <c r="BA219" s="819"/>
      <c r="BB219" s="819"/>
      <c r="BC219" s="819"/>
      <c r="BD219" s="819"/>
      <c r="BE219" s="819"/>
      <c r="BF219" s="819"/>
      <c r="BG219" s="819"/>
      <c r="BH219" s="819"/>
      <c r="BI219" s="819"/>
      <c r="BJ219" s="819"/>
      <c r="BK219" s="819"/>
      <c r="BL219" s="819"/>
      <c r="BM219" s="819"/>
      <c r="BN219" s="819"/>
      <c r="BO219" s="819"/>
      <c r="BP219" s="819"/>
      <c r="BQ219" s="819"/>
      <c r="BR219" s="819"/>
      <c r="BS219" s="819"/>
      <c r="BT219" s="819"/>
    </row>
    <row r="220" spans="1:72" ht="51" x14ac:dyDescent="0.2">
      <c r="A220" s="796" t="s">
        <v>1136</v>
      </c>
      <c r="B220" s="770" t="s">
        <v>1105</v>
      </c>
      <c r="C220" s="847"/>
      <c r="D220" s="848"/>
      <c r="E220" s="848"/>
      <c r="F220" s="848"/>
      <c r="G220" s="849"/>
      <c r="H220" s="269"/>
    </row>
    <row r="221" spans="1:72" x14ac:dyDescent="0.2">
      <c r="A221" s="796" t="s">
        <v>127</v>
      </c>
      <c r="B221" s="770" t="s">
        <v>1106</v>
      </c>
      <c r="C221" s="847"/>
      <c r="D221" s="848"/>
      <c r="E221" s="848"/>
      <c r="F221" s="848"/>
      <c r="G221" s="849"/>
      <c r="H221" s="269"/>
    </row>
    <row r="222" spans="1:72" ht="13.5" thickBot="1" x14ac:dyDescent="0.25">
      <c r="A222" s="736"/>
      <c r="B222" s="850" t="s">
        <v>1108</v>
      </c>
      <c r="C222" s="732"/>
      <c r="D222" s="716"/>
      <c r="E222" s="716"/>
      <c r="F222" s="716"/>
      <c r="G222" s="706">
        <f>'road earthwork'!F22</f>
        <v>10342.08</v>
      </c>
      <c r="H222" s="851"/>
      <c r="I222" s="819"/>
      <c r="J222" s="819"/>
      <c r="K222" s="819"/>
      <c r="L222" s="819"/>
      <c r="M222" s="819"/>
      <c r="N222" s="819"/>
      <c r="O222" s="819"/>
      <c r="P222" s="819"/>
      <c r="Q222" s="819"/>
      <c r="R222" s="819"/>
      <c r="S222" s="819"/>
      <c r="T222" s="819"/>
      <c r="U222" s="819"/>
      <c r="V222" s="819"/>
      <c r="W222" s="819"/>
      <c r="X222" s="819"/>
      <c r="Y222" s="819"/>
      <c r="Z222" s="819"/>
      <c r="AA222" s="819"/>
      <c r="AB222" s="819"/>
      <c r="AC222" s="819"/>
      <c r="AD222" s="819"/>
      <c r="AE222" s="819"/>
      <c r="AF222" s="819"/>
      <c r="AG222" s="819"/>
      <c r="AH222" s="819"/>
      <c r="AI222" s="819"/>
      <c r="AJ222" s="819"/>
      <c r="AK222" s="819"/>
      <c r="AL222" s="819"/>
      <c r="AM222" s="819"/>
      <c r="AN222" s="819"/>
      <c r="AO222" s="819"/>
      <c r="AP222" s="819"/>
      <c r="AQ222" s="819"/>
      <c r="AR222" s="819"/>
      <c r="AS222" s="819"/>
      <c r="AT222" s="819"/>
      <c r="AU222" s="819"/>
      <c r="AV222" s="819"/>
      <c r="AW222" s="819"/>
      <c r="AX222" s="819"/>
      <c r="AY222" s="819"/>
      <c r="AZ222" s="819"/>
      <c r="BA222" s="819"/>
      <c r="BB222" s="819"/>
      <c r="BC222" s="819"/>
      <c r="BD222" s="819"/>
      <c r="BE222" s="819"/>
      <c r="BF222" s="819"/>
      <c r="BG222" s="819"/>
      <c r="BH222" s="819"/>
      <c r="BI222" s="819"/>
      <c r="BJ222" s="819"/>
      <c r="BK222" s="819"/>
      <c r="BL222" s="819"/>
      <c r="BM222" s="819"/>
      <c r="BN222" s="819"/>
      <c r="BO222" s="819"/>
      <c r="BP222" s="819"/>
      <c r="BQ222" s="819"/>
      <c r="BR222" s="819"/>
      <c r="BS222" s="819"/>
      <c r="BT222" s="819"/>
    </row>
    <row r="223" spans="1:72" ht="13.5" thickBot="1" x14ac:dyDescent="0.25">
      <c r="A223" s="741"/>
      <c r="B223" s="124" t="s">
        <v>83</v>
      </c>
      <c r="C223" s="711"/>
      <c r="D223" s="733"/>
      <c r="E223" s="733"/>
      <c r="F223" s="733"/>
      <c r="G223" s="125">
        <f>SUM(G222)</f>
        <v>10342.08</v>
      </c>
      <c r="H223" s="126" t="s">
        <v>250</v>
      </c>
      <c r="I223" s="819"/>
      <c r="J223" s="819"/>
      <c r="K223" s="819"/>
      <c r="L223" s="819"/>
      <c r="M223" s="819"/>
      <c r="N223" s="819"/>
      <c r="O223" s="819"/>
      <c r="P223" s="819"/>
      <c r="Q223" s="819"/>
      <c r="R223" s="819"/>
      <c r="S223" s="819"/>
      <c r="T223" s="819"/>
      <c r="U223" s="819"/>
      <c r="V223" s="819"/>
      <c r="W223" s="819"/>
      <c r="X223" s="819"/>
      <c r="Y223" s="819"/>
      <c r="Z223" s="819"/>
      <c r="AA223" s="819"/>
      <c r="AB223" s="819"/>
      <c r="AC223" s="819"/>
      <c r="AD223" s="819"/>
      <c r="AE223" s="819"/>
      <c r="AF223" s="819"/>
      <c r="AG223" s="819"/>
      <c r="AH223" s="819"/>
      <c r="AI223" s="819"/>
      <c r="AJ223" s="819"/>
      <c r="AK223" s="819"/>
      <c r="AL223" s="819"/>
      <c r="AM223" s="819"/>
      <c r="AN223" s="819"/>
      <c r="AO223" s="819"/>
      <c r="AP223" s="819"/>
      <c r="AQ223" s="819"/>
      <c r="AR223" s="819"/>
      <c r="AS223" s="819"/>
      <c r="AT223" s="819"/>
      <c r="AU223" s="819"/>
      <c r="AV223" s="819"/>
      <c r="AW223" s="819"/>
      <c r="AX223" s="819"/>
      <c r="AY223" s="819"/>
      <c r="AZ223" s="819"/>
      <c r="BA223" s="819"/>
      <c r="BB223" s="819"/>
      <c r="BC223" s="819"/>
      <c r="BD223" s="819"/>
      <c r="BE223" s="819"/>
      <c r="BF223" s="819"/>
      <c r="BG223" s="819"/>
      <c r="BH223" s="819"/>
      <c r="BI223" s="819"/>
      <c r="BJ223" s="819"/>
      <c r="BK223" s="819"/>
      <c r="BL223" s="819"/>
      <c r="BM223" s="819"/>
      <c r="BN223" s="819"/>
      <c r="BO223" s="819"/>
      <c r="BP223" s="819"/>
      <c r="BQ223" s="819"/>
      <c r="BR223" s="819"/>
      <c r="BS223" s="819"/>
      <c r="BT223" s="819"/>
    </row>
    <row r="224" spans="1:72" x14ac:dyDescent="0.2">
      <c r="A224" s="796" t="s">
        <v>152</v>
      </c>
      <c r="B224" s="770" t="s">
        <v>1107</v>
      </c>
      <c r="C224" s="847"/>
      <c r="D224" s="848"/>
      <c r="E224" s="848"/>
      <c r="F224" s="848"/>
      <c r="G224" s="852"/>
      <c r="H224" s="257"/>
    </row>
    <row r="225" spans="1:72" ht="13.5" thickBot="1" x14ac:dyDescent="0.25">
      <c r="A225" s="775"/>
      <c r="B225" s="853" t="s">
        <v>245</v>
      </c>
      <c r="C225" s="777"/>
      <c r="D225" s="778"/>
      <c r="E225" s="778"/>
      <c r="F225" s="778"/>
      <c r="G225" s="854">
        <f>'road earthwork'!F11</f>
        <v>61.07</v>
      </c>
      <c r="H225" s="855"/>
      <c r="I225" s="819"/>
      <c r="J225" s="819"/>
      <c r="K225" s="819"/>
      <c r="L225" s="819"/>
      <c r="M225" s="819"/>
      <c r="N225" s="819"/>
      <c r="O225" s="819"/>
      <c r="P225" s="819"/>
      <c r="Q225" s="819"/>
      <c r="R225" s="819"/>
      <c r="S225" s="819"/>
      <c r="T225" s="819"/>
      <c r="U225" s="819"/>
      <c r="V225" s="819"/>
      <c r="W225" s="819"/>
      <c r="X225" s="819"/>
      <c r="Y225" s="819"/>
      <c r="Z225" s="819"/>
      <c r="AA225" s="819"/>
      <c r="AB225" s="819"/>
      <c r="AC225" s="819"/>
      <c r="AD225" s="819"/>
      <c r="AE225" s="819"/>
      <c r="AF225" s="819"/>
      <c r="AG225" s="819"/>
      <c r="AH225" s="819"/>
      <c r="AI225" s="819"/>
      <c r="AJ225" s="819"/>
      <c r="AK225" s="819"/>
      <c r="AL225" s="819"/>
      <c r="AM225" s="819"/>
      <c r="AN225" s="819"/>
      <c r="AO225" s="819"/>
      <c r="AP225" s="819"/>
      <c r="AQ225" s="819"/>
      <c r="AR225" s="819"/>
      <c r="AS225" s="819"/>
      <c r="AT225" s="819"/>
      <c r="AU225" s="819"/>
      <c r="AV225" s="819"/>
      <c r="AW225" s="819"/>
      <c r="AX225" s="819"/>
      <c r="AY225" s="819"/>
      <c r="AZ225" s="819"/>
      <c r="BA225" s="819"/>
      <c r="BB225" s="819"/>
      <c r="BC225" s="819"/>
      <c r="BD225" s="819"/>
      <c r="BE225" s="819"/>
      <c r="BF225" s="819"/>
      <c r="BG225" s="819"/>
      <c r="BH225" s="819"/>
      <c r="BI225" s="819"/>
      <c r="BJ225" s="819"/>
      <c r="BK225" s="819"/>
      <c r="BL225" s="819"/>
      <c r="BM225" s="819"/>
      <c r="BN225" s="819"/>
      <c r="BO225" s="819"/>
      <c r="BP225" s="819"/>
      <c r="BQ225" s="819"/>
      <c r="BR225" s="819"/>
      <c r="BS225" s="819"/>
      <c r="BT225" s="819"/>
    </row>
    <row r="226" spans="1:72" ht="13.5" thickBot="1" x14ac:dyDescent="0.25">
      <c r="A226" s="741"/>
      <c r="B226" s="124" t="s">
        <v>83</v>
      </c>
      <c r="C226" s="711"/>
      <c r="D226" s="733"/>
      <c r="E226" s="733"/>
      <c r="F226" s="733"/>
      <c r="G226" s="125">
        <f>SUM(G225)</f>
        <v>61.07</v>
      </c>
      <c r="H226" s="126" t="s">
        <v>250</v>
      </c>
      <c r="I226" s="819"/>
      <c r="J226" s="819"/>
      <c r="K226" s="819"/>
      <c r="L226" s="819"/>
      <c r="M226" s="819"/>
      <c r="N226" s="819"/>
      <c r="O226" s="819"/>
      <c r="P226" s="819"/>
      <c r="Q226" s="819"/>
      <c r="R226" s="819"/>
      <c r="S226" s="819"/>
      <c r="T226" s="819"/>
      <c r="U226" s="819"/>
      <c r="V226" s="819"/>
      <c r="W226" s="819"/>
      <c r="X226" s="819"/>
      <c r="Y226" s="819"/>
      <c r="Z226" s="819"/>
      <c r="AA226" s="819"/>
      <c r="AB226" s="819"/>
      <c r="AC226" s="819"/>
      <c r="AD226" s="819"/>
      <c r="AE226" s="819"/>
      <c r="AF226" s="819"/>
      <c r="AG226" s="819"/>
      <c r="AH226" s="819"/>
      <c r="AI226" s="819"/>
      <c r="AJ226" s="819"/>
      <c r="AK226" s="819"/>
      <c r="AL226" s="819"/>
      <c r="AM226" s="819"/>
      <c r="AN226" s="819"/>
      <c r="AO226" s="819"/>
      <c r="AP226" s="819"/>
      <c r="AQ226" s="819"/>
      <c r="AR226" s="819"/>
      <c r="AS226" s="819"/>
      <c r="AT226" s="819"/>
      <c r="AU226" s="819"/>
      <c r="AV226" s="819"/>
      <c r="AW226" s="819"/>
      <c r="AX226" s="819"/>
      <c r="AY226" s="819"/>
      <c r="AZ226" s="819"/>
      <c r="BA226" s="819"/>
      <c r="BB226" s="819"/>
      <c r="BC226" s="819"/>
      <c r="BD226" s="819"/>
      <c r="BE226" s="819"/>
      <c r="BF226" s="819"/>
      <c r="BG226" s="819"/>
      <c r="BH226" s="819"/>
      <c r="BI226" s="819"/>
      <c r="BJ226" s="819"/>
      <c r="BK226" s="819"/>
      <c r="BL226" s="819"/>
      <c r="BM226" s="819"/>
      <c r="BN226" s="819"/>
      <c r="BO226" s="819"/>
      <c r="BP226" s="819"/>
      <c r="BQ226" s="819"/>
      <c r="BR226" s="819"/>
      <c r="BS226" s="819"/>
      <c r="BT226" s="819"/>
    </row>
    <row r="227" spans="1:72" x14ac:dyDescent="0.2">
      <c r="A227" s="775"/>
      <c r="B227" s="267"/>
      <c r="C227" s="777"/>
      <c r="D227" s="778"/>
      <c r="E227" s="778"/>
      <c r="F227" s="778"/>
      <c r="G227" s="261"/>
      <c r="H227" s="262"/>
    </row>
    <row r="228" spans="1:72" ht="38.25" x14ac:dyDescent="0.2">
      <c r="A228" s="181" t="s">
        <v>1137</v>
      </c>
      <c r="B228" s="821" t="s">
        <v>1138</v>
      </c>
      <c r="C228" s="856"/>
      <c r="D228" s="857"/>
      <c r="E228" s="857"/>
      <c r="F228" s="857"/>
      <c r="G228" s="858"/>
      <c r="H228" s="382"/>
      <c r="I228" s="819"/>
      <c r="J228" s="819"/>
      <c r="K228" s="819"/>
      <c r="L228" s="819"/>
      <c r="M228" s="819"/>
      <c r="N228" s="819"/>
      <c r="O228" s="819"/>
      <c r="P228" s="819"/>
      <c r="Q228" s="819"/>
      <c r="R228" s="819"/>
      <c r="S228" s="819"/>
      <c r="T228" s="819"/>
      <c r="U228" s="819"/>
      <c r="V228" s="819"/>
      <c r="W228" s="819"/>
      <c r="X228" s="819"/>
      <c r="Y228" s="819"/>
      <c r="Z228" s="819"/>
      <c r="AA228" s="819"/>
      <c r="AB228" s="819"/>
      <c r="AC228" s="819"/>
      <c r="AD228" s="819"/>
      <c r="AE228" s="819"/>
      <c r="AF228" s="819"/>
      <c r="AG228" s="819"/>
      <c r="AH228" s="819"/>
      <c r="AI228" s="819"/>
      <c r="AJ228" s="819"/>
      <c r="AK228" s="819"/>
      <c r="AL228" s="819"/>
      <c r="AM228" s="819"/>
      <c r="AN228" s="819"/>
      <c r="AO228" s="819"/>
      <c r="AP228" s="819"/>
      <c r="AQ228" s="819"/>
      <c r="AR228" s="819"/>
      <c r="AS228" s="819"/>
      <c r="AT228" s="819"/>
      <c r="AU228" s="819"/>
      <c r="AV228" s="819"/>
      <c r="AW228" s="819"/>
      <c r="AX228" s="819"/>
      <c r="AY228" s="819"/>
      <c r="AZ228" s="819"/>
      <c r="BA228" s="819"/>
      <c r="BB228" s="819"/>
      <c r="BC228" s="819"/>
      <c r="BD228" s="819"/>
      <c r="BE228" s="819"/>
      <c r="BF228" s="819"/>
      <c r="BG228" s="819"/>
      <c r="BH228" s="819"/>
      <c r="BI228" s="819"/>
      <c r="BJ228" s="819"/>
      <c r="BK228" s="819"/>
      <c r="BL228" s="819"/>
      <c r="BM228" s="819"/>
      <c r="BN228" s="819"/>
      <c r="BO228" s="819"/>
      <c r="BP228" s="819"/>
      <c r="BQ228" s="819"/>
      <c r="BR228" s="819"/>
      <c r="BS228" s="819"/>
      <c r="BT228" s="819"/>
    </row>
    <row r="229" spans="1:72" x14ac:dyDescent="0.2">
      <c r="A229" s="736"/>
      <c r="B229" s="745" t="s">
        <v>326</v>
      </c>
      <c r="C229" s="732"/>
      <c r="D229" s="716"/>
      <c r="E229" s="716"/>
      <c r="F229" s="716"/>
      <c r="G229" s="706"/>
      <c r="H229" s="851"/>
      <c r="I229" s="819"/>
      <c r="J229" s="819"/>
      <c r="K229" s="819"/>
      <c r="L229" s="819"/>
      <c r="M229" s="819"/>
      <c r="N229" s="819"/>
      <c r="O229" s="819"/>
      <c r="P229" s="819"/>
      <c r="Q229" s="819"/>
      <c r="R229" s="819"/>
      <c r="S229" s="819"/>
      <c r="T229" s="819"/>
      <c r="U229" s="819"/>
      <c r="V229" s="819"/>
      <c r="W229" s="819"/>
      <c r="X229" s="819"/>
      <c r="Y229" s="819"/>
      <c r="Z229" s="819"/>
      <c r="AA229" s="819"/>
      <c r="AB229" s="819"/>
      <c r="AC229" s="819"/>
      <c r="AD229" s="819"/>
      <c r="AE229" s="819"/>
      <c r="AF229" s="819"/>
      <c r="AG229" s="819"/>
      <c r="AH229" s="819"/>
      <c r="AI229" s="819"/>
      <c r="AJ229" s="819"/>
      <c r="AK229" s="819"/>
      <c r="AL229" s="819"/>
      <c r="AM229" s="819"/>
      <c r="AN229" s="819"/>
      <c r="AO229" s="819"/>
      <c r="AP229" s="819"/>
      <c r="AQ229" s="819"/>
      <c r="AR229" s="819"/>
      <c r="AS229" s="819"/>
      <c r="AT229" s="819"/>
      <c r="AU229" s="819"/>
      <c r="AV229" s="819"/>
      <c r="AW229" s="819"/>
      <c r="AX229" s="819"/>
      <c r="AY229" s="819"/>
      <c r="AZ229" s="819"/>
      <c r="BA229" s="819"/>
      <c r="BB229" s="819"/>
      <c r="BC229" s="819"/>
      <c r="BD229" s="819"/>
      <c r="BE229" s="819"/>
      <c r="BF229" s="819"/>
      <c r="BG229" s="819"/>
      <c r="BH229" s="819"/>
      <c r="BI229" s="819"/>
      <c r="BJ229" s="819"/>
      <c r="BK229" s="819"/>
      <c r="BL229" s="819"/>
      <c r="BM229" s="819"/>
      <c r="BN229" s="819"/>
      <c r="BO229" s="819"/>
      <c r="BP229" s="819"/>
      <c r="BQ229" s="819"/>
      <c r="BR229" s="819"/>
      <c r="BS229" s="819"/>
      <c r="BT229" s="819"/>
    </row>
    <row r="230" spans="1:72" x14ac:dyDescent="0.2">
      <c r="A230" s="736"/>
      <c r="B230" s="850" t="s">
        <v>245</v>
      </c>
      <c r="C230" s="732">
        <v>1</v>
      </c>
      <c r="D230" s="716"/>
      <c r="E230" s="716"/>
      <c r="F230" s="716"/>
      <c r="G230" s="706">
        <f>'road earthwork'!D11</f>
        <v>5925.59</v>
      </c>
      <c r="H230" s="851"/>
      <c r="I230" s="819"/>
      <c r="J230" s="819"/>
      <c r="K230" s="819"/>
      <c r="L230" s="819"/>
      <c r="M230" s="819"/>
      <c r="N230" s="819"/>
      <c r="O230" s="819"/>
      <c r="P230" s="819"/>
      <c r="Q230" s="819"/>
      <c r="R230" s="819"/>
      <c r="S230" s="819"/>
      <c r="T230" s="819"/>
      <c r="U230" s="819"/>
      <c r="V230" s="819"/>
      <c r="W230" s="819"/>
      <c r="X230" s="819"/>
      <c r="Y230" s="819"/>
      <c r="Z230" s="819"/>
      <c r="AA230" s="819"/>
      <c r="AB230" s="819"/>
      <c r="AC230" s="819"/>
      <c r="AD230" s="819"/>
      <c r="AE230" s="819"/>
      <c r="AF230" s="819"/>
      <c r="AG230" s="819"/>
      <c r="AH230" s="819"/>
      <c r="AI230" s="819"/>
      <c r="AJ230" s="819"/>
      <c r="AK230" s="819"/>
      <c r="AL230" s="819"/>
      <c r="AM230" s="819"/>
      <c r="AN230" s="819"/>
      <c r="AO230" s="819"/>
      <c r="AP230" s="819"/>
      <c r="AQ230" s="819"/>
      <c r="AR230" s="819"/>
      <c r="AS230" s="819"/>
      <c r="AT230" s="819"/>
      <c r="AU230" s="819"/>
      <c r="AV230" s="819"/>
      <c r="AW230" s="819"/>
      <c r="AX230" s="819"/>
      <c r="AY230" s="819"/>
      <c r="AZ230" s="819"/>
      <c r="BA230" s="819"/>
      <c r="BB230" s="819"/>
      <c r="BC230" s="819"/>
      <c r="BD230" s="819"/>
      <c r="BE230" s="819"/>
      <c r="BF230" s="819"/>
      <c r="BG230" s="819"/>
      <c r="BH230" s="819"/>
      <c r="BI230" s="819"/>
      <c r="BJ230" s="819"/>
      <c r="BK230" s="819"/>
      <c r="BL230" s="819"/>
      <c r="BM230" s="819"/>
      <c r="BN230" s="819"/>
      <c r="BO230" s="819"/>
      <c r="BP230" s="819"/>
      <c r="BQ230" s="819"/>
      <c r="BR230" s="819"/>
      <c r="BS230" s="819"/>
      <c r="BT230" s="819"/>
    </row>
    <row r="231" spans="1:72" ht="13.5" thickBot="1" x14ac:dyDescent="0.25">
      <c r="A231" s="775"/>
      <c r="B231" s="853" t="s">
        <v>244</v>
      </c>
      <c r="C231" s="777">
        <v>1</v>
      </c>
      <c r="D231" s="778"/>
      <c r="E231" s="778"/>
      <c r="F231" s="778"/>
      <c r="G231" s="859">
        <f>'road earthwork'!D22</f>
        <v>212.71</v>
      </c>
      <c r="H231" s="860"/>
      <c r="I231" s="819"/>
      <c r="J231" s="819"/>
      <c r="K231" s="819"/>
      <c r="L231" s="819"/>
      <c r="M231" s="819"/>
      <c r="N231" s="819"/>
      <c r="O231" s="819"/>
      <c r="P231" s="819"/>
      <c r="Q231" s="819"/>
      <c r="R231" s="819"/>
      <c r="S231" s="819"/>
      <c r="T231" s="819"/>
      <c r="U231" s="819"/>
      <c r="V231" s="819"/>
      <c r="W231" s="819"/>
      <c r="X231" s="819"/>
      <c r="Y231" s="819"/>
      <c r="Z231" s="819"/>
      <c r="AA231" s="819"/>
      <c r="AB231" s="819"/>
      <c r="AC231" s="819"/>
      <c r="AD231" s="819"/>
      <c r="AE231" s="819"/>
      <c r="AF231" s="819"/>
      <c r="AG231" s="819"/>
      <c r="AH231" s="819"/>
      <c r="AI231" s="819"/>
      <c r="AJ231" s="819"/>
      <c r="AK231" s="819"/>
      <c r="AL231" s="819"/>
      <c r="AM231" s="819"/>
      <c r="AN231" s="819"/>
      <c r="AO231" s="819"/>
      <c r="AP231" s="819"/>
      <c r="AQ231" s="819"/>
      <c r="AR231" s="819"/>
      <c r="AS231" s="819"/>
      <c r="AT231" s="819"/>
      <c r="AU231" s="819"/>
      <c r="AV231" s="819"/>
      <c r="AW231" s="819"/>
      <c r="AX231" s="819"/>
      <c r="AY231" s="819"/>
      <c r="AZ231" s="819"/>
      <c r="BA231" s="819"/>
      <c r="BB231" s="819"/>
      <c r="BC231" s="819"/>
      <c r="BD231" s="819"/>
      <c r="BE231" s="819"/>
      <c r="BF231" s="819"/>
      <c r="BG231" s="819"/>
      <c r="BH231" s="819"/>
      <c r="BI231" s="819"/>
      <c r="BJ231" s="819"/>
      <c r="BK231" s="819"/>
      <c r="BL231" s="819"/>
      <c r="BM231" s="819"/>
      <c r="BN231" s="819"/>
      <c r="BO231" s="819"/>
      <c r="BP231" s="819"/>
      <c r="BQ231" s="819"/>
      <c r="BR231" s="819"/>
      <c r="BS231" s="819"/>
      <c r="BT231" s="819"/>
    </row>
    <row r="232" spans="1:72" ht="13.5" thickBot="1" x14ac:dyDescent="0.25">
      <c r="A232" s="741"/>
      <c r="B232" s="124" t="s">
        <v>83</v>
      </c>
      <c r="C232" s="711"/>
      <c r="D232" s="733"/>
      <c r="E232" s="733"/>
      <c r="F232" s="733"/>
      <c r="G232" s="125">
        <f>SUM(G230:G231)</f>
        <v>6138.3</v>
      </c>
      <c r="H232" s="126" t="s">
        <v>250</v>
      </c>
      <c r="I232" s="819"/>
      <c r="J232" s="819"/>
      <c r="K232" s="819"/>
      <c r="L232" s="819"/>
      <c r="M232" s="819"/>
      <c r="N232" s="819"/>
      <c r="O232" s="819"/>
      <c r="P232" s="819"/>
      <c r="Q232" s="819"/>
      <c r="R232" s="819"/>
      <c r="S232" s="819"/>
      <c r="T232" s="819"/>
      <c r="U232" s="819"/>
      <c r="V232" s="819"/>
      <c r="W232" s="819"/>
      <c r="X232" s="819"/>
      <c r="Y232" s="819"/>
      <c r="Z232" s="819"/>
      <c r="AA232" s="819"/>
      <c r="AB232" s="819"/>
      <c r="AC232" s="819"/>
      <c r="AD232" s="819"/>
      <c r="AE232" s="819"/>
      <c r="AF232" s="819"/>
      <c r="AG232" s="819"/>
      <c r="AH232" s="819"/>
      <c r="AI232" s="819"/>
      <c r="AJ232" s="819"/>
      <c r="AK232" s="819"/>
      <c r="AL232" s="819"/>
      <c r="AM232" s="819"/>
      <c r="AN232" s="819"/>
      <c r="AO232" s="819"/>
      <c r="AP232" s="819"/>
      <c r="AQ232" s="819"/>
      <c r="AR232" s="819"/>
      <c r="AS232" s="819"/>
      <c r="AT232" s="819"/>
      <c r="AU232" s="819"/>
      <c r="AV232" s="819"/>
      <c r="AW232" s="819"/>
      <c r="AX232" s="819"/>
      <c r="AY232" s="819"/>
      <c r="AZ232" s="819"/>
      <c r="BA232" s="819"/>
      <c r="BB232" s="819"/>
      <c r="BC232" s="819"/>
      <c r="BD232" s="819"/>
      <c r="BE232" s="819"/>
      <c r="BF232" s="819"/>
      <c r="BG232" s="819"/>
      <c r="BH232" s="819"/>
      <c r="BI232" s="819"/>
      <c r="BJ232" s="819"/>
      <c r="BK232" s="819"/>
      <c r="BL232" s="819"/>
      <c r="BM232" s="819"/>
      <c r="BN232" s="819"/>
      <c r="BO232" s="819"/>
      <c r="BP232" s="819"/>
      <c r="BQ232" s="819"/>
      <c r="BR232" s="819"/>
      <c r="BS232" s="819"/>
      <c r="BT232" s="819"/>
    </row>
    <row r="233" spans="1:72" x14ac:dyDescent="0.2">
      <c r="A233" s="181"/>
      <c r="B233" s="770"/>
      <c r="C233" s="856"/>
      <c r="D233" s="857"/>
      <c r="E233" s="857"/>
      <c r="F233" s="857"/>
      <c r="G233" s="858"/>
      <c r="H233" s="382"/>
      <c r="I233" s="819"/>
      <c r="J233" s="819"/>
      <c r="K233" s="819"/>
      <c r="L233" s="819"/>
      <c r="M233" s="819"/>
      <c r="N233" s="819"/>
      <c r="O233" s="819"/>
      <c r="P233" s="819"/>
      <c r="Q233" s="819"/>
      <c r="R233" s="819"/>
      <c r="S233" s="819"/>
      <c r="T233" s="819"/>
      <c r="U233" s="819"/>
      <c r="V233" s="819"/>
      <c r="W233" s="819"/>
      <c r="X233" s="819"/>
      <c r="Y233" s="819"/>
      <c r="Z233" s="819"/>
      <c r="AA233" s="819"/>
      <c r="AB233" s="819"/>
      <c r="AC233" s="819"/>
      <c r="AD233" s="819"/>
      <c r="AE233" s="819"/>
      <c r="AF233" s="819"/>
      <c r="AG233" s="819"/>
      <c r="AH233" s="819"/>
      <c r="AI233" s="819"/>
      <c r="AJ233" s="819"/>
      <c r="AK233" s="819"/>
      <c r="AL233" s="819"/>
      <c r="AM233" s="819"/>
      <c r="AN233" s="819"/>
      <c r="AO233" s="819"/>
      <c r="AP233" s="819"/>
      <c r="AQ233" s="819"/>
      <c r="AR233" s="819"/>
      <c r="AS233" s="819"/>
      <c r="AT233" s="819"/>
      <c r="AU233" s="819"/>
      <c r="AV233" s="819"/>
      <c r="AW233" s="819"/>
      <c r="AX233" s="819"/>
      <c r="AY233" s="819"/>
      <c r="AZ233" s="819"/>
      <c r="BA233" s="819"/>
      <c r="BB233" s="819"/>
      <c r="BC233" s="819"/>
      <c r="BD233" s="819"/>
      <c r="BE233" s="819"/>
      <c r="BF233" s="819"/>
      <c r="BG233" s="819"/>
      <c r="BH233" s="819"/>
      <c r="BI233" s="819"/>
      <c r="BJ233" s="819"/>
      <c r="BK233" s="819"/>
      <c r="BL233" s="819"/>
      <c r="BM233" s="819"/>
      <c r="BN233" s="819"/>
      <c r="BO233" s="819"/>
      <c r="BP233" s="819"/>
      <c r="BQ233" s="819"/>
      <c r="BR233" s="819"/>
      <c r="BS233" s="819"/>
      <c r="BT233" s="819"/>
    </row>
    <row r="234" spans="1:72" ht="51" x14ac:dyDescent="0.2">
      <c r="A234" s="861" t="s">
        <v>1141</v>
      </c>
      <c r="B234" s="862" t="s">
        <v>181</v>
      </c>
      <c r="C234" s="732"/>
      <c r="D234" s="716"/>
      <c r="E234" s="716"/>
      <c r="F234" s="716"/>
      <c r="G234" s="256"/>
      <c r="H234" s="383"/>
    </row>
    <row r="235" spans="1:72" x14ac:dyDescent="0.2">
      <c r="A235" s="861"/>
      <c r="B235" s="850" t="s">
        <v>239</v>
      </c>
      <c r="C235" s="732">
        <v>1</v>
      </c>
      <c r="D235" s="716">
        <v>80</v>
      </c>
      <c r="E235" s="716">
        <v>7.5</v>
      </c>
      <c r="F235" s="716">
        <v>0.2</v>
      </c>
      <c r="G235" s="706">
        <f>ROUND(PRODUCT(C235:F235),2)</f>
        <v>120</v>
      </c>
      <c r="H235" s="383"/>
    </row>
    <row r="236" spans="1:72" ht="13.5" thickBot="1" x14ac:dyDescent="0.25">
      <c r="A236" s="861"/>
      <c r="B236" s="850" t="s">
        <v>238</v>
      </c>
      <c r="C236" s="732">
        <v>1</v>
      </c>
      <c r="D236" s="716">
        <f>337.16-180</f>
        <v>157.16</v>
      </c>
      <c r="E236" s="716">
        <v>7.5</v>
      </c>
      <c r="F236" s="716">
        <v>0.2</v>
      </c>
      <c r="G236" s="706">
        <f>ROUND(PRODUCT(C236:F236),2)</f>
        <v>235.74</v>
      </c>
      <c r="H236" s="383"/>
    </row>
    <row r="237" spans="1:72" ht="13.5" thickBot="1" x14ac:dyDescent="0.25">
      <c r="A237" s="741"/>
      <c r="B237" s="124" t="s">
        <v>83</v>
      </c>
      <c r="C237" s="711"/>
      <c r="D237" s="733"/>
      <c r="E237" s="733"/>
      <c r="F237" s="733"/>
      <c r="G237" s="125">
        <f>SUM(G235:G236)</f>
        <v>355.74</v>
      </c>
      <c r="H237" s="126" t="s">
        <v>250</v>
      </c>
    </row>
    <row r="238" spans="1:72" s="783" customFormat="1" ht="89.25" hidden="1" x14ac:dyDescent="0.2">
      <c r="A238" s="863" t="s">
        <v>1142</v>
      </c>
      <c r="B238" s="864" t="s">
        <v>1184</v>
      </c>
      <c r="C238" s="865"/>
      <c r="D238" s="866"/>
      <c r="E238" s="866"/>
      <c r="F238" s="866"/>
      <c r="G238" s="531"/>
      <c r="H238" s="532"/>
    </row>
    <row r="239" spans="1:72" s="783" customFormat="1" hidden="1" x14ac:dyDescent="0.2">
      <c r="A239" s="863"/>
      <c r="B239" s="867" t="s">
        <v>239</v>
      </c>
      <c r="C239" s="732">
        <v>1</v>
      </c>
      <c r="D239" s="716">
        <f>D235</f>
        <v>80</v>
      </c>
      <c r="E239" s="716">
        <f>E235</f>
        <v>7.5</v>
      </c>
      <c r="F239" s="716">
        <v>0.15</v>
      </c>
      <c r="G239" s="746">
        <f t="shared" ref="G239:G240" si="28">ROUND(PRODUCT(C239:F239),2)</f>
        <v>90</v>
      </c>
      <c r="H239" s="532"/>
    </row>
    <row r="240" spans="1:72" s="783" customFormat="1" ht="13.5" hidden="1" thickBot="1" x14ac:dyDescent="0.25">
      <c r="A240" s="863"/>
      <c r="B240" s="867" t="s">
        <v>238</v>
      </c>
      <c r="C240" s="732">
        <v>1</v>
      </c>
      <c r="D240" s="716">
        <f>D236</f>
        <v>157.16</v>
      </c>
      <c r="E240" s="716">
        <f>E236</f>
        <v>7.5</v>
      </c>
      <c r="F240" s="716">
        <v>0.15</v>
      </c>
      <c r="G240" s="746">
        <f t="shared" si="28"/>
        <v>176.81</v>
      </c>
      <c r="H240" s="532"/>
    </row>
    <row r="241" spans="1:72" s="783" customFormat="1" ht="13.5" hidden="1" thickBot="1" x14ac:dyDescent="0.25">
      <c r="A241" s="868"/>
      <c r="B241" s="533" t="s">
        <v>83</v>
      </c>
      <c r="C241" s="869"/>
      <c r="D241" s="870"/>
      <c r="E241" s="870"/>
      <c r="F241" s="870"/>
      <c r="G241" s="560"/>
      <c r="H241" s="534" t="s">
        <v>250</v>
      </c>
    </row>
    <row r="242" spans="1:72" s="783" customFormat="1" hidden="1" x14ac:dyDescent="0.2">
      <c r="A242" s="871"/>
      <c r="B242" s="535"/>
      <c r="C242" s="788"/>
      <c r="D242" s="789"/>
      <c r="E242" s="789"/>
      <c r="F242" s="789"/>
      <c r="G242" s="512"/>
      <c r="H242" s="536"/>
    </row>
    <row r="243" spans="1:72" s="783" customFormat="1" ht="63.75" hidden="1" x14ac:dyDescent="0.2">
      <c r="A243" s="872" t="s">
        <v>1185</v>
      </c>
      <c r="B243" s="873" t="s">
        <v>1186</v>
      </c>
      <c r="C243" s="874"/>
      <c r="D243" s="875"/>
      <c r="E243" s="875"/>
      <c r="F243" s="875"/>
      <c r="G243" s="537"/>
      <c r="H243" s="538"/>
    </row>
    <row r="244" spans="1:72" s="783" customFormat="1" hidden="1" x14ac:dyDescent="0.2">
      <c r="A244" s="872"/>
      <c r="B244" s="867" t="s">
        <v>239</v>
      </c>
      <c r="C244" s="732">
        <v>1</v>
      </c>
      <c r="D244" s="716">
        <f>D239</f>
        <v>80</v>
      </c>
      <c r="E244" s="716">
        <f>E239</f>
        <v>7.5</v>
      </c>
      <c r="F244" s="716">
        <v>7.4999999999999997E-2</v>
      </c>
      <c r="G244" s="746">
        <f t="shared" ref="G244:G245" si="29">ROUND(PRODUCT(C244:F244),2)</f>
        <v>45</v>
      </c>
      <c r="H244" s="538"/>
    </row>
    <row r="245" spans="1:72" s="783" customFormat="1" ht="13.5" hidden="1" thickBot="1" x14ac:dyDescent="0.25">
      <c r="A245" s="872"/>
      <c r="B245" s="867" t="s">
        <v>238</v>
      </c>
      <c r="C245" s="732">
        <v>1</v>
      </c>
      <c r="D245" s="716">
        <f>D240</f>
        <v>157.16</v>
      </c>
      <c r="E245" s="716">
        <f t="shared" ref="E245" si="30">E244</f>
        <v>7.5</v>
      </c>
      <c r="F245" s="716">
        <v>7.4999999999999997E-2</v>
      </c>
      <c r="G245" s="746">
        <f t="shared" si="29"/>
        <v>88.4</v>
      </c>
      <c r="H245" s="538"/>
    </row>
    <row r="246" spans="1:72" s="783" customFormat="1" ht="13.5" hidden="1" thickBot="1" x14ac:dyDescent="0.25">
      <c r="A246" s="868"/>
      <c r="B246" s="533" t="s">
        <v>83</v>
      </c>
      <c r="C246" s="869"/>
      <c r="D246" s="870"/>
      <c r="E246" s="870"/>
      <c r="F246" s="870"/>
      <c r="G246" s="560"/>
      <c r="H246" s="534" t="s">
        <v>250</v>
      </c>
    </row>
    <row r="247" spans="1:72" s="783" customFormat="1" ht="123" customHeight="1" x14ac:dyDescent="0.2">
      <c r="A247" s="863" t="s">
        <v>1192</v>
      </c>
      <c r="B247" s="864" t="s">
        <v>1193</v>
      </c>
      <c r="C247" s="732"/>
      <c r="D247" s="716"/>
      <c r="E247" s="716"/>
      <c r="F247" s="716"/>
      <c r="G247" s="746"/>
      <c r="H247" s="532"/>
    </row>
    <row r="248" spans="1:72" s="783" customFormat="1" x14ac:dyDescent="0.2">
      <c r="A248" s="863"/>
      <c r="B248" s="866" t="s">
        <v>1200</v>
      </c>
      <c r="C248" s="732">
        <v>1</v>
      </c>
      <c r="D248" s="716">
        <f>70-50</f>
        <v>20</v>
      </c>
      <c r="E248" s="716">
        <v>2</v>
      </c>
      <c r="F248" s="716">
        <v>1</v>
      </c>
      <c r="G248" s="866">
        <f t="shared" ref="G248:G253" si="31">ROUND(PRODUCT(C248:F248),2)</f>
        <v>40</v>
      </c>
      <c r="H248" s="532"/>
    </row>
    <row r="249" spans="1:72" s="783" customFormat="1" x14ac:dyDescent="0.2">
      <c r="A249" s="876"/>
      <c r="B249" s="866" t="s">
        <v>1199</v>
      </c>
      <c r="C249" s="732">
        <v>1</v>
      </c>
      <c r="D249" s="716">
        <f t="shared" ref="D249:D250" si="32">70-50</f>
        <v>20</v>
      </c>
      <c r="E249" s="866">
        <v>1.5</v>
      </c>
      <c r="F249" s="866">
        <v>1</v>
      </c>
      <c r="G249" s="866">
        <f t="shared" si="31"/>
        <v>30</v>
      </c>
      <c r="H249" s="877"/>
    </row>
    <row r="250" spans="1:72" s="783" customFormat="1" x14ac:dyDescent="0.2">
      <c r="A250" s="876"/>
      <c r="B250" s="866" t="s">
        <v>1201</v>
      </c>
      <c r="C250" s="732">
        <v>1</v>
      </c>
      <c r="D250" s="716">
        <f t="shared" si="32"/>
        <v>20</v>
      </c>
      <c r="E250" s="866">
        <v>1</v>
      </c>
      <c r="F250" s="866">
        <v>1</v>
      </c>
      <c r="G250" s="866">
        <f t="shared" si="31"/>
        <v>20</v>
      </c>
      <c r="H250" s="877"/>
    </row>
    <row r="251" spans="1:72" s="783" customFormat="1" x14ac:dyDescent="0.2">
      <c r="A251" s="876"/>
      <c r="B251" s="866" t="s">
        <v>1227</v>
      </c>
      <c r="C251" s="732">
        <v>1</v>
      </c>
      <c r="D251" s="866">
        <v>8</v>
      </c>
      <c r="E251" s="866">
        <v>2</v>
      </c>
      <c r="F251" s="866">
        <v>1</v>
      </c>
      <c r="G251" s="866">
        <f t="shared" si="31"/>
        <v>16</v>
      </c>
      <c r="H251" s="877"/>
    </row>
    <row r="252" spans="1:72" s="783" customFormat="1" x14ac:dyDescent="0.2">
      <c r="A252" s="876"/>
      <c r="B252" s="866" t="s">
        <v>1228</v>
      </c>
      <c r="C252" s="732">
        <v>1</v>
      </c>
      <c r="D252" s="866">
        <v>8</v>
      </c>
      <c r="E252" s="866">
        <v>1.5</v>
      </c>
      <c r="F252" s="866">
        <v>1</v>
      </c>
      <c r="G252" s="866">
        <f t="shared" si="31"/>
        <v>12</v>
      </c>
      <c r="H252" s="877"/>
    </row>
    <row r="253" spans="1:72" s="783" customFormat="1" ht="13.5" thickBot="1" x14ac:dyDescent="0.25">
      <c r="A253" s="878"/>
      <c r="B253" s="879" t="s">
        <v>1229</v>
      </c>
      <c r="C253" s="740">
        <v>1</v>
      </c>
      <c r="D253" s="879">
        <v>8</v>
      </c>
      <c r="E253" s="879">
        <v>1</v>
      </c>
      <c r="F253" s="879">
        <v>1</v>
      </c>
      <c r="G253" s="866">
        <f t="shared" si="31"/>
        <v>8</v>
      </c>
      <c r="H253" s="880"/>
    </row>
    <row r="254" spans="1:72" ht="13.5" thickBot="1" x14ac:dyDescent="0.25">
      <c r="A254" s="741"/>
      <c r="B254" s="124" t="s">
        <v>83</v>
      </c>
      <c r="C254" s="711"/>
      <c r="D254" s="733"/>
      <c r="E254" s="733"/>
      <c r="F254" s="733"/>
      <c r="G254" s="125">
        <f>SUM(G248:G253)</f>
        <v>126</v>
      </c>
      <c r="H254" s="126" t="s">
        <v>250</v>
      </c>
    </row>
    <row r="255" spans="1:72" x14ac:dyDescent="0.2">
      <c r="A255" s="881" t="s">
        <v>327</v>
      </c>
      <c r="B255" s="882" t="s">
        <v>328</v>
      </c>
      <c r="C255" s="883"/>
      <c r="D255" s="884"/>
      <c r="E255" s="884"/>
      <c r="F255" s="884"/>
      <c r="G255" s="779"/>
      <c r="H255" s="259"/>
      <c r="I255" s="819"/>
      <c r="J255" s="819"/>
      <c r="K255" s="819"/>
      <c r="L255" s="819"/>
      <c r="M255" s="819"/>
      <c r="N255" s="819"/>
      <c r="O255" s="819"/>
      <c r="P255" s="819"/>
      <c r="Q255" s="819"/>
      <c r="R255" s="819"/>
      <c r="S255" s="819"/>
      <c r="T255" s="819"/>
      <c r="U255" s="819"/>
      <c r="V255" s="819"/>
      <c r="W255" s="819"/>
      <c r="X255" s="819"/>
      <c r="Y255" s="819"/>
      <c r="Z255" s="819"/>
      <c r="AA255" s="819"/>
      <c r="AB255" s="819"/>
      <c r="AC255" s="819"/>
      <c r="AD255" s="819"/>
      <c r="AE255" s="819"/>
      <c r="AF255" s="819"/>
      <c r="AG255" s="819"/>
      <c r="AH255" s="819"/>
      <c r="AI255" s="819"/>
      <c r="AJ255" s="819"/>
      <c r="AK255" s="819"/>
      <c r="AL255" s="819"/>
      <c r="AM255" s="819"/>
      <c r="AN255" s="819"/>
      <c r="AO255" s="819"/>
      <c r="AP255" s="819"/>
      <c r="AQ255" s="819"/>
      <c r="AR255" s="819"/>
      <c r="AS255" s="819"/>
      <c r="AT255" s="819"/>
      <c r="AU255" s="819"/>
      <c r="AV255" s="819"/>
      <c r="AW255" s="819"/>
      <c r="AX255" s="819"/>
      <c r="AY255" s="819"/>
      <c r="AZ255" s="819"/>
      <c r="BA255" s="819"/>
      <c r="BB255" s="819"/>
      <c r="BC255" s="819"/>
      <c r="BD255" s="819"/>
      <c r="BE255" s="819"/>
      <c r="BF255" s="819"/>
      <c r="BG255" s="819"/>
      <c r="BH255" s="819"/>
      <c r="BI255" s="819"/>
      <c r="BJ255" s="819"/>
      <c r="BK255" s="819"/>
      <c r="BL255" s="819"/>
      <c r="BM255" s="819"/>
      <c r="BN255" s="819"/>
      <c r="BO255" s="819"/>
      <c r="BP255" s="819"/>
      <c r="BQ255" s="819"/>
      <c r="BR255" s="819"/>
      <c r="BS255" s="819"/>
      <c r="BT255" s="819"/>
    </row>
    <row r="256" spans="1:72" ht="76.5" x14ac:dyDescent="0.2">
      <c r="A256" s="796" t="s">
        <v>329</v>
      </c>
      <c r="B256" s="862" t="s">
        <v>233</v>
      </c>
      <c r="C256" s="856"/>
      <c r="D256" s="857"/>
      <c r="E256" s="857"/>
      <c r="F256" s="857"/>
      <c r="G256" s="885"/>
      <c r="H256" s="383"/>
    </row>
    <row r="257" spans="1:9" x14ac:dyDescent="0.2">
      <c r="A257" s="796"/>
      <c r="B257" s="717" t="s">
        <v>1110</v>
      </c>
      <c r="C257" s="856">
        <v>1</v>
      </c>
      <c r="D257" s="857">
        <v>30</v>
      </c>
      <c r="E257" s="857" t="s">
        <v>1051</v>
      </c>
      <c r="F257" s="857">
        <v>3.33</v>
      </c>
      <c r="G257" s="706">
        <f>ROUND(PRODUCT(C257:F257),2)</f>
        <v>99.9</v>
      </c>
      <c r="H257" s="383"/>
    </row>
    <row r="258" spans="1:9" x14ac:dyDescent="0.2">
      <c r="A258" s="796"/>
      <c r="B258" s="704"/>
      <c r="C258" s="704">
        <v>1</v>
      </c>
      <c r="D258" s="705">
        <v>25</v>
      </c>
      <c r="E258" s="705" t="s">
        <v>1051</v>
      </c>
      <c r="F258" s="705">
        <v>4.29</v>
      </c>
      <c r="G258" s="706">
        <f>ROUND(PRODUCT(C258:F258),2)</f>
        <v>107.25</v>
      </c>
      <c r="H258" s="383"/>
    </row>
    <row r="259" spans="1:9" x14ac:dyDescent="0.2">
      <c r="A259" s="796"/>
      <c r="B259" s="704" t="s">
        <v>1232</v>
      </c>
      <c r="C259" s="704">
        <v>1</v>
      </c>
      <c r="D259" s="705">
        <v>19.8</v>
      </c>
      <c r="E259" s="705" t="s">
        <v>1051</v>
      </c>
      <c r="F259" s="705">
        <v>8.52</v>
      </c>
      <c r="G259" s="706">
        <f>ROUND(PRODUCT(C259:F259),2)</f>
        <v>168.7</v>
      </c>
      <c r="H259" s="383"/>
    </row>
    <row r="260" spans="1:9" x14ac:dyDescent="0.2">
      <c r="A260" s="791"/>
      <c r="B260" s="704" t="s">
        <v>1233</v>
      </c>
      <c r="C260" s="704">
        <v>1</v>
      </c>
      <c r="D260" s="705">
        <f>9.5+15.86</f>
        <v>25.36</v>
      </c>
      <c r="E260" s="705" t="s">
        <v>1051</v>
      </c>
      <c r="F260" s="705">
        <v>9.9700000000000006</v>
      </c>
      <c r="G260" s="706">
        <f>ROUND(PRODUCT(C260:F260),2)</f>
        <v>252.84</v>
      </c>
      <c r="H260" s="795"/>
    </row>
    <row r="261" spans="1:9" ht="13.5" thickBot="1" x14ac:dyDescent="0.25">
      <c r="A261" s="791"/>
      <c r="B261" s="704" t="s">
        <v>1234</v>
      </c>
      <c r="C261" s="704">
        <v>1</v>
      </c>
      <c r="D261" s="705">
        <f>38.9+9.73</f>
        <v>48.63</v>
      </c>
      <c r="E261" s="705" t="s">
        <v>1051</v>
      </c>
      <c r="F261" s="705">
        <v>6.63</v>
      </c>
      <c r="G261" s="706">
        <f t="shared" ref="G261" si="33">ROUND(PRODUCT(C261:F261),2)</f>
        <v>322.42</v>
      </c>
      <c r="H261" s="795"/>
    </row>
    <row r="262" spans="1:9" ht="13.5" thickBot="1" x14ac:dyDescent="0.25">
      <c r="A262" s="741"/>
      <c r="B262" s="124" t="s">
        <v>83</v>
      </c>
      <c r="C262" s="711"/>
      <c r="D262" s="733"/>
      <c r="E262" s="733"/>
      <c r="F262" s="733"/>
      <c r="G262" s="125">
        <f>SUM(G257:G261)</f>
        <v>951.11</v>
      </c>
      <c r="H262" s="126" t="s">
        <v>250</v>
      </c>
      <c r="I262" s="886"/>
    </row>
    <row r="263" spans="1:9" x14ac:dyDescent="0.2">
      <c r="A263" s="736"/>
      <c r="B263" s="887"/>
      <c r="C263" s="847"/>
      <c r="D263" s="848"/>
      <c r="E263" s="848"/>
      <c r="F263" s="848"/>
      <c r="G263" s="852"/>
      <c r="H263" s="257"/>
    </row>
    <row r="264" spans="1:9" ht="38.25" x14ac:dyDescent="0.2">
      <c r="A264" s="736" t="s">
        <v>331</v>
      </c>
      <c r="B264" s="717" t="s">
        <v>1144</v>
      </c>
      <c r="C264" s="718"/>
      <c r="D264" s="716"/>
      <c r="E264" s="716"/>
      <c r="F264" s="716"/>
      <c r="G264" s="719"/>
      <c r="H264" s="713"/>
    </row>
    <row r="265" spans="1:9" x14ac:dyDescent="0.2">
      <c r="A265" s="768">
        <v>2.1</v>
      </c>
      <c r="B265" s="729" t="s">
        <v>234</v>
      </c>
      <c r="C265" s="715"/>
      <c r="D265" s="730"/>
      <c r="E265" s="730"/>
      <c r="F265" s="730"/>
      <c r="G265" s="258"/>
      <c r="H265" s="259"/>
    </row>
    <row r="266" spans="1:9" x14ac:dyDescent="0.2">
      <c r="A266" s="738"/>
      <c r="B266" s="727" t="s">
        <v>1112</v>
      </c>
      <c r="C266" s="704">
        <v>1</v>
      </c>
      <c r="D266" s="705">
        <f>D259</f>
        <v>19.8</v>
      </c>
      <c r="E266" s="726">
        <v>3.8</v>
      </c>
      <c r="F266" s="726">
        <v>0.1</v>
      </c>
      <c r="G266" s="706">
        <f t="shared" ref="G266:G268" si="34">ROUND(PRODUCT(C266:F266),2)</f>
        <v>7.52</v>
      </c>
      <c r="H266" s="724"/>
    </row>
    <row r="267" spans="1:9" x14ac:dyDescent="0.2">
      <c r="A267" s="738"/>
      <c r="B267" s="704"/>
      <c r="C267" s="704">
        <v>1</v>
      </c>
      <c r="D267" s="705">
        <f t="shared" ref="D267:D268" si="35">D260</f>
        <v>25.36</v>
      </c>
      <c r="E267" s="726">
        <v>3.8</v>
      </c>
      <c r="F267" s="726">
        <v>0.1</v>
      </c>
      <c r="G267" s="706">
        <f t="shared" si="34"/>
        <v>9.64</v>
      </c>
      <c r="H267" s="851"/>
    </row>
    <row r="268" spans="1:9" ht="13.5" thickBot="1" x14ac:dyDescent="0.25">
      <c r="A268" s="738"/>
      <c r="B268" s="704"/>
      <c r="C268" s="704">
        <v>1</v>
      </c>
      <c r="D268" s="705">
        <f t="shared" si="35"/>
        <v>48.63</v>
      </c>
      <c r="E268" s="726">
        <v>3.8</v>
      </c>
      <c r="F268" s="726">
        <v>0.1</v>
      </c>
      <c r="G268" s="706">
        <f t="shared" si="34"/>
        <v>18.48</v>
      </c>
      <c r="H268" s="851"/>
    </row>
    <row r="269" spans="1:9" ht="13.5" thickBot="1" x14ac:dyDescent="0.25">
      <c r="A269" s="888"/>
      <c r="B269" s="889" t="s">
        <v>83</v>
      </c>
      <c r="C269" s="734"/>
      <c r="D269" s="735"/>
      <c r="E269" s="735"/>
      <c r="F269" s="735"/>
      <c r="G269" s="261">
        <f>SUM(G266:G268)</f>
        <v>35.64</v>
      </c>
      <c r="H269" s="262" t="s">
        <v>250</v>
      </c>
    </row>
    <row r="270" spans="1:9" x14ac:dyDescent="0.2">
      <c r="A270" s="888">
        <v>2.2000000000000002</v>
      </c>
      <c r="B270" s="889" t="s">
        <v>1111</v>
      </c>
      <c r="C270" s="734"/>
      <c r="D270" s="735"/>
      <c r="E270" s="735"/>
      <c r="F270" s="735"/>
      <c r="G270" s="261"/>
      <c r="H270" s="262"/>
    </row>
    <row r="271" spans="1:9" x14ac:dyDescent="0.2">
      <c r="A271" s="738"/>
      <c r="B271" s="727" t="s">
        <v>1113</v>
      </c>
      <c r="C271" s="704">
        <v>1</v>
      </c>
      <c r="D271" s="705">
        <f>D259</f>
        <v>19.8</v>
      </c>
      <c r="E271" s="726">
        <v>0.6</v>
      </c>
      <c r="F271" s="726">
        <v>0.1</v>
      </c>
      <c r="G271" s="706">
        <f t="shared" ref="G271:G273" si="36">ROUND(PRODUCT(C271:F271),2)</f>
        <v>1.19</v>
      </c>
      <c r="H271" s="724"/>
    </row>
    <row r="272" spans="1:9" x14ac:dyDescent="0.2">
      <c r="A272" s="738"/>
      <c r="B272" s="704"/>
      <c r="C272" s="704">
        <v>1</v>
      </c>
      <c r="D272" s="705">
        <f t="shared" ref="D272:D273" si="37">D260</f>
        <v>25.36</v>
      </c>
      <c r="E272" s="705">
        <v>0.6</v>
      </c>
      <c r="F272" s="726">
        <v>0.1</v>
      </c>
      <c r="G272" s="706">
        <f t="shared" si="36"/>
        <v>1.52</v>
      </c>
      <c r="H272" s="851"/>
    </row>
    <row r="273" spans="1:8" ht="13.5" thickBot="1" x14ac:dyDescent="0.25">
      <c r="A273" s="738"/>
      <c r="B273" s="704"/>
      <c r="C273" s="704">
        <v>1</v>
      </c>
      <c r="D273" s="705">
        <f t="shared" si="37"/>
        <v>48.63</v>
      </c>
      <c r="E273" s="705">
        <v>0.6</v>
      </c>
      <c r="F273" s="726">
        <v>0.1</v>
      </c>
      <c r="G273" s="706">
        <f t="shared" si="36"/>
        <v>2.92</v>
      </c>
      <c r="H273" s="851"/>
    </row>
    <row r="274" spans="1:8" ht="13.5" thickBot="1" x14ac:dyDescent="0.25">
      <c r="A274" s="890"/>
      <c r="B274" s="891" t="s">
        <v>83</v>
      </c>
      <c r="C274" s="711"/>
      <c r="D274" s="733"/>
      <c r="E274" s="733"/>
      <c r="F274" s="733"/>
      <c r="G274" s="125">
        <f>SUM(G271:G273)</f>
        <v>5.63</v>
      </c>
      <c r="H274" s="126" t="s">
        <v>250</v>
      </c>
    </row>
    <row r="275" spans="1:8" x14ac:dyDescent="0.2">
      <c r="A275" s="775"/>
      <c r="B275" s="127"/>
      <c r="C275" s="777"/>
      <c r="D275" s="778"/>
      <c r="E275" s="778"/>
      <c r="F275" s="778"/>
      <c r="G275" s="128"/>
      <c r="H275" s="129"/>
    </row>
    <row r="276" spans="1:8" ht="38.25" x14ac:dyDescent="0.2">
      <c r="A276" s="736" t="s">
        <v>332</v>
      </c>
      <c r="B276" s="892" t="str">
        <f>'Summary of rates'!C112</f>
        <v>Providing and laying of stone masonry work in cement mortar 1:4 in structure complete as per Drawing and Technical Specifications</v>
      </c>
      <c r="C276" s="732"/>
      <c r="D276" s="716"/>
      <c r="E276" s="716"/>
      <c r="F276" s="716"/>
      <c r="G276" s="122"/>
      <c r="H276" s="123"/>
    </row>
    <row r="277" spans="1:8" x14ac:dyDescent="0.2">
      <c r="A277" s="736"/>
      <c r="B277" s="893" t="s">
        <v>1238</v>
      </c>
      <c r="C277" s="732"/>
      <c r="D277" s="716"/>
      <c r="E277" s="716"/>
      <c r="F277" s="716"/>
      <c r="G277" s="122"/>
      <c r="H277" s="123"/>
    </row>
    <row r="278" spans="1:8" x14ac:dyDescent="0.2">
      <c r="A278" s="736"/>
      <c r="B278" s="704" t="s">
        <v>1235</v>
      </c>
      <c r="C278" s="704">
        <v>1</v>
      </c>
      <c r="D278" s="705">
        <f>D259</f>
        <v>19.8</v>
      </c>
      <c r="E278" s="705" t="s">
        <v>1236</v>
      </c>
      <c r="F278" s="705">
        <v>10.24</v>
      </c>
      <c r="G278" s="706">
        <f t="shared" ref="G278:G280" si="38">ROUND(PRODUCT(C278:F278),2)</f>
        <v>202.75</v>
      </c>
      <c r="H278" s="894"/>
    </row>
    <row r="279" spans="1:8" x14ac:dyDescent="0.2">
      <c r="A279" s="736"/>
      <c r="B279" s="704" t="s">
        <v>1233</v>
      </c>
      <c r="C279" s="704">
        <v>1</v>
      </c>
      <c r="D279" s="705">
        <f>D260</f>
        <v>25.36</v>
      </c>
      <c r="E279" s="705" t="s">
        <v>1236</v>
      </c>
      <c r="F279" s="705">
        <v>10.24</v>
      </c>
      <c r="G279" s="706">
        <f t="shared" si="38"/>
        <v>259.69</v>
      </c>
      <c r="H279" s="894"/>
    </row>
    <row r="280" spans="1:8" ht="13.5" thickBot="1" x14ac:dyDescent="0.25">
      <c r="A280" s="736"/>
      <c r="B280" s="704" t="s">
        <v>1234</v>
      </c>
      <c r="C280" s="704">
        <v>1</v>
      </c>
      <c r="D280" s="705">
        <f>D261</f>
        <v>48.63</v>
      </c>
      <c r="E280" s="705" t="s">
        <v>1236</v>
      </c>
      <c r="F280" s="705">
        <v>10.24</v>
      </c>
      <c r="G280" s="706">
        <f t="shared" si="38"/>
        <v>497.97</v>
      </c>
      <c r="H280" s="851"/>
    </row>
    <row r="281" spans="1:8" ht="13.5" thickBot="1" x14ac:dyDescent="0.25">
      <c r="A281" s="741"/>
      <c r="B281" s="124" t="s">
        <v>83</v>
      </c>
      <c r="C281" s="711"/>
      <c r="D281" s="733"/>
      <c r="E281" s="733"/>
      <c r="F281" s="733"/>
      <c r="G281" s="125">
        <f>SUM(G278:G280)</f>
        <v>960.41</v>
      </c>
      <c r="H281" s="126" t="s">
        <v>250</v>
      </c>
    </row>
    <row r="282" spans="1:8" x14ac:dyDescent="0.2">
      <c r="A282" s="775"/>
      <c r="B282" s="127"/>
      <c r="C282" s="777"/>
      <c r="D282" s="778"/>
      <c r="E282" s="778"/>
      <c r="F282" s="778"/>
      <c r="G282" s="128"/>
      <c r="H282" s="129"/>
    </row>
    <row r="283" spans="1:8" s="783" customFormat="1" ht="114.75" x14ac:dyDescent="0.2">
      <c r="A283" s="863" t="s">
        <v>1230</v>
      </c>
      <c r="B283" s="864" t="s">
        <v>1193</v>
      </c>
      <c r="C283" s="732"/>
      <c r="D283" s="716"/>
      <c r="E283" s="716"/>
      <c r="F283" s="716"/>
      <c r="G283" s="746"/>
      <c r="H283" s="532"/>
    </row>
    <row r="284" spans="1:8" s="783" customFormat="1" x14ac:dyDescent="0.2">
      <c r="A284" s="736"/>
      <c r="B284" s="895" t="s">
        <v>1202</v>
      </c>
      <c r="C284" s="732"/>
      <c r="D284" s="716"/>
      <c r="E284" s="716"/>
      <c r="F284" s="716"/>
      <c r="G284" s="746"/>
      <c r="H284" s="532"/>
    </row>
    <row r="285" spans="1:8" s="783" customFormat="1" x14ac:dyDescent="0.2">
      <c r="A285" s="736"/>
      <c r="B285" s="866" t="s">
        <v>1195</v>
      </c>
      <c r="C285" s="732">
        <v>1</v>
      </c>
      <c r="D285" s="716">
        <v>25</v>
      </c>
      <c r="E285" s="716">
        <v>2</v>
      </c>
      <c r="F285" s="716">
        <v>1</v>
      </c>
      <c r="G285" s="866">
        <f>ROUND(PRODUCT(C285:F285),2)</f>
        <v>50</v>
      </c>
      <c r="H285" s="532"/>
    </row>
    <row r="286" spans="1:8" s="783" customFormat="1" x14ac:dyDescent="0.2">
      <c r="A286" s="736"/>
      <c r="B286" s="866" t="s">
        <v>1196</v>
      </c>
      <c r="C286" s="732">
        <v>2</v>
      </c>
      <c r="D286" s="716">
        <v>25</v>
      </c>
      <c r="E286" s="866">
        <v>1.5</v>
      </c>
      <c r="F286" s="866">
        <v>1</v>
      </c>
      <c r="G286" s="866">
        <f>ROUND(PRODUCT(C286:F286),2)</f>
        <v>75</v>
      </c>
      <c r="H286" s="877"/>
    </row>
    <row r="287" spans="1:8" s="783" customFormat="1" x14ac:dyDescent="0.2">
      <c r="A287" s="736"/>
      <c r="B287" s="866" t="s">
        <v>1197</v>
      </c>
      <c r="C287" s="732">
        <v>2</v>
      </c>
      <c r="D287" s="716">
        <v>25</v>
      </c>
      <c r="E287" s="866">
        <v>1</v>
      </c>
      <c r="F287" s="866">
        <v>1</v>
      </c>
      <c r="G287" s="866">
        <f>ROUND(PRODUCT(C287:F287),2)</f>
        <v>50</v>
      </c>
      <c r="H287" s="877"/>
    </row>
    <row r="288" spans="1:8" s="783" customFormat="1" x14ac:dyDescent="0.2">
      <c r="A288" s="736"/>
      <c r="B288" s="896" t="s">
        <v>1203</v>
      </c>
      <c r="C288" s="732"/>
      <c r="D288" s="716"/>
      <c r="E288" s="866"/>
      <c r="F288" s="866"/>
      <c r="G288" s="866"/>
      <c r="H288" s="877"/>
    </row>
    <row r="289" spans="1:9" s="783" customFormat="1" x14ac:dyDescent="0.2">
      <c r="A289" s="736"/>
      <c r="B289" s="866" t="s">
        <v>1195</v>
      </c>
      <c r="C289" s="732">
        <v>1</v>
      </c>
      <c r="D289" s="866">
        <v>30</v>
      </c>
      <c r="E289" s="866">
        <v>2</v>
      </c>
      <c r="F289" s="866">
        <v>1</v>
      </c>
      <c r="G289" s="866">
        <f t="shared" ref="G289:G291" si="39">ROUND(PRODUCT(C289:F289),2)</f>
        <v>60</v>
      </c>
      <c r="H289" s="877"/>
    </row>
    <row r="290" spans="1:9" s="783" customFormat="1" x14ac:dyDescent="0.2">
      <c r="A290" s="736"/>
      <c r="B290" s="866" t="s">
        <v>1196</v>
      </c>
      <c r="C290" s="732">
        <v>2</v>
      </c>
      <c r="D290" s="866">
        <v>30</v>
      </c>
      <c r="E290" s="866">
        <v>1.5</v>
      </c>
      <c r="F290" s="866">
        <v>1</v>
      </c>
      <c r="G290" s="866">
        <f t="shared" si="39"/>
        <v>90</v>
      </c>
      <c r="H290" s="877"/>
    </row>
    <row r="291" spans="1:9" s="783" customFormat="1" ht="13.5" thickBot="1" x14ac:dyDescent="0.25">
      <c r="A291" s="736"/>
      <c r="B291" s="866" t="s">
        <v>1197</v>
      </c>
      <c r="C291" s="732">
        <v>2</v>
      </c>
      <c r="D291" s="866">
        <v>30</v>
      </c>
      <c r="E291" s="866">
        <v>1</v>
      </c>
      <c r="F291" s="866">
        <v>1</v>
      </c>
      <c r="G291" s="866">
        <f t="shared" si="39"/>
        <v>60</v>
      </c>
      <c r="H291" s="877"/>
    </row>
    <row r="292" spans="1:9" s="783" customFormat="1" ht="13.5" thickBot="1" x14ac:dyDescent="0.25">
      <c r="A292" s="741"/>
      <c r="B292" s="124" t="s">
        <v>83</v>
      </c>
      <c r="C292" s="711"/>
      <c r="D292" s="733"/>
      <c r="E292" s="733"/>
      <c r="F292" s="733"/>
      <c r="G292" s="125">
        <f>SUM(G285:G291)</f>
        <v>385</v>
      </c>
      <c r="H292" s="126" t="s">
        <v>250</v>
      </c>
    </row>
    <row r="293" spans="1:9" s="783" customFormat="1" x14ac:dyDescent="0.2">
      <c r="A293" s="736"/>
      <c r="B293" s="866"/>
      <c r="C293" s="732"/>
      <c r="D293" s="866"/>
      <c r="E293" s="866"/>
      <c r="F293" s="866"/>
      <c r="G293" s="866"/>
      <c r="H293" s="877"/>
    </row>
    <row r="294" spans="1:9" ht="63.75" x14ac:dyDescent="0.2">
      <c r="A294" s="736" t="s">
        <v>1231</v>
      </c>
      <c r="B294" s="786" t="s">
        <v>252</v>
      </c>
      <c r="C294" s="732"/>
      <c r="D294" s="716"/>
      <c r="E294" s="716"/>
      <c r="F294" s="716"/>
      <c r="G294" s="256"/>
      <c r="H294" s="257"/>
    </row>
    <row r="295" spans="1:9" x14ac:dyDescent="0.2">
      <c r="A295" s="736"/>
      <c r="B295" s="786" t="s">
        <v>1237</v>
      </c>
      <c r="C295" s="732"/>
      <c r="D295" s="716"/>
      <c r="E295" s="716"/>
      <c r="F295" s="716"/>
      <c r="G295" s="256"/>
      <c r="H295" s="257"/>
    </row>
    <row r="296" spans="1:9" x14ac:dyDescent="0.2">
      <c r="A296" s="736"/>
      <c r="B296" s="704" t="s">
        <v>1235</v>
      </c>
      <c r="C296" s="732">
        <v>1</v>
      </c>
      <c r="D296" s="716">
        <f>D278</f>
        <v>19.8</v>
      </c>
      <c r="E296" s="716"/>
      <c r="F296" s="716">
        <v>3</v>
      </c>
      <c r="G296" s="706">
        <f t="shared" ref="G296:G298" si="40">ROUND(PRODUCT(C296:F296),2)</f>
        <v>59.4</v>
      </c>
      <c r="H296" s="257"/>
      <c r="I296" s="897"/>
    </row>
    <row r="297" spans="1:9" x14ac:dyDescent="0.2">
      <c r="A297" s="736"/>
      <c r="B297" s="704" t="s">
        <v>1233</v>
      </c>
      <c r="C297" s="732">
        <v>1</v>
      </c>
      <c r="D297" s="716">
        <f t="shared" ref="D297:D298" si="41">D279</f>
        <v>25.36</v>
      </c>
      <c r="E297" s="716"/>
      <c r="F297" s="716">
        <v>3</v>
      </c>
      <c r="G297" s="706">
        <f t="shared" si="40"/>
        <v>76.08</v>
      </c>
      <c r="H297" s="257"/>
      <c r="I297" s="897"/>
    </row>
    <row r="298" spans="1:9" x14ac:dyDescent="0.2">
      <c r="A298" s="736"/>
      <c r="B298" s="704" t="s">
        <v>1234</v>
      </c>
      <c r="C298" s="732">
        <v>1</v>
      </c>
      <c r="D298" s="716">
        <f t="shared" si="41"/>
        <v>48.63</v>
      </c>
      <c r="E298" s="716"/>
      <c r="F298" s="716">
        <v>2.5</v>
      </c>
      <c r="G298" s="706">
        <f t="shared" si="40"/>
        <v>121.58</v>
      </c>
      <c r="H298" s="257"/>
      <c r="I298" s="897"/>
    </row>
    <row r="299" spans="1:9" x14ac:dyDescent="0.2">
      <c r="A299" s="736"/>
      <c r="B299" s="898" t="s">
        <v>1205</v>
      </c>
      <c r="C299" s="856">
        <v>1</v>
      </c>
      <c r="D299" s="857">
        <f>D285</f>
        <v>25</v>
      </c>
      <c r="E299" s="780"/>
      <c r="F299" s="857">
        <f>F285+F286+F287</f>
        <v>3</v>
      </c>
      <c r="G299" s="706">
        <f>ROUND(PRODUCT(C299:F299),2)</f>
        <v>75</v>
      </c>
      <c r="H299" s="257"/>
    </row>
    <row r="300" spans="1:9" ht="13.5" thickBot="1" x14ac:dyDescent="0.25">
      <c r="A300" s="775"/>
      <c r="B300" s="899" t="s">
        <v>1204</v>
      </c>
      <c r="C300" s="704">
        <v>1</v>
      </c>
      <c r="D300" s="705">
        <f>D289</f>
        <v>30</v>
      </c>
      <c r="E300" s="6"/>
      <c r="F300" s="705">
        <f>F289+F290+F291</f>
        <v>3</v>
      </c>
      <c r="G300" s="706">
        <f>ROUND(PRODUCT(C300:F300),2)</f>
        <v>90</v>
      </c>
      <c r="H300" s="129"/>
    </row>
    <row r="301" spans="1:9" ht="13.5" thickBot="1" x14ac:dyDescent="0.25">
      <c r="A301" s="741"/>
      <c r="B301" s="124" t="s">
        <v>83</v>
      </c>
      <c r="C301" s="711"/>
      <c r="D301" s="733"/>
      <c r="E301" s="733"/>
      <c r="F301" s="733"/>
      <c r="G301" s="125">
        <f>SUM(G296:G300)</f>
        <v>422.06</v>
      </c>
      <c r="H301" s="126" t="s">
        <v>249</v>
      </c>
    </row>
    <row r="302" spans="1:9" x14ac:dyDescent="0.2">
      <c r="A302" s="845" t="s">
        <v>333</v>
      </c>
      <c r="B302" s="846" t="s">
        <v>139</v>
      </c>
      <c r="C302" s="793"/>
      <c r="D302" s="794"/>
      <c r="E302" s="794"/>
      <c r="F302" s="794"/>
      <c r="G302" s="706"/>
      <c r="H302" s="257"/>
    </row>
    <row r="303" spans="1:9" ht="114.75" x14ac:dyDescent="0.2">
      <c r="A303" s="861" t="s">
        <v>330</v>
      </c>
      <c r="B303" s="900" t="s">
        <v>258</v>
      </c>
      <c r="C303" s="850"/>
      <c r="D303" s="857"/>
      <c r="E303" s="857"/>
      <c r="F303" s="857"/>
      <c r="G303" s="122"/>
      <c r="H303" s="383"/>
    </row>
    <row r="304" spans="1:9" x14ac:dyDescent="0.2">
      <c r="A304" s="861"/>
      <c r="B304" s="901" t="s">
        <v>238</v>
      </c>
      <c r="C304" s="850">
        <v>1</v>
      </c>
      <c r="D304" s="857">
        <v>13</v>
      </c>
      <c r="E304" s="705">
        <v>11</v>
      </c>
      <c r="F304" s="857"/>
      <c r="G304" s="706">
        <f>ROUND(PRODUCT(C304:F304),2)</f>
        <v>143</v>
      </c>
      <c r="H304" s="383"/>
    </row>
    <row r="305" spans="1:9" x14ac:dyDescent="0.2">
      <c r="A305" s="902"/>
      <c r="B305" s="903"/>
      <c r="C305" s="893">
        <v>1</v>
      </c>
      <c r="D305" s="904">
        <f>SUM(D257:D261)</f>
        <v>148.79</v>
      </c>
      <c r="E305" s="705">
        <f>(1+3.5+2.6)/3</f>
        <v>2.367</v>
      </c>
      <c r="F305" s="904"/>
      <c r="G305" s="706">
        <f>ROUND(PRODUCT(C305:F305),2)</f>
        <v>352.19</v>
      </c>
      <c r="H305" s="398"/>
    </row>
    <row r="306" spans="1:9" ht="13.5" thickBot="1" x14ac:dyDescent="0.25">
      <c r="A306" s="905"/>
      <c r="B306" s="903" t="s">
        <v>237</v>
      </c>
      <c r="C306" s="906">
        <v>1</v>
      </c>
      <c r="D306" s="722">
        <v>13</v>
      </c>
      <c r="E306" s="705">
        <v>11</v>
      </c>
      <c r="F306" s="722"/>
      <c r="G306" s="706">
        <f>ROUND(PRODUCT(C306:F306),2)</f>
        <v>143</v>
      </c>
      <c r="H306" s="398"/>
    </row>
    <row r="307" spans="1:9" ht="13.5" thickBot="1" x14ac:dyDescent="0.25">
      <c r="A307" s="741"/>
      <c r="B307" s="124" t="s">
        <v>83</v>
      </c>
      <c r="C307" s="711"/>
      <c r="D307" s="733"/>
      <c r="E307" s="733"/>
      <c r="F307" s="733"/>
      <c r="G307" s="125">
        <f>SUM(G304:G306)</f>
        <v>638.19000000000005</v>
      </c>
      <c r="H307" s="126" t="s">
        <v>249</v>
      </c>
    </row>
    <row r="319" spans="1:9" x14ac:dyDescent="0.2">
      <c r="I319" s="145"/>
    </row>
    <row r="320" spans="1:9" x14ac:dyDescent="0.2">
      <c r="I320" s="145"/>
    </row>
    <row r="321" spans="1:9" x14ac:dyDescent="0.2">
      <c r="I321" s="145"/>
    </row>
    <row r="322" spans="1:9" x14ac:dyDescent="0.2">
      <c r="A322" s="6"/>
      <c r="C322" s="6"/>
      <c r="D322" s="6"/>
      <c r="E322" s="6"/>
      <c r="F322" s="6"/>
      <c r="G322" s="6"/>
      <c r="H322" s="6"/>
      <c r="I322" s="145"/>
    </row>
    <row r="323" spans="1:9" x14ac:dyDescent="0.2">
      <c r="A323" s="6"/>
      <c r="C323" s="6"/>
      <c r="D323" s="6"/>
      <c r="E323" s="6"/>
      <c r="F323" s="6"/>
      <c r="G323" s="6"/>
      <c r="H323" s="6"/>
      <c r="I323" s="145"/>
    </row>
    <row r="324" spans="1:9" x14ac:dyDescent="0.2">
      <c r="A324" s="6"/>
      <c r="C324" s="6"/>
      <c r="D324" s="6"/>
      <c r="E324" s="6"/>
      <c r="F324" s="6"/>
      <c r="G324" s="6"/>
      <c r="H324" s="6"/>
      <c r="I324" s="145"/>
    </row>
    <row r="325" spans="1:9" x14ac:dyDescent="0.2">
      <c r="A325" s="6"/>
      <c r="C325" s="6"/>
      <c r="D325" s="6"/>
      <c r="E325" s="6"/>
      <c r="F325" s="6"/>
      <c r="G325" s="6"/>
      <c r="H325" s="6"/>
      <c r="I325" s="145"/>
    </row>
    <row r="326" spans="1:9" x14ac:dyDescent="0.2">
      <c r="A326" s="6"/>
      <c r="C326" s="6"/>
      <c r="D326" s="6"/>
      <c r="E326" s="6"/>
      <c r="F326" s="6"/>
      <c r="G326" s="6"/>
      <c r="H326" s="6"/>
      <c r="I326" s="145"/>
    </row>
    <row r="327" spans="1:9" x14ac:dyDescent="0.2">
      <c r="A327" s="6"/>
      <c r="C327" s="6"/>
      <c r="D327" s="6"/>
      <c r="E327" s="6"/>
      <c r="F327" s="6"/>
      <c r="G327" s="6"/>
      <c r="H327" s="6"/>
      <c r="I327" s="145"/>
    </row>
    <row r="328" spans="1:9" x14ac:dyDescent="0.2">
      <c r="A328" s="6"/>
      <c r="C328" s="6"/>
      <c r="D328" s="6"/>
      <c r="E328" s="6"/>
      <c r="F328" s="6"/>
      <c r="G328" s="6"/>
      <c r="H328" s="6"/>
      <c r="I328" s="145"/>
    </row>
    <row r="329" spans="1:9" x14ac:dyDescent="0.2">
      <c r="A329" s="6"/>
      <c r="C329" s="6"/>
      <c r="D329" s="6"/>
      <c r="E329" s="6"/>
      <c r="F329" s="6"/>
      <c r="G329" s="6"/>
      <c r="H329" s="6"/>
      <c r="I329" s="145"/>
    </row>
    <row r="330" spans="1:9" x14ac:dyDescent="0.2">
      <c r="A330" s="6"/>
      <c r="C330" s="6"/>
      <c r="D330" s="6"/>
      <c r="E330" s="6"/>
      <c r="F330" s="6"/>
      <c r="G330" s="6"/>
      <c r="H330" s="6"/>
      <c r="I330" s="145"/>
    </row>
    <row r="331" spans="1:9" x14ac:dyDescent="0.2">
      <c r="A331" s="6"/>
      <c r="C331" s="6"/>
      <c r="D331" s="6"/>
      <c r="E331" s="6"/>
      <c r="F331" s="6"/>
      <c r="G331" s="6"/>
      <c r="H331" s="6"/>
      <c r="I331" s="145"/>
    </row>
    <row r="332" spans="1:9" x14ac:dyDescent="0.2">
      <c r="A332" s="6"/>
      <c r="C332" s="6"/>
      <c r="D332" s="6"/>
      <c r="E332" s="6"/>
      <c r="F332" s="6"/>
      <c r="G332" s="6"/>
      <c r="H332" s="6"/>
      <c r="I332" s="132"/>
    </row>
    <row r="333" spans="1:9" x14ac:dyDescent="0.2">
      <c r="A333" s="6"/>
      <c r="C333" s="6"/>
      <c r="D333" s="6"/>
      <c r="E333" s="6"/>
      <c r="F333" s="6"/>
      <c r="G333" s="6"/>
      <c r="H333" s="6"/>
      <c r="I333" s="132"/>
    </row>
    <row r="334" spans="1:9" x14ac:dyDescent="0.2">
      <c r="A334" s="6"/>
      <c r="C334" s="6"/>
      <c r="D334" s="6"/>
      <c r="E334" s="6"/>
      <c r="F334" s="6"/>
      <c r="G334" s="6"/>
      <c r="H334" s="6"/>
      <c r="I334" s="132"/>
    </row>
    <row r="335" spans="1:9" x14ac:dyDescent="0.2">
      <c r="A335" s="6"/>
      <c r="C335" s="6"/>
      <c r="D335" s="6"/>
      <c r="E335" s="6"/>
      <c r="F335" s="6"/>
      <c r="G335" s="6"/>
      <c r="H335" s="6"/>
      <c r="I335" s="132"/>
    </row>
    <row r="336" spans="1:9" x14ac:dyDescent="0.2">
      <c r="A336" s="6"/>
      <c r="C336" s="6"/>
      <c r="D336" s="6"/>
      <c r="E336" s="6"/>
      <c r="F336" s="6"/>
      <c r="G336" s="6"/>
      <c r="H336" s="6"/>
      <c r="I336" s="132"/>
    </row>
  </sheetData>
  <mergeCells count="11">
    <mergeCell ref="H4:H5"/>
    <mergeCell ref="A1:G1"/>
    <mergeCell ref="A4:A5"/>
    <mergeCell ref="B4:B5"/>
    <mergeCell ref="C4:C5"/>
    <mergeCell ref="D4:F4"/>
    <mergeCell ref="G4:G5"/>
    <mergeCell ref="D173:F173"/>
    <mergeCell ref="D164:F164"/>
    <mergeCell ref="D215:F215"/>
    <mergeCell ref="D86:E86"/>
  </mergeCells>
  <printOptions horizontalCentered="1"/>
  <pageMargins left="0.5" right="0" top="0.5" bottom="0.5" header="0.3" footer="0.3"/>
  <pageSetup paperSize="9" scale="99" orientation="portrait" r:id="rId1"/>
  <rowBreaks count="4" manualBreakCount="4">
    <brk id="169" max="7" man="1"/>
    <brk id="207" max="7" man="1"/>
    <brk id="254" max="7" man="1"/>
    <brk id="282" max="7" man="1"/>
  </rowBreaks>
  <ignoredErrors>
    <ignoredError sqref="D22:E22 G10"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25"/>
  <sheetViews>
    <sheetView workbookViewId="0">
      <selection activeCell="C9" sqref="C9"/>
    </sheetView>
  </sheetViews>
  <sheetFormatPr defaultColWidth="8.85546875" defaultRowHeight="12.75" x14ac:dyDescent="0.2"/>
  <cols>
    <col min="1" max="1" width="11.28515625" style="8" customWidth="1"/>
    <col min="2" max="2" width="10.85546875" style="8" customWidth="1"/>
    <col min="3" max="3" width="12.28515625" style="685" customWidth="1"/>
    <col min="4" max="4" width="14.85546875" style="685" bestFit="1" customWidth="1"/>
    <col min="5" max="5" width="12.42578125" style="685" bestFit="1" customWidth="1"/>
    <col min="6" max="6" width="15" style="685" bestFit="1" customWidth="1"/>
    <col min="7" max="16384" width="8.85546875" style="8"/>
  </cols>
  <sheetData>
    <row r="1" spans="1:8" s="6" customFormat="1" ht="15.75" x14ac:dyDescent="0.2">
      <c r="A1" s="967" t="s">
        <v>345</v>
      </c>
      <c r="B1" s="967"/>
      <c r="C1" s="967"/>
      <c r="D1" s="967"/>
      <c r="E1" s="967"/>
      <c r="F1" s="967"/>
      <c r="G1" s="967"/>
      <c r="H1" s="5"/>
    </row>
    <row r="2" spans="1:8" s="3" customFormat="1" ht="20.25" x14ac:dyDescent="0.2">
      <c r="A2" s="7" t="str">
        <f>Summary!A7</f>
        <v>Project: Bheri Khola Bridge</v>
      </c>
      <c r="B2" s="1"/>
      <c r="C2" s="1"/>
      <c r="D2" s="666"/>
      <c r="F2" s="59"/>
    </row>
    <row r="3" spans="1:8" s="3" customFormat="1" ht="21" thickBot="1" x14ac:dyDescent="0.25">
      <c r="A3" s="7" t="str">
        <f>Summary!A8</f>
        <v xml:space="preserve">Location: Salyan and Surkhet
</v>
      </c>
      <c r="B3" s="1"/>
      <c r="C3" s="1"/>
      <c r="D3" s="666"/>
      <c r="F3" s="59"/>
    </row>
    <row r="4" spans="1:8" ht="15.75" x14ac:dyDescent="0.2">
      <c r="A4" s="667" t="s">
        <v>257</v>
      </c>
      <c r="B4" s="668" t="s">
        <v>334</v>
      </c>
      <c r="C4" s="669" t="s">
        <v>335</v>
      </c>
      <c r="D4" s="669" t="s">
        <v>1220</v>
      </c>
      <c r="E4" s="669" t="s">
        <v>1221</v>
      </c>
      <c r="F4" s="670" t="s">
        <v>1222</v>
      </c>
    </row>
    <row r="5" spans="1:8" x14ac:dyDescent="0.2">
      <c r="A5" s="671" t="s">
        <v>245</v>
      </c>
      <c r="B5" s="672"/>
      <c r="C5" s="673"/>
      <c r="D5" s="673"/>
      <c r="E5" s="673"/>
      <c r="F5" s="674"/>
    </row>
    <row r="6" spans="1:8" x14ac:dyDescent="0.2">
      <c r="A6" s="671" t="s">
        <v>336</v>
      </c>
      <c r="B6" s="672"/>
      <c r="C6" s="673">
        <v>2.5000000000000001E-2</v>
      </c>
      <c r="D6" s="673"/>
      <c r="E6" s="673">
        <v>3.907</v>
      </c>
      <c r="F6" s="674"/>
    </row>
    <row r="7" spans="1:8" x14ac:dyDescent="0.2">
      <c r="A7" s="671" t="s">
        <v>337</v>
      </c>
      <c r="B7" s="672">
        <v>20</v>
      </c>
      <c r="C7" s="673">
        <v>21.72</v>
      </c>
      <c r="D7" s="673">
        <f>(C7+C6)/2*B7</f>
        <v>217.45</v>
      </c>
      <c r="E7" s="673">
        <v>1.1000000000000001</v>
      </c>
      <c r="F7" s="674">
        <f>(E7+E6)/2*B7</f>
        <v>50.07</v>
      </c>
    </row>
    <row r="8" spans="1:8" x14ac:dyDescent="0.2">
      <c r="A8" s="671" t="s">
        <v>338</v>
      </c>
      <c r="B8" s="672">
        <v>20</v>
      </c>
      <c r="C8" s="673">
        <v>70.736000000000004</v>
      </c>
      <c r="D8" s="673">
        <f>(C8+C7)/2*B8</f>
        <v>924.56</v>
      </c>
      <c r="E8" s="673">
        <v>0</v>
      </c>
      <c r="F8" s="674">
        <f t="shared" ref="F8:F21" si="0">(E8+E7)/2*B8</f>
        <v>11</v>
      </c>
    </row>
    <row r="9" spans="1:8" x14ac:dyDescent="0.2">
      <c r="A9" s="671" t="s">
        <v>339</v>
      </c>
      <c r="B9" s="672">
        <v>20</v>
      </c>
      <c r="C9" s="673">
        <v>122.94199999999999</v>
      </c>
      <c r="D9" s="673">
        <f>(C9+C8)/2*B9</f>
        <v>1936.78</v>
      </c>
      <c r="E9" s="673">
        <v>0</v>
      </c>
      <c r="F9" s="674">
        <f t="shared" si="0"/>
        <v>0</v>
      </c>
    </row>
    <row r="10" spans="1:8" x14ac:dyDescent="0.2">
      <c r="A10" s="671" t="s">
        <v>936</v>
      </c>
      <c r="B10" s="672">
        <v>20</v>
      </c>
      <c r="C10" s="673">
        <v>161.738</v>
      </c>
      <c r="D10" s="673">
        <f t="shared" ref="D10:D21" si="1">(C10+C9)/2*B10</f>
        <v>2846.8</v>
      </c>
      <c r="E10" s="673">
        <v>0</v>
      </c>
      <c r="F10" s="674">
        <f t="shared" si="0"/>
        <v>0</v>
      </c>
    </row>
    <row r="11" spans="1:8" x14ac:dyDescent="0.2">
      <c r="A11" s="671"/>
      <c r="B11" s="672"/>
      <c r="C11" s="673"/>
      <c r="D11" s="675">
        <f>SUM(D7:D10)</f>
        <v>5925.59</v>
      </c>
      <c r="E11" s="673"/>
      <c r="F11" s="676">
        <f>SUM(F7:F10)</f>
        <v>61.07</v>
      </c>
    </row>
    <row r="12" spans="1:8" x14ac:dyDescent="0.2">
      <c r="A12" s="671" t="s">
        <v>238</v>
      </c>
      <c r="B12" s="672"/>
      <c r="C12" s="673"/>
      <c r="D12" s="677"/>
      <c r="E12" s="677"/>
      <c r="F12" s="678"/>
    </row>
    <row r="13" spans="1:8" x14ac:dyDescent="0.2">
      <c r="A13" s="671" t="s">
        <v>937</v>
      </c>
      <c r="B13" s="672"/>
      <c r="C13" s="673">
        <v>0</v>
      </c>
      <c r="D13" s="673"/>
      <c r="E13" s="673">
        <v>53.283000000000001</v>
      </c>
      <c r="F13" s="674"/>
    </row>
    <row r="14" spans="1:8" x14ac:dyDescent="0.2">
      <c r="A14" s="671" t="s">
        <v>938</v>
      </c>
      <c r="B14" s="672">
        <v>20</v>
      </c>
      <c r="C14" s="673">
        <v>0</v>
      </c>
      <c r="D14" s="673">
        <f t="shared" si="1"/>
        <v>0</v>
      </c>
      <c r="E14" s="673">
        <v>58.116999999999997</v>
      </c>
      <c r="F14" s="674">
        <f>(E14+E12)/2*B14</f>
        <v>581.16999999999996</v>
      </c>
    </row>
    <row r="15" spans="1:8" x14ac:dyDescent="0.2">
      <c r="A15" s="671" t="s">
        <v>1098</v>
      </c>
      <c r="B15" s="672">
        <v>20</v>
      </c>
      <c r="C15" s="673">
        <v>0</v>
      </c>
      <c r="D15" s="673">
        <f t="shared" si="1"/>
        <v>0</v>
      </c>
      <c r="E15" s="673">
        <v>41.576999999999998</v>
      </c>
      <c r="F15" s="674">
        <f>(E15+E13)/2*B15</f>
        <v>948.6</v>
      </c>
    </row>
    <row r="16" spans="1:8" x14ac:dyDescent="0.2">
      <c r="A16" s="671" t="s">
        <v>1099</v>
      </c>
      <c r="B16" s="672">
        <v>20</v>
      </c>
      <c r="C16" s="673">
        <v>0</v>
      </c>
      <c r="D16" s="673">
        <f t="shared" si="1"/>
        <v>0</v>
      </c>
      <c r="E16" s="673">
        <v>50.835999999999999</v>
      </c>
      <c r="F16" s="674">
        <f t="shared" si="0"/>
        <v>924.13</v>
      </c>
    </row>
    <row r="17" spans="1:6" x14ac:dyDescent="0.2">
      <c r="A17" s="671" t="s">
        <v>1100</v>
      </c>
      <c r="B17" s="672">
        <v>20</v>
      </c>
      <c r="C17" s="673">
        <v>0</v>
      </c>
      <c r="D17" s="673">
        <f t="shared" si="1"/>
        <v>0</v>
      </c>
      <c r="E17" s="673">
        <v>102.021</v>
      </c>
      <c r="F17" s="674">
        <f t="shared" si="0"/>
        <v>1528.57</v>
      </c>
    </row>
    <row r="18" spans="1:6" x14ac:dyDescent="0.2">
      <c r="A18" s="671" t="s">
        <v>1101</v>
      </c>
      <c r="B18" s="672">
        <v>20</v>
      </c>
      <c r="C18" s="673">
        <v>0</v>
      </c>
      <c r="D18" s="673">
        <f t="shared" si="1"/>
        <v>0</v>
      </c>
      <c r="E18" s="673">
        <v>103.736</v>
      </c>
      <c r="F18" s="674">
        <f t="shared" si="0"/>
        <v>2057.5700000000002</v>
      </c>
    </row>
    <row r="19" spans="1:6" x14ac:dyDescent="0.2">
      <c r="A19" s="671" t="s">
        <v>1102</v>
      </c>
      <c r="B19" s="672">
        <v>20</v>
      </c>
      <c r="C19" s="679">
        <v>0</v>
      </c>
      <c r="D19" s="673">
        <f t="shared" si="1"/>
        <v>0</v>
      </c>
      <c r="E19" s="679">
        <v>94.114000000000004</v>
      </c>
      <c r="F19" s="674">
        <f t="shared" si="0"/>
        <v>1978.5</v>
      </c>
    </row>
    <row r="20" spans="1:6" x14ac:dyDescent="0.2">
      <c r="A20" s="671" t="s">
        <v>1103</v>
      </c>
      <c r="B20" s="672">
        <v>20</v>
      </c>
      <c r="C20" s="679">
        <v>0</v>
      </c>
      <c r="D20" s="673">
        <f t="shared" si="1"/>
        <v>0</v>
      </c>
      <c r="E20" s="679">
        <v>69.594999999999999</v>
      </c>
      <c r="F20" s="674">
        <f t="shared" si="0"/>
        <v>1637.09</v>
      </c>
    </row>
    <row r="21" spans="1:6" x14ac:dyDescent="0.2">
      <c r="A21" s="671" t="s">
        <v>1104</v>
      </c>
      <c r="B21" s="680">
        <v>17.16</v>
      </c>
      <c r="C21" s="679">
        <v>24.791</v>
      </c>
      <c r="D21" s="673">
        <f t="shared" si="1"/>
        <v>212.70699999999999</v>
      </c>
      <c r="E21" s="679">
        <v>10.411</v>
      </c>
      <c r="F21" s="674">
        <f t="shared" si="0"/>
        <v>686.45100000000002</v>
      </c>
    </row>
    <row r="22" spans="1:6" ht="13.5" thickBot="1" x14ac:dyDescent="0.25">
      <c r="A22" s="681"/>
      <c r="B22" s="630"/>
      <c r="C22" s="682"/>
      <c r="D22" s="683">
        <f>SUM(D13:D21)</f>
        <v>212.70699999999999</v>
      </c>
      <c r="E22" s="682"/>
      <c r="F22" s="684">
        <f>SUM(F14:F21)</f>
        <v>10342.081</v>
      </c>
    </row>
    <row r="25" spans="1:6" x14ac:dyDescent="0.2">
      <c r="B25" s="8">
        <f>204.75-160</f>
        <v>44.75</v>
      </c>
    </row>
  </sheetData>
  <mergeCells count="1">
    <mergeCell ref="A1:G1"/>
  </mergeCells>
  <pageMargins left="0.6" right="0.1" top="0.5" bottom="0.5" header="0.3" footer="0.3"/>
  <pageSetup paperSize="9" scale="115"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H116"/>
  <sheetViews>
    <sheetView topLeftCell="A32" workbookViewId="0">
      <selection activeCell="E42" sqref="E42"/>
    </sheetView>
  </sheetViews>
  <sheetFormatPr defaultColWidth="9.140625" defaultRowHeight="12.75" x14ac:dyDescent="0.2"/>
  <cols>
    <col min="1" max="2" width="13.5703125" style="92" customWidth="1"/>
    <col min="3" max="3" width="76.85546875" style="105" customWidth="1"/>
    <col min="4" max="4" width="6.7109375" style="92" customWidth="1"/>
    <col min="5" max="5" width="14.140625" style="106" customWidth="1"/>
    <col min="6" max="6" width="9.140625" style="8"/>
    <col min="7" max="7" width="16.7109375" style="8" customWidth="1"/>
    <col min="8" max="16384" width="9.140625" style="8"/>
  </cols>
  <sheetData>
    <row r="2" spans="1:5" ht="12.75" customHeight="1" x14ac:dyDescent="0.2">
      <c r="A2" s="977" t="s">
        <v>144</v>
      </c>
      <c r="B2" s="977"/>
      <c r="C2" s="977"/>
      <c r="D2" s="977"/>
      <c r="E2" s="977"/>
    </row>
    <row r="3" spans="1:5" s="3" customFormat="1" ht="21" x14ac:dyDescent="0.2">
      <c r="A3" s="4" t="str">
        <f>Summary!A7</f>
        <v>Project: Bheri Khola Bridge</v>
      </c>
      <c r="B3" s="1"/>
      <c r="C3" s="2"/>
    </row>
    <row r="4" spans="1:5" s="3" customFormat="1" ht="21.75" thickBot="1" x14ac:dyDescent="0.25">
      <c r="A4" s="4" t="str">
        <f>Summary!A8</f>
        <v xml:space="preserve">Location: Salyan and Surkhet
</v>
      </c>
      <c r="B4" s="1"/>
      <c r="C4" s="2"/>
    </row>
    <row r="5" spans="1:5" s="119" customFormat="1" ht="66" customHeight="1" x14ac:dyDescent="0.2">
      <c r="A5" s="445" t="s">
        <v>61</v>
      </c>
      <c r="B5" s="107" t="s">
        <v>62</v>
      </c>
      <c r="C5" s="107" t="s">
        <v>27</v>
      </c>
      <c r="D5" s="107" t="s">
        <v>7</v>
      </c>
      <c r="E5" s="108" t="s">
        <v>232</v>
      </c>
    </row>
    <row r="6" spans="1:5" s="119" customFormat="1" ht="15.75" x14ac:dyDescent="0.2">
      <c r="A6" s="446">
        <v>100</v>
      </c>
      <c r="B6" s="110" t="s">
        <v>646</v>
      </c>
      <c r="C6" s="109"/>
      <c r="D6" s="109"/>
      <c r="E6" s="103"/>
    </row>
    <row r="7" spans="1:5" ht="31.5" x14ac:dyDescent="0.2">
      <c r="A7" s="447">
        <v>1.3</v>
      </c>
      <c r="B7" s="111">
        <v>110</v>
      </c>
      <c r="C7" s="112" t="s">
        <v>214</v>
      </c>
      <c r="D7" s="113" t="s">
        <v>451</v>
      </c>
      <c r="E7" s="102">
        <f>signboard_1.8x1.2</f>
        <v>9775</v>
      </c>
    </row>
    <row r="8" spans="1:5" s="119" customFormat="1" ht="15.75" x14ac:dyDescent="0.2">
      <c r="A8" s="446">
        <v>200</v>
      </c>
      <c r="B8" s="114" t="s">
        <v>407</v>
      </c>
      <c r="C8" s="109"/>
      <c r="D8" s="109"/>
      <c r="E8" s="103"/>
    </row>
    <row r="9" spans="1:5" s="119" customFormat="1" ht="78.75" x14ac:dyDescent="0.2">
      <c r="A9" s="447" t="s">
        <v>1069</v>
      </c>
      <c r="B9" s="115">
        <v>201</v>
      </c>
      <c r="C9" s="112" t="s">
        <v>1067</v>
      </c>
      <c r="D9" s="111" t="s">
        <v>249</v>
      </c>
      <c r="E9" s="102">
        <f>siteclearance_mechanical</f>
        <v>5.17</v>
      </c>
    </row>
    <row r="10" spans="1:5" ht="37.5" hidden="1" customHeight="1" x14ac:dyDescent="0.2">
      <c r="A10" s="447">
        <v>2.2999999999999998</v>
      </c>
      <c r="B10" s="115">
        <v>201</v>
      </c>
      <c r="C10" s="112" t="s">
        <v>733</v>
      </c>
      <c r="D10" s="111" t="s">
        <v>249</v>
      </c>
      <c r="E10" s="102">
        <f>clearinggrass</f>
        <v>8.9700000000000006</v>
      </c>
    </row>
    <row r="11" spans="1:5" ht="78.75" hidden="1" x14ac:dyDescent="0.2">
      <c r="A11" s="447" t="s">
        <v>734</v>
      </c>
      <c r="B11" s="115">
        <v>201</v>
      </c>
      <c r="C11" s="112" t="s">
        <v>410</v>
      </c>
      <c r="D11" s="111" t="s">
        <v>165</v>
      </c>
      <c r="E11" s="102">
        <f>dismantlingculvert</f>
        <v>2690.54</v>
      </c>
    </row>
    <row r="12" spans="1:5" ht="15.75" hidden="1" x14ac:dyDescent="0.2">
      <c r="A12" s="448">
        <v>400</v>
      </c>
      <c r="B12" s="116" t="s">
        <v>422</v>
      </c>
      <c r="C12" s="112"/>
      <c r="D12" s="111"/>
      <c r="E12" s="102"/>
    </row>
    <row r="13" spans="1:5" ht="94.5" hidden="1" x14ac:dyDescent="0.2">
      <c r="A13" s="447" t="s">
        <v>426</v>
      </c>
      <c r="B13" s="115">
        <v>400</v>
      </c>
      <c r="C13" s="112" t="s">
        <v>425</v>
      </c>
      <c r="D13" s="111" t="s">
        <v>63</v>
      </c>
      <c r="E13" s="102">
        <f>GIbarbedfence1.2m</f>
        <v>1016.15</v>
      </c>
    </row>
    <row r="14" spans="1:5" ht="15.75" hidden="1" x14ac:dyDescent="0.2">
      <c r="A14" s="448">
        <v>700</v>
      </c>
      <c r="B14" s="117" t="s">
        <v>735</v>
      </c>
      <c r="C14" s="112"/>
      <c r="D14" s="111"/>
      <c r="E14" s="102"/>
    </row>
    <row r="15" spans="1:5" ht="45.75" hidden="1" customHeight="1" x14ac:dyDescent="0.2">
      <c r="A15" s="447" t="s">
        <v>439</v>
      </c>
      <c r="B15" s="111">
        <v>701</v>
      </c>
      <c r="C15" s="112" t="s">
        <v>437</v>
      </c>
      <c r="D15" s="111" t="s">
        <v>63</v>
      </c>
      <c r="E15" s="102">
        <f>layingHDPE100mm</f>
        <v>774.48</v>
      </c>
    </row>
    <row r="16" spans="1:5" ht="47.25" hidden="1" x14ac:dyDescent="0.2">
      <c r="A16" s="447" t="s">
        <v>445</v>
      </c>
      <c r="B16" s="111">
        <v>701</v>
      </c>
      <c r="C16" s="112" t="s">
        <v>444</v>
      </c>
      <c r="D16" s="111" t="s">
        <v>63</v>
      </c>
      <c r="E16" s="102">
        <f>layinghumepipe900mm</f>
        <v>17092.25</v>
      </c>
    </row>
    <row r="17" spans="1:6" ht="47.25" hidden="1" x14ac:dyDescent="0.2">
      <c r="A17" s="447" t="s">
        <v>450</v>
      </c>
      <c r="B17" s="111">
        <v>701</v>
      </c>
      <c r="C17" s="112" t="s">
        <v>449</v>
      </c>
      <c r="D17" s="111" t="s">
        <v>63</v>
      </c>
      <c r="E17" s="102">
        <f>layinghumepipe900mm_collar</f>
        <v>19541.03</v>
      </c>
      <c r="F17" s="120"/>
    </row>
    <row r="18" spans="1:6" ht="15.75" x14ac:dyDescent="0.2">
      <c r="A18" s="448">
        <v>900</v>
      </c>
      <c r="B18" s="118" t="s">
        <v>454</v>
      </c>
      <c r="C18" s="112"/>
      <c r="D18" s="111"/>
      <c r="E18" s="102"/>
      <c r="F18" s="120"/>
    </row>
    <row r="19" spans="1:6" ht="47.25" x14ac:dyDescent="0.2">
      <c r="A19" s="447" t="s">
        <v>736</v>
      </c>
      <c r="B19" s="111">
        <v>905</v>
      </c>
      <c r="C19" s="112" t="s">
        <v>558</v>
      </c>
      <c r="D19" s="111" t="s">
        <v>165</v>
      </c>
      <c r="E19" s="102">
        <f>roadwayexc_soil</f>
        <v>75.34</v>
      </c>
      <c r="F19" s="120"/>
    </row>
    <row r="20" spans="1:6" ht="31.5" x14ac:dyDescent="0.2">
      <c r="A20" s="449" t="s">
        <v>737</v>
      </c>
      <c r="B20" s="111">
        <v>905</v>
      </c>
      <c r="C20" s="112" t="s">
        <v>559</v>
      </c>
      <c r="D20" s="111" t="s">
        <v>165</v>
      </c>
      <c r="E20" s="102">
        <f>roadwayexc_orock</f>
        <v>226.02</v>
      </c>
      <c r="F20" s="120"/>
    </row>
    <row r="21" spans="1:6" ht="47.25" x14ac:dyDescent="0.2">
      <c r="A21" s="449" t="s">
        <v>460</v>
      </c>
      <c r="B21" s="111">
        <v>907</v>
      </c>
      <c r="C21" s="112" t="s">
        <v>560</v>
      </c>
      <c r="D21" s="111" t="s">
        <v>165</v>
      </c>
      <c r="E21" s="102">
        <f>foundationexc_soil</f>
        <v>138.84</v>
      </c>
      <c r="F21" s="120"/>
    </row>
    <row r="22" spans="1:6" ht="47.25" x14ac:dyDescent="0.2">
      <c r="A22" s="449" t="s">
        <v>462</v>
      </c>
      <c r="B22" s="111">
        <v>907</v>
      </c>
      <c r="C22" s="112" t="s">
        <v>561</v>
      </c>
      <c r="D22" s="111" t="s">
        <v>165</v>
      </c>
      <c r="E22" s="102">
        <f>foundationexc_orock</f>
        <v>331.5</v>
      </c>
    </row>
    <row r="23" spans="1:6" ht="47.25" hidden="1" x14ac:dyDescent="0.2">
      <c r="A23" s="449" t="s">
        <v>464</v>
      </c>
      <c r="B23" s="111">
        <v>907</v>
      </c>
      <c r="C23" s="112" t="s">
        <v>562</v>
      </c>
      <c r="D23" s="111" t="s">
        <v>165</v>
      </c>
      <c r="E23" s="102">
        <f>foundationexc_hrock</f>
        <v>1651.25</v>
      </c>
    </row>
    <row r="24" spans="1:6" ht="31.5" x14ac:dyDescent="0.2">
      <c r="A24" s="450">
        <v>9.8000000000000007</v>
      </c>
      <c r="B24" s="111" t="s">
        <v>738</v>
      </c>
      <c r="C24" s="112" t="s">
        <v>473</v>
      </c>
      <c r="D24" s="111" t="s">
        <v>165</v>
      </c>
      <c r="E24" s="102">
        <f>embankment_borrowpit</f>
        <v>1311.97</v>
      </c>
    </row>
    <row r="25" spans="1:6" ht="47.25" hidden="1" x14ac:dyDescent="0.2">
      <c r="A25" s="451" t="s">
        <v>478</v>
      </c>
      <c r="B25" s="111" t="s">
        <v>738</v>
      </c>
      <c r="C25" s="112" t="s">
        <v>479</v>
      </c>
      <c r="D25" s="111" t="s">
        <v>165</v>
      </c>
      <c r="E25" s="102">
        <f>embankment_rwcutting</f>
        <v>363.82</v>
      </c>
    </row>
    <row r="26" spans="1:6" ht="31.5" x14ac:dyDescent="0.2">
      <c r="A26" s="452" t="s">
        <v>480</v>
      </c>
      <c r="B26" s="111">
        <v>908</v>
      </c>
      <c r="C26" s="112" t="s">
        <v>481</v>
      </c>
      <c r="D26" s="111" t="s">
        <v>165</v>
      </c>
      <c r="E26" s="102">
        <f>backfilling_granular</f>
        <v>2982.49</v>
      </c>
    </row>
    <row r="27" spans="1:6" ht="78.75" x14ac:dyDescent="0.2">
      <c r="A27" s="452">
        <v>9.1199999999999992</v>
      </c>
      <c r="B27" s="111" t="s">
        <v>738</v>
      </c>
      <c r="C27" s="112" t="s">
        <v>563</v>
      </c>
      <c r="D27" s="111" t="s">
        <v>165</v>
      </c>
      <c r="E27" s="102">
        <f>backfilling_filter</f>
        <v>8246.57</v>
      </c>
    </row>
    <row r="28" spans="1:6" ht="15.75" x14ac:dyDescent="0.2">
      <c r="A28" s="448">
        <v>1000</v>
      </c>
      <c r="B28" s="118" t="s">
        <v>484</v>
      </c>
      <c r="C28" s="112"/>
      <c r="D28" s="111"/>
      <c r="E28" s="102"/>
      <c r="F28" s="120"/>
    </row>
    <row r="29" spans="1:6" ht="47.25" x14ac:dyDescent="0.2">
      <c r="A29" s="453">
        <v>10.3</v>
      </c>
      <c r="B29" s="111">
        <v>1004</v>
      </c>
      <c r="C29" s="112" t="s">
        <v>486</v>
      </c>
      <c r="D29" s="111" t="s">
        <v>165</v>
      </c>
      <c r="E29" s="102">
        <f>subgradelaying</f>
        <v>18.73</v>
      </c>
    </row>
    <row r="30" spans="1:6" ht="47.25" hidden="1" x14ac:dyDescent="0.2">
      <c r="A30" s="453">
        <v>10.8</v>
      </c>
      <c r="B30" s="111">
        <v>1006</v>
      </c>
      <c r="C30" s="112" t="s">
        <v>489</v>
      </c>
      <c r="D30" s="111" t="s">
        <v>165</v>
      </c>
      <c r="E30" s="102">
        <f>stonesoling</f>
        <v>5763.18</v>
      </c>
    </row>
    <row r="31" spans="1:6" ht="15.75" x14ac:dyDescent="0.2">
      <c r="A31" s="448">
        <v>1200</v>
      </c>
      <c r="B31" s="118" t="s">
        <v>739</v>
      </c>
      <c r="C31" s="112"/>
      <c r="D31" s="111"/>
      <c r="E31" s="102"/>
      <c r="F31" s="120"/>
    </row>
    <row r="32" spans="1:6" ht="47.25" x14ac:dyDescent="0.2">
      <c r="A32" s="453" t="s">
        <v>494</v>
      </c>
      <c r="B32" s="111">
        <v>1201</v>
      </c>
      <c r="C32" s="112" t="s">
        <v>495</v>
      </c>
      <c r="D32" s="111" t="s">
        <v>165</v>
      </c>
      <c r="E32" s="102">
        <f>subbaselaying</f>
        <v>2510.79</v>
      </c>
    </row>
    <row r="33" spans="1:8" ht="63" x14ac:dyDescent="0.2">
      <c r="A33" s="539" t="s">
        <v>1187</v>
      </c>
      <c r="B33" s="111">
        <v>1206</v>
      </c>
      <c r="C33" s="112" t="s">
        <v>1184</v>
      </c>
      <c r="D33" s="111" t="s">
        <v>165</v>
      </c>
      <c r="E33" s="102">
        <f>'Rate Analysis'!P266</f>
        <v>3083.62</v>
      </c>
    </row>
    <row r="34" spans="1:8" ht="15.75" x14ac:dyDescent="0.2">
      <c r="A34" s="448">
        <v>1300</v>
      </c>
      <c r="B34" s="118" t="s">
        <v>497</v>
      </c>
      <c r="C34" s="112"/>
      <c r="D34" s="111"/>
      <c r="E34" s="102"/>
      <c r="F34" s="120"/>
    </row>
    <row r="35" spans="1:8" ht="47.25" x14ac:dyDescent="0.2">
      <c r="A35" s="447">
        <v>13.6</v>
      </c>
      <c r="B35" s="111">
        <v>1309</v>
      </c>
      <c r="C35" s="112" t="s">
        <v>500</v>
      </c>
      <c r="D35" s="111" t="s">
        <v>165</v>
      </c>
      <c r="E35" s="102">
        <f>asphaltconcrete</f>
        <v>23914.19</v>
      </c>
    </row>
    <row r="36" spans="1:8" ht="15.75" x14ac:dyDescent="0.2">
      <c r="A36" s="448">
        <v>1500</v>
      </c>
      <c r="B36" s="118" t="s">
        <v>506</v>
      </c>
      <c r="C36" s="112"/>
      <c r="D36" s="111"/>
      <c r="E36" s="102"/>
      <c r="F36" s="120"/>
    </row>
    <row r="37" spans="1:8" ht="31.5" x14ac:dyDescent="0.2">
      <c r="A37" s="447">
        <v>15.4</v>
      </c>
      <c r="B37" s="111">
        <v>1501</v>
      </c>
      <c r="C37" s="112" t="s">
        <v>564</v>
      </c>
      <c r="D37" s="111" t="s">
        <v>249</v>
      </c>
      <c r="E37" s="102">
        <f>painting_concrete</f>
        <v>953.66</v>
      </c>
    </row>
    <row r="38" spans="1:8" ht="63" hidden="1" x14ac:dyDescent="0.2">
      <c r="A38" s="447">
        <v>15.12</v>
      </c>
      <c r="B38" s="111">
        <v>1507</v>
      </c>
      <c r="C38" s="112" t="s">
        <v>515</v>
      </c>
      <c r="D38" s="111" t="s">
        <v>451</v>
      </c>
      <c r="E38" s="102">
        <f>roaddelineator</f>
        <v>1734.91</v>
      </c>
    </row>
    <row r="39" spans="1:8" ht="15.75" x14ac:dyDescent="0.2">
      <c r="A39" s="448">
        <v>1600</v>
      </c>
      <c r="B39" s="118" t="s">
        <v>517</v>
      </c>
      <c r="C39" s="112"/>
      <c r="D39" s="111"/>
      <c r="E39" s="102"/>
      <c r="F39" s="120"/>
    </row>
    <row r="40" spans="1:8" ht="63" x14ac:dyDescent="0.2">
      <c r="A40" s="447" t="s">
        <v>1253</v>
      </c>
      <c r="B40" s="111">
        <v>1612</v>
      </c>
      <c r="C40" s="112" t="s">
        <v>1247</v>
      </c>
      <c r="D40" s="111" t="s">
        <v>63</v>
      </c>
      <c r="E40" s="102">
        <f>piling_1200mm</f>
        <v>19452.93</v>
      </c>
      <c r="G40" s="120"/>
    </row>
    <row r="41" spans="1:8" ht="15.75" x14ac:dyDescent="0.2">
      <c r="A41" s="448">
        <v>1800</v>
      </c>
      <c r="B41" s="118" t="s">
        <v>740</v>
      </c>
      <c r="C41" s="112"/>
      <c r="D41" s="111"/>
      <c r="E41" s="102"/>
      <c r="F41" s="120"/>
    </row>
    <row r="42" spans="1:8" ht="31.5" x14ac:dyDescent="0.2">
      <c r="A42" s="447" t="s">
        <v>526</v>
      </c>
      <c r="B42" s="111" t="s">
        <v>741</v>
      </c>
      <c r="C42" s="112" t="s">
        <v>527</v>
      </c>
      <c r="D42" s="111" t="s">
        <v>168</v>
      </c>
      <c r="E42" s="102">
        <f>formwork_foundation</f>
        <v>792.17</v>
      </c>
      <c r="G42" s="120"/>
    </row>
    <row r="43" spans="1:8" ht="31.5" x14ac:dyDescent="0.2">
      <c r="A43" s="447" t="s">
        <v>532</v>
      </c>
      <c r="B43" s="111" t="s">
        <v>741</v>
      </c>
      <c r="C43" s="112" t="s">
        <v>531</v>
      </c>
      <c r="D43" s="111" t="s">
        <v>168</v>
      </c>
      <c r="E43" s="102">
        <f>formwork_vertical</f>
        <v>1333.2</v>
      </c>
    </row>
    <row r="44" spans="1:8" ht="15.75" x14ac:dyDescent="0.2">
      <c r="A44" s="448">
        <v>1900</v>
      </c>
      <c r="B44" s="118" t="s">
        <v>540</v>
      </c>
      <c r="C44" s="112"/>
      <c r="D44" s="111"/>
      <c r="E44" s="102"/>
      <c r="F44" s="120"/>
    </row>
    <row r="45" spans="1:8" ht="63" hidden="1" x14ac:dyDescent="0.2">
      <c r="A45" s="447">
        <v>19.3</v>
      </c>
      <c r="B45" s="111">
        <v>1902</v>
      </c>
      <c r="C45" s="112" t="s">
        <v>542</v>
      </c>
      <c r="D45" s="111" t="s">
        <v>451</v>
      </c>
      <c r="E45" s="102">
        <f>bearing_ptfe</f>
        <v>95082</v>
      </c>
    </row>
    <row r="46" spans="1:8" ht="47.25" hidden="1" x14ac:dyDescent="0.2">
      <c r="A46" s="447">
        <v>19.399999999999999</v>
      </c>
      <c r="B46" s="111">
        <v>1902</v>
      </c>
      <c r="C46" s="112" t="s">
        <v>543</v>
      </c>
      <c r="D46" s="111" t="s">
        <v>451</v>
      </c>
      <c r="E46" s="104">
        <f>bearing_elastomeric</f>
        <v>39120.93</v>
      </c>
      <c r="H46" s="121"/>
    </row>
    <row r="47" spans="1:8" ht="78.75" x14ac:dyDescent="0.2">
      <c r="A47" s="447">
        <v>19.600000000000001</v>
      </c>
      <c r="B47" s="111">
        <v>1902</v>
      </c>
      <c r="C47" s="112" t="s">
        <v>1074</v>
      </c>
      <c r="D47" s="111" t="s">
        <v>1</v>
      </c>
      <c r="E47" s="104">
        <f>bearing_pot_fixed</f>
        <v>158777</v>
      </c>
    </row>
    <row r="48" spans="1:8" ht="94.5" x14ac:dyDescent="0.2">
      <c r="A48" s="447">
        <v>19.600000000000001</v>
      </c>
      <c r="B48" s="111">
        <v>1902</v>
      </c>
      <c r="C48" s="112" t="s">
        <v>568</v>
      </c>
      <c r="D48" s="111" t="s">
        <v>1</v>
      </c>
      <c r="E48" s="104">
        <f>bearing_pot_sliding</f>
        <v>166327.34</v>
      </c>
    </row>
    <row r="49" spans="1:6" ht="47.25" hidden="1" x14ac:dyDescent="0.2">
      <c r="A49" s="447">
        <v>19.8</v>
      </c>
      <c r="B49" s="111">
        <v>1901</v>
      </c>
      <c r="C49" s="112" t="s">
        <v>548</v>
      </c>
      <c r="D49" s="111" t="s">
        <v>63</v>
      </c>
      <c r="E49" s="104">
        <f>elastomericslabsteelexpjoint</f>
        <v>43650.17</v>
      </c>
    </row>
    <row r="50" spans="1:6" ht="78.75" hidden="1" x14ac:dyDescent="0.2">
      <c r="A50" s="447">
        <v>19.899999999999999</v>
      </c>
      <c r="B50" s="111">
        <v>1901</v>
      </c>
      <c r="C50" s="112" t="s">
        <v>551</v>
      </c>
      <c r="D50" s="111" t="s">
        <v>63</v>
      </c>
      <c r="E50" s="104">
        <f>compressionsealjoint</f>
        <v>26323.17</v>
      </c>
    </row>
    <row r="51" spans="1:6" ht="31.5" x14ac:dyDescent="0.2">
      <c r="A51" s="454">
        <v>19.100000000000001</v>
      </c>
      <c r="B51" s="111">
        <v>1901</v>
      </c>
      <c r="C51" s="112" t="s">
        <v>555</v>
      </c>
      <c r="D51" s="111" t="s">
        <v>63</v>
      </c>
      <c r="E51" s="104">
        <f>stripsealexpjoint_laying</f>
        <v>19244.54</v>
      </c>
    </row>
    <row r="52" spans="1:6" ht="15.75" x14ac:dyDescent="0.2">
      <c r="A52" s="448">
        <v>2000</v>
      </c>
      <c r="B52" s="118" t="s">
        <v>557</v>
      </c>
      <c r="C52" s="112"/>
      <c r="D52" s="111"/>
      <c r="E52" s="102"/>
      <c r="F52" s="120"/>
    </row>
    <row r="53" spans="1:6" ht="31.5" x14ac:dyDescent="0.2">
      <c r="A53" s="447">
        <v>20.100000000000001</v>
      </c>
      <c r="B53" s="111">
        <v>2000</v>
      </c>
      <c r="C53" s="112" t="s">
        <v>601</v>
      </c>
      <c r="D53" s="111" t="s">
        <v>250</v>
      </c>
      <c r="E53" s="104">
        <f>concrete_m10</f>
        <v>8873.0499999999993</v>
      </c>
    </row>
    <row r="54" spans="1:6" ht="31.5" x14ac:dyDescent="0.2">
      <c r="A54" s="447" t="s">
        <v>573</v>
      </c>
      <c r="B54" s="111">
        <v>2000</v>
      </c>
      <c r="C54" s="112" t="s">
        <v>602</v>
      </c>
      <c r="D54" s="111" t="s">
        <v>250</v>
      </c>
      <c r="E54" s="104">
        <f>concrete_m15_foundation</f>
        <v>10232.049999999999</v>
      </c>
    </row>
    <row r="55" spans="1:6" ht="31.5" hidden="1" x14ac:dyDescent="0.2">
      <c r="A55" s="447" t="s">
        <v>574</v>
      </c>
      <c r="B55" s="111">
        <v>2000</v>
      </c>
      <c r="C55" s="112" t="s">
        <v>603</v>
      </c>
      <c r="D55" s="111" t="s">
        <v>250</v>
      </c>
      <c r="E55" s="104">
        <f>concrete_M20_foundation</f>
        <v>11489.23</v>
      </c>
    </row>
    <row r="56" spans="1:6" ht="31.5" x14ac:dyDescent="0.2">
      <c r="A56" s="447" t="s">
        <v>1114</v>
      </c>
      <c r="B56" s="111">
        <v>2000</v>
      </c>
      <c r="C56" s="112" t="s">
        <v>1115</v>
      </c>
      <c r="D56" s="111" t="s">
        <v>250</v>
      </c>
      <c r="E56" s="104">
        <f>concrete_M20_PCCgrade</f>
        <v>12610.95</v>
      </c>
    </row>
    <row r="57" spans="1:6" ht="31.5" hidden="1" x14ac:dyDescent="0.2">
      <c r="A57" s="447" t="s">
        <v>575</v>
      </c>
      <c r="B57" s="111">
        <v>2000</v>
      </c>
      <c r="C57" s="112" t="s">
        <v>1119</v>
      </c>
      <c r="D57" s="111" t="s">
        <v>250</v>
      </c>
      <c r="E57" s="104">
        <f>concrete_m20_substructure</f>
        <v>11719.02</v>
      </c>
    </row>
    <row r="58" spans="1:6" ht="31.5" hidden="1" x14ac:dyDescent="0.2">
      <c r="A58" s="447" t="s">
        <v>576</v>
      </c>
      <c r="B58" s="111">
        <v>2000</v>
      </c>
      <c r="C58" s="112" t="s">
        <v>605</v>
      </c>
      <c r="D58" s="111" t="s">
        <v>250</v>
      </c>
      <c r="E58" s="104">
        <f>concrete_m25_foundation</f>
        <v>13173.25</v>
      </c>
    </row>
    <row r="59" spans="1:6" ht="31.5" hidden="1" x14ac:dyDescent="0.2">
      <c r="A59" s="447" t="s">
        <v>744</v>
      </c>
      <c r="B59" s="111">
        <v>2000</v>
      </c>
      <c r="C59" s="112" t="s">
        <v>606</v>
      </c>
      <c r="D59" s="111" t="s">
        <v>250</v>
      </c>
      <c r="E59" s="104">
        <f>concrete_m25_substructure</f>
        <v>13436.72</v>
      </c>
    </row>
    <row r="60" spans="1:6" ht="31.5" hidden="1" x14ac:dyDescent="0.2">
      <c r="A60" s="447" t="s">
        <v>609</v>
      </c>
      <c r="B60" s="111">
        <v>2000</v>
      </c>
      <c r="C60" s="112" t="s">
        <v>610</v>
      </c>
      <c r="D60" s="111" t="s">
        <v>250</v>
      </c>
      <c r="E60" s="104">
        <f>concrete_m30_foundation</f>
        <v>13238.64</v>
      </c>
    </row>
    <row r="61" spans="1:6" ht="31.5" x14ac:dyDescent="0.2">
      <c r="A61" s="447" t="s">
        <v>742</v>
      </c>
      <c r="B61" s="111">
        <v>2000</v>
      </c>
      <c r="C61" s="112" t="s">
        <v>577</v>
      </c>
      <c r="D61" s="111" t="s">
        <v>250</v>
      </c>
      <c r="E61" s="104">
        <f>concrete_m35_foundation</f>
        <v>13539.42</v>
      </c>
    </row>
    <row r="62" spans="1:6" ht="31.5" x14ac:dyDescent="0.2">
      <c r="A62" s="447" t="s">
        <v>743</v>
      </c>
      <c r="B62" s="111">
        <v>2000</v>
      </c>
      <c r="C62" s="112" t="s">
        <v>607</v>
      </c>
      <c r="D62" s="111" t="s">
        <v>250</v>
      </c>
      <c r="E62" s="104">
        <f>concrete_m35_substructure</f>
        <v>13810.21</v>
      </c>
    </row>
    <row r="63" spans="1:6" ht="31.5" x14ac:dyDescent="0.2">
      <c r="A63" s="447">
        <v>20.3</v>
      </c>
      <c r="B63" s="111">
        <v>2014</v>
      </c>
      <c r="C63" s="112" t="s">
        <v>584</v>
      </c>
      <c r="D63" s="111" t="s">
        <v>132</v>
      </c>
      <c r="E63" s="104">
        <f>rebar_foundation</f>
        <v>142558.76</v>
      </c>
    </row>
    <row r="64" spans="1:6" ht="31.5" x14ac:dyDescent="0.2">
      <c r="A64" s="447">
        <v>20.5</v>
      </c>
      <c r="B64" s="111">
        <v>2014</v>
      </c>
      <c r="C64" s="112" t="s">
        <v>585</v>
      </c>
      <c r="D64" s="111" t="s">
        <v>132</v>
      </c>
      <c r="E64" s="104">
        <f>rebar_substructure</f>
        <v>142558.76</v>
      </c>
    </row>
    <row r="65" spans="1:6" ht="63" x14ac:dyDescent="0.2">
      <c r="A65" s="447">
        <v>20.7</v>
      </c>
      <c r="B65" s="111">
        <v>3109</v>
      </c>
      <c r="C65" s="112" t="s">
        <v>587</v>
      </c>
      <c r="D65" s="111" t="s">
        <v>63</v>
      </c>
      <c r="E65" s="104">
        <f>weephole_hdpe110</f>
        <v>610.15</v>
      </c>
    </row>
    <row r="66" spans="1:6" ht="31.5" hidden="1" x14ac:dyDescent="0.2">
      <c r="A66" s="447" t="s">
        <v>581</v>
      </c>
      <c r="B66" s="111">
        <v>2000</v>
      </c>
      <c r="C66" s="112" t="s">
        <v>586</v>
      </c>
      <c r="D66" s="111" t="s">
        <v>250</v>
      </c>
      <c r="E66" s="104">
        <f>concrete_m20_superstructure</f>
        <v>11917.4</v>
      </c>
    </row>
    <row r="67" spans="1:6" ht="31.5" hidden="1" x14ac:dyDescent="0.2">
      <c r="A67" s="447" t="s">
        <v>588</v>
      </c>
      <c r="B67" s="111">
        <v>2000</v>
      </c>
      <c r="C67" s="112" t="s">
        <v>589</v>
      </c>
      <c r="D67" s="111" t="s">
        <v>250</v>
      </c>
      <c r="E67" s="104">
        <f>concrete_m25_superstructure</f>
        <v>13692.59</v>
      </c>
    </row>
    <row r="68" spans="1:6" ht="31.5" hidden="1" x14ac:dyDescent="0.2">
      <c r="A68" s="447" t="s">
        <v>600</v>
      </c>
      <c r="B68" s="111">
        <v>2000</v>
      </c>
      <c r="C68" s="112" t="s">
        <v>599</v>
      </c>
      <c r="D68" s="111" t="s">
        <v>250</v>
      </c>
      <c r="E68" s="104">
        <f>concrete_m30_superstructure</f>
        <v>13968.07</v>
      </c>
    </row>
    <row r="69" spans="1:6" ht="47.25" x14ac:dyDescent="0.2">
      <c r="A69" s="447" t="str">
        <f>'Rate Analysis'!A662</f>
        <v>20.8 D</v>
      </c>
      <c r="B69" s="111">
        <v>2000</v>
      </c>
      <c r="C69" s="112" t="s">
        <v>932</v>
      </c>
      <c r="D69" s="111" t="s">
        <v>250</v>
      </c>
      <c r="E69" s="104">
        <f>concret_m35_superstructure</f>
        <v>18166.5</v>
      </c>
    </row>
    <row r="70" spans="1:6" ht="31.5" hidden="1" x14ac:dyDescent="0.2">
      <c r="A70" s="447" t="s">
        <v>593</v>
      </c>
      <c r="B70" s="111">
        <v>2000</v>
      </c>
      <c r="C70" s="112" t="s">
        <v>592</v>
      </c>
      <c r="D70" s="111" t="s">
        <v>250</v>
      </c>
      <c r="E70" s="104">
        <f>concrete_m40_superstructure</f>
        <v>14597.39</v>
      </c>
    </row>
    <row r="71" spans="1:6" ht="31.5" x14ac:dyDescent="0.2">
      <c r="A71" s="447" t="s">
        <v>594</v>
      </c>
      <c r="B71" s="111">
        <v>2000</v>
      </c>
      <c r="C71" s="112" t="s">
        <v>595</v>
      </c>
      <c r="D71" s="111" t="s">
        <v>250</v>
      </c>
      <c r="E71" s="104">
        <f>concrete_m45_superstructure</f>
        <v>19781.8</v>
      </c>
    </row>
    <row r="72" spans="1:6" ht="31.5" x14ac:dyDescent="0.2">
      <c r="A72" s="447">
        <v>20.9</v>
      </c>
      <c r="B72" s="111">
        <v>2014</v>
      </c>
      <c r="C72" s="112" t="s">
        <v>596</v>
      </c>
      <c r="D72" s="111" t="s">
        <v>132</v>
      </c>
      <c r="E72" s="104">
        <f>rebar_superstructure</f>
        <v>145249.76</v>
      </c>
    </row>
    <row r="73" spans="1:6" ht="31.5" hidden="1" x14ac:dyDescent="0.2">
      <c r="A73" s="447">
        <v>20.12</v>
      </c>
      <c r="B73" s="111">
        <v>2000</v>
      </c>
      <c r="C73" s="112" t="s">
        <v>608</v>
      </c>
      <c r="D73" s="111" t="s">
        <v>250</v>
      </c>
      <c r="E73" s="104">
        <f>wearingcoat_concrete</f>
        <v>32911.410000000003</v>
      </c>
    </row>
    <row r="74" spans="1:6" ht="31.5" hidden="1" x14ac:dyDescent="0.2">
      <c r="A74" s="447"/>
      <c r="B74" s="111"/>
      <c r="C74" s="112" t="s">
        <v>890</v>
      </c>
      <c r="D74" s="111" t="s">
        <v>249</v>
      </c>
      <c r="E74" s="104">
        <f>E66*0.05</f>
        <v>595.87</v>
      </c>
    </row>
    <row r="75" spans="1:6" ht="15.75" x14ac:dyDescent="0.2">
      <c r="A75" s="448">
        <v>2100</v>
      </c>
      <c r="B75" s="118" t="s">
        <v>613</v>
      </c>
      <c r="C75" s="112"/>
      <c r="D75" s="111"/>
      <c r="E75" s="102"/>
      <c r="F75" s="120"/>
    </row>
    <row r="76" spans="1:6" ht="47.25" x14ac:dyDescent="0.2">
      <c r="A76" s="447">
        <v>21.1</v>
      </c>
      <c r="B76" s="111">
        <v>2100</v>
      </c>
      <c r="C76" s="112" t="s">
        <v>620</v>
      </c>
      <c r="D76" s="111" t="s">
        <v>132</v>
      </c>
      <c r="E76" s="104">
        <f>prestressing</f>
        <v>263125.28999999998</v>
      </c>
    </row>
    <row r="77" spans="1:6" ht="15.75" hidden="1" x14ac:dyDescent="0.2">
      <c r="A77" s="448">
        <v>2200</v>
      </c>
      <c r="B77" s="118" t="s">
        <v>617</v>
      </c>
      <c r="C77" s="112"/>
      <c r="D77" s="111"/>
      <c r="E77" s="102"/>
      <c r="F77" s="120"/>
    </row>
    <row r="78" spans="1:6" ht="47.25" hidden="1" x14ac:dyDescent="0.2">
      <c r="A78" s="447" t="s">
        <v>619</v>
      </c>
      <c r="B78" s="111">
        <v>2200</v>
      </c>
      <c r="C78" s="112" t="s">
        <v>618</v>
      </c>
      <c r="D78" s="111" t="s">
        <v>132</v>
      </c>
      <c r="E78" s="104">
        <f>plategirder</f>
        <v>212315.88</v>
      </c>
    </row>
    <row r="79" spans="1:6" ht="47.25" hidden="1" x14ac:dyDescent="0.2">
      <c r="A79" s="447" t="s">
        <v>627</v>
      </c>
      <c r="B79" s="111">
        <v>2200</v>
      </c>
      <c r="C79" s="112" t="s">
        <v>618</v>
      </c>
      <c r="D79" s="111" t="s">
        <v>132</v>
      </c>
      <c r="E79" s="104">
        <f>truss</f>
        <v>222642.88</v>
      </c>
    </row>
    <row r="80" spans="1:6" ht="15.75" x14ac:dyDescent="0.2">
      <c r="A80" s="448">
        <v>2400</v>
      </c>
      <c r="B80" s="118" t="s">
        <v>317</v>
      </c>
      <c r="C80" s="112"/>
      <c r="D80" s="111"/>
      <c r="E80" s="102"/>
      <c r="F80" s="120"/>
    </row>
    <row r="81" spans="1:5" ht="78.75" x14ac:dyDescent="0.2">
      <c r="A81" s="447" t="s">
        <v>745</v>
      </c>
      <c r="B81" s="111">
        <v>2401</v>
      </c>
      <c r="C81" s="112" t="s">
        <v>260</v>
      </c>
      <c r="D81" s="111" t="s">
        <v>250</v>
      </c>
      <c r="E81" s="104">
        <f>gabionbox3</f>
        <v>5656.72</v>
      </c>
    </row>
    <row r="82" spans="1:5" ht="78.75" x14ac:dyDescent="0.2">
      <c r="A82" s="447" t="s">
        <v>746</v>
      </c>
      <c r="B82" s="111">
        <v>2401</v>
      </c>
      <c r="C82" s="112" t="s">
        <v>261</v>
      </c>
      <c r="D82" s="111" t="s">
        <v>250</v>
      </c>
      <c r="E82" s="104">
        <f>gabionbox2</f>
        <v>5747.29</v>
      </c>
    </row>
    <row r="83" spans="1:5" ht="78.75" x14ac:dyDescent="0.2">
      <c r="A83" s="447" t="s">
        <v>747</v>
      </c>
      <c r="B83" s="111">
        <v>2401</v>
      </c>
      <c r="C83" s="112" t="s">
        <v>632</v>
      </c>
      <c r="D83" s="111" t="s">
        <v>250</v>
      </c>
      <c r="E83" s="104">
        <f>gabionbox1.5</f>
        <v>6138.24</v>
      </c>
    </row>
    <row r="84" spans="1:5" ht="78.75" x14ac:dyDescent="0.2">
      <c r="A84" s="447" t="s">
        <v>748</v>
      </c>
      <c r="B84" s="111">
        <v>2401</v>
      </c>
      <c r="C84" s="112" t="s">
        <v>649</v>
      </c>
      <c r="D84" s="111" t="s">
        <v>250</v>
      </c>
      <c r="E84" s="104">
        <f>gabionmattress_3</f>
        <v>6634.75</v>
      </c>
    </row>
    <row r="85" spans="1:5" ht="78.75" x14ac:dyDescent="0.2">
      <c r="A85" s="447" t="s">
        <v>749</v>
      </c>
      <c r="B85" s="111">
        <v>2401</v>
      </c>
      <c r="C85" s="112" t="s">
        <v>647</v>
      </c>
      <c r="D85" s="111" t="s">
        <v>250</v>
      </c>
      <c r="E85" s="104">
        <f>gabionmattress_2</f>
        <v>6882.38</v>
      </c>
    </row>
    <row r="86" spans="1:5" ht="78.75" x14ac:dyDescent="0.2">
      <c r="A86" s="447" t="s">
        <v>750</v>
      </c>
      <c r="B86" s="111">
        <v>2401</v>
      </c>
      <c r="C86" s="112" t="s">
        <v>1198</v>
      </c>
      <c r="D86" s="111" t="s">
        <v>250</v>
      </c>
      <c r="E86" s="104">
        <f>gabionmattress_1</f>
        <v>6527.52</v>
      </c>
    </row>
    <row r="87" spans="1:5" ht="15" customHeight="1" x14ac:dyDescent="0.2">
      <c r="A87" s="447">
        <v>24.5</v>
      </c>
      <c r="B87" s="111">
        <v>2404</v>
      </c>
      <c r="C87" s="112" t="s">
        <v>202</v>
      </c>
      <c r="D87" s="111" t="s">
        <v>249</v>
      </c>
      <c r="E87" s="104">
        <f>geotextilelaying</f>
        <v>176.47</v>
      </c>
    </row>
    <row r="88" spans="1:5" ht="47.25" x14ac:dyDescent="0.2">
      <c r="A88" s="111">
        <v>25.5</v>
      </c>
      <c r="B88" s="111">
        <v>2500</v>
      </c>
      <c r="C88" s="112" t="s">
        <v>699</v>
      </c>
      <c r="D88" s="111" t="s">
        <v>63</v>
      </c>
      <c r="E88" s="104">
        <f>'Rate Analysis'!P872</f>
        <v>610.15</v>
      </c>
    </row>
    <row r="89" spans="1:5" ht="47.25" x14ac:dyDescent="0.2">
      <c r="A89" s="111">
        <v>25.5</v>
      </c>
      <c r="B89" s="111">
        <v>2500</v>
      </c>
      <c r="C89" s="112" t="s">
        <v>1181</v>
      </c>
      <c r="D89" s="111" t="s">
        <v>63</v>
      </c>
      <c r="E89" s="104">
        <f>'Rate Analysis'!P873</f>
        <v>341.1</v>
      </c>
    </row>
    <row r="90" spans="1:5" ht="47.25" hidden="1" x14ac:dyDescent="0.2">
      <c r="A90" s="447" t="s">
        <v>639</v>
      </c>
      <c r="B90" s="111">
        <v>2416</v>
      </c>
      <c r="C90" s="112" t="s">
        <v>637</v>
      </c>
      <c r="D90" s="111" t="s">
        <v>250</v>
      </c>
      <c r="E90" s="104">
        <f>boulderapron_40kg</f>
        <v>2385.23</v>
      </c>
    </row>
    <row r="91" spans="1:5" ht="47.25" hidden="1" x14ac:dyDescent="0.2">
      <c r="A91" s="447" t="s">
        <v>653</v>
      </c>
      <c r="B91" s="111">
        <v>2416</v>
      </c>
      <c r="C91" s="112" t="s">
        <v>751</v>
      </c>
      <c r="D91" s="111" t="s">
        <v>250</v>
      </c>
      <c r="E91" s="104">
        <f>boulderapron_200kg</f>
        <v>2747.03</v>
      </c>
    </row>
    <row r="92" spans="1:5" ht="47.25" hidden="1" x14ac:dyDescent="0.2">
      <c r="A92" s="447">
        <v>24.15</v>
      </c>
      <c r="B92" s="111">
        <v>2416</v>
      </c>
      <c r="C92" s="112" t="s">
        <v>655</v>
      </c>
      <c r="D92" s="111" t="s">
        <v>250</v>
      </c>
      <c r="E92" s="104">
        <f>stonepitching</f>
        <v>9186.9599999999991</v>
      </c>
    </row>
    <row r="93" spans="1:5" ht="31.5" hidden="1" x14ac:dyDescent="0.2">
      <c r="A93" s="447">
        <v>24.16</v>
      </c>
      <c r="B93" s="111">
        <v>2414</v>
      </c>
      <c r="C93" s="112" t="s">
        <v>657</v>
      </c>
      <c r="D93" s="111" t="s">
        <v>250</v>
      </c>
      <c r="E93" s="104">
        <f>filtermaterial_laying</f>
        <v>7055.78</v>
      </c>
    </row>
    <row r="94" spans="1:5" ht="47.25" hidden="1" x14ac:dyDescent="0.2">
      <c r="A94" s="447">
        <v>24.17</v>
      </c>
      <c r="B94" s="111">
        <v>2416</v>
      </c>
      <c r="C94" s="112" t="s">
        <v>659</v>
      </c>
      <c r="D94" s="111" t="s">
        <v>250</v>
      </c>
      <c r="E94" s="104">
        <f>stonepitching_grouted</f>
        <v>11758.87</v>
      </c>
    </row>
    <row r="95" spans="1:5" ht="47.25" hidden="1" x14ac:dyDescent="0.2">
      <c r="A95" s="447" t="s">
        <v>662</v>
      </c>
      <c r="B95" s="111">
        <v>2413</v>
      </c>
      <c r="C95" s="112" t="s">
        <v>661</v>
      </c>
      <c r="D95" s="111" t="s">
        <v>63</v>
      </c>
      <c r="E95" s="104">
        <f>dowelrod_20mm</f>
        <v>1023.99</v>
      </c>
    </row>
    <row r="96" spans="1:5" ht="47.25" x14ac:dyDescent="0.2">
      <c r="A96" s="447">
        <v>24.19</v>
      </c>
      <c r="B96" s="111">
        <v>2413</v>
      </c>
      <c r="C96" s="112" t="s">
        <v>1093</v>
      </c>
      <c r="D96" s="111" t="s">
        <v>63</v>
      </c>
      <c r="E96" s="104">
        <f>dowelrod_25mm</f>
        <v>1599.98</v>
      </c>
    </row>
    <row r="97" spans="1:6" ht="63" hidden="1" x14ac:dyDescent="0.2">
      <c r="A97" s="447">
        <v>24.19</v>
      </c>
      <c r="B97" s="111">
        <v>2413</v>
      </c>
      <c r="C97" s="112" t="s">
        <v>666</v>
      </c>
      <c r="D97" s="111" t="s">
        <v>63</v>
      </c>
      <c r="E97" s="104">
        <f>rockbolts_25mm</f>
        <v>6623.24</v>
      </c>
    </row>
    <row r="98" spans="1:6" ht="31.5" hidden="1" x14ac:dyDescent="0.2">
      <c r="A98" s="447" t="s">
        <v>677</v>
      </c>
      <c r="B98" s="111">
        <v>2414</v>
      </c>
      <c r="C98" s="112" t="s">
        <v>676</v>
      </c>
      <c r="D98" s="111" t="s">
        <v>63</v>
      </c>
      <c r="E98" s="104">
        <f>perforatedhdpe_250mm</f>
        <v>2408.11</v>
      </c>
    </row>
    <row r="99" spans="1:6" ht="31.5" hidden="1" x14ac:dyDescent="0.2">
      <c r="A99" s="447" t="s">
        <v>683</v>
      </c>
      <c r="B99" s="111">
        <v>2421</v>
      </c>
      <c r="C99" s="112" t="s">
        <v>684</v>
      </c>
      <c r="D99" s="111" t="s">
        <v>250</v>
      </c>
      <c r="E99" s="104">
        <f>plumconcrete_m15_40</f>
        <v>8996.16</v>
      </c>
    </row>
    <row r="100" spans="1:6" ht="31.5" hidden="1" x14ac:dyDescent="0.2">
      <c r="A100" s="447" t="s">
        <v>690</v>
      </c>
      <c r="B100" s="111">
        <v>2421</v>
      </c>
      <c r="C100" s="112" t="s">
        <v>691</v>
      </c>
      <c r="D100" s="111" t="s">
        <v>250</v>
      </c>
      <c r="E100" s="104">
        <f>plumconcrete_m15_30</f>
        <v>9640.85</v>
      </c>
    </row>
    <row r="101" spans="1:6" ht="31.5" hidden="1" x14ac:dyDescent="0.2">
      <c r="A101" s="447"/>
      <c r="B101" s="111">
        <v>2421</v>
      </c>
      <c r="C101" s="112" t="s">
        <v>1065</v>
      </c>
      <c r="D101" s="111" t="s">
        <v>250</v>
      </c>
      <c r="E101" s="104">
        <f>plumconcrete_m20_40</f>
        <v>9753.59</v>
      </c>
    </row>
    <row r="102" spans="1:6" ht="31.5" hidden="1" x14ac:dyDescent="0.2">
      <c r="A102" s="447"/>
      <c r="B102" s="111">
        <v>2421</v>
      </c>
      <c r="C102" s="112" t="s">
        <v>1083</v>
      </c>
      <c r="D102" s="111" t="s">
        <v>250</v>
      </c>
      <c r="E102" s="104">
        <f>plumconcrete_m20_30</f>
        <v>10415.32</v>
      </c>
    </row>
    <row r="103" spans="1:6" ht="78.75" hidden="1" x14ac:dyDescent="0.2">
      <c r="A103" s="447">
        <v>24.22</v>
      </c>
      <c r="B103" s="111">
        <v>2414</v>
      </c>
      <c r="C103" s="112" t="s">
        <v>693</v>
      </c>
      <c r="D103" s="111" t="s">
        <v>63</v>
      </c>
      <c r="E103" s="104">
        <f>subsurfacedrain_HDPE100</f>
        <v>1642.02</v>
      </c>
    </row>
    <row r="104" spans="1:6" ht="15.75" x14ac:dyDescent="0.2">
      <c r="A104" s="448">
        <v>2500</v>
      </c>
      <c r="B104" s="118" t="s">
        <v>697</v>
      </c>
      <c r="C104" s="112"/>
      <c r="D104" s="111"/>
      <c r="E104" s="102"/>
      <c r="F104" s="120"/>
    </row>
    <row r="105" spans="1:6" ht="47.25" x14ac:dyDescent="0.2">
      <c r="A105" s="447">
        <v>25.5</v>
      </c>
      <c r="B105" s="111">
        <v>2500</v>
      </c>
      <c r="C105" s="112" t="s">
        <v>699</v>
      </c>
      <c r="D105" s="111" t="s">
        <v>63</v>
      </c>
      <c r="E105" s="104">
        <f>weephole_HDPE100</f>
        <v>610.15</v>
      </c>
    </row>
    <row r="106" spans="1:6" ht="15.75" x14ac:dyDescent="0.2">
      <c r="A106" s="448">
        <v>2600</v>
      </c>
      <c r="B106" s="118" t="s">
        <v>701</v>
      </c>
      <c r="C106" s="112"/>
      <c r="D106" s="111"/>
      <c r="E106" s="102"/>
      <c r="F106" s="120"/>
    </row>
    <row r="107" spans="1:6" ht="31.5" hidden="1" x14ac:dyDescent="0.2">
      <c r="A107" s="447">
        <v>26.1</v>
      </c>
      <c r="B107" s="111" t="s">
        <v>752</v>
      </c>
      <c r="C107" s="112" t="s">
        <v>703</v>
      </c>
      <c r="D107" s="111" t="s">
        <v>250</v>
      </c>
      <c r="E107" s="104">
        <f>masonry_drystone</f>
        <v>4452.3999999999996</v>
      </c>
    </row>
    <row r="108" spans="1:6" ht="31.5" hidden="1" x14ac:dyDescent="0.2">
      <c r="A108" s="447" t="s">
        <v>705</v>
      </c>
      <c r="B108" s="111" t="s">
        <v>753</v>
      </c>
      <c r="C108" s="112" t="s">
        <v>706</v>
      </c>
      <c r="D108" s="111" t="s">
        <v>250</v>
      </c>
      <c r="E108" s="104">
        <f>stonemasonry13_foundation</f>
        <v>10186.74</v>
      </c>
    </row>
    <row r="109" spans="1:6" ht="31.5" hidden="1" x14ac:dyDescent="0.2">
      <c r="A109" s="447" t="s">
        <v>711</v>
      </c>
      <c r="B109" s="111" t="s">
        <v>753</v>
      </c>
      <c r="C109" s="112" t="s">
        <v>710</v>
      </c>
      <c r="D109" s="111" t="s">
        <v>250</v>
      </c>
      <c r="E109" s="104">
        <f>stonemasonry14_foundation</f>
        <v>9626.2000000000007</v>
      </c>
    </row>
    <row r="110" spans="1:6" ht="31.5" hidden="1" x14ac:dyDescent="0.2">
      <c r="A110" s="447" t="s">
        <v>712</v>
      </c>
      <c r="B110" s="111" t="s">
        <v>753</v>
      </c>
      <c r="C110" s="112" t="s">
        <v>713</v>
      </c>
      <c r="D110" s="111" t="s">
        <v>250</v>
      </c>
      <c r="E110" s="104">
        <f>stonemasonry16_foundation</f>
        <v>9171.5400000000009</v>
      </c>
    </row>
    <row r="111" spans="1:6" ht="31.5" hidden="1" x14ac:dyDescent="0.2">
      <c r="A111" s="447" t="s">
        <v>716</v>
      </c>
      <c r="B111" s="111" t="s">
        <v>754</v>
      </c>
      <c r="C111" s="112" t="s">
        <v>717</v>
      </c>
      <c r="D111" s="111" t="s">
        <v>250</v>
      </c>
      <c r="E111" s="104">
        <f>stonemasonry13_structure</f>
        <v>11810.7</v>
      </c>
    </row>
    <row r="112" spans="1:6" ht="31.5" x14ac:dyDescent="0.2">
      <c r="A112" s="447" t="s">
        <v>719</v>
      </c>
      <c r="B112" s="111" t="s">
        <v>754</v>
      </c>
      <c r="C112" s="112" t="s">
        <v>720</v>
      </c>
      <c r="D112" s="111" t="s">
        <v>250</v>
      </c>
      <c r="E112" s="104">
        <f>stonemasonry14_structure</f>
        <v>10950.86</v>
      </c>
    </row>
    <row r="113" spans="1:6" ht="31.5" hidden="1" x14ac:dyDescent="0.2">
      <c r="A113" s="447" t="s">
        <v>755</v>
      </c>
      <c r="B113" s="111" t="s">
        <v>754</v>
      </c>
      <c r="C113" s="112" t="s">
        <v>721</v>
      </c>
      <c r="D113" s="111" t="s">
        <v>250</v>
      </c>
      <c r="E113" s="104">
        <f>stonemasonry16_structure</f>
        <v>10363.58</v>
      </c>
    </row>
    <row r="114" spans="1:6" ht="15.75" x14ac:dyDescent="0.2">
      <c r="A114" s="448">
        <v>3100</v>
      </c>
      <c r="B114" s="118" t="s">
        <v>731</v>
      </c>
      <c r="C114" s="112"/>
      <c r="D114" s="111"/>
      <c r="E114" s="102"/>
      <c r="F114" s="120"/>
    </row>
    <row r="115" spans="1:6" ht="15.75" x14ac:dyDescent="0.2">
      <c r="A115" s="447">
        <v>31.3</v>
      </c>
      <c r="B115" s="111">
        <v>3107</v>
      </c>
      <c r="C115" s="112" t="s">
        <v>756</v>
      </c>
      <c r="D115" s="111" t="s">
        <v>451</v>
      </c>
      <c r="E115" s="104">
        <f>drainagespout</f>
        <v>16306.54</v>
      </c>
    </row>
    <row r="116" spans="1:6" ht="31.5" x14ac:dyDescent="0.2">
      <c r="A116" s="447">
        <v>31.7</v>
      </c>
      <c r="B116" s="111">
        <v>3105</v>
      </c>
      <c r="C116" s="112" t="s">
        <v>1215</v>
      </c>
      <c r="D116" s="111" t="s">
        <v>63</v>
      </c>
      <c r="E116" s="104">
        <f>gipiperailing</f>
        <v>1010.17</v>
      </c>
    </row>
  </sheetData>
  <mergeCells count="1">
    <mergeCell ref="A2:E2"/>
  </mergeCells>
  <printOptions horizontalCentered="1"/>
  <pageMargins left="0.7" right="0.7" top="0.75" bottom="0.75" header="0.3" footer="0.3"/>
  <pageSetup paperSize="9" orientation="landscape" r:id="rId1"/>
  <headerFooter alignWithMargins="0"/>
  <rowBreaks count="1" manualBreakCount="1">
    <brk id="76"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QO1168"/>
  <sheetViews>
    <sheetView topLeftCell="A363" zoomScale="85" zoomScaleNormal="85" workbookViewId="0">
      <selection activeCell="P322" sqref="P322"/>
    </sheetView>
  </sheetViews>
  <sheetFormatPr defaultColWidth="9.140625" defaultRowHeight="12" x14ac:dyDescent="0.2"/>
  <cols>
    <col min="1" max="1" width="13.140625" style="63" customWidth="1"/>
    <col min="2" max="2" width="11.42578125" style="63" customWidth="1"/>
    <col min="3" max="3" width="5.28515625" style="63" bestFit="1" customWidth="1"/>
    <col min="4" max="4" width="7.28515625" style="63" customWidth="1"/>
    <col min="5" max="5" width="9.7109375" style="63" customWidth="1"/>
    <col min="6" max="6" width="13" style="63" bestFit="1" customWidth="1"/>
    <col min="7" max="7" width="20" style="63" customWidth="1"/>
    <col min="8" max="8" width="5.28515625" style="63" bestFit="1" customWidth="1"/>
    <col min="9" max="9" width="8.5703125" style="63" bestFit="1" customWidth="1"/>
    <col min="10" max="10" width="11.85546875" style="63" bestFit="1" customWidth="1"/>
    <col min="11" max="11" width="13" style="63" bestFit="1" customWidth="1"/>
    <col min="12" max="12" width="22.85546875" style="63" customWidth="1"/>
    <col min="13" max="13" width="5.28515625" style="63" bestFit="1" customWidth="1"/>
    <col min="14" max="14" width="7.28515625" style="63" bestFit="1" customWidth="1"/>
    <col min="15" max="15" width="10.7109375" style="63" bestFit="1" customWidth="1"/>
    <col min="16" max="16" width="11.85546875" style="63" bestFit="1" customWidth="1"/>
    <col min="17" max="16384" width="9.140625" style="63"/>
  </cols>
  <sheetData>
    <row r="1" spans="1:16" ht="18.75" x14ac:dyDescent="0.2">
      <c r="A1" s="1043" t="s">
        <v>109</v>
      </c>
      <c r="B1" s="1043"/>
      <c r="C1" s="1043"/>
      <c r="D1" s="1043"/>
      <c r="E1" s="1043"/>
      <c r="F1" s="1043"/>
      <c r="G1" s="1043"/>
      <c r="H1" s="1043"/>
      <c r="I1" s="1043"/>
      <c r="J1" s="1043"/>
      <c r="K1" s="1043"/>
      <c r="L1" s="1043"/>
      <c r="M1" s="1043"/>
      <c r="N1" s="1043"/>
      <c r="O1" s="1043"/>
      <c r="P1" s="1043"/>
    </row>
    <row r="2" spans="1:16" s="273" customFormat="1" ht="20.25" x14ac:dyDescent="0.2">
      <c r="A2" s="271" t="str">
        <f>Summary!A7</f>
        <v>Project: Bheri Khola Bridge</v>
      </c>
      <c r="B2" s="1"/>
      <c r="C2" s="1"/>
      <c r="D2" s="272"/>
    </row>
    <row r="3" spans="1:16" s="273" customFormat="1" ht="20.25" x14ac:dyDescent="0.2">
      <c r="A3" s="271" t="str">
        <f>Summary!A8</f>
        <v xml:space="preserve">Location: Salyan and Surkhet
</v>
      </c>
      <c r="B3" s="1"/>
      <c r="C3" s="1"/>
      <c r="D3" s="272"/>
    </row>
    <row r="4" spans="1:16" s="273" customFormat="1" ht="15.75" x14ac:dyDescent="0.2">
      <c r="A4" s="1009" t="s">
        <v>645</v>
      </c>
      <c r="B4" s="1009"/>
      <c r="C4" s="1009"/>
      <c r="D4" s="1009"/>
      <c r="E4" s="1009"/>
      <c r="F4" s="1009"/>
      <c r="G4" s="1009"/>
      <c r="H4" s="1009"/>
      <c r="I4" s="1009"/>
      <c r="J4" s="1009"/>
      <c r="K4" s="1009"/>
      <c r="L4" s="1009"/>
      <c r="M4" s="1009"/>
      <c r="N4" s="1009"/>
      <c r="O4" s="1009"/>
      <c r="P4" s="1009"/>
    </row>
    <row r="5" spans="1:16" s="273" customFormat="1" ht="16.5" thickBot="1" x14ac:dyDescent="0.25">
      <c r="A5" s="1009" t="s">
        <v>646</v>
      </c>
      <c r="B5" s="1009"/>
      <c r="C5" s="1009"/>
      <c r="D5" s="1009"/>
      <c r="E5" s="1009"/>
      <c r="F5" s="1009"/>
      <c r="G5" s="1009"/>
      <c r="H5" s="1009"/>
      <c r="I5" s="1009"/>
      <c r="J5" s="1009"/>
      <c r="K5" s="1009"/>
      <c r="L5" s="1009"/>
      <c r="M5" s="1009"/>
      <c r="N5" s="1009"/>
      <c r="O5" s="1009"/>
      <c r="P5" s="1009"/>
    </row>
    <row r="6" spans="1:16" ht="15.75" x14ac:dyDescent="0.2">
      <c r="A6" s="986" t="s">
        <v>29</v>
      </c>
      <c r="B6" s="987"/>
      <c r="C6" s="988" t="s">
        <v>214</v>
      </c>
      <c r="D6" s="988"/>
      <c r="E6" s="988"/>
      <c r="F6" s="988"/>
      <c r="G6" s="988"/>
      <c r="H6" s="988"/>
      <c r="I6" s="988"/>
      <c r="J6" s="988"/>
      <c r="K6" s="988"/>
      <c r="L6" s="988"/>
      <c r="M6" s="988"/>
      <c r="N6" s="988"/>
      <c r="O6" s="988"/>
      <c r="P6" s="274" t="s">
        <v>510</v>
      </c>
    </row>
    <row r="7" spans="1:16" ht="15.75" x14ac:dyDescent="0.2">
      <c r="A7" s="1011" t="s">
        <v>215</v>
      </c>
      <c r="B7" s="1012"/>
      <c r="C7" s="1024"/>
      <c r="D7" s="1024"/>
      <c r="E7" s="1024"/>
      <c r="F7" s="1024"/>
      <c r="G7" s="1024"/>
      <c r="H7" s="1024"/>
      <c r="I7" s="1024"/>
      <c r="J7" s="1024"/>
      <c r="K7" s="1024"/>
      <c r="L7" s="1024"/>
      <c r="M7" s="1024"/>
      <c r="N7" s="1024"/>
      <c r="O7" s="1024"/>
      <c r="P7" s="275">
        <v>1</v>
      </c>
    </row>
    <row r="8" spans="1:16" ht="15.75" x14ac:dyDescent="0.2">
      <c r="A8" s="1001" t="s">
        <v>30</v>
      </c>
      <c r="B8" s="1003" t="s">
        <v>31</v>
      </c>
      <c r="C8" s="1003"/>
      <c r="D8" s="1003"/>
      <c r="E8" s="1003"/>
      <c r="F8" s="1003"/>
      <c r="G8" s="1003" t="s">
        <v>32</v>
      </c>
      <c r="H8" s="1003"/>
      <c r="I8" s="1003"/>
      <c r="J8" s="1003"/>
      <c r="K8" s="1003"/>
      <c r="L8" s="1003" t="s">
        <v>33</v>
      </c>
      <c r="M8" s="1003"/>
      <c r="N8" s="1003"/>
      <c r="O8" s="1003"/>
      <c r="P8" s="1004"/>
    </row>
    <row r="9" spans="1:16" ht="15.75" x14ac:dyDescent="0.2">
      <c r="A9" s="1002"/>
      <c r="B9" s="79" t="s">
        <v>8</v>
      </c>
      <c r="C9" s="79" t="s">
        <v>7</v>
      </c>
      <c r="D9" s="79" t="s">
        <v>9</v>
      </c>
      <c r="E9" s="79" t="s">
        <v>19</v>
      </c>
      <c r="F9" s="79" t="s">
        <v>20</v>
      </c>
      <c r="G9" s="79" t="s">
        <v>8</v>
      </c>
      <c r="H9" s="79" t="s">
        <v>7</v>
      </c>
      <c r="I9" s="79" t="s">
        <v>9</v>
      </c>
      <c r="J9" s="79" t="s">
        <v>19</v>
      </c>
      <c r="K9" s="79" t="s">
        <v>20</v>
      </c>
      <c r="L9" s="79" t="s">
        <v>8</v>
      </c>
      <c r="M9" s="79" t="s">
        <v>7</v>
      </c>
      <c r="N9" s="79" t="s">
        <v>9</v>
      </c>
      <c r="O9" s="79" t="s">
        <v>19</v>
      </c>
      <c r="P9" s="24" t="s">
        <v>20</v>
      </c>
    </row>
    <row r="10" spans="1:16" ht="110.25" x14ac:dyDescent="0.2">
      <c r="A10" s="365">
        <v>1.3</v>
      </c>
      <c r="B10" s="73" t="s">
        <v>16</v>
      </c>
      <c r="C10" s="73" t="s">
        <v>11</v>
      </c>
      <c r="D10" s="73">
        <v>0.1</v>
      </c>
      <c r="E10" s="73">
        <f>skilled</f>
        <v>1100</v>
      </c>
      <c r="F10" s="73">
        <f>D10*E10</f>
        <v>110</v>
      </c>
      <c r="G10" s="64" t="s">
        <v>255</v>
      </c>
      <c r="H10" s="73" t="s">
        <v>1</v>
      </c>
      <c r="I10" s="73">
        <v>1</v>
      </c>
      <c r="J10" s="73">
        <v>8000</v>
      </c>
      <c r="K10" s="73">
        <f>I10*J10</f>
        <v>8000</v>
      </c>
      <c r="L10" s="64"/>
      <c r="M10" s="64"/>
      <c r="N10" s="64"/>
      <c r="O10" s="64"/>
      <c r="P10" s="407"/>
    </row>
    <row r="11" spans="1:16" ht="15.75" x14ac:dyDescent="0.2">
      <c r="A11" s="72"/>
      <c r="B11" s="73" t="s">
        <v>28</v>
      </c>
      <c r="C11" s="73" t="s">
        <v>11</v>
      </c>
      <c r="D11" s="73">
        <v>0.5</v>
      </c>
      <c r="E11" s="73">
        <f>unskilled</f>
        <v>780</v>
      </c>
      <c r="F11" s="73">
        <f>D11*E11</f>
        <v>390</v>
      </c>
      <c r="G11" s="64"/>
      <c r="H11" s="73"/>
      <c r="I11" s="73"/>
      <c r="J11" s="73"/>
      <c r="K11" s="73"/>
      <c r="L11" s="73"/>
      <c r="M11" s="73"/>
      <c r="N11" s="73"/>
      <c r="O11" s="73"/>
      <c r="P11" s="61"/>
    </row>
    <row r="12" spans="1:16" ht="15.75" x14ac:dyDescent="0.2">
      <c r="A12" s="1005" t="s">
        <v>34</v>
      </c>
      <c r="B12" s="1006"/>
      <c r="C12" s="1006"/>
      <c r="D12" s="1006"/>
      <c r="E12" s="1006"/>
      <c r="F12" s="73">
        <f>SUM(F10:F11)</f>
        <v>500</v>
      </c>
      <c r="G12" s="1006" t="s">
        <v>35</v>
      </c>
      <c r="H12" s="1006"/>
      <c r="I12" s="1006"/>
      <c r="J12" s="1006"/>
      <c r="K12" s="73">
        <f>SUM(K10:K11)</f>
        <v>8000</v>
      </c>
      <c r="L12" s="1006" t="s">
        <v>36</v>
      </c>
      <c r="M12" s="1006"/>
      <c r="N12" s="1006"/>
      <c r="O12" s="1006"/>
      <c r="P12" s="61">
        <f>SUM(P10:P11)</f>
        <v>0</v>
      </c>
    </row>
    <row r="13" spans="1:16" ht="15.75" x14ac:dyDescent="0.2">
      <c r="A13" s="1005" t="s">
        <v>487</v>
      </c>
      <c r="B13" s="1006"/>
      <c r="C13" s="1006"/>
      <c r="D13" s="1006"/>
      <c r="E13" s="1006"/>
      <c r="F13" s="74">
        <f>SUM(F12+K12+P12+K13)</f>
        <v>8500</v>
      </c>
      <c r="G13" s="1072"/>
      <c r="H13" s="1072"/>
      <c r="I13" s="1072"/>
      <c r="J13" s="1072"/>
      <c r="K13" s="73"/>
      <c r="L13" s="150"/>
      <c r="M13" s="150"/>
      <c r="N13" s="150"/>
      <c r="O13" s="150"/>
      <c r="P13" s="61"/>
    </row>
    <row r="14" spans="1:16" ht="16.5" thickBot="1" x14ac:dyDescent="0.25">
      <c r="A14" s="82"/>
      <c r="B14" s="999" t="s">
        <v>111</v>
      </c>
      <c r="C14" s="999"/>
      <c r="D14" s="999"/>
      <c r="E14" s="999"/>
      <c r="F14" s="17">
        <f>15%*F13</f>
        <v>1275</v>
      </c>
      <c r="G14" s="83"/>
      <c r="H14" s="83"/>
      <c r="I14" s="83"/>
      <c r="J14" s="83"/>
      <c r="K14" s="83"/>
      <c r="L14" s="17"/>
      <c r="M14" s="276"/>
      <c r="N14" s="1000" t="s">
        <v>53</v>
      </c>
      <c r="O14" s="1000"/>
      <c r="P14" s="31">
        <f>(F14+F13)/P7</f>
        <v>9775</v>
      </c>
    </row>
    <row r="15" spans="1:16" x14ac:dyDescent="0.2">
      <c r="B15" s="277"/>
      <c r="C15" s="277"/>
      <c r="D15" s="277"/>
      <c r="E15" s="277"/>
      <c r="F15" s="278"/>
      <c r="G15" s="279"/>
      <c r="H15" s="277"/>
      <c r="I15" s="277"/>
      <c r="J15" s="278"/>
      <c r="K15" s="279"/>
      <c r="L15" s="277"/>
      <c r="M15" s="277"/>
      <c r="N15" s="277"/>
      <c r="O15" s="277"/>
      <c r="P15" s="277"/>
    </row>
    <row r="16" spans="1:16" s="273" customFormat="1" ht="15.75" x14ac:dyDescent="0.2">
      <c r="A16" s="1009" t="s">
        <v>406</v>
      </c>
      <c r="B16" s="1009"/>
      <c r="C16" s="1009"/>
      <c r="D16" s="1009"/>
      <c r="E16" s="1009"/>
      <c r="F16" s="1009"/>
      <c r="G16" s="1009"/>
      <c r="H16" s="1009"/>
      <c r="I16" s="1009"/>
      <c r="J16" s="1009"/>
      <c r="K16" s="1009"/>
      <c r="L16" s="1009"/>
      <c r="M16" s="1009"/>
      <c r="N16" s="1009"/>
      <c r="O16" s="1009"/>
      <c r="P16" s="1009"/>
    </row>
    <row r="17" spans="1:16" s="273" customFormat="1" ht="15.75" x14ac:dyDescent="0.2">
      <c r="A17" s="1009" t="s">
        <v>407</v>
      </c>
      <c r="B17" s="1009"/>
      <c r="C17" s="1009"/>
      <c r="D17" s="1009"/>
      <c r="E17" s="1009"/>
      <c r="F17" s="1009"/>
      <c r="G17" s="1009"/>
      <c r="H17" s="1009"/>
      <c r="I17" s="1009"/>
      <c r="J17" s="1009"/>
      <c r="K17" s="1009"/>
      <c r="L17" s="1009"/>
      <c r="M17" s="1009"/>
      <c r="N17" s="1009"/>
      <c r="O17" s="1009"/>
      <c r="P17" s="1009"/>
    </row>
    <row r="18" spans="1:16" s="273" customFormat="1" ht="21" customHeight="1" thickBot="1" x14ac:dyDescent="0.25">
      <c r="A18" s="271" t="s">
        <v>1066</v>
      </c>
      <c r="B18" s="280"/>
      <c r="C18" s="280"/>
      <c r="D18" s="280"/>
      <c r="E18" s="280"/>
      <c r="F18" s="280"/>
      <c r="G18" s="280"/>
      <c r="H18" s="280"/>
      <c r="I18" s="280"/>
      <c r="J18" s="280"/>
      <c r="K18" s="280"/>
      <c r="L18" s="280"/>
      <c r="M18" s="280"/>
      <c r="N18" s="280"/>
      <c r="O18" s="280"/>
      <c r="P18" s="280"/>
    </row>
    <row r="19" spans="1:16" ht="21" customHeight="1" x14ac:dyDescent="0.2">
      <c r="A19" s="986" t="s">
        <v>29</v>
      </c>
      <c r="B19" s="987"/>
      <c r="C19" s="1079" t="s">
        <v>1120</v>
      </c>
      <c r="D19" s="1080"/>
      <c r="E19" s="1080"/>
      <c r="F19" s="1080"/>
      <c r="G19" s="1080"/>
      <c r="H19" s="1080"/>
      <c r="I19" s="1080"/>
      <c r="J19" s="1080"/>
      <c r="K19" s="1080"/>
      <c r="L19" s="1080"/>
      <c r="M19" s="1080"/>
      <c r="N19" s="1080"/>
      <c r="O19" s="1080"/>
      <c r="P19" s="274" t="s">
        <v>432</v>
      </c>
    </row>
    <row r="20" spans="1:16" ht="26.45" customHeight="1" x14ac:dyDescent="0.2">
      <c r="A20" s="991" t="s">
        <v>107</v>
      </c>
      <c r="B20" s="992"/>
      <c r="C20" s="1081"/>
      <c r="D20" s="1081"/>
      <c r="E20" s="1081"/>
      <c r="F20" s="1081"/>
      <c r="G20" s="1081"/>
      <c r="H20" s="1081"/>
      <c r="I20" s="1081"/>
      <c r="J20" s="1081"/>
      <c r="K20" s="1081"/>
      <c r="L20" s="1081"/>
      <c r="M20" s="1081"/>
      <c r="N20" s="1081"/>
      <c r="O20" s="1081"/>
      <c r="P20" s="275">
        <v>10000</v>
      </c>
    </row>
    <row r="21" spans="1:16" ht="15.75" x14ac:dyDescent="0.2">
      <c r="A21" s="1033" t="s">
        <v>30</v>
      </c>
      <c r="B21" s="1030" t="s">
        <v>31</v>
      </c>
      <c r="C21" s="1030"/>
      <c r="D21" s="1030"/>
      <c r="E21" s="1030"/>
      <c r="F21" s="1030"/>
      <c r="G21" s="1030" t="s">
        <v>32</v>
      </c>
      <c r="H21" s="1030"/>
      <c r="I21" s="1030"/>
      <c r="J21" s="1030"/>
      <c r="K21" s="1030"/>
      <c r="L21" s="1030" t="s">
        <v>33</v>
      </c>
      <c r="M21" s="1030"/>
      <c r="N21" s="1030"/>
      <c r="O21" s="1030"/>
      <c r="P21" s="1031"/>
    </row>
    <row r="22" spans="1:16" ht="15.75" x14ac:dyDescent="0.2">
      <c r="A22" s="1002"/>
      <c r="B22" s="79" t="s">
        <v>8</v>
      </c>
      <c r="C22" s="79" t="s">
        <v>7</v>
      </c>
      <c r="D22" s="79" t="s">
        <v>9</v>
      </c>
      <c r="E22" s="79" t="s">
        <v>19</v>
      </c>
      <c r="F22" s="79" t="s">
        <v>20</v>
      </c>
      <c r="G22" s="79" t="s">
        <v>8</v>
      </c>
      <c r="H22" s="79" t="s">
        <v>7</v>
      </c>
      <c r="I22" s="79" t="s">
        <v>9</v>
      </c>
      <c r="J22" s="79" t="s">
        <v>19</v>
      </c>
      <c r="K22" s="79" t="s">
        <v>20</v>
      </c>
      <c r="L22" s="79" t="s">
        <v>8</v>
      </c>
      <c r="M22" s="79" t="s">
        <v>7</v>
      </c>
      <c r="N22" s="79" t="s">
        <v>9</v>
      </c>
      <c r="O22" s="79" t="s">
        <v>19</v>
      </c>
      <c r="P22" s="24" t="s">
        <v>20</v>
      </c>
    </row>
    <row r="23" spans="1:16" ht="15.75" x14ac:dyDescent="0.2">
      <c r="A23" s="284" t="s">
        <v>1081</v>
      </c>
      <c r="B23" s="285" t="s">
        <v>413</v>
      </c>
      <c r="C23" s="285"/>
      <c r="D23" s="285"/>
      <c r="E23" s="285"/>
      <c r="F23" s="285"/>
      <c r="G23" s="285"/>
      <c r="H23" s="285"/>
      <c r="I23" s="285"/>
      <c r="J23" s="285"/>
      <c r="K23" s="285"/>
      <c r="L23" s="285"/>
      <c r="M23" s="285"/>
      <c r="N23" s="285"/>
      <c r="O23" s="285"/>
      <c r="P23" s="286"/>
    </row>
    <row r="24" spans="1:16" ht="15.75" x14ac:dyDescent="0.2">
      <c r="A24" s="287" t="s">
        <v>414</v>
      </c>
      <c r="B24" s="90" t="s">
        <v>1082</v>
      </c>
      <c r="C24" s="90"/>
      <c r="D24" s="90"/>
      <c r="E24" s="90"/>
      <c r="F24" s="90"/>
      <c r="G24" s="90"/>
      <c r="H24" s="90"/>
      <c r="I24" s="90"/>
      <c r="J24" s="90"/>
      <c r="K24" s="90"/>
      <c r="L24" s="90"/>
      <c r="M24" s="90"/>
      <c r="N24" s="90"/>
      <c r="O24" s="90"/>
      <c r="P24" s="288"/>
    </row>
    <row r="25" spans="1:16" ht="15.75" x14ac:dyDescent="0.2">
      <c r="A25" s="72" t="s">
        <v>1069</v>
      </c>
      <c r="B25" s="32" t="s">
        <v>28</v>
      </c>
      <c r="C25" s="73" t="s">
        <v>11</v>
      </c>
      <c r="D25" s="73">
        <v>6</v>
      </c>
      <c r="E25" s="73">
        <f>unskilled</f>
        <v>780</v>
      </c>
      <c r="F25" s="73">
        <f>D25*E25</f>
        <v>4680</v>
      </c>
      <c r="G25" s="73"/>
      <c r="H25" s="73"/>
      <c r="I25" s="73"/>
      <c r="J25" s="73"/>
      <c r="K25" s="73"/>
      <c r="L25" s="35" t="s">
        <v>1068</v>
      </c>
      <c r="M25" s="35" t="s">
        <v>416</v>
      </c>
      <c r="N25" s="73">
        <v>12</v>
      </c>
      <c r="O25" s="73">
        <f>excavator</f>
        <v>3357.5</v>
      </c>
      <c r="P25" s="61">
        <f>N25*O25</f>
        <v>40290</v>
      </c>
    </row>
    <row r="26" spans="1:16" ht="15.6" customHeight="1" x14ac:dyDescent="0.2">
      <c r="A26" s="983" t="s">
        <v>34</v>
      </c>
      <c r="B26" s="984"/>
      <c r="C26" s="984"/>
      <c r="D26" s="984"/>
      <c r="E26" s="985"/>
      <c r="F26" s="73">
        <f>SUM(F25:F25)</f>
        <v>4680</v>
      </c>
      <c r="G26" s="1006" t="s">
        <v>35</v>
      </c>
      <c r="H26" s="1006"/>
      <c r="I26" s="1006"/>
      <c r="J26" s="1006"/>
      <c r="K26" s="73">
        <f>SUM(K25:K25)</f>
        <v>0</v>
      </c>
      <c r="L26" s="1006" t="s">
        <v>36</v>
      </c>
      <c r="M26" s="1006"/>
      <c r="N26" s="1006"/>
      <c r="O26" s="1006"/>
      <c r="P26" s="61">
        <f>SUM(P25:P25)</f>
        <v>40290</v>
      </c>
    </row>
    <row r="27" spans="1:16" ht="15.75" x14ac:dyDescent="0.2">
      <c r="A27" s="983" t="s">
        <v>487</v>
      </c>
      <c r="B27" s="984"/>
      <c r="C27" s="984"/>
      <c r="D27" s="984"/>
      <c r="E27" s="985"/>
      <c r="F27" s="74">
        <f>SUM(F26+K26+P26)</f>
        <v>44970</v>
      </c>
      <c r="G27" s="90"/>
      <c r="H27" s="90"/>
      <c r="I27" s="90"/>
      <c r="J27" s="90"/>
      <c r="K27" s="90"/>
      <c r="L27" s="74"/>
      <c r="M27" s="90"/>
      <c r="N27" s="90"/>
      <c r="O27" s="90"/>
      <c r="P27" s="16"/>
    </row>
    <row r="28" spans="1:16" ht="16.5" thickBot="1" x14ac:dyDescent="0.25">
      <c r="A28" s="366"/>
      <c r="B28" s="999" t="s">
        <v>111</v>
      </c>
      <c r="C28" s="999"/>
      <c r="D28" s="999"/>
      <c r="E28" s="999"/>
      <c r="F28" s="17">
        <f>15%*F27</f>
        <v>6745.5</v>
      </c>
      <c r="G28" s="83"/>
      <c r="H28" s="83"/>
      <c r="I28" s="83"/>
      <c r="J28" s="83"/>
      <c r="K28" s="83"/>
      <c r="L28" s="17"/>
      <c r="M28" s="83"/>
      <c r="N28" s="1041" t="s">
        <v>53</v>
      </c>
      <c r="O28" s="1042"/>
      <c r="P28" s="31">
        <f>(F28+F27)/P20</f>
        <v>5.17</v>
      </c>
    </row>
    <row r="29" spans="1:16" ht="16.5" hidden="1" thickBot="1" x14ac:dyDescent="0.25">
      <c r="A29" s="281"/>
      <c r="B29" s="281"/>
      <c r="C29" s="281"/>
      <c r="D29" s="281"/>
      <c r="E29" s="281"/>
      <c r="F29" s="57"/>
      <c r="G29" s="281"/>
      <c r="H29" s="281"/>
      <c r="I29" s="281"/>
      <c r="J29" s="281"/>
      <c r="K29" s="281"/>
      <c r="L29" s="57"/>
      <c r="M29" s="281"/>
      <c r="N29" s="281"/>
      <c r="O29" s="67"/>
      <c r="P29" s="43"/>
    </row>
    <row r="30" spans="1:16" s="273" customFormat="1" ht="21" hidden="1" customHeight="1" thickBot="1" x14ac:dyDescent="0.25">
      <c r="A30" s="271" t="s">
        <v>408</v>
      </c>
      <c r="B30" s="280"/>
      <c r="C30" s="280"/>
      <c r="D30" s="280"/>
      <c r="E30" s="280"/>
      <c r="F30" s="280"/>
      <c r="G30" s="280"/>
      <c r="H30" s="280"/>
      <c r="I30" s="280"/>
      <c r="J30" s="280"/>
      <c r="K30" s="280"/>
      <c r="L30" s="280"/>
      <c r="M30" s="280"/>
      <c r="N30" s="280"/>
      <c r="O30" s="280"/>
      <c r="P30" s="280"/>
    </row>
    <row r="31" spans="1:16" ht="15.6" hidden="1" customHeight="1" x14ac:dyDescent="0.2">
      <c r="A31" s="986" t="s">
        <v>29</v>
      </c>
      <c r="B31" s="987"/>
      <c r="C31" s="988" t="s">
        <v>208</v>
      </c>
      <c r="D31" s="989"/>
      <c r="E31" s="989"/>
      <c r="F31" s="989"/>
      <c r="G31" s="989"/>
      <c r="H31" s="989"/>
      <c r="I31" s="989"/>
      <c r="J31" s="989"/>
      <c r="K31" s="989"/>
      <c r="L31" s="989"/>
      <c r="M31" s="989"/>
      <c r="N31" s="989"/>
      <c r="O31" s="989"/>
      <c r="P31" s="274" t="s">
        <v>432</v>
      </c>
    </row>
    <row r="32" spans="1:16" ht="15.75" hidden="1" x14ac:dyDescent="0.2">
      <c r="A32" s="991" t="s">
        <v>107</v>
      </c>
      <c r="B32" s="992"/>
      <c r="C32" s="990"/>
      <c r="D32" s="990"/>
      <c r="E32" s="990"/>
      <c r="F32" s="990"/>
      <c r="G32" s="990"/>
      <c r="H32" s="990"/>
      <c r="I32" s="990"/>
      <c r="J32" s="990"/>
      <c r="K32" s="990"/>
      <c r="L32" s="990"/>
      <c r="M32" s="990"/>
      <c r="N32" s="990"/>
      <c r="O32" s="990"/>
      <c r="P32" s="275">
        <v>10000</v>
      </c>
    </row>
    <row r="33" spans="1:16" ht="15.75" hidden="1" x14ac:dyDescent="0.2">
      <c r="A33" s="1033" t="s">
        <v>30</v>
      </c>
      <c r="B33" s="1030" t="s">
        <v>31</v>
      </c>
      <c r="C33" s="1030"/>
      <c r="D33" s="1030"/>
      <c r="E33" s="1030"/>
      <c r="F33" s="1030"/>
      <c r="G33" s="1030" t="s">
        <v>32</v>
      </c>
      <c r="H33" s="1030"/>
      <c r="I33" s="1030"/>
      <c r="J33" s="1030"/>
      <c r="K33" s="1030"/>
      <c r="L33" s="1030" t="s">
        <v>33</v>
      </c>
      <c r="M33" s="1030"/>
      <c r="N33" s="1030"/>
      <c r="O33" s="1030"/>
      <c r="P33" s="1031"/>
    </row>
    <row r="34" spans="1:16" ht="15.75" hidden="1" x14ac:dyDescent="0.2">
      <c r="A34" s="1002"/>
      <c r="B34" s="79" t="s">
        <v>8</v>
      </c>
      <c r="C34" s="79" t="s">
        <v>7</v>
      </c>
      <c r="D34" s="79" t="s">
        <v>9</v>
      </c>
      <c r="E34" s="79" t="s">
        <v>19</v>
      </c>
      <c r="F34" s="79" t="s">
        <v>20</v>
      </c>
      <c r="G34" s="79" t="s">
        <v>8</v>
      </c>
      <c r="H34" s="79" t="s">
        <v>7</v>
      </c>
      <c r="I34" s="79" t="s">
        <v>9</v>
      </c>
      <c r="J34" s="79" t="s">
        <v>19</v>
      </c>
      <c r="K34" s="79" t="s">
        <v>20</v>
      </c>
      <c r="L34" s="79" t="s">
        <v>8</v>
      </c>
      <c r="M34" s="79" t="s">
        <v>7</v>
      </c>
      <c r="N34" s="79" t="s">
        <v>9</v>
      </c>
      <c r="O34" s="79" t="s">
        <v>19</v>
      </c>
      <c r="P34" s="24" t="s">
        <v>20</v>
      </c>
    </row>
    <row r="35" spans="1:16" ht="15.75" hidden="1" x14ac:dyDescent="0.2">
      <c r="A35" s="365">
        <v>2.2999999999999998</v>
      </c>
      <c r="B35" s="32" t="s">
        <v>28</v>
      </c>
      <c r="C35" s="73" t="s">
        <v>11</v>
      </c>
      <c r="D35" s="73">
        <v>100</v>
      </c>
      <c r="E35" s="73">
        <f>unskilled</f>
        <v>780</v>
      </c>
      <c r="F35" s="73">
        <f>D35*E35</f>
        <v>78000</v>
      </c>
      <c r="G35" s="73"/>
      <c r="H35" s="73"/>
      <c r="I35" s="73"/>
      <c r="J35" s="73"/>
      <c r="K35" s="73"/>
      <c r="L35" s="35"/>
      <c r="M35" s="35"/>
      <c r="N35" s="35"/>
      <c r="O35" s="35"/>
      <c r="P35" s="61"/>
    </row>
    <row r="36" spans="1:16" ht="15.75" hidden="1" x14ac:dyDescent="0.2">
      <c r="A36" s="1005" t="s">
        <v>34</v>
      </c>
      <c r="B36" s="1006"/>
      <c r="C36" s="1006"/>
      <c r="D36" s="1006"/>
      <c r="E36" s="1006"/>
      <c r="F36" s="73">
        <f>SUM(F35:F35)</f>
        <v>78000</v>
      </c>
      <c r="G36" s="1006" t="s">
        <v>35</v>
      </c>
      <c r="H36" s="1006"/>
      <c r="I36" s="1006"/>
      <c r="J36" s="1006"/>
      <c r="K36" s="73">
        <f>SUM(K35:K35)</f>
        <v>0</v>
      </c>
      <c r="L36" s="1006" t="s">
        <v>36</v>
      </c>
      <c r="M36" s="1006"/>
      <c r="N36" s="1006"/>
      <c r="O36" s="1006"/>
      <c r="P36" s="61">
        <f>SUM(P35:P35)</f>
        <v>0</v>
      </c>
    </row>
    <row r="37" spans="1:16" ht="15.75" hidden="1" x14ac:dyDescent="0.2">
      <c r="A37" s="1005" t="s">
        <v>487</v>
      </c>
      <c r="B37" s="1006"/>
      <c r="C37" s="1006"/>
      <c r="D37" s="1006"/>
      <c r="E37" s="1006"/>
      <c r="F37" s="74">
        <f>SUM(F36+K36+P36)</f>
        <v>78000</v>
      </c>
      <c r="G37" s="90"/>
      <c r="H37" s="90"/>
      <c r="I37" s="90"/>
      <c r="J37" s="90"/>
      <c r="K37" s="90"/>
      <c r="L37" s="74"/>
      <c r="M37" s="90"/>
      <c r="N37" s="90"/>
      <c r="O37" s="90"/>
      <c r="P37" s="16"/>
    </row>
    <row r="38" spans="1:16" ht="16.5" hidden="1" thickBot="1" x14ac:dyDescent="0.25">
      <c r="A38" s="82"/>
      <c r="B38" s="999" t="s">
        <v>111</v>
      </c>
      <c r="C38" s="999"/>
      <c r="D38" s="999"/>
      <c r="E38" s="999"/>
      <c r="F38" s="17">
        <f>15%*F37</f>
        <v>11700</v>
      </c>
      <c r="G38" s="83"/>
      <c r="H38" s="83"/>
      <c r="I38" s="83"/>
      <c r="J38" s="83"/>
      <c r="K38" s="83"/>
      <c r="L38" s="17"/>
      <c r="M38" s="83"/>
      <c r="N38" s="1041" t="s">
        <v>53</v>
      </c>
      <c r="O38" s="1042"/>
      <c r="P38" s="31">
        <f>(F38+F37)/P32</f>
        <v>8.9700000000000006</v>
      </c>
    </row>
    <row r="39" spans="1:16" ht="15.75" hidden="1" x14ac:dyDescent="0.2">
      <c r="A39" s="281"/>
      <c r="B39" s="281"/>
      <c r="C39" s="281"/>
      <c r="D39" s="281"/>
      <c r="E39" s="281"/>
      <c r="F39" s="57"/>
      <c r="G39" s="281"/>
      <c r="H39" s="281"/>
      <c r="I39" s="281"/>
      <c r="J39" s="281"/>
      <c r="K39" s="281"/>
      <c r="L39" s="57"/>
      <c r="M39" s="281"/>
      <c r="N39" s="281"/>
      <c r="O39" s="67"/>
      <c r="P39" s="43"/>
    </row>
    <row r="40" spans="1:16" ht="16.5" hidden="1" thickBot="1" x14ac:dyDescent="0.25">
      <c r="A40" s="282" t="s">
        <v>409</v>
      </c>
      <c r="B40" s="283"/>
      <c r="C40" s="283"/>
      <c r="D40" s="283"/>
      <c r="E40" s="283"/>
      <c r="F40" s="19"/>
      <c r="G40" s="283"/>
      <c r="H40" s="283"/>
      <c r="I40" s="283"/>
      <c r="J40" s="283"/>
      <c r="K40" s="283"/>
      <c r="L40" s="19"/>
      <c r="M40" s="283"/>
      <c r="N40" s="283"/>
      <c r="O40" s="69"/>
      <c r="P40" s="30"/>
    </row>
    <row r="41" spans="1:16" ht="15.75" hidden="1" x14ac:dyDescent="0.2">
      <c r="A41" s="986" t="s">
        <v>29</v>
      </c>
      <c r="B41" s="987"/>
      <c r="C41" s="988" t="s">
        <v>410</v>
      </c>
      <c r="D41" s="988"/>
      <c r="E41" s="988"/>
      <c r="F41" s="988"/>
      <c r="G41" s="988"/>
      <c r="H41" s="988"/>
      <c r="I41" s="988"/>
      <c r="J41" s="988"/>
      <c r="K41" s="988"/>
      <c r="L41" s="988"/>
      <c r="M41" s="988"/>
      <c r="N41" s="988"/>
      <c r="O41" s="988"/>
      <c r="P41" s="274" t="s">
        <v>433</v>
      </c>
    </row>
    <row r="42" spans="1:16" ht="30.6" hidden="1" customHeight="1" x14ac:dyDescent="0.2">
      <c r="A42" s="991" t="s">
        <v>107</v>
      </c>
      <c r="B42" s="992"/>
      <c r="C42" s="1024"/>
      <c r="D42" s="1024"/>
      <c r="E42" s="1024"/>
      <c r="F42" s="1024"/>
      <c r="G42" s="1024"/>
      <c r="H42" s="1024"/>
      <c r="I42" s="1024"/>
      <c r="J42" s="1024"/>
      <c r="K42" s="1024"/>
      <c r="L42" s="1024"/>
      <c r="M42" s="1024"/>
      <c r="N42" s="1024"/>
      <c r="O42" s="1024"/>
      <c r="P42" s="275">
        <v>10</v>
      </c>
    </row>
    <row r="43" spans="1:16" ht="15.75" hidden="1" x14ac:dyDescent="0.2">
      <c r="A43" s="284" t="s">
        <v>412</v>
      </c>
      <c r="B43" s="285" t="s">
        <v>413</v>
      </c>
      <c r="C43" s="285"/>
      <c r="D43" s="285"/>
      <c r="E43" s="285"/>
      <c r="F43" s="285"/>
      <c r="G43" s="285"/>
      <c r="H43" s="285"/>
      <c r="I43" s="285"/>
      <c r="J43" s="285"/>
      <c r="K43" s="285"/>
      <c r="L43" s="285"/>
      <c r="M43" s="285"/>
      <c r="N43" s="285"/>
      <c r="O43" s="285"/>
      <c r="P43" s="286"/>
    </row>
    <row r="44" spans="1:16" ht="15.75" hidden="1" x14ac:dyDescent="0.2">
      <c r="A44" s="287" t="s">
        <v>414</v>
      </c>
      <c r="B44" s="90" t="s">
        <v>415</v>
      </c>
      <c r="C44" s="90"/>
      <c r="D44" s="90"/>
      <c r="E44" s="90"/>
      <c r="F44" s="90"/>
      <c r="G44" s="90"/>
      <c r="H44" s="90"/>
      <c r="I44" s="90"/>
      <c r="J44" s="90"/>
      <c r="K44" s="90"/>
      <c r="L44" s="90"/>
      <c r="M44" s="90"/>
      <c r="N44" s="90"/>
      <c r="O44" s="90"/>
      <c r="P44" s="288"/>
    </row>
    <row r="45" spans="1:16" ht="15.75" hidden="1" x14ac:dyDescent="0.2">
      <c r="A45" s="1002" t="s">
        <v>30</v>
      </c>
      <c r="B45" s="1038" t="s">
        <v>31</v>
      </c>
      <c r="C45" s="1038"/>
      <c r="D45" s="1038"/>
      <c r="E45" s="1038"/>
      <c r="F45" s="1038"/>
      <c r="G45" s="1038" t="s">
        <v>32</v>
      </c>
      <c r="H45" s="1038"/>
      <c r="I45" s="1038"/>
      <c r="J45" s="1038"/>
      <c r="K45" s="1038"/>
      <c r="L45" s="1038" t="s">
        <v>33</v>
      </c>
      <c r="M45" s="1038"/>
      <c r="N45" s="1038"/>
      <c r="O45" s="1038"/>
      <c r="P45" s="1044"/>
    </row>
    <row r="46" spans="1:16" ht="15.75" hidden="1" x14ac:dyDescent="0.2">
      <c r="A46" s="1002"/>
      <c r="B46" s="79" t="s">
        <v>8</v>
      </c>
      <c r="C46" s="79" t="s">
        <v>7</v>
      </c>
      <c r="D46" s="79" t="s">
        <v>9</v>
      </c>
      <c r="E46" s="79" t="s">
        <v>19</v>
      </c>
      <c r="F46" s="79" t="s">
        <v>20</v>
      </c>
      <c r="G46" s="79" t="s">
        <v>8</v>
      </c>
      <c r="H46" s="79" t="s">
        <v>7</v>
      </c>
      <c r="I46" s="79" t="s">
        <v>9</v>
      </c>
      <c r="J46" s="79" t="s">
        <v>19</v>
      </c>
      <c r="K46" s="79" t="s">
        <v>20</v>
      </c>
      <c r="L46" s="79" t="s">
        <v>8</v>
      </c>
      <c r="M46" s="79" t="s">
        <v>7</v>
      </c>
      <c r="N46" s="79" t="s">
        <v>9</v>
      </c>
      <c r="O46" s="79" t="s">
        <v>19</v>
      </c>
      <c r="P46" s="24" t="s">
        <v>20</v>
      </c>
    </row>
    <row r="47" spans="1:16" ht="15.75" hidden="1" x14ac:dyDescent="0.2">
      <c r="A47" s="72" t="s">
        <v>411</v>
      </c>
      <c r="B47" s="32" t="s">
        <v>16</v>
      </c>
      <c r="C47" s="73" t="s">
        <v>11</v>
      </c>
      <c r="D47" s="73">
        <v>1</v>
      </c>
      <c r="E47" s="73">
        <f>skilled</f>
        <v>1100</v>
      </c>
      <c r="F47" s="73">
        <f>D47*E47</f>
        <v>1100</v>
      </c>
      <c r="G47" s="73"/>
      <c r="H47" s="73"/>
      <c r="I47" s="73"/>
      <c r="J47" s="73"/>
      <c r="K47" s="73"/>
      <c r="L47" s="70" t="s">
        <v>286</v>
      </c>
      <c r="M47" s="35" t="s">
        <v>416</v>
      </c>
      <c r="N47" s="35">
        <v>6</v>
      </c>
      <c r="O47" s="35">
        <f>aircompressor</f>
        <v>1281</v>
      </c>
      <c r="P47" s="61">
        <f>N47*O47</f>
        <v>7686</v>
      </c>
    </row>
    <row r="48" spans="1:16" ht="31.5" hidden="1" x14ac:dyDescent="0.2">
      <c r="A48" s="72"/>
      <c r="B48" s="32" t="s">
        <v>28</v>
      </c>
      <c r="C48" s="73" t="s">
        <v>11</v>
      </c>
      <c r="D48" s="73">
        <v>6</v>
      </c>
      <c r="E48" s="73">
        <f>unskilled</f>
        <v>780</v>
      </c>
      <c r="F48" s="73">
        <f>D48*E48</f>
        <v>4680</v>
      </c>
      <c r="G48" s="73"/>
      <c r="H48" s="73"/>
      <c r="I48" s="73"/>
      <c r="J48" s="73"/>
      <c r="K48" s="74"/>
      <c r="L48" s="70" t="s">
        <v>417</v>
      </c>
      <c r="M48" s="73" t="s">
        <v>416</v>
      </c>
      <c r="N48" s="73">
        <v>6</v>
      </c>
      <c r="O48" s="73">
        <f>drillingmachine</f>
        <v>616</v>
      </c>
      <c r="P48" s="61">
        <f>N48*O48</f>
        <v>3696</v>
      </c>
    </row>
    <row r="49" spans="1:16" ht="15.75" hidden="1" x14ac:dyDescent="0.2">
      <c r="A49" s="72"/>
      <c r="B49" s="73"/>
      <c r="C49" s="73"/>
      <c r="D49" s="73"/>
      <c r="E49" s="73"/>
      <c r="F49" s="73"/>
      <c r="G49" s="73"/>
      <c r="H49" s="73"/>
      <c r="I49" s="73"/>
      <c r="J49" s="73"/>
      <c r="K49" s="74"/>
      <c r="L49" s="70" t="s">
        <v>418</v>
      </c>
      <c r="M49" s="73" t="s">
        <v>416</v>
      </c>
      <c r="N49" s="73">
        <v>6</v>
      </c>
      <c r="O49" s="73">
        <f>tractortrolley</f>
        <v>1039</v>
      </c>
      <c r="P49" s="61">
        <f>N49*O49</f>
        <v>6234</v>
      </c>
    </row>
    <row r="50" spans="1:16" ht="15.75" hidden="1" x14ac:dyDescent="0.2">
      <c r="A50" s="1005" t="s">
        <v>34</v>
      </c>
      <c r="B50" s="1006"/>
      <c r="C50" s="1006"/>
      <c r="D50" s="1006"/>
      <c r="E50" s="1006"/>
      <c r="F50" s="73">
        <f>SUM(F47:F48)</f>
        <v>5780</v>
      </c>
      <c r="G50" s="1006" t="s">
        <v>35</v>
      </c>
      <c r="H50" s="1006"/>
      <c r="I50" s="1006"/>
      <c r="J50" s="1006"/>
      <c r="K50" s="73">
        <f>SUM(K47:K48)</f>
        <v>0</v>
      </c>
      <c r="L50" s="1006" t="s">
        <v>36</v>
      </c>
      <c r="M50" s="1006"/>
      <c r="N50" s="1006"/>
      <c r="O50" s="1006"/>
      <c r="P50" s="61">
        <f>SUM(P47:P49)</f>
        <v>17616</v>
      </c>
    </row>
    <row r="51" spans="1:16" ht="15.75" hidden="1" x14ac:dyDescent="0.2">
      <c r="A51" s="1005" t="s">
        <v>487</v>
      </c>
      <c r="B51" s="1006"/>
      <c r="C51" s="1006"/>
      <c r="D51" s="1006"/>
      <c r="E51" s="1006"/>
      <c r="F51" s="74">
        <f>SUM(F50+K50+P50)</f>
        <v>23396</v>
      </c>
      <c r="G51" s="90"/>
      <c r="H51" s="90"/>
      <c r="I51" s="90"/>
      <c r="J51" s="90"/>
      <c r="K51" s="90"/>
      <c r="L51" s="74"/>
      <c r="M51" s="90"/>
      <c r="N51" s="90"/>
      <c r="O51" s="90"/>
      <c r="P51" s="16"/>
    </row>
    <row r="52" spans="1:16" ht="16.5" hidden="1" thickBot="1" x14ac:dyDescent="0.25">
      <c r="A52" s="82"/>
      <c r="B52" s="999" t="s">
        <v>111</v>
      </c>
      <c r="C52" s="999"/>
      <c r="D52" s="999"/>
      <c r="E52" s="999"/>
      <c r="F52" s="17">
        <f>15%*F51</f>
        <v>3509.4</v>
      </c>
      <c r="G52" s="83"/>
      <c r="H52" s="83"/>
      <c r="I52" s="83"/>
      <c r="J52" s="83"/>
      <c r="K52" s="83"/>
      <c r="L52" s="17"/>
      <c r="M52" s="83"/>
      <c r="N52" s="1041" t="s">
        <v>53</v>
      </c>
      <c r="O52" s="1042"/>
      <c r="P52" s="31">
        <f>(F52+F51)/P42</f>
        <v>2690.54</v>
      </c>
    </row>
    <row r="53" spans="1:16" ht="15.75" hidden="1" x14ac:dyDescent="0.2">
      <c r="A53" s="281"/>
      <c r="B53" s="281"/>
      <c r="C53" s="281"/>
      <c r="D53" s="281"/>
      <c r="E53" s="281"/>
      <c r="F53" s="57"/>
      <c r="G53" s="281"/>
      <c r="H53" s="281"/>
      <c r="I53" s="281"/>
      <c r="J53" s="281"/>
      <c r="K53" s="281"/>
      <c r="L53" s="57"/>
      <c r="M53" s="281"/>
      <c r="N53" s="281"/>
      <c r="O53" s="67"/>
      <c r="P53" s="43"/>
    </row>
    <row r="54" spans="1:16" ht="15.75" hidden="1" x14ac:dyDescent="0.2">
      <c r="A54" s="1009" t="s">
        <v>419</v>
      </c>
      <c r="B54" s="1009"/>
      <c r="C54" s="1009"/>
      <c r="D54" s="1009"/>
      <c r="E54" s="1009"/>
      <c r="F54" s="1009"/>
      <c r="G54" s="1009"/>
      <c r="H54" s="1009"/>
      <c r="I54" s="1009"/>
      <c r="J54" s="1009"/>
      <c r="K54" s="1009"/>
      <c r="L54" s="1009"/>
      <c r="M54" s="1009"/>
      <c r="N54" s="1009"/>
      <c r="O54" s="1009"/>
      <c r="P54" s="1009"/>
    </row>
    <row r="55" spans="1:16" ht="15.75" hidden="1" x14ac:dyDescent="0.2">
      <c r="A55" s="1009" t="s">
        <v>420</v>
      </c>
      <c r="B55" s="1009"/>
      <c r="C55" s="1009"/>
      <c r="D55" s="1009"/>
      <c r="E55" s="1009"/>
      <c r="F55" s="1009"/>
      <c r="G55" s="1009"/>
      <c r="H55" s="1009"/>
      <c r="I55" s="1009"/>
      <c r="J55" s="1009"/>
      <c r="K55" s="1009"/>
      <c r="L55" s="1009"/>
      <c r="M55" s="1009"/>
      <c r="N55" s="1009"/>
      <c r="O55" s="1009"/>
      <c r="P55" s="1009"/>
    </row>
    <row r="56" spans="1:16" ht="15.75" hidden="1" x14ac:dyDescent="0.2">
      <c r="A56" s="47"/>
      <c r="B56" s="47"/>
      <c r="C56" s="47"/>
      <c r="D56" s="47"/>
      <c r="E56" s="47"/>
      <c r="F56" s="47"/>
      <c r="G56" s="47"/>
      <c r="H56" s="47"/>
      <c r="I56" s="47"/>
      <c r="J56" s="47"/>
      <c r="K56" s="47"/>
      <c r="L56" s="47"/>
      <c r="M56" s="47"/>
      <c r="N56" s="47"/>
      <c r="O56" s="47"/>
      <c r="P56" s="47"/>
    </row>
    <row r="57" spans="1:16" ht="15.75" hidden="1" x14ac:dyDescent="0.2">
      <c r="A57" s="1009" t="s">
        <v>421</v>
      </c>
      <c r="B57" s="1009"/>
      <c r="C57" s="1009"/>
      <c r="D57" s="1009"/>
      <c r="E57" s="1009"/>
      <c r="F57" s="1009"/>
      <c r="G57" s="1009"/>
      <c r="H57" s="1009"/>
      <c r="I57" s="1009"/>
      <c r="J57" s="1009"/>
      <c r="K57" s="1009"/>
      <c r="L57" s="1009"/>
      <c r="M57" s="1009"/>
      <c r="N57" s="1009"/>
      <c r="O57" s="1009"/>
      <c r="P57" s="1009"/>
    </row>
    <row r="58" spans="1:16" ht="15.75" hidden="1" x14ac:dyDescent="0.2">
      <c r="A58" s="1009" t="s">
        <v>422</v>
      </c>
      <c r="B58" s="1009"/>
      <c r="C58" s="1009"/>
      <c r="D58" s="1009"/>
      <c r="E58" s="1009"/>
      <c r="F58" s="1009"/>
      <c r="G58" s="1009"/>
      <c r="H58" s="1009"/>
      <c r="I58" s="1009"/>
      <c r="J58" s="1009"/>
      <c r="K58" s="1009"/>
      <c r="L58" s="1009"/>
      <c r="M58" s="1009"/>
      <c r="N58" s="1009"/>
      <c r="O58" s="1009"/>
      <c r="P58" s="1009"/>
    </row>
    <row r="59" spans="1:16" ht="16.5" hidden="1" thickBot="1" x14ac:dyDescent="0.25">
      <c r="A59" s="289" t="s">
        <v>423</v>
      </c>
      <c r="B59" s="290"/>
      <c r="C59" s="289"/>
      <c r="D59" s="282"/>
      <c r="E59" s="282"/>
      <c r="F59" s="282"/>
      <c r="G59" s="282"/>
      <c r="H59" s="282"/>
      <c r="I59" s="282"/>
      <c r="J59" s="282"/>
      <c r="K59" s="282"/>
      <c r="L59" s="282"/>
      <c r="M59" s="282"/>
      <c r="N59" s="282"/>
      <c r="O59" s="282"/>
      <c r="P59" s="291"/>
    </row>
    <row r="60" spans="1:16" ht="15.75" hidden="1" x14ac:dyDescent="0.2">
      <c r="A60" s="986" t="s">
        <v>29</v>
      </c>
      <c r="B60" s="987"/>
      <c r="C60" s="988" t="s">
        <v>425</v>
      </c>
      <c r="D60" s="988"/>
      <c r="E60" s="988"/>
      <c r="F60" s="988"/>
      <c r="G60" s="988"/>
      <c r="H60" s="988"/>
      <c r="I60" s="988"/>
      <c r="J60" s="988"/>
      <c r="K60" s="988"/>
      <c r="L60" s="988"/>
      <c r="M60" s="988"/>
      <c r="N60" s="988"/>
      <c r="O60" s="988"/>
      <c r="P60" s="274" t="s">
        <v>435</v>
      </c>
    </row>
    <row r="61" spans="1:16" ht="45.6" hidden="1" customHeight="1" x14ac:dyDescent="0.2">
      <c r="A61" s="1011" t="s">
        <v>424</v>
      </c>
      <c r="B61" s="1012"/>
      <c r="C61" s="1024"/>
      <c r="D61" s="1024"/>
      <c r="E61" s="1024"/>
      <c r="F61" s="1024"/>
      <c r="G61" s="1024"/>
      <c r="H61" s="1024"/>
      <c r="I61" s="1024"/>
      <c r="J61" s="1024"/>
      <c r="K61" s="1024"/>
      <c r="L61" s="1024"/>
      <c r="M61" s="1024"/>
      <c r="N61" s="1024"/>
      <c r="O61" s="1024"/>
      <c r="P61" s="275">
        <v>30</v>
      </c>
    </row>
    <row r="62" spans="1:16" ht="15.75" hidden="1" x14ac:dyDescent="0.2">
      <c r="A62" s="1033" t="s">
        <v>30</v>
      </c>
      <c r="B62" s="1030" t="s">
        <v>31</v>
      </c>
      <c r="C62" s="1030"/>
      <c r="D62" s="1030"/>
      <c r="E62" s="1030"/>
      <c r="F62" s="1030"/>
      <c r="G62" s="1030" t="s">
        <v>32</v>
      </c>
      <c r="H62" s="1030"/>
      <c r="I62" s="1030"/>
      <c r="J62" s="1030"/>
      <c r="K62" s="1030"/>
      <c r="L62" s="1030" t="s">
        <v>33</v>
      </c>
      <c r="M62" s="1030"/>
      <c r="N62" s="1030"/>
      <c r="O62" s="1030"/>
      <c r="P62" s="1031"/>
    </row>
    <row r="63" spans="1:16" ht="15.75" hidden="1" x14ac:dyDescent="0.2">
      <c r="A63" s="1002"/>
      <c r="B63" s="79" t="s">
        <v>8</v>
      </c>
      <c r="C63" s="79" t="s">
        <v>7</v>
      </c>
      <c r="D63" s="79" t="s">
        <v>9</v>
      </c>
      <c r="E63" s="79" t="s">
        <v>19</v>
      </c>
      <c r="F63" s="79" t="s">
        <v>20</v>
      </c>
      <c r="G63" s="79" t="s">
        <v>8</v>
      </c>
      <c r="H63" s="79" t="s">
        <v>7</v>
      </c>
      <c r="I63" s="79" t="s">
        <v>9</v>
      </c>
      <c r="J63" s="79" t="s">
        <v>19</v>
      </c>
      <c r="K63" s="79" t="s">
        <v>20</v>
      </c>
      <c r="L63" s="79" t="s">
        <v>8</v>
      </c>
      <c r="M63" s="79" t="s">
        <v>7</v>
      </c>
      <c r="N63" s="79" t="s">
        <v>9</v>
      </c>
      <c r="O63" s="79" t="s">
        <v>19</v>
      </c>
      <c r="P63" s="24" t="s">
        <v>20</v>
      </c>
    </row>
    <row r="64" spans="1:16" ht="31.5" hidden="1" x14ac:dyDescent="0.2">
      <c r="A64" s="72" t="s">
        <v>426</v>
      </c>
      <c r="B64" s="32" t="s">
        <v>16</v>
      </c>
      <c r="C64" s="73" t="s">
        <v>11</v>
      </c>
      <c r="D64" s="73">
        <v>0.25</v>
      </c>
      <c r="E64" s="73">
        <f>skilled</f>
        <v>1100</v>
      </c>
      <c r="F64" s="73">
        <f>D64*E64</f>
        <v>275</v>
      </c>
      <c r="G64" s="70" t="s">
        <v>207</v>
      </c>
      <c r="H64" s="73" t="s">
        <v>250</v>
      </c>
      <c r="I64" s="73">
        <v>0.53</v>
      </c>
      <c r="J64" s="73">
        <f>concrete_m15_foundation</f>
        <v>10232.049999999999</v>
      </c>
      <c r="K64" s="73">
        <f>I64*J64</f>
        <v>5422.99</v>
      </c>
      <c r="L64" s="64"/>
      <c r="M64" s="36"/>
      <c r="N64" s="36"/>
      <c r="O64" s="64"/>
      <c r="P64" s="61">
        <f>N64*O64</f>
        <v>0</v>
      </c>
    </row>
    <row r="65" spans="1:16005" ht="15.75" hidden="1" x14ac:dyDescent="0.2">
      <c r="A65" s="72"/>
      <c r="B65" s="32" t="s">
        <v>28</v>
      </c>
      <c r="C65" s="73" t="s">
        <v>11</v>
      </c>
      <c r="D65" s="73">
        <v>3</v>
      </c>
      <c r="E65" s="73">
        <f>unskilled</f>
        <v>780</v>
      </c>
      <c r="F65" s="73">
        <f>D65*E65</f>
        <v>2340</v>
      </c>
      <c r="G65" s="32" t="s">
        <v>427</v>
      </c>
      <c r="H65" s="73" t="s">
        <v>50</v>
      </c>
      <c r="I65" s="73">
        <v>75.06</v>
      </c>
      <c r="J65" s="73">
        <f>reinforcement/1000</f>
        <v>101.5</v>
      </c>
      <c r="K65" s="73">
        <f>I65*J65</f>
        <v>7618.59</v>
      </c>
      <c r="L65" s="64"/>
      <c r="M65" s="36"/>
      <c r="N65" s="36"/>
      <c r="O65" s="64"/>
      <c r="P65" s="15"/>
    </row>
    <row r="66" spans="1:16005" ht="15.75" hidden="1" x14ac:dyDescent="0.2">
      <c r="A66" s="72"/>
      <c r="B66" s="73"/>
      <c r="C66" s="73"/>
      <c r="D66" s="73"/>
      <c r="E66" s="73"/>
      <c r="F66" s="73"/>
      <c r="G66" s="32" t="s">
        <v>428</v>
      </c>
      <c r="H66" s="73" t="s">
        <v>249</v>
      </c>
      <c r="I66" s="73">
        <v>8.14</v>
      </c>
      <c r="J66" s="73">
        <f>painting_concrete</f>
        <v>953.66</v>
      </c>
      <c r="K66" s="73">
        <f>I66*J66</f>
        <v>7762.79</v>
      </c>
      <c r="L66" s="64"/>
      <c r="M66" s="36"/>
      <c r="N66" s="36"/>
      <c r="O66" s="64"/>
      <c r="P66" s="15"/>
    </row>
    <row r="67" spans="1:16005" ht="15.75" hidden="1" x14ac:dyDescent="0.2">
      <c r="A67" s="72"/>
      <c r="B67" s="73"/>
      <c r="C67" s="73"/>
      <c r="D67" s="73"/>
      <c r="E67" s="73"/>
      <c r="F67" s="73"/>
      <c r="G67" s="32" t="s">
        <v>429</v>
      </c>
      <c r="H67" s="73" t="s">
        <v>50</v>
      </c>
      <c r="I67" s="73">
        <v>31.42</v>
      </c>
      <c r="J67" s="73">
        <f>gibarbedwire_12g</f>
        <v>93.63</v>
      </c>
      <c r="K67" s="73">
        <f>I67*J67</f>
        <v>2941.85</v>
      </c>
      <c r="L67" s="64"/>
      <c r="M67" s="36"/>
      <c r="N67" s="36"/>
      <c r="O67" s="64"/>
      <c r="P67" s="15"/>
    </row>
    <row r="68" spans="1:16005" ht="31.5" hidden="1" x14ac:dyDescent="0.2">
      <c r="A68" s="72"/>
      <c r="B68" s="73"/>
      <c r="C68" s="73"/>
      <c r="D68" s="73"/>
      <c r="E68" s="73"/>
      <c r="F68" s="73"/>
      <c r="G68" s="70" t="s">
        <v>430</v>
      </c>
      <c r="H68" s="1069" t="s">
        <v>431</v>
      </c>
      <c r="I68" s="1070"/>
      <c r="J68" s="1071"/>
      <c r="K68" s="73">
        <f>5%*K67</f>
        <v>147.09</v>
      </c>
      <c r="L68" s="64"/>
      <c r="M68" s="36"/>
      <c r="N68" s="36"/>
      <c r="O68" s="64"/>
      <c r="P68" s="15"/>
    </row>
    <row r="69" spans="1:16005" ht="15.75" hidden="1" x14ac:dyDescent="0.2">
      <c r="A69" s="1005" t="s">
        <v>34</v>
      </c>
      <c r="B69" s="1006"/>
      <c r="C69" s="1006"/>
      <c r="D69" s="1006"/>
      <c r="E69" s="1006"/>
      <c r="F69" s="73">
        <f>SUM(F65+F64)</f>
        <v>2615</v>
      </c>
      <c r="G69" s="1006" t="s">
        <v>35</v>
      </c>
      <c r="H69" s="1006"/>
      <c r="I69" s="1006"/>
      <c r="J69" s="1006"/>
      <c r="K69" s="73">
        <f>SUM(K64:K68)</f>
        <v>23893.31</v>
      </c>
      <c r="L69" s="1006" t="s">
        <v>36</v>
      </c>
      <c r="M69" s="1006"/>
      <c r="N69" s="1006"/>
      <c r="O69" s="1006"/>
      <c r="P69" s="61">
        <f>SUM(P64:P65)</f>
        <v>0</v>
      </c>
    </row>
    <row r="70" spans="1:16005" ht="15.75" hidden="1" x14ac:dyDescent="0.2">
      <c r="A70" s="1005" t="s">
        <v>487</v>
      </c>
      <c r="B70" s="1006"/>
      <c r="C70" s="1006"/>
      <c r="D70" s="1006"/>
      <c r="E70" s="1006"/>
      <c r="F70" s="74">
        <f>SUM(F69+K69+P69)</f>
        <v>26508.31</v>
      </c>
      <c r="G70" s="1006"/>
      <c r="H70" s="1006"/>
      <c r="I70" s="1006"/>
      <c r="J70" s="1006"/>
      <c r="K70" s="1006"/>
      <c r="L70" s="74"/>
      <c r="M70" s="90"/>
      <c r="N70" s="292"/>
      <c r="O70" s="292"/>
      <c r="P70" s="16"/>
    </row>
    <row r="71" spans="1:16005" s="296" customFormat="1" ht="13.5" hidden="1" customHeight="1" thickBot="1" x14ac:dyDescent="0.25">
      <c r="A71" s="293"/>
      <c r="B71" s="1073" t="s">
        <v>110</v>
      </c>
      <c r="C71" s="1074"/>
      <c r="D71" s="1074"/>
      <c r="E71" s="1075"/>
      <c r="F71" s="17">
        <f>15%*F70</f>
        <v>3976.25</v>
      </c>
      <c r="G71" s="294"/>
      <c r="H71" s="294"/>
      <c r="I71" s="294"/>
      <c r="J71" s="294"/>
      <c r="K71" s="294"/>
      <c r="L71" s="294"/>
      <c r="M71" s="295"/>
      <c r="N71" s="1041" t="s">
        <v>53</v>
      </c>
      <c r="O71" s="1042"/>
      <c r="P71" s="76">
        <f>(F71+F70)/P61</f>
        <v>1016.15</v>
      </c>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3"/>
      <c r="BG71" s="63"/>
      <c r="BH71" s="63"/>
      <c r="BI71" s="63"/>
      <c r="BJ71" s="63"/>
      <c r="BK71" s="63"/>
      <c r="BL71" s="63"/>
      <c r="BM71" s="63"/>
      <c r="BN71" s="63"/>
      <c r="BO71" s="63"/>
      <c r="BP71" s="63"/>
      <c r="BQ71" s="63"/>
      <c r="BR71" s="63"/>
      <c r="BS71" s="63"/>
      <c r="BT71" s="63"/>
      <c r="BU71" s="63"/>
      <c r="BV71" s="63"/>
      <c r="BW71" s="63"/>
      <c r="BX71" s="63"/>
      <c r="BY71" s="63"/>
      <c r="BZ71" s="63"/>
      <c r="CA71" s="63"/>
      <c r="CB71" s="63"/>
      <c r="CC71" s="63"/>
      <c r="CD71" s="63"/>
      <c r="CE71" s="63"/>
      <c r="CF71" s="63"/>
      <c r="CG71" s="63"/>
      <c r="CH71" s="63"/>
      <c r="CI71" s="63"/>
      <c r="CJ71" s="63"/>
      <c r="CK71" s="63"/>
      <c r="CL71" s="63"/>
      <c r="CM71" s="63"/>
      <c r="CN71" s="63"/>
      <c r="CO71" s="63"/>
      <c r="CP71" s="63"/>
      <c r="CQ71" s="63"/>
      <c r="CR71" s="63"/>
      <c r="CS71" s="63"/>
      <c r="CT71" s="63"/>
      <c r="CU71" s="63"/>
      <c r="CV71" s="63"/>
      <c r="CW71" s="63"/>
      <c r="CX71" s="63"/>
      <c r="CY71" s="63"/>
      <c r="CZ71" s="63"/>
      <c r="DA71" s="63"/>
      <c r="DB71" s="63"/>
      <c r="DC71" s="63"/>
      <c r="DD71" s="63"/>
      <c r="DE71" s="63"/>
      <c r="DF71" s="63"/>
      <c r="DG71" s="63"/>
      <c r="DH71" s="63"/>
      <c r="DI71" s="63"/>
      <c r="DJ71" s="63"/>
      <c r="DK71" s="63"/>
      <c r="DL71" s="63"/>
      <c r="DM71" s="63"/>
      <c r="DN71" s="63"/>
      <c r="DO71" s="63"/>
      <c r="DP71" s="63"/>
      <c r="DQ71" s="63"/>
      <c r="DR71" s="63"/>
      <c r="DS71" s="63"/>
      <c r="DT71" s="63"/>
      <c r="DU71" s="63"/>
      <c r="DV71" s="63"/>
      <c r="DW71" s="63"/>
      <c r="DX71" s="63"/>
      <c r="DY71" s="63"/>
      <c r="DZ71" s="63"/>
      <c r="EA71" s="63"/>
      <c r="EB71" s="63"/>
      <c r="EC71" s="63"/>
      <c r="ED71" s="63"/>
      <c r="EE71" s="63"/>
      <c r="EF71" s="63"/>
      <c r="EG71" s="63"/>
      <c r="EH71" s="63"/>
      <c r="EI71" s="63"/>
      <c r="EJ71" s="63"/>
      <c r="EK71" s="63"/>
      <c r="EL71" s="63"/>
      <c r="EM71" s="63"/>
      <c r="EN71" s="63"/>
      <c r="EO71" s="63"/>
      <c r="EP71" s="63"/>
      <c r="EQ71" s="63"/>
      <c r="ER71" s="63"/>
      <c r="ES71" s="63"/>
      <c r="ET71" s="63"/>
      <c r="EU71" s="63"/>
      <c r="EV71" s="63"/>
      <c r="EW71" s="63"/>
      <c r="EX71" s="63"/>
      <c r="EY71" s="63"/>
      <c r="EZ71" s="63"/>
      <c r="FA71" s="63"/>
      <c r="FB71" s="63"/>
      <c r="FC71" s="63"/>
      <c r="FD71" s="63"/>
      <c r="FE71" s="63"/>
      <c r="FF71" s="63"/>
      <c r="FG71" s="63"/>
      <c r="FH71" s="63"/>
      <c r="FI71" s="63"/>
      <c r="FJ71" s="63"/>
      <c r="FK71" s="63"/>
      <c r="FL71" s="63"/>
      <c r="FM71" s="63"/>
      <c r="FN71" s="63"/>
      <c r="FO71" s="63"/>
      <c r="FP71" s="63"/>
      <c r="FQ71" s="63"/>
      <c r="FR71" s="63"/>
      <c r="FS71" s="63"/>
      <c r="FT71" s="63"/>
      <c r="FU71" s="63"/>
      <c r="FV71" s="63"/>
      <c r="FW71" s="63"/>
      <c r="FX71" s="63"/>
      <c r="FY71" s="63"/>
      <c r="FZ71" s="63"/>
      <c r="GA71" s="63"/>
      <c r="GB71" s="63"/>
      <c r="GC71" s="63"/>
      <c r="GD71" s="63"/>
      <c r="GE71" s="63"/>
      <c r="GF71" s="63"/>
      <c r="GG71" s="63"/>
      <c r="GH71" s="63"/>
      <c r="GI71" s="63"/>
      <c r="GJ71" s="63"/>
      <c r="GK71" s="63"/>
      <c r="GL71" s="63"/>
      <c r="GM71" s="63"/>
      <c r="GN71" s="63"/>
      <c r="GO71" s="63"/>
      <c r="GP71" s="63"/>
      <c r="GQ71" s="63"/>
      <c r="GR71" s="63"/>
      <c r="GS71" s="63"/>
      <c r="GT71" s="63"/>
      <c r="GU71" s="63"/>
      <c r="GV71" s="63"/>
      <c r="GW71" s="63"/>
      <c r="GX71" s="63"/>
      <c r="GY71" s="63"/>
      <c r="GZ71" s="63"/>
      <c r="HA71" s="63"/>
      <c r="HB71" s="63"/>
      <c r="HC71" s="63"/>
      <c r="HD71" s="63"/>
      <c r="HE71" s="63"/>
      <c r="HF71" s="63"/>
      <c r="HG71" s="63"/>
      <c r="HH71" s="63"/>
      <c r="HI71" s="63"/>
      <c r="HJ71" s="63"/>
      <c r="HK71" s="63"/>
      <c r="HL71" s="63"/>
      <c r="HM71" s="63"/>
      <c r="HN71" s="63"/>
      <c r="HO71" s="63"/>
      <c r="HP71" s="63"/>
      <c r="HQ71" s="63"/>
      <c r="HR71" s="63"/>
      <c r="HS71" s="63"/>
      <c r="HT71" s="63"/>
      <c r="HU71" s="63"/>
      <c r="HV71" s="63"/>
      <c r="HW71" s="63"/>
      <c r="HX71" s="63"/>
      <c r="HY71" s="63"/>
      <c r="HZ71" s="63"/>
      <c r="IA71" s="63"/>
      <c r="IB71" s="63"/>
      <c r="IC71" s="63"/>
      <c r="ID71" s="63"/>
      <c r="IE71" s="63"/>
      <c r="IF71" s="63"/>
      <c r="IG71" s="63"/>
      <c r="IH71" s="63"/>
      <c r="II71" s="63"/>
      <c r="IJ71" s="63"/>
      <c r="IK71" s="63"/>
      <c r="IL71" s="63"/>
      <c r="IM71" s="63"/>
      <c r="IN71" s="63"/>
      <c r="IO71" s="63"/>
      <c r="IP71" s="63"/>
      <c r="IQ71" s="63"/>
      <c r="IR71" s="63"/>
      <c r="IS71" s="63"/>
      <c r="IT71" s="63"/>
      <c r="IU71" s="63"/>
      <c r="IV71" s="63"/>
      <c r="IW71" s="63"/>
      <c r="IX71" s="63"/>
      <c r="IY71" s="63"/>
      <c r="IZ71" s="63"/>
      <c r="JA71" s="63"/>
      <c r="JB71" s="63"/>
      <c r="JC71" s="63"/>
      <c r="JD71" s="63"/>
      <c r="JE71" s="63"/>
      <c r="JF71" s="63"/>
      <c r="JG71" s="63"/>
      <c r="JH71" s="63"/>
      <c r="JI71" s="63"/>
      <c r="JJ71" s="63"/>
      <c r="JK71" s="63"/>
      <c r="JL71" s="63"/>
      <c r="JM71" s="63"/>
      <c r="JN71" s="63"/>
      <c r="JO71" s="63"/>
      <c r="JP71" s="63"/>
      <c r="JQ71" s="63"/>
      <c r="JR71" s="63"/>
      <c r="JS71" s="63"/>
      <c r="JT71" s="63"/>
      <c r="JU71" s="63"/>
      <c r="JV71" s="63"/>
      <c r="JW71" s="63"/>
      <c r="JX71" s="63"/>
      <c r="JY71" s="63"/>
      <c r="JZ71" s="63"/>
      <c r="KA71" s="63"/>
      <c r="KB71" s="63"/>
      <c r="KC71" s="63"/>
      <c r="KD71" s="63"/>
      <c r="KE71" s="63"/>
      <c r="KF71" s="63"/>
      <c r="KG71" s="63"/>
      <c r="KH71" s="63"/>
      <c r="KI71" s="63"/>
      <c r="KJ71" s="63"/>
      <c r="KK71" s="63"/>
      <c r="KL71" s="63"/>
      <c r="KM71" s="63"/>
      <c r="KN71" s="63"/>
      <c r="KO71" s="63"/>
      <c r="KP71" s="63"/>
      <c r="KQ71" s="63"/>
      <c r="KR71" s="63"/>
      <c r="KS71" s="63"/>
      <c r="KT71" s="63"/>
      <c r="KU71" s="63"/>
      <c r="KV71" s="63"/>
      <c r="KW71" s="63"/>
      <c r="KX71" s="63"/>
      <c r="KY71" s="63"/>
      <c r="KZ71" s="63"/>
      <c r="LA71" s="63"/>
      <c r="LB71" s="63"/>
      <c r="LC71" s="63"/>
      <c r="LD71" s="63"/>
      <c r="LE71" s="63"/>
      <c r="LF71" s="63"/>
      <c r="LG71" s="63"/>
      <c r="LH71" s="63"/>
      <c r="LI71" s="63"/>
      <c r="LJ71" s="63"/>
      <c r="LK71" s="63"/>
      <c r="LL71" s="63"/>
      <c r="LM71" s="63"/>
      <c r="LN71" s="63"/>
      <c r="LO71" s="63"/>
      <c r="LP71" s="63"/>
      <c r="LQ71" s="63"/>
      <c r="LR71" s="63"/>
      <c r="LS71" s="63"/>
      <c r="LT71" s="63"/>
      <c r="LU71" s="63"/>
      <c r="LV71" s="63"/>
      <c r="LW71" s="63"/>
      <c r="LX71" s="63"/>
      <c r="LY71" s="63"/>
      <c r="LZ71" s="63"/>
      <c r="MA71" s="63"/>
      <c r="MB71" s="63"/>
      <c r="MC71" s="63"/>
      <c r="MD71" s="63"/>
      <c r="ME71" s="63"/>
      <c r="MF71" s="63"/>
      <c r="MG71" s="63"/>
      <c r="MH71" s="63"/>
      <c r="MI71" s="63"/>
      <c r="MJ71" s="63"/>
      <c r="MK71" s="63"/>
      <c r="ML71" s="63"/>
      <c r="MM71" s="63"/>
      <c r="MN71" s="63"/>
      <c r="MO71" s="63"/>
      <c r="MP71" s="63"/>
      <c r="MQ71" s="63"/>
      <c r="MR71" s="63"/>
      <c r="MS71" s="63"/>
      <c r="MT71" s="63"/>
      <c r="MU71" s="63"/>
      <c r="MV71" s="63"/>
      <c r="MW71" s="63"/>
      <c r="MX71" s="63"/>
      <c r="MY71" s="63"/>
      <c r="MZ71" s="63"/>
      <c r="NA71" s="63"/>
      <c r="NB71" s="63"/>
      <c r="NC71" s="63"/>
      <c r="ND71" s="63"/>
      <c r="NE71" s="63"/>
      <c r="NF71" s="63"/>
      <c r="NG71" s="63"/>
      <c r="NH71" s="63"/>
      <c r="NI71" s="63"/>
      <c r="NJ71" s="63"/>
      <c r="NK71" s="63"/>
      <c r="NL71" s="63"/>
      <c r="NM71" s="63"/>
      <c r="NN71" s="63"/>
      <c r="NO71" s="63"/>
      <c r="NP71" s="63"/>
      <c r="NQ71" s="63"/>
      <c r="NR71" s="63"/>
      <c r="NS71" s="63"/>
      <c r="NT71" s="63"/>
      <c r="NU71" s="63"/>
      <c r="NV71" s="63"/>
      <c r="NW71" s="63"/>
      <c r="NX71" s="63"/>
      <c r="NY71" s="63"/>
      <c r="NZ71" s="63"/>
      <c r="OA71" s="63"/>
      <c r="OB71" s="63"/>
      <c r="OC71" s="63"/>
      <c r="OD71" s="63"/>
      <c r="OE71" s="63"/>
      <c r="OF71" s="63"/>
      <c r="OG71" s="63"/>
      <c r="OH71" s="63"/>
      <c r="OI71" s="63"/>
      <c r="OJ71" s="63"/>
      <c r="OK71" s="63"/>
      <c r="OL71" s="63"/>
      <c r="OM71" s="63"/>
      <c r="ON71" s="63"/>
      <c r="OO71" s="63"/>
      <c r="OP71" s="63"/>
      <c r="OQ71" s="63"/>
      <c r="OR71" s="63"/>
      <c r="OS71" s="63"/>
      <c r="OT71" s="63"/>
      <c r="OU71" s="63"/>
      <c r="OV71" s="63"/>
      <c r="OW71" s="63"/>
      <c r="OX71" s="63"/>
      <c r="OY71" s="63"/>
      <c r="OZ71" s="63"/>
      <c r="PA71" s="63"/>
      <c r="PB71" s="63"/>
      <c r="PC71" s="63"/>
      <c r="PD71" s="63"/>
      <c r="PE71" s="63"/>
      <c r="PF71" s="63"/>
      <c r="PG71" s="63"/>
      <c r="PH71" s="63"/>
      <c r="PI71" s="63"/>
      <c r="PJ71" s="63"/>
      <c r="PK71" s="63"/>
      <c r="PL71" s="63"/>
      <c r="PM71" s="63"/>
      <c r="PN71" s="63"/>
      <c r="PO71" s="63"/>
      <c r="PP71" s="63"/>
      <c r="PQ71" s="63"/>
      <c r="PR71" s="63"/>
      <c r="PS71" s="63"/>
      <c r="PT71" s="63"/>
      <c r="PU71" s="63"/>
      <c r="PV71" s="63"/>
      <c r="PW71" s="63"/>
      <c r="PX71" s="63"/>
      <c r="PY71" s="63"/>
      <c r="PZ71" s="63"/>
      <c r="QA71" s="63"/>
      <c r="QB71" s="63"/>
      <c r="QC71" s="63"/>
      <c r="QD71" s="63"/>
      <c r="QE71" s="63"/>
      <c r="QF71" s="63"/>
      <c r="QG71" s="63"/>
      <c r="QH71" s="63"/>
      <c r="QI71" s="63"/>
      <c r="QJ71" s="63"/>
      <c r="QK71" s="63"/>
      <c r="QL71" s="63"/>
      <c r="QM71" s="63"/>
      <c r="QN71" s="63"/>
      <c r="QO71" s="63"/>
      <c r="QP71" s="63"/>
      <c r="QQ71" s="63"/>
      <c r="QR71" s="63"/>
      <c r="QS71" s="63"/>
      <c r="QT71" s="63"/>
      <c r="QU71" s="63"/>
      <c r="QV71" s="63"/>
      <c r="QW71" s="63"/>
      <c r="QX71" s="63"/>
      <c r="QY71" s="63"/>
      <c r="QZ71" s="63"/>
      <c r="RA71" s="63"/>
      <c r="RB71" s="63"/>
      <c r="RC71" s="63"/>
      <c r="RD71" s="63"/>
      <c r="RE71" s="63"/>
      <c r="RF71" s="63"/>
      <c r="RG71" s="63"/>
      <c r="RH71" s="63"/>
      <c r="RI71" s="63"/>
      <c r="RJ71" s="63"/>
      <c r="RK71" s="63"/>
      <c r="RL71" s="63"/>
      <c r="RM71" s="63"/>
      <c r="RN71" s="63"/>
      <c r="RO71" s="63"/>
      <c r="RP71" s="63"/>
      <c r="RQ71" s="63"/>
      <c r="RR71" s="63"/>
      <c r="RS71" s="63"/>
      <c r="RT71" s="63"/>
      <c r="RU71" s="63"/>
      <c r="RV71" s="63"/>
      <c r="RW71" s="63"/>
      <c r="RX71" s="63"/>
      <c r="RY71" s="63"/>
      <c r="RZ71" s="63"/>
      <c r="SA71" s="63"/>
      <c r="SB71" s="63"/>
      <c r="SC71" s="63"/>
      <c r="SD71" s="63"/>
      <c r="SE71" s="63"/>
      <c r="SF71" s="63"/>
      <c r="SG71" s="63"/>
      <c r="SH71" s="63"/>
      <c r="SI71" s="63"/>
      <c r="SJ71" s="63"/>
      <c r="SK71" s="63"/>
      <c r="SL71" s="63"/>
      <c r="SM71" s="63"/>
      <c r="SN71" s="63"/>
      <c r="SO71" s="63"/>
      <c r="SP71" s="63"/>
      <c r="SQ71" s="63"/>
      <c r="SR71" s="63"/>
      <c r="SS71" s="63"/>
      <c r="ST71" s="63"/>
      <c r="SU71" s="63"/>
      <c r="SV71" s="63"/>
      <c r="SW71" s="63"/>
      <c r="SX71" s="63"/>
      <c r="SY71" s="63"/>
      <c r="SZ71" s="63"/>
      <c r="TA71" s="63"/>
      <c r="TB71" s="63"/>
      <c r="TC71" s="63"/>
      <c r="TD71" s="63"/>
      <c r="TE71" s="63"/>
      <c r="TF71" s="63"/>
      <c r="TG71" s="63"/>
      <c r="TH71" s="63"/>
      <c r="TI71" s="63"/>
      <c r="TJ71" s="63"/>
      <c r="TK71" s="63"/>
      <c r="TL71" s="63"/>
      <c r="TM71" s="63"/>
      <c r="TN71" s="63"/>
      <c r="TO71" s="63"/>
      <c r="TP71" s="63"/>
      <c r="TQ71" s="63"/>
      <c r="TR71" s="63"/>
      <c r="TS71" s="63"/>
      <c r="TT71" s="63"/>
      <c r="TU71" s="63"/>
      <c r="TV71" s="63"/>
      <c r="TW71" s="63"/>
      <c r="TX71" s="63"/>
      <c r="TY71" s="63"/>
      <c r="TZ71" s="63"/>
      <c r="UA71" s="63"/>
      <c r="UB71" s="63"/>
      <c r="UC71" s="63"/>
      <c r="UD71" s="63"/>
      <c r="UE71" s="63"/>
      <c r="UF71" s="63"/>
      <c r="UG71" s="63"/>
      <c r="UH71" s="63"/>
      <c r="UI71" s="63"/>
      <c r="UJ71" s="63"/>
      <c r="UK71" s="63"/>
      <c r="UL71" s="63"/>
      <c r="UM71" s="63"/>
      <c r="UN71" s="63"/>
      <c r="UO71" s="63"/>
      <c r="UP71" s="63"/>
      <c r="UQ71" s="63"/>
      <c r="UR71" s="63"/>
      <c r="US71" s="63"/>
      <c r="UT71" s="63"/>
      <c r="UU71" s="63"/>
      <c r="UV71" s="63"/>
      <c r="UW71" s="63"/>
      <c r="UX71" s="63"/>
      <c r="UY71" s="63"/>
      <c r="UZ71" s="63"/>
      <c r="VA71" s="63"/>
      <c r="VB71" s="63"/>
      <c r="VC71" s="63"/>
      <c r="VD71" s="63"/>
      <c r="VE71" s="63"/>
      <c r="VF71" s="63"/>
      <c r="VG71" s="63"/>
      <c r="VH71" s="63"/>
      <c r="VI71" s="63"/>
      <c r="VJ71" s="63"/>
      <c r="VK71" s="63"/>
      <c r="VL71" s="63"/>
      <c r="VM71" s="63"/>
      <c r="VN71" s="63"/>
      <c r="VO71" s="63"/>
      <c r="VP71" s="63"/>
      <c r="VQ71" s="63"/>
      <c r="VR71" s="63"/>
      <c r="VS71" s="63"/>
      <c r="VT71" s="63"/>
      <c r="VU71" s="63"/>
      <c r="VV71" s="63"/>
      <c r="VW71" s="63"/>
      <c r="VX71" s="63"/>
      <c r="VY71" s="63"/>
      <c r="VZ71" s="63"/>
      <c r="WA71" s="63"/>
      <c r="WB71" s="63"/>
      <c r="WC71" s="63"/>
      <c r="WD71" s="63"/>
      <c r="WE71" s="63"/>
      <c r="WF71" s="63"/>
      <c r="WG71" s="63"/>
      <c r="WH71" s="63"/>
      <c r="WI71" s="63"/>
      <c r="WJ71" s="63"/>
      <c r="WK71" s="63"/>
      <c r="WL71" s="63"/>
      <c r="WM71" s="63"/>
      <c r="WN71" s="63"/>
      <c r="WO71" s="63"/>
      <c r="WP71" s="63"/>
      <c r="WQ71" s="63"/>
      <c r="WR71" s="63"/>
      <c r="WS71" s="63"/>
      <c r="WT71" s="63"/>
      <c r="WU71" s="63"/>
      <c r="WV71" s="63"/>
      <c r="WW71" s="63"/>
      <c r="WX71" s="63"/>
      <c r="WY71" s="63"/>
      <c r="WZ71" s="63"/>
      <c r="XA71" s="63"/>
      <c r="XB71" s="63"/>
      <c r="XC71" s="63"/>
      <c r="XD71" s="63"/>
      <c r="XE71" s="63"/>
      <c r="XF71" s="63"/>
      <c r="XG71" s="63"/>
      <c r="XH71" s="63"/>
      <c r="XI71" s="63"/>
      <c r="XJ71" s="63"/>
      <c r="XK71" s="63"/>
      <c r="XL71" s="63"/>
      <c r="XM71" s="63"/>
      <c r="XN71" s="63"/>
      <c r="XO71" s="63"/>
      <c r="XP71" s="63"/>
      <c r="XQ71" s="63"/>
      <c r="XR71" s="63"/>
      <c r="XS71" s="63"/>
      <c r="XT71" s="63"/>
      <c r="XU71" s="63"/>
      <c r="XV71" s="63"/>
      <c r="XW71" s="63"/>
      <c r="XX71" s="63"/>
      <c r="XY71" s="63"/>
      <c r="XZ71" s="63"/>
      <c r="YA71" s="63"/>
      <c r="YB71" s="63"/>
      <c r="YC71" s="63"/>
      <c r="YD71" s="63"/>
      <c r="YE71" s="63"/>
      <c r="YF71" s="63"/>
      <c r="YG71" s="63"/>
      <c r="YH71" s="63"/>
      <c r="YI71" s="63"/>
      <c r="YJ71" s="63"/>
      <c r="YK71" s="63"/>
      <c r="YL71" s="63"/>
      <c r="YM71" s="63"/>
      <c r="YN71" s="63"/>
      <c r="YO71" s="63"/>
      <c r="YP71" s="63"/>
      <c r="YQ71" s="63"/>
      <c r="YR71" s="63"/>
      <c r="YS71" s="63"/>
      <c r="YT71" s="63"/>
      <c r="YU71" s="63"/>
      <c r="YV71" s="63"/>
      <c r="YW71" s="63"/>
      <c r="YX71" s="63"/>
      <c r="YY71" s="63"/>
      <c r="YZ71" s="63"/>
      <c r="ZA71" s="63"/>
      <c r="ZB71" s="63"/>
      <c r="ZC71" s="63"/>
      <c r="ZD71" s="63"/>
      <c r="ZE71" s="63"/>
      <c r="ZF71" s="63"/>
      <c r="ZG71" s="63"/>
      <c r="ZH71" s="63"/>
      <c r="ZI71" s="63"/>
      <c r="ZJ71" s="63"/>
      <c r="ZK71" s="63"/>
      <c r="ZL71" s="63"/>
      <c r="ZM71" s="63"/>
      <c r="ZN71" s="63"/>
      <c r="ZO71" s="63"/>
      <c r="ZP71" s="63"/>
      <c r="ZQ71" s="63"/>
      <c r="ZR71" s="63"/>
      <c r="ZS71" s="63"/>
      <c r="ZT71" s="63"/>
      <c r="ZU71" s="63"/>
      <c r="ZV71" s="63"/>
      <c r="ZW71" s="63"/>
      <c r="ZX71" s="63"/>
      <c r="ZY71" s="63"/>
      <c r="ZZ71" s="63"/>
      <c r="AAA71" s="63"/>
      <c r="AAB71" s="63"/>
      <c r="AAC71" s="63"/>
      <c r="AAD71" s="63"/>
      <c r="AAE71" s="63"/>
      <c r="AAF71" s="63"/>
      <c r="AAG71" s="63"/>
      <c r="AAH71" s="63"/>
      <c r="AAI71" s="63"/>
      <c r="AAJ71" s="63"/>
      <c r="AAK71" s="63"/>
      <c r="AAL71" s="63"/>
      <c r="AAM71" s="63"/>
      <c r="AAN71" s="63"/>
      <c r="AAO71" s="63"/>
      <c r="AAP71" s="63"/>
      <c r="AAQ71" s="63"/>
      <c r="AAR71" s="63"/>
      <c r="AAS71" s="63"/>
      <c r="AAT71" s="63"/>
      <c r="AAU71" s="63"/>
      <c r="AAV71" s="63"/>
      <c r="AAW71" s="63"/>
      <c r="AAX71" s="63"/>
      <c r="AAY71" s="63"/>
      <c r="AAZ71" s="63"/>
      <c r="ABA71" s="63"/>
      <c r="ABB71" s="63"/>
      <c r="ABC71" s="63"/>
      <c r="ABD71" s="63"/>
      <c r="ABE71" s="63"/>
      <c r="ABF71" s="63"/>
      <c r="ABG71" s="63"/>
      <c r="ABH71" s="63"/>
      <c r="ABI71" s="63"/>
      <c r="ABJ71" s="63"/>
      <c r="ABK71" s="63"/>
      <c r="ABL71" s="63"/>
      <c r="ABM71" s="63"/>
      <c r="ABN71" s="63"/>
      <c r="ABO71" s="63"/>
      <c r="ABP71" s="63"/>
      <c r="ABQ71" s="63"/>
      <c r="ABR71" s="63"/>
      <c r="ABS71" s="63"/>
      <c r="ABT71" s="63"/>
      <c r="ABU71" s="63"/>
      <c r="ABV71" s="63"/>
      <c r="ABW71" s="63"/>
      <c r="ABX71" s="63"/>
      <c r="ABY71" s="63"/>
      <c r="ABZ71" s="63"/>
      <c r="ACA71" s="63"/>
      <c r="ACB71" s="63"/>
      <c r="ACC71" s="63"/>
      <c r="ACD71" s="63"/>
      <c r="ACE71" s="63"/>
      <c r="ACF71" s="63"/>
      <c r="ACG71" s="63"/>
      <c r="ACH71" s="63"/>
      <c r="ACI71" s="63"/>
      <c r="ACJ71" s="63"/>
      <c r="ACK71" s="63"/>
      <c r="ACL71" s="63"/>
      <c r="ACM71" s="63"/>
      <c r="ACN71" s="63"/>
      <c r="ACO71" s="63"/>
      <c r="ACP71" s="63"/>
      <c r="ACQ71" s="63"/>
      <c r="ACR71" s="63"/>
      <c r="ACS71" s="63"/>
      <c r="ACT71" s="63"/>
      <c r="ACU71" s="63"/>
      <c r="ACV71" s="63"/>
      <c r="ACW71" s="63"/>
      <c r="ACX71" s="63"/>
      <c r="ACY71" s="63"/>
      <c r="ACZ71" s="63"/>
      <c r="ADA71" s="63"/>
      <c r="ADB71" s="63"/>
      <c r="ADC71" s="63"/>
      <c r="ADD71" s="63"/>
      <c r="ADE71" s="63"/>
      <c r="ADF71" s="63"/>
      <c r="ADG71" s="63"/>
      <c r="ADH71" s="63"/>
      <c r="ADI71" s="63"/>
      <c r="ADJ71" s="63"/>
      <c r="ADK71" s="63"/>
      <c r="ADL71" s="63"/>
      <c r="ADM71" s="63"/>
      <c r="ADN71" s="63"/>
      <c r="ADO71" s="63"/>
      <c r="ADP71" s="63"/>
      <c r="ADQ71" s="63"/>
      <c r="ADR71" s="63"/>
      <c r="ADS71" s="63"/>
      <c r="ADT71" s="63"/>
      <c r="ADU71" s="63"/>
      <c r="ADV71" s="63"/>
      <c r="ADW71" s="63"/>
      <c r="ADX71" s="63"/>
      <c r="ADY71" s="63"/>
      <c r="ADZ71" s="63"/>
      <c r="AEA71" s="63"/>
      <c r="AEB71" s="63"/>
      <c r="AEC71" s="63"/>
      <c r="AED71" s="63"/>
      <c r="AEE71" s="63"/>
      <c r="AEF71" s="63"/>
      <c r="AEG71" s="63"/>
      <c r="AEH71" s="63"/>
      <c r="AEI71" s="63"/>
      <c r="AEJ71" s="63"/>
      <c r="AEK71" s="63"/>
      <c r="AEL71" s="63"/>
      <c r="AEM71" s="63"/>
      <c r="AEN71" s="63"/>
      <c r="AEO71" s="63"/>
      <c r="AEP71" s="63"/>
      <c r="AEQ71" s="63"/>
      <c r="AER71" s="63"/>
      <c r="AES71" s="63"/>
      <c r="AET71" s="63"/>
      <c r="AEU71" s="63"/>
      <c r="AEV71" s="63"/>
      <c r="AEW71" s="63"/>
      <c r="AEX71" s="63"/>
      <c r="AEY71" s="63"/>
      <c r="AEZ71" s="63"/>
      <c r="AFA71" s="63"/>
      <c r="AFB71" s="63"/>
      <c r="AFC71" s="63"/>
      <c r="AFD71" s="63"/>
      <c r="AFE71" s="63"/>
      <c r="AFF71" s="63"/>
      <c r="AFG71" s="63"/>
      <c r="AFH71" s="63"/>
      <c r="AFI71" s="63"/>
      <c r="AFJ71" s="63"/>
      <c r="AFK71" s="63"/>
      <c r="AFL71" s="63"/>
      <c r="AFM71" s="63"/>
      <c r="AFN71" s="63"/>
      <c r="AFO71" s="63"/>
      <c r="AFP71" s="63"/>
      <c r="AFQ71" s="63"/>
      <c r="AFR71" s="63"/>
      <c r="AFS71" s="63"/>
      <c r="AFT71" s="63"/>
      <c r="AFU71" s="63"/>
      <c r="AFV71" s="63"/>
      <c r="AFW71" s="63"/>
      <c r="AFX71" s="63"/>
      <c r="AFY71" s="63"/>
      <c r="AFZ71" s="63"/>
      <c r="AGA71" s="63"/>
      <c r="AGB71" s="63"/>
      <c r="AGC71" s="63"/>
      <c r="AGD71" s="63"/>
      <c r="AGE71" s="63"/>
      <c r="AGF71" s="63"/>
      <c r="AGG71" s="63"/>
      <c r="AGH71" s="63"/>
      <c r="AGI71" s="63"/>
      <c r="AGJ71" s="63"/>
      <c r="AGK71" s="63"/>
      <c r="AGL71" s="63"/>
      <c r="AGM71" s="63"/>
      <c r="AGN71" s="63"/>
      <c r="AGO71" s="63"/>
      <c r="AGP71" s="63"/>
      <c r="AGQ71" s="63"/>
      <c r="AGR71" s="63"/>
      <c r="AGS71" s="63"/>
      <c r="AGT71" s="63"/>
      <c r="AGU71" s="63"/>
      <c r="AGV71" s="63"/>
      <c r="AGW71" s="63"/>
      <c r="AGX71" s="63"/>
      <c r="AGY71" s="63"/>
      <c r="AGZ71" s="63"/>
      <c r="AHA71" s="63"/>
      <c r="AHB71" s="63"/>
      <c r="AHC71" s="63"/>
      <c r="AHD71" s="63"/>
      <c r="AHE71" s="63"/>
      <c r="AHF71" s="63"/>
      <c r="AHG71" s="63"/>
      <c r="AHH71" s="63"/>
      <c r="AHI71" s="63"/>
      <c r="AHJ71" s="63"/>
      <c r="AHK71" s="63"/>
      <c r="AHL71" s="63"/>
      <c r="AHM71" s="63"/>
      <c r="AHN71" s="63"/>
      <c r="AHO71" s="63"/>
      <c r="AHP71" s="63"/>
      <c r="AHQ71" s="63"/>
      <c r="AHR71" s="63"/>
      <c r="AHS71" s="63"/>
      <c r="AHT71" s="63"/>
      <c r="AHU71" s="63"/>
      <c r="AHV71" s="63"/>
      <c r="AHW71" s="63"/>
      <c r="AHX71" s="63"/>
      <c r="AHY71" s="63"/>
      <c r="AHZ71" s="63"/>
      <c r="AIA71" s="63"/>
      <c r="AIB71" s="63"/>
      <c r="AIC71" s="63"/>
      <c r="AID71" s="63"/>
      <c r="AIE71" s="63"/>
      <c r="AIF71" s="63"/>
      <c r="AIG71" s="63"/>
      <c r="AIH71" s="63"/>
      <c r="AII71" s="63"/>
      <c r="AIJ71" s="63"/>
      <c r="AIK71" s="63"/>
      <c r="AIL71" s="63"/>
      <c r="AIM71" s="63"/>
      <c r="AIN71" s="63"/>
      <c r="AIO71" s="63"/>
      <c r="AIP71" s="63"/>
      <c r="AIQ71" s="63"/>
      <c r="AIR71" s="63"/>
      <c r="AIS71" s="63"/>
      <c r="AIT71" s="63"/>
      <c r="AIU71" s="63"/>
      <c r="AIV71" s="63"/>
      <c r="AIW71" s="63"/>
      <c r="AIX71" s="63"/>
      <c r="AIY71" s="63"/>
      <c r="AIZ71" s="63"/>
      <c r="AJA71" s="63"/>
      <c r="AJB71" s="63"/>
      <c r="AJC71" s="63"/>
      <c r="AJD71" s="63"/>
      <c r="AJE71" s="63"/>
      <c r="AJF71" s="63"/>
      <c r="AJG71" s="63"/>
      <c r="AJH71" s="63"/>
      <c r="AJI71" s="63"/>
      <c r="AJJ71" s="63"/>
      <c r="AJK71" s="63"/>
      <c r="AJL71" s="63"/>
      <c r="AJM71" s="63"/>
      <c r="AJN71" s="63"/>
      <c r="AJO71" s="63"/>
      <c r="AJP71" s="63"/>
      <c r="AJQ71" s="63"/>
      <c r="AJR71" s="63"/>
      <c r="AJS71" s="63"/>
      <c r="AJT71" s="63"/>
      <c r="AJU71" s="63"/>
      <c r="AJV71" s="63"/>
      <c r="AJW71" s="63"/>
      <c r="AJX71" s="63"/>
      <c r="AJY71" s="63"/>
      <c r="AJZ71" s="63"/>
      <c r="AKA71" s="63"/>
      <c r="AKB71" s="63"/>
      <c r="AKC71" s="63"/>
      <c r="AKD71" s="63"/>
      <c r="AKE71" s="63"/>
      <c r="AKF71" s="63"/>
      <c r="AKG71" s="63"/>
      <c r="AKH71" s="63"/>
      <c r="AKI71" s="63"/>
      <c r="AKJ71" s="63"/>
      <c r="AKK71" s="63"/>
      <c r="AKL71" s="63"/>
      <c r="AKM71" s="63"/>
      <c r="AKN71" s="63"/>
      <c r="AKO71" s="63"/>
      <c r="AKP71" s="63"/>
      <c r="AKQ71" s="63"/>
      <c r="AKR71" s="63"/>
      <c r="AKS71" s="63"/>
      <c r="AKT71" s="63"/>
      <c r="AKU71" s="63"/>
      <c r="AKV71" s="63"/>
      <c r="AKW71" s="63"/>
      <c r="AKX71" s="63"/>
      <c r="AKY71" s="63"/>
      <c r="AKZ71" s="63"/>
      <c r="ALA71" s="63"/>
      <c r="ALB71" s="63"/>
      <c r="ALC71" s="63"/>
      <c r="ALD71" s="63"/>
      <c r="ALE71" s="63"/>
      <c r="ALF71" s="63"/>
      <c r="ALG71" s="63"/>
      <c r="ALH71" s="63"/>
      <c r="ALI71" s="63"/>
      <c r="ALJ71" s="63"/>
      <c r="ALK71" s="63"/>
      <c r="ALL71" s="63"/>
      <c r="ALM71" s="63"/>
      <c r="ALN71" s="63"/>
      <c r="ALO71" s="63"/>
      <c r="ALP71" s="63"/>
      <c r="ALQ71" s="63"/>
      <c r="ALR71" s="63"/>
      <c r="ALS71" s="63"/>
      <c r="ALT71" s="63"/>
      <c r="ALU71" s="63"/>
      <c r="ALV71" s="63"/>
      <c r="ALW71" s="63"/>
      <c r="ALX71" s="63"/>
      <c r="ALY71" s="63"/>
      <c r="ALZ71" s="63"/>
      <c r="AMA71" s="63"/>
      <c r="AMB71" s="63"/>
      <c r="AMC71" s="63"/>
      <c r="AMD71" s="63"/>
      <c r="AME71" s="63"/>
      <c r="AMF71" s="63"/>
      <c r="AMG71" s="63"/>
      <c r="AMH71" s="63"/>
      <c r="AMI71" s="63"/>
      <c r="AMJ71" s="63"/>
      <c r="AMK71" s="63"/>
      <c r="AML71" s="63"/>
      <c r="AMM71" s="63"/>
      <c r="AMN71" s="63"/>
      <c r="AMO71" s="63"/>
      <c r="AMP71" s="63"/>
      <c r="AMQ71" s="63"/>
      <c r="AMR71" s="63"/>
      <c r="AMS71" s="63"/>
      <c r="AMT71" s="63"/>
      <c r="AMU71" s="63"/>
      <c r="AMV71" s="63"/>
      <c r="AMW71" s="63"/>
      <c r="AMX71" s="63"/>
      <c r="AMY71" s="63"/>
      <c r="AMZ71" s="63"/>
      <c r="ANA71" s="63"/>
      <c r="ANB71" s="63"/>
      <c r="ANC71" s="63"/>
      <c r="AND71" s="63"/>
      <c r="ANE71" s="63"/>
      <c r="ANF71" s="63"/>
      <c r="ANG71" s="63"/>
      <c r="ANH71" s="63"/>
      <c r="ANI71" s="63"/>
      <c r="ANJ71" s="63"/>
      <c r="ANK71" s="63"/>
      <c r="ANL71" s="63"/>
      <c r="ANM71" s="63"/>
      <c r="ANN71" s="63"/>
      <c r="ANO71" s="63"/>
      <c r="ANP71" s="63"/>
      <c r="ANQ71" s="63"/>
      <c r="ANR71" s="63"/>
      <c r="ANS71" s="63"/>
      <c r="ANT71" s="63"/>
      <c r="ANU71" s="63"/>
      <c r="ANV71" s="63"/>
      <c r="ANW71" s="63"/>
      <c r="ANX71" s="63"/>
      <c r="ANY71" s="63"/>
      <c r="ANZ71" s="63"/>
      <c r="AOA71" s="63"/>
      <c r="AOB71" s="63"/>
      <c r="AOC71" s="63"/>
      <c r="AOD71" s="63"/>
      <c r="AOE71" s="63"/>
      <c r="AOF71" s="63"/>
      <c r="AOG71" s="63"/>
      <c r="AOH71" s="63"/>
      <c r="AOI71" s="63"/>
      <c r="AOJ71" s="63"/>
      <c r="AOK71" s="63"/>
      <c r="AOL71" s="63"/>
      <c r="AOM71" s="63"/>
      <c r="AON71" s="63"/>
      <c r="AOO71" s="63"/>
      <c r="AOP71" s="63"/>
      <c r="AOQ71" s="63"/>
      <c r="AOR71" s="63"/>
      <c r="AOS71" s="63"/>
      <c r="AOT71" s="63"/>
      <c r="AOU71" s="63"/>
      <c r="AOV71" s="63"/>
      <c r="AOW71" s="63"/>
      <c r="AOX71" s="63"/>
      <c r="AOY71" s="63"/>
      <c r="AOZ71" s="63"/>
      <c r="APA71" s="63"/>
      <c r="APB71" s="63"/>
      <c r="APC71" s="63"/>
      <c r="APD71" s="63"/>
      <c r="APE71" s="63"/>
      <c r="APF71" s="63"/>
      <c r="APG71" s="63"/>
      <c r="APH71" s="63"/>
      <c r="API71" s="63"/>
      <c r="APJ71" s="63"/>
      <c r="APK71" s="63"/>
      <c r="APL71" s="63"/>
      <c r="APM71" s="63"/>
      <c r="APN71" s="63"/>
      <c r="APO71" s="63"/>
      <c r="APP71" s="63"/>
      <c r="APQ71" s="63"/>
      <c r="APR71" s="63"/>
      <c r="APS71" s="63"/>
      <c r="APT71" s="63"/>
      <c r="APU71" s="63"/>
      <c r="APV71" s="63"/>
      <c r="APW71" s="63"/>
      <c r="APX71" s="63"/>
      <c r="APY71" s="63"/>
      <c r="APZ71" s="63"/>
      <c r="AQA71" s="63"/>
      <c r="AQB71" s="63"/>
      <c r="AQC71" s="63"/>
      <c r="AQD71" s="63"/>
      <c r="AQE71" s="63"/>
      <c r="AQF71" s="63"/>
      <c r="AQG71" s="63"/>
      <c r="AQH71" s="63"/>
      <c r="AQI71" s="63"/>
      <c r="AQJ71" s="63"/>
      <c r="AQK71" s="63"/>
      <c r="AQL71" s="63"/>
      <c r="AQM71" s="63"/>
      <c r="AQN71" s="63"/>
      <c r="AQO71" s="63"/>
      <c r="AQP71" s="63"/>
      <c r="AQQ71" s="63"/>
      <c r="AQR71" s="63"/>
      <c r="AQS71" s="63"/>
      <c r="AQT71" s="63"/>
      <c r="AQU71" s="63"/>
      <c r="AQV71" s="63"/>
      <c r="AQW71" s="63"/>
      <c r="AQX71" s="63"/>
      <c r="AQY71" s="63"/>
      <c r="AQZ71" s="63"/>
      <c r="ARA71" s="63"/>
      <c r="ARB71" s="63"/>
      <c r="ARC71" s="63"/>
      <c r="ARD71" s="63"/>
      <c r="ARE71" s="63"/>
      <c r="ARF71" s="63"/>
      <c r="ARG71" s="63"/>
      <c r="ARH71" s="63"/>
      <c r="ARI71" s="63"/>
      <c r="ARJ71" s="63"/>
      <c r="ARK71" s="63"/>
      <c r="ARL71" s="63"/>
      <c r="ARM71" s="63"/>
      <c r="ARN71" s="63"/>
      <c r="ARO71" s="63"/>
      <c r="ARP71" s="63"/>
      <c r="ARQ71" s="63"/>
      <c r="ARR71" s="63"/>
      <c r="ARS71" s="63"/>
      <c r="ART71" s="63"/>
      <c r="ARU71" s="63"/>
      <c r="ARV71" s="63"/>
      <c r="ARW71" s="63"/>
      <c r="ARX71" s="63"/>
      <c r="ARY71" s="63"/>
      <c r="ARZ71" s="63"/>
      <c r="ASA71" s="63"/>
      <c r="ASB71" s="63"/>
      <c r="ASC71" s="63"/>
      <c r="ASD71" s="63"/>
      <c r="ASE71" s="63"/>
      <c r="ASF71" s="63"/>
      <c r="ASG71" s="63"/>
      <c r="ASH71" s="63"/>
      <c r="ASI71" s="63"/>
      <c r="ASJ71" s="63"/>
      <c r="ASK71" s="63"/>
      <c r="ASL71" s="63"/>
      <c r="ASM71" s="63"/>
      <c r="ASN71" s="63"/>
      <c r="ASO71" s="63"/>
      <c r="ASP71" s="63"/>
      <c r="ASQ71" s="63"/>
      <c r="ASR71" s="63"/>
      <c r="ASS71" s="63"/>
      <c r="AST71" s="63"/>
      <c r="ASU71" s="63"/>
      <c r="ASV71" s="63"/>
      <c r="ASW71" s="63"/>
      <c r="ASX71" s="63"/>
      <c r="ASY71" s="63"/>
      <c r="ASZ71" s="63"/>
      <c r="ATA71" s="63"/>
      <c r="ATB71" s="63"/>
      <c r="ATC71" s="63"/>
      <c r="ATD71" s="63"/>
      <c r="ATE71" s="63"/>
      <c r="ATF71" s="63"/>
      <c r="ATG71" s="63"/>
      <c r="ATH71" s="63"/>
      <c r="ATI71" s="63"/>
      <c r="ATJ71" s="63"/>
      <c r="ATK71" s="63"/>
      <c r="ATL71" s="63"/>
      <c r="ATM71" s="63"/>
      <c r="ATN71" s="63"/>
      <c r="ATO71" s="63"/>
      <c r="ATP71" s="63"/>
      <c r="ATQ71" s="63"/>
      <c r="ATR71" s="63"/>
      <c r="ATS71" s="63"/>
      <c r="ATT71" s="63"/>
      <c r="ATU71" s="63"/>
      <c r="ATV71" s="63"/>
      <c r="ATW71" s="63"/>
      <c r="ATX71" s="63"/>
      <c r="ATY71" s="63"/>
      <c r="ATZ71" s="63"/>
      <c r="AUA71" s="63"/>
      <c r="AUB71" s="63"/>
      <c r="AUC71" s="63"/>
      <c r="AUD71" s="63"/>
      <c r="AUE71" s="63"/>
      <c r="AUF71" s="63"/>
      <c r="AUG71" s="63"/>
      <c r="AUH71" s="63"/>
      <c r="AUI71" s="63"/>
      <c r="AUJ71" s="63"/>
      <c r="AUK71" s="63"/>
      <c r="AUL71" s="63"/>
      <c r="AUM71" s="63"/>
      <c r="AUN71" s="63"/>
      <c r="AUO71" s="63"/>
      <c r="AUP71" s="63"/>
      <c r="AUQ71" s="63"/>
      <c r="AUR71" s="63"/>
      <c r="AUS71" s="63"/>
      <c r="AUT71" s="63"/>
      <c r="AUU71" s="63"/>
      <c r="AUV71" s="63"/>
      <c r="AUW71" s="63"/>
      <c r="AUX71" s="63"/>
      <c r="AUY71" s="63"/>
      <c r="AUZ71" s="63"/>
      <c r="AVA71" s="63"/>
      <c r="AVB71" s="63"/>
      <c r="AVC71" s="63"/>
      <c r="AVD71" s="63"/>
      <c r="AVE71" s="63"/>
      <c r="AVF71" s="63"/>
      <c r="AVG71" s="63"/>
      <c r="AVH71" s="63"/>
      <c r="AVI71" s="63"/>
      <c r="AVJ71" s="63"/>
      <c r="AVK71" s="63"/>
      <c r="AVL71" s="63"/>
      <c r="AVM71" s="63"/>
      <c r="AVN71" s="63"/>
      <c r="AVO71" s="63"/>
      <c r="AVP71" s="63"/>
      <c r="AVQ71" s="63"/>
      <c r="AVR71" s="63"/>
      <c r="AVS71" s="63"/>
      <c r="AVT71" s="63"/>
      <c r="AVU71" s="63"/>
      <c r="AVV71" s="63"/>
      <c r="AVW71" s="63"/>
      <c r="AVX71" s="63"/>
      <c r="AVY71" s="63"/>
      <c r="AVZ71" s="63"/>
      <c r="AWA71" s="63"/>
      <c r="AWB71" s="63"/>
      <c r="AWC71" s="63"/>
      <c r="AWD71" s="63"/>
      <c r="AWE71" s="63"/>
      <c r="AWF71" s="63"/>
      <c r="AWG71" s="63"/>
      <c r="AWH71" s="63"/>
      <c r="AWI71" s="63"/>
      <c r="AWJ71" s="63"/>
      <c r="AWK71" s="63"/>
      <c r="AWL71" s="63"/>
      <c r="AWM71" s="63"/>
      <c r="AWN71" s="63"/>
      <c r="AWO71" s="63"/>
      <c r="AWP71" s="63"/>
      <c r="AWQ71" s="63"/>
      <c r="AWR71" s="63"/>
      <c r="AWS71" s="63"/>
      <c r="AWT71" s="63"/>
      <c r="AWU71" s="63"/>
      <c r="AWV71" s="63"/>
      <c r="AWW71" s="63"/>
      <c r="AWX71" s="63"/>
      <c r="AWY71" s="63"/>
      <c r="AWZ71" s="63"/>
      <c r="AXA71" s="63"/>
      <c r="AXB71" s="63"/>
      <c r="AXC71" s="63"/>
      <c r="AXD71" s="63"/>
      <c r="AXE71" s="63"/>
      <c r="AXF71" s="63"/>
      <c r="AXG71" s="63"/>
      <c r="AXH71" s="63"/>
      <c r="AXI71" s="63"/>
      <c r="AXJ71" s="63"/>
      <c r="AXK71" s="63"/>
      <c r="AXL71" s="63"/>
      <c r="AXM71" s="63"/>
      <c r="AXN71" s="63"/>
      <c r="AXO71" s="63"/>
      <c r="AXP71" s="63"/>
      <c r="AXQ71" s="63"/>
      <c r="AXR71" s="63"/>
      <c r="AXS71" s="63"/>
      <c r="AXT71" s="63"/>
      <c r="AXU71" s="63"/>
      <c r="AXV71" s="63"/>
      <c r="AXW71" s="63"/>
      <c r="AXX71" s="63"/>
      <c r="AXY71" s="63"/>
      <c r="AXZ71" s="63"/>
      <c r="AYA71" s="63"/>
      <c r="AYB71" s="63"/>
      <c r="AYC71" s="63"/>
      <c r="AYD71" s="63"/>
      <c r="AYE71" s="63"/>
      <c r="AYF71" s="63"/>
      <c r="AYG71" s="63"/>
      <c r="AYH71" s="63"/>
      <c r="AYI71" s="63"/>
      <c r="AYJ71" s="63"/>
      <c r="AYK71" s="63"/>
      <c r="AYL71" s="63"/>
      <c r="AYM71" s="63"/>
      <c r="AYN71" s="63"/>
      <c r="AYO71" s="63"/>
      <c r="AYP71" s="63"/>
      <c r="AYQ71" s="63"/>
      <c r="AYR71" s="63"/>
      <c r="AYS71" s="63"/>
      <c r="AYT71" s="63"/>
      <c r="AYU71" s="63"/>
      <c r="AYV71" s="63"/>
      <c r="AYW71" s="63"/>
      <c r="AYX71" s="63"/>
      <c r="AYY71" s="63"/>
      <c r="AYZ71" s="63"/>
      <c r="AZA71" s="63"/>
      <c r="AZB71" s="63"/>
      <c r="AZC71" s="63"/>
      <c r="AZD71" s="63"/>
      <c r="AZE71" s="63"/>
      <c r="AZF71" s="63"/>
      <c r="AZG71" s="63"/>
      <c r="AZH71" s="63"/>
      <c r="AZI71" s="63"/>
      <c r="AZJ71" s="63"/>
      <c r="AZK71" s="63"/>
      <c r="AZL71" s="63"/>
      <c r="AZM71" s="63"/>
      <c r="AZN71" s="63"/>
      <c r="AZO71" s="63"/>
      <c r="AZP71" s="63"/>
      <c r="AZQ71" s="63"/>
      <c r="AZR71" s="63"/>
      <c r="AZS71" s="63"/>
      <c r="AZT71" s="63"/>
      <c r="AZU71" s="63"/>
      <c r="AZV71" s="63"/>
      <c r="AZW71" s="63"/>
      <c r="AZX71" s="63"/>
      <c r="AZY71" s="63"/>
      <c r="AZZ71" s="63"/>
      <c r="BAA71" s="63"/>
      <c r="BAB71" s="63"/>
      <c r="BAC71" s="63"/>
      <c r="BAD71" s="63"/>
      <c r="BAE71" s="63"/>
      <c r="BAF71" s="63"/>
      <c r="BAG71" s="63"/>
      <c r="BAH71" s="63"/>
      <c r="BAI71" s="63"/>
      <c r="BAJ71" s="63"/>
      <c r="BAK71" s="63"/>
      <c r="BAL71" s="63"/>
      <c r="BAM71" s="63"/>
      <c r="BAN71" s="63"/>
      <c r="BAO71" s="63"/>
      <c r="BAP71" s="63"/>
      <c r="BAQ71" s="63"/>
      <c r="BAR71" s="63"/>
      <c r="BAS71" s="63"/>
      <c r="BAT71" s="63"/>
      <c r="BAU71" s="63"/>
      <c r="BAV71" s="63"/>
      <c r="BAW71" s="63"/>
      <c r="BAX71" s="63"/>
      <c r="BAY71" s="63"/>
      <c r="BAZ71" s="63"/>
      <c r="BBA71" s="63"/>
      <c r="BBB71" s="63"/>
      <c r="BBC71" s="63"/>
      <c r="BBD71" s="63"/>
      <c r="BBE71" s="63"/>
      <c r="BBF71" s="63"/>
      <c r="BBG71" s="63"/>
      <c r="BBH71" s="63"/>
      <c r="BBI71" s="63"/>
      <c r="BBJ71" s="63"/>
      <c r="BBK71" s="63"/>
      <c r="BBL71" s="63"/>
      <c r="BBM71" s="63"/>
      <c r="BBN71" s="63"/>
      <c r="BBO71" s="63"/>
      <c r="BBP71" s="63"/>
      <c r="BBQ71" s="63"/>
      <c r="BBR71" s="63"/>
      <c r="BBS71" s="63"/>
      <c r="BBT71" s="63"/>
      <c r="BBU71" s="63"/>
      <c r="BBV71" s="63"/>
      <c r="BBW71" s="63"/>
      <c r="BBX71" s="63"/>
      <c r="BBY71" s="63"/>
      <c r="BBZ71" s="63"/>
      <c r="BCA71" s="63"/>
      <c r="BCB71" s="63"/>
      <c r="BCC71" s="63"/>
      <c r="BCD71" s="63"/>
      <c r="BCE71" s="63"/>
      <c r="BCF71" s="63"/>
      <c r="BCG71" s="63"/>
      <c r="BCH71" s="63"/>
      <c r="BCI71" s="63"/>
      <c r="BCJ71" s="63"/>
      <c r="BCK71" s="63"/>
      <c r="BCL71" s="63"/>
      <c r="BCM71" s="63"/>
      <c r="BCN71" s="63"/>
      <c r="BCO71" s="63"/>
      <c r="BCP71" s="63"/>
      <c r="BCQ71" s="63"/>
      <c r="BCR71" s="63"/>
      <c r="BCS71" s="63"/>
      <c r="BCT71" s="63"/>
      <c r="BCU71" s="63"/>
      <c r="BCV71" s="63"/>
      <c r="BCW71" s="63"/>
      <c r="BCX71" s="63"/>
      <c r="BCY71" s="63"/>
      <c r="BCZ71" s="63"/>
      <c r="BDA71" s="63"/>
      <c r="BDB71" s="63"/>
      <c r="BDC71" s="63"/>
      <c r="BDD71" s="63"/>
      <c r="BDE71" s="63"/>
      <c r="BDF71" s="63"/>
      <c r="BDG71" s="63"/>
      <c r="BDH71" s="63"/>
      <c r="BDI71" s="63"/>
      <c r="BDJ71" s="63"/>
      <c r="BDK71" s="63"/>
      <c r="BDL71" s="63"/>
      <c r="BDM71" s="63"/>
      <c r="BDN71" s="63"/>
      <c r="BDO71" s="63"/>
      <c r="BDP71" s="63"/>
      <c r="BDQ71" s="63"/>
      <c r="BDR71" s="63"/>
      <c r="BDS71" s="63"/>
      <c r="BDT71" s="63"/>
      <c r="BDU71" s="63"/>
      <c r="BDV71" s="63"/>
      <c r="BDW71" s="63"/>
      <c r="BDX71" s="63"/>
      <c r="BDY71" s="63"/>
      <c r="BDZ71" s="63"/>
      <c r="BEA71" s="63"/>
      <c r="BEB71" s="63"/>
      <c r="BEC71" s="63"/>
      <c r="BED71" s="63"/>
      <c r="BEE71" s="63"/>
      <c r="BEF71" s="63"/>
      <c r="BEG71" s="63"/>
      <c r="BEH71" s="63"/>
      <c r="BEI71" s="63"/>
      <c r="BEJ71" s="63"/>
      <c r="BEK71" s="63"/>
      <c r="BEL71" s="63"/>
      <c r="BEM71" s="63"/>
      <c r="BEN71" s="63"/>
      <c r="BEO71" s="63"/>
      <c r="BEP71" s="63"/>
      <c r="BEQ71" s="63"/>
      <c r="BER71" s="63"/>
      <c r="BES71" s="63"/>
      <c r="BET71" s="63"/>
      <c r="BEU71" s="63"/>
      <c r="BEV71" s="63"/>
      <c r="BEW71" s="63"/>
      <c r="BEX71" s="63"/>
      <c r="BEY71" s="63"/>
      <c r="BEZ71" s="63"/>
      <c r="BFA71" s="63"/>
      <c r="BFB71" s="63"/>
      <c r="BFC71" s="63"/>
      <c r="BFD71" s="63"/>
      <c r="BFE71" s="63"/>
      <c r="BFF71" s="63"/>
      <c r="BFG71" s="63"/>
      <c r="BFH71" s="63"/>
      <c r="BFI71" s="63"/>
      <c r="BFJ71" s="63"/>
      <c r="BFK71" s="63"/>
      <c r="BFL71" s="63"/>
      <c r="BFM71" s="63"/>
      <c r="BFN71" s="63"/>
      <c r="BFO71" s="63"/>
      <c r="BFP71" s="63"/>
      <c r="BFQ71" s="63"/>
      <c r="BFR71" s="63"/>
      <c r="BFS71" s="63"/>
      <c r="BFT71" s="63"/>
      <c r="BFU71" s="63"/>
      <c r="BFV71" s="63"/>
      <c r="BFW71" s="63"/>
      <c r="BFX71" s="63"/>
      <c r="BFY71" s="63"/>
      <c r="BFZ71" s="63"/>
      <c r="BGA71" s="63"/>
      <c r="BGB71" s="63"/>
      <c r="BGC71" s="63"/>
      <c r="BGD71" s="63"/>
      <c r="BGE71" s="63"/>
      <c r="BGF71" s="63"/>
      <c r="BGG71" s="63"/>
      <c r="BGH71" s="63"/>
      <c r="BGI71" s="63"/>
      <c r="BGJ71" s="63"/>
      <c r="BGK71" s="63"/>
      <c r="BGL71" s="63"/>
      <c r="BGM71" s="63"/>
      <c r="BGN71" s="63"/>
      <c r="BGO71" s="63"/>
      <c r="BGP71" s="63"/>
      <c r="BGQ71" s="63"/>
      <c r="BGR71" s="63"/>
      <c r="BGS71" s="63"/>
      <c r="BGT71" s="63"/>
      <c r="BGU71" s="63"/>
      <c r="BGV71" s="63"/>
      <c r="BGW71" s="63"/>
      <c r="BGX71" s="63"/>
      <c r="BGY71" s="63"/>
      <c r="BGZ71" s="63"/>
      <c r="BHA71" s="63"/>
      <c r="BHB71" s="63"/>
      <c r="BHC71" s="63"/>
      <c r="BHD71" s="63"/>
      <c r="BHE71" s="63"/>
      <c r="BHF71" s="63"/>
      <c r="BHG71" s="63"/>
      <c r="BHH71" s="63"/>
      <c r="BHI71" s="63"/>
      <c r="BHJ71" s="63"/>
      <c r="BHK71" s="63"/>
      <c r="BHL71" s="63"/>
      <c r="BHM71" s="63"/>
      <c r="BHN71" s="63"/>
      <c r="BHO71" s="63"/>
      <c r="BHP71" s="63"/>
      <c r="BHQ71" s="63"/>
      <c r="BHR71" s="63"/>
      <c r="BHS71" s="63"/>
      <c r="BHT71" s="63"/>
      <c r="BHU71" s="63"/>
      <c r="BHV71" s="63"/>
      <c r="BHW71" s="63"/>
      <c r="BHX71" s="63"/>
      <c r="BHY71" s="63"/>
      <c r="BHZ71" s="63"/>
      <c r="BIA71" s="63"/>
      <c r="BIB71" s="63"/>
      <c r="BIC71" s="63"/>
      <c r="BID71" s="63"/>
      <c r="BIE71" s="63"/>
      <c r="BIF71" s="63"/>
      <c r="BIG71" s="63"/>
      <c r="BIH71" s="63"/>
      <c r="BII71" s="63"/>
      <c r="BIJ71" s="63"/>
      <c r="BIK71" s="63"/>
      <c r="BIL71" s="63"/>
      <c r="BIM71" s="63"/>
      <c r="BIN71" s="63"/>
      <c r="BIO71" s="63"/>
      <c r="BIP71" s="63"/>
      <c r="BIQ71" s="63"/>
      <c r="BIR71" s="63"/>
      <c r="BIS71" s="63"/>
      <c r="BIT71" s="63"/>
      <c r="BIU71" s="63"/>
      <c r="BIV71" s="63"/>
      <c r="BIW71" s="63"/>
      <c r="BIX71" s="63"/>
      <c r="BIY71" s="63"/>
      <c r="BIZ71" s="63"/>
      <c r="BJA71" s="63"/>
      <c r="BJB71" s="63"/>
      <c r="BJC71" s="63"/>
      <c r="BJD71" s="63"/>
      <c r="BJE71" s="63"/>
      <c r="BJF71" s="63"/>
      <c r="BJG71" s="63"/>
      <c r="BJH71" s="63"/>
      <c r="BJI71" s="63"/>
      <c r="BJJ71" s="63"/>
      <c r="BJK71" s="63"/>
      <c r="BJL71" s="63"/>
      <c r="BJM71" s="63"/>
      <c r="BJN71" s="63"/>
      <c r="BJO71" s="63"/>
      <c r="BJP71" s="63"/>
      <c r="BJQ71" s="63"/>
      <c r="BJR71" s="63"/>
      <c r="BJS71" s="63"/>
      <c r="BJT71" s="63"/>
      <c r="BJU71" s="63"/>
      <c r="BJV71" s="63"/>
      <c r="BJW71" s="63"/>
      <c r="BJX71" s="63"/>
      <c r="BJY71" s="63"/>
      <c r="BJZ71" s="63"/>
      <c r="BKA71" s="63"/>
      <c r="BKB71" s="63"/>
      <c r="BKC71" s="63"/>
      <c r="BKD71" s="63"/>
      <c r="BKE71" s="63"/>
      <c r="BKF71" s="63"/>
      <c r="BKG71" s="63"/>
      <c r="BKH71" s="63"/>
      <c r="BKI71" s="63"/>
      <c r="BKJ71" s="63"/>
      <c r="BKK71" s="63"/>
      <c r="BKL71" s="63"/>
      <c r="BKM71" s="63"/>
      <c r="BKN71" s="63"/>
      <c r="BKO71" s="63"/>
      <c r="BKP71" s="63"/>
      <c r="BKQ71" s="63"/>
      <c r="BKR71" s="63"/>
      <c r="BKS71" s="63"/>
      <c r="BKT71" s="63"/>
      <c r="BKU71" s="63"/>
      <c r="BKV71" s="63"/>
      <c r="BKW71" s="63"/>
      <c r="BKX71" s="63"/>
      <c r="BKY71" s="63"/>
      <c r="BKZ71" s="63"/>
      <c r="BLA71" s="63"/>
      <c r="BLB71" s="63"/>
      <c r="BLC71" s="63"/>
      <c r="BLD71" s="63"/>
      <c r="BLE71" s="63"/>
      <c r="BLF71" s="63"/>
      <c r="BLG71" s="63"/>
      <c r="BLH71" s="63"/>
      <c r="BLI71" s="63"/>
      <c r="BLJ71" s="63"/>
      <c r="BLK71" s="63"/>
      <c r="BLL71" s="63"/>
      <c r="BLM71" s="63"/>
      <c r="BLN71" s="63"/>
      <c r="BLO71" s="63"/>
      <c r="BLP71" s="63"/>
      <c r="BLQ71" s="63"/>
      <c r="BLR71" s="63"/>
      <c r="BLS71" s="63"/>
      <c r="BLT71" s="63"/>
      <c r="BLU71" s="63"/>
      <c r="BLV71" s="63"/>
      <c r="BLW71" s="63"/>
      <c r="BLX71" s="63"/>
      <c r="BLY71" s="63"/>
      <c r="BLZ71" s="63"/>
      <c r="BMA71" s="63"/>
      <c r="BMB71" s="63"/>
      <c r="BMC71" s="63"/>
      <c r="BMD71" s="63"/>
      <c r="BME71" s="63"/>
      <c r="BMF71" s="63"/>
      <c r="BMG71" s="63"/>
      <c r="BMH71" s="63"/>
      <c r="BMI71" s="63"/>
      <c r="BMJ71" s="63"/>
      <c r="BMK71" s="63"/>
      <c r="BML71" s="63"/>
      <c r="BMM71" s="63"/>
      <c r="BMN71" s="63"/>
      <c r="BMO71" s="63"/>
      <c r="BMP71" s="63"/>
      <c r="BMQ71" s="63"/>
      <c r="BMR71" s="63"/>
      <c r="BMS71" s="63"/>
      <c r="BMT71" s="63"/>
      <c r="BMU71" s="63"/>
      <c r="BMV71" s="63"/>
      <c r="BMW71" s="63"/>
      <c r="BMX71" s="63"/>
      <c r="BMY71" s="63"/>
      <c r="BMZ71" s="63"/>
      <c r="BNA71" s="63"/>
      <c r="BNB71" s="63"/>
      <c r="BNC71" s="63"/>
      <c r="BND71" s="63"/>
      <c r="BNE71" s="63"/>
      <c r="BNF71" s="63"/>
      <c r="BNG71" s="63"/>
      <c r="BNH71" s="63"/>
      <c r="BNI71" s="63"/>
      <c r="BNJ71" s="63"/>
      <c r="BNK71" s="63"/>
      <c r="BNL71" s="63"/>
      <c r="BNM71" s="63"/>
      <c r="BNN71" s="63"/>
      <c r="BNO71" s="63"/>
      <c r="BNP71" s="63"/>
      <c r="BNQ71" s="63"/>
      <c r="BNR71" s="63"/>
      <c r="BNS71" s="63"/>
      <c r="BNT71" s="63"/>
      <c r="BNU71" s="63"/>
      <c r="BNV71" s="63"/>
      <c r="BNW71" s="63"/>
      <c r="BNX71" s="63"/>
      <c r="BNY71" s="63"/>
      <c r="BNZ71" s="63"/>
      <c r="BOA71" s="63"/>
      <c r="BOB71" s="63"/>
      <c r="BOC71" s="63"/>
      <c r="BOD71" s="63"/>
      <c r="BOE71" s="63"/>
      <c r="BOF71" s="63"/>
      <c r="BOG71" s="63"/>
      <c r="BOH71" s="63"/>
      <c r="BOI71" s="63"/>
      <c r="BOJ71" s="63"/>
      <c r="BOK71" s="63"/>
      <c r="BOL71" s="63"/>
      <c r="BOM71" s="63"/>
      <c r="BON71" s="63"/>
      <c r="BOO71" s="63"/>
      <c r="BOP71" s="63"/>
      <c r="BOQ71" s="63"/>
      <c r="BOR71" s="63"/>
      <c r="BOS71" s="63"/>
      <c r="BOT71" s="63"/>
      <c r="BOU71" s="63"/>
      <c r="BOV71" s="63"/>
      <c r="BOW71" s="63"/>
      <c r="BOX71" s="63"/>
      <c r="BOY71" s="63"/>
      <c r="BOZ71" s="63"/>
      <c r="BPA71" s="63"/>
      <c r="BPB71" s="63"/>
      <c r="BPC71" s="63"/>
      <c r="BPD71" s="63"/>
      <c r="BPE71" s="63"/>
      <c r="BPF71" s="63"/>
      <c r="BPG71" s="63"/>
      <c r="BPH71" s="63"/>
      <c r="BPI71" s="63"/>
      <c r="BPJ71" s="63"/>
      <c r="BPK71" s="63"/>
      <c r="BPL71" s="63"/>
      <c r="BPM71" s="63"/>
      <c r="BPN71" s="63"/>
      <c r="BPO71" s="63"/>
      <c r="BPP71" s="63"/>
      <c r="BPQ71" s="63"/>
      <c r="BPR71" s="63"/>
      <c r="BPS71" s="63"/>
      <c r="BPT71" s="63"/>
      <c r="BPU71" s="63"/>
      <c r="BPV71" s="63"/>
      <c r="BPW71" s="63"/>
      <c r="BPX71" s="63"/>
      <c r="BPY71" s="63"/>
      <c r="BPZ71" s="63"/>
      <c r="BQA71" s="63"/>
      <c r="BQB71" s="63"/>
      <c r="BQC71" s="63"/>
      <c r="BQD71" s="63"/>
      <c r="BQE71" s="63"/>
      <c r="BQF71" s="63"/>
      <c r="BQG71" s="63"/>
      <c r="BQH71" s="63"/>
      <c r="BQI71" s="63"/>
      <c r="BQJ71" s="63"/>
      <c r="BQK71" s="63"/>
      <c r="BQL71" s="63"/>
      <c r="BQM71" s="63"/>
      <c r="BQN71" s="63"/>
      <c r="BQO71" s="63"/>
      <c r="BQP71" s="63"/>
      <c r="BQQ71" s="63"/>
      <c r="BQR71" s="63"/>
      <c r="BQS71" s="63"/>
      <c r="BQT71" s="63"/>
      <c r="BQU71" s="63"/>
      <c r="BQV71" s="63"/>
      <c r="BQW71" s="63"/>
      <c r="BQX71" s="63"/>
      <c r="BQY71" s="63"/>
      <c r="BQZ71" s="63"/>
      <c r="BRA71" s="63"/>
      <c r="BRB71" s="63"/>
      <c r="BRC71" s="63"/>
      <c r="BRD71" s="63"/>
      <c r="BRE71" s="63"/>
      <c r="BRF71" s="63"/>
      <c r="BRG71" s="63"/>
      <c r="BRH71" s="63"/>
      <c r="BRI71" s="63"/>
      <c r="BRJ71" s="63"/>
      <c r="BRK71" s="63"/>
      <c r="BRL71" s="63"/>
      <c r="BRM71" s="63"/>
      <c r="BRN71" s="63"/>
      <c r="BRO71" s="63"/>
      <c r="BRP71" s="63"/>
      <c r="BRQ71" s="63"/>
      <c r="BRR71" s="63"/>
      <c r="BRS71" s="63"/>
      <c r="BRT71" s="63"/>
      <c r="BRU71" s="63"/>
      <c r="BRV71" s="63"/>
      <c r="BRW71" s="63"/>
      <c r="BRX71" s="63"/>
      <c r="BRY71" s="63"/>
      <c r="BRZ71" s="63"/>
      <c r="BSA71" s="63"/>
      <c r="BSB71" s="63"/>
      <c r="BSC71" s="63"/>
      <c r="BSD71" s="63"/>
      <c r="BSE71" s="63"/>
      <c r="BSF71" s="63"/>
      <c r="BSG71" s="63"/>
      <c r="BSH71" s="63"/>
      <c r="BSI71" s="63"/>
      <c r="BSJ71" s="63"/>
      <c r="BSK71" s="63"/>
      <c r="BSL71" s="63"/>
      <c r="BSM71" s="63"/>
      <c r="BSN71" s="63"/>
      <c r="BSO71" s="63"/>
      <c r="BSP71" s="63"/>
      <c r="BSQ71" s="63"/>
      <c r="BSR71" s="63"/>
      <c r="BSS71" s="63"/>
      <c r="BST71" s="63"/>
      <c r="BSU71" s="63"/>
      <c r="BSV71" s="63"/>
      <c r="BSW71" s="63"/>
      <c r="BSX71" s="63"/>
      <c r="BSY71" s="63"/>
      <c r="BSZ71" s="63"/>
      <c r="BTA71" s="63"/>
      <c r="BTB71" s="63"/>
      <c r="BTC71" s="63"/>
      <c r="BTD71" s="63"/>
      <c r="BTE71" s="63"/>
      <c r="BTF71" s="63"/>
      <c r="BTG71" s="63"/>
      <c r="BTH71" s="63"/>
      <c r="BTI71" s="63"/>
      <c r="BTJ71" s="63"/>
      <c r="BTK71" s="63"/>
      <c r="BTL71" s="63"/>
      <c r="BTM71" s="63"/>
      <c r="BTN71" s="63"/>
      <c r="BTO71" s="63"/>
      <c r="BTP71" s="63"/>
      <c r="BTQ71" s="63"/>
      <c r="BTR71" s="63"/>
      <c r="BTS71" s="63"/>
      <c r="BTT71" s="63"/>
      <c r="BTU71" s="63"/>
      <c r="BTV71" s="63"/>
      <c r="BTW71" s="63"/>
      <c r="BTX71" s="63"/>
      <c r="BTY71" s="63"/>
      <c r="BTZ71" s="63"/>
      <c r="BUA71" s="63"/>
      <c r="BUB71" s="63"/>
      <c r="BUC71" s="63"/>
      <c r="BUD71" s="63"/>
      <c r="BUE71" s="63"/>
      <c r="BUF71" s="63"/>
      <c r="BUG71" s="63"/>
      <c r="BUH71" s="63"/>
      <c r="BUI71" s="63"/>
      <c r="BUJ71" s="63"/>
      <c r="BUK71" s="63"/>
      <c r="BUL71" s="63"/>
      <c r="BUM71" s="63"/>
      <c r="BUN71" s="63"/>
      <c r="BUO71" s="63"/>
      <c r="BUP71" s="63"/>
      <c r="BUQ71" s="63"/>
      <c r="BUR71" s="63"/>
      <c r="BUS71" s="63"/>
      <c r="BUT71" s="63"/>
      <c r="BUU71" s="63"/>
      <c r="BUV71" s="63"/>
      <c r="BUW71" s="63"/>
      <c r="BUX71" s="63"/>
      <c r="BUY71" s="63"/>
      <c r="BUZ71" s="63"/>
      <c r="BVA71" s="63"/>
      <c r="BVB71" s="63"/>
      <c r="BVC71" s="63"/>
      <c r="BVD71" s="63"/>
      <c r="BVE71" s="63"/>
      <c r="BVF71" s="63"/>
      <c r="BVG71" s="63"/>
      <c r="BVH71" s="63"/>
      <c r="BVI71" s="63"/>
      <c r="BVJ71" s="63"/>
      <c r="BVK71" s="63"/>
      <c r="BVL71" s="63"/>
      <c r="BVM71" s="63"/>
      <c r="BVN71" s="63"/>
      <c r="BVO71" s="63"/>
      <c r="BVP71" s="63"/>
      <c r="BVQ71" s="63"/>
      <c r="BVR71" s="63"/>
      <c r="BVS71" s="63"/>
      <c r="BVT71" s="63"/>
      <c r="BVU71" s="63"/>
      <c r="BVV71" s="63"/>
      <c r="BVW71" s="63"/>
      <c r="BVX71" s="63"/>
      <c r="BVY71" s="63"/>
      <c r="BVZ71" s="63"/>
      <c r="BWA71" s="63"/>
      <c r="BWB71" s="63"/>
      <c r="BWC71" s="63"/>
      <c r="BWD71" s="63"/>
      <c r="BWE71" s="63"/>
      <c r="BWF71" s="63"/>
      <c r="BWG71" s="63"/>
      <c r="BWH71" s="63"/>
      <c r="BWI71" s="63"/>
      <c r="BWJ71" s="63"/>
      <c r="BWK71" s="63"/>
      <c r="BWL71" s="63"/>
      <c r="BWM71" s="63"/>
      <c r="BWN71" s="63"/>
      <c r="BWO71" s="63"/>
      <c r="BWP71" s="63"/>
      <c r="BWQ71" s="63"/>
      <c r="BWR71" s="63"/>
      <c r="BWS71" s="63"/>
      <c r="BWT71" s="63"/>
      <c r="BWU71" s="63"/>
      <c r="BWV71" s="63"/>
      <c r="BWW71" s="63"/>
      <c r="BWX71" s="63"/>
      <c r="BWY71" s="63"/>
      <c r="BWZ71" s="63"/>
      <c r="BXA71" s="63"/>
      <c r="BXB71" s="63"/>
      <c r="BXC71" s="63"/>
      <c r="BXD71" s="63"/>
      <c r="BXE71" s="63"/>
      <c r="BXF71" s="63"/>
      <c r="BXG71" s="63"/>
      <c r="BXH71" s="63"/>
      <c r="BXI71" s="63"/>
      <c r="BXJ71" s="63"/>
      <c r="BXK71" s="63"/>
      <c r="BXL71" s="63"/>
      <c r="BXM71" s="63"/>
      <c r="BXN71" s="63"/>
      <c r="BXO71" s="63"/>
      <c r="BXP71" s="63"/>
      <c r="BXQ71" s="63"/>
      <c r="BXR71" s="63"/>
      <c r="BXS71" s="63"/>
      <c r="BXT71" s="63"/>
      <c r="BXU71" s="63"/>
      <c r="BXV71" s="63"/>
      <c r="BXW71" s="63"/>
      <c r="BXX71" s="63"/>
      <c r="BXY71" s="63"/>
      <c r="BXZ71" s="63"/>
      <c r="BYA71" s="63"/>
      <c r="BYB71" s="63"/>
      <c r="BYC71" s="63"/>
      <c r="BYD71" s="63"/>
      <c r="BYE71" s="63"/>
      <c r="BYF71" s="63"/>
      <c r="BYG71" s="63"/>
      <c r="BYH71" s="63"/>
      <c r="BYI71" s="63"/>
      <c r="BYJ71" s="63"/>
      <c r="BYK71" s="63"/>
      <c r="BYL71" s="63"/>
      <c r="BYM71" s="63"/>
      <c r="BYN71" s="63"/>
      <c r="BYO71" s="63"/>
      <c r="BYP71" s="63"/>
      <c r="BYQ71" s="63"/>
      <c r="BYR71" s="63"/>
      <c r="BYS71" s="63"/>
      <c r="BYT71" s="63"/>
      <c r="BYU71" s="63"/>
      <c r="BYV71" s="63"/>
      <c r="BYW71" s="63"/>
      <c r="BYX71" s="63"/>
      <c r="BYY71" s="63"/>
      <c r="BYZ71" s="63"/>
      <c r="BZA71" s="63"/>
      <c r="BZB71" s="63"/>
      <c r="BZC71" s="63"/>
      <c r="BZD71" s="63"/>
      <c r="BZE71" s="63"/>
      <c r="BZF71" s="63"/>
      <c r="BZG71" s="63"/>
      <c r="BZH71" s="63"/>
      <c r="BZI71" s="63"/>
      <c r="BZJ71" s="63"/>
      <c r="BZK71" s="63"/>
      <c r="BZL71" s="63"/>
      <c r="BZM71" s="63"/>
      <c r="BZN71" s="63"/>
      <c r="BZO71" s="63"/>
      <c r="BZP71" s="63"/>
      <c r="BZQ71" s="63"/>
      <c r="BZR71" s="63"/>
      <c r="BZS71" s="63"/>
      <c r="BZT71" s="63"/>
      <c r="BZU71" s="63"/>
      <c r="BZV71" s="63"/>
      <c r="BZW71" s="63"/>
      <c r="BZX71" s="63"/>
      <c r="BZY71" s="63"/>
      <c r="BZZ71" s="63"/>
      <c r="CAA71" s="63"/>
      <c r="CAB71" s="63"/>
      <c r="CAC71" s="63"/>
      <c r="CAD71" s="63"/>
      <c r="CAE71" s="63"/>
      <c r="CAF71" s="63"/>
      <c r="CAG71" s="63"/>
      <c r="CAH71" s="63"/>
      <c r="CAI71" s="63"/>
      <c r="CAJ71" s="63"/>
      <c r="CAK71" s="63"/>
      <c r="CAL71" s="63"/>
      <c r="CAM71" s="63"/>
      <c r="CAN71" s="63"/>
      <c r="CAO71" s="63"/>
      <c r="CAP71" s="63"/>
      <c r="CAQ71" s="63"/>
      <c r="CAR71" s="63"/>
      <c r="CAS71" s="63"/>
      <c r="CAT71" s="63"/>
      <c r="CAU71" s="63"/>
      <c r="CAV71" s="63"/>
      <c r="CAW71" s="63"/>
      <c r="CAX71" s="63"/>
      <c r="CAY71" s="63"/>
      <c r="CAZ71" s="63"/>
      <c r="CBA71" s="63"/>
      <c r="CBB71" s="63"/>
      <c r="CBC71" s="63"/>
      <c r="CBD71" s="63"/>
      <c r="CBE71" s="63"/>
      <c r="CBF71" s="63"/>
      <c r="CBG71" s="63"/>
      <c r="CBH71" s="63"/>
      <c r="CBI71" s="63"/>
      <c r="CBJ71" s="63"/>
      <c r="CBK71" s="63"/>
      <c r="CBL71" s="63"/>
      <c r="CBM71" s="63"/>
      <c r="CBN71" s="63"/>
      <c r="CBO71" s="63"/>
      <c r="CBP71" s="63"/>
      <c r="CBQ71" s="63"/>
      <c r="CBR71" s="63"/>
      <c r="CBS71" s="63"/>
      <c r="CBT71" s="63"/>
      <c r="CBU71" s="63"/>
      <c r="CBV71" s="63"/>
      <c r="CBW71" s="63"/>
      <c r="CBX71" s="63"/>
      <c r="CBY71" s="63"/>
      <c r="CBZ71" s="63"/>
      <c r="CCA71" s="63"/>
      <c r="CCB71" s="63"/>
      <c r="CCC71" s="63"/>
      <c r="CCD71" s="63"/>
      <c r="CCE71" s="63"/>
      <c r="CCF71" s="63"/>
      <c r="CCG71" s="63"/>
      <c r="CCH71" s="63"/>
      <c r="CCI71" s="63"/>
      <c r="CCJ71" s="63"/>
      <c r="CCK71" s="63"/>
      <c r="CCL71" s="63"/>
      <c r="CCM71" s="63"/>
      <c r="CCN71" s="63"/>
      <c r="CCO71" s="63"/>
      <c r="CCP71" s="63"/>
      <c r="CCQ71" s="63"/>
      <c r="CCR71" s="63"/>
      <c r="CCS71" s="63"/>
      <c r="CCT71" s="63"/>
      <c r="CCU71" s="63"/>
      <c r="CCV71" s="63"/>
      <c r="CCW71" s="63"/>
      <c r="CCX71" s="63"/>
      <c r="CCY71" s="63"/>
      <c r="CCZ71" s="63"/>
      <c r="CDA71" s="63"/>
      <c r="CDB71" s="63"/>
      <c r="CDC71" s="63"/>
      <c r="CDD71" s="63"/>
      <c r="CDE71" s="63"/>
      <c r="CDF71" s="63"/>
      <c r="CDG71" s="63"/>
      <c r="CDH71" s="63"/>
      <c r="CDI71" s="63"/>
      <c r="CDJ71" s="63"/>
      <c r="CDK71" s="63"/>
      <c r="CDL71" s="63"/>
      <c r="CDM71" s="63"/>
      <c r="CDN71" s="63"/>
      <c r="CDO71" s="63"/>
      <c r="CDP71" s="63"/>
      <c r="CDQ71" s="63"/>
      <c r="CDR71" s="63"/>
      <c r="CDS71" s="63"/>
      <c r="CDT71" s="63"/>
      <c r="CDU71" s="63"/>
      <c r="CDV71" s="63"/>
      <c r="CDW71" s="63"/>
      <c r="CDX71" s="63"/>
      <c r="CDY71" s="63"/>
      <c r="CDZ71" s="63"/>
      <c r="CEA71" s="63"/>
      <c r="CEB71" s="63"/>
      <c r="CEC71" s="63"/>
      <c r="CED71" s="63"/>
      <c r="CEE71" s="63"/>
      <c r="CEF71" s="63"/>
      <c r="CEG71" s="63"/>
      <c r="CEH71" s="63"/>
      <c r="CEI71" s="63"/>
      <c r="CEJ71" s="63"/>
      <c r="CEK71" s="63"/>
      <c r="CEL71" s="63"/>
      <c r="CEM71" s="63"/>
      <c r="CEN71" s="63"/>
      <c r="CEO71" s="63"/>
      <c r="CEP71" s="63"/>
      <c r="CEQ71" s="63"/>
      <c r="CER71" s="63"/>
      <c r="CES71" s="63"/>
      <c r="CET71" s="63"/>
      <c r="CEU71" s="63"/>
      <c r="CEV71" s="63"/>
      <c r="CEW71" s="63"/>
      <c r="CEX71" s="63"/>
      <c r="CEY71" s="63"/>
      <c r="CEZ71" s="63"/>
      <c r="CFA71" s="63"/>
      <c r="CFB71" s="63"/>
      <c r="CFC71" s="63"/>
      <c r="CFD71" s="63"/>
      <c r="CFE71" s="63"/>
      <c r="CFF71" s="63"/>
      <c r="CFG71" s="63"/>
      <c r="CFH71" s="63"/>
      <c r="CFI71" s="63"/>
      <c r="CFJ71" s="63"/>
      <c r="CFK71" s="63"/>
      <c r="CFL71" s="63"/>
      <c r="CFM71" s="63"/>
      <c r="CFN71" s="63"/>
      <c r="CFO71" s="63"/>
      <c r="CFP71" s="63"/>
      <c r="CFQ71" s="63"/>
      <c r="CFR71" s="63"/>
      <c r="CFS71" s="63"/>
      <c r="CFT71" s="63"/>
      <c r="CFU71" s="63"/>
      <c r="CFV71" s="63"/>
      <c r="CFW71" s="63"/>
      <c r="CFX71" s="63"/>
      <c r="CFY71" s="63"/>
      <c r="CFZ71" s="63"/>
      <c r="CGA71" s="63"/>
      <c r="CGB71" s="63"/>
      <c r="CGC71" s="63"/>
      <c r="CGD71" s="63"/>
      <c r="CGE71" s="63"/>
      <c r="CGF71" s="63"/>
      <c r="CGG71" s="63"/>
      <c r="CGH71" s="63"/>
      <c r="CGI71" s="63"/>
      <c r="CGJ71" s="63"/>
      <c r="CGK71" s="63"/>
      <c r="CGL71" s="63"/>
      <c r="CGM71" s="63"/>
      <c r="CGN71" s="63"/>
      <c r="CGO71" s="63"/>
      <c r="CGP71" s="63"/>
      <c r="CGQ71" s="63"/>
      <c r="CGR71" s="63"/>
      <c r="CGS71" s="63"/>
      <c r="CGT71" s="63"/>
      <c r="CGU71" s="63"/>
      <c r="CGV71" s="63"/>
      <c r="CGW71" s="63"/>
      <c r="CGX71" s="63"/>
      <c r="CGY71" s="63"/>
      <c r="CGZ71" s="63"/>
      <c r="CHA71" s="63"/>
      <c r="CHB71" s="63"/>
      <c r="CHC71" s="63"/>
      <c r="CHD71" s="63"/>
      <c r="CHE71" s="63"/>
      <c r="CHF71" s="63"/>
      <c r="CHG71" s="63"/>
      <c r="CHH71" s="63"/>
      <c r="CHI71" s="63"/>
      <c r="CHJ71" s="63"/>
      <c r="CHK71" s="63"/>
      <c r="CHL71" s="63"/>
      <c r="CHM71" s="63"/>
      <c r="CHN71" s="63"/>
      <c r="CHO71" s="63"/>
      <c r="CHP71" s="63"/>
      <c r="CHQ71" s="63"/>
      <c r="CHR71" s="63"/>
      <c r="CHS71" s="63"/>
      <c r="CHT71" s="63"/>
      <c r="CHU71" s="63"/>
      <c r="CHV71" s="63"/>
      <c r="CHW71" s="63"/>
      <c r="CHX71" s="63"/>
      <c r="CHY71" s="63"/>
      <c r="CHZ71" s="63"/>
      <c r="CIA71" s="63"/>
      <c r="CIB71" s="63"/>
      <c r="CIC71" s="63"/>
      <c r="CID71" s="63"/>
      <c r="CIE71" s="63"/>
      <c r="CIF71" s="63"/>
      <c r="CIG71" s="63"/>
      <c r="CIH71" s="63"/>
      <c r="CII71" s="63"/>
      <c r="CIJ71" s="63"/>
      <c r="CIK71" s="63"/>
      <c r="CIL71" s="63"/>
      <c r="CIM71" s="63"/>
      <c r="CIN71" s="63"/>
      <c r="CIO71" s="63"/>
      <c r="CIP71" s="63"/>
      <c r="CIQ71" s="63"/>
      <c r="CIR71" s="63"/>
      <c r="CIS71" s="63"/>
      <c r="CIT71" s="63"/>
      <c r="CIU71" s="63"/>
      <c r="CIV71" s="63"/>
      <c r="CIW71" s="63"/>
      <c r="CIX71" s="63"/>
      <c r="CIY71" s="63"/>
      <c r="CIZ71" s="63"/>
      <c r="CJA71" s="63"/>
      <c r="CJB71" s="63"/>
      <c r="CJC71" s="63"/>
      <c r="CJD71" s="63"/>
      <c r="CJE71" s="63"/>
      <c r="CJF71" s="63"/>
      <c r="CJG71" s="63"/>
      <c r="CJH71" s="63"/>
      <c r="CJI71" s="63"/>
      <c r="CJJ71" s="63"/>
      <c r="CJK71" s="63"/>
      <c r="CJL71" s="63"/>
      <c r="CJM71" s="63"/>
      <c r="CJN71" s="63"/>
      <c r="CJO71" s="63"/>
      <c r="CJP71" s="63"/>
      <c r="CJQ71" s="63"/>
      <c r="CJR71" s="63"/>
      <c r="CJS71" s="63"/>
      <c r="CJT71" s="63"/>
      <c r="CJU71" s="63"/>
      <c r="CJV71" s="63"/>
      <c r="CJW71" s="63"/>
      <c r="CJX71" s="63"/>
      <c r="CJY71" s="63"/>
      <c r="CJZ71" s="63"/>
      <c r="CKA71" s="63"/>
      <c r="CKB71" s="63"/>
      <c r="CKC71" s="63"/>
      <c r="CKD71" s="63"/>
      <c r="CKE71" s="63"/>
      <c r="CKF71" s="63"/>
      <c r="CKG71" s="63"/>
      <c r="CKH71" s="63"/>
      <c r="CKI71" s="63"/>
      <c r="CKJ71" s="63"/>
      <c r="CKK71" s="63"/>
      <c r="CKL71" s="63"/>
      <c r="CKM71" s="63"/>
      <c r="CKN71" s="63"/>
      <c r="CKO71" s="63"/>
      <c r="CKP71" s="63"/>
      <c r="CKQ71" s="63"/>
      <c r="CKR71" s="63"/>
      <c r="CKS71" s="63"/>
      <c r="CKT71" s="63"/>
      <c r="CKU71" s="63"/>
      <c r="CKV71" s="63"/>
      <c r="CKW71" s="63"/>
      <c r="CKX71" s="63"/>
      <c r="CKY71" s="63"/>
      <c r="CKZ71" s="63"/>
      <c r="CLA71" s="63"/>
      <c r="CLB71" s="63"/>
      <c r="CLC71" s="63"/>
      <c r="CLD71" s="63"/>
      <c r="CLE71" s="63"/>
      <c r="CLF71" s="63"/>
      <c r="CLG71" s="63"/>
      <c r="CLH71" s="63"/>
      <c r="CLI71" s="63"/>
      <c r="CLJ71" s="63"/>
      <c r="CLK71" s="63"/>
      <c r="CLL71" s="63"/>
      <c r="CLM71" s="63"/>
      <c r="CLN71" s="63"/>
      <c r="CLO71" s="63"/>
      <c r="CLP71" s="63"/>
      <c r="CLQ71" s="63"/>
      <c r="CLR71" s="63"/>
      <c r="CLS71" s="63"/>
      <c r="CLT71" s="63"/>
      <c r="CLU71" s="63"/>
      <c r="CLV71" s="63"/>
      <c r="CLW71" s="63"/>
      <c r="CLX71" s="63"/>
      <c r="CLY71" s="63"/>
      <c r="CLZ71" s="63"/>
      <c r="CMA71" s="63"/>
      <c r="CMB71" s="63"/>
      <c r="CMC71" s="63"/>
      <c r="CMD71" s="63"/>
      <c r="CME71" s="63"/>
      <c r="CMF71" s="63"/>
      <c r="CMG71" s="63"/>
      <c r="CMH71" s="63"/>
      <c r="CMI71" s="63"/>
      <c r="CMJ71" s="63"/>
      <c r="CMK71" s="63"/>
      <c r="CML71" s="63"/>
      <c r="CMM71" s="63"/>
      <c r="CMN71" s="63"/>
      <c r="CMO71" s="63"/>
      <c r="CMP71" s="63"/>
      <c r="CMQ71" s="63"/>
      <c r="CMR71" s="63"/>
      <c r="CMS71" s="63"/>
      <c r="CMT71" s="63"/>
      <c r="CMU71" s="63"/>
      <c r="CMV71" s="63"/>
      <c r="CMW71" s="63"/>
      <c r="CMX71" s="63"/>
      <c r="CMY71" s="63"/>
      <c r="CMZ71" s="63"/>
      <c r="CNA71" s="63"/>
      <c r="CNB71" s="63"/>
      <c r="CNC71" s="63"/>
      <c r="CND71" s="63"/>
      <c r="CNE71" s="63"/>
      <c r="CNF71" s="63"/>
      <c r="CNG71" s="63"/>
      <c r="CNH71" s="63"/>
      <c r="CNI71" s="63"/>
      <c r="CNJ71" s="63"/>
      <c r="CNK71" s="63"/>
      <c r="CNL71" s="63"/>
      <c r="CNM71" s="63"/>
      <c r="CNN71" s="63"/>
      <c r="CNO71" s="63"/>
      <c r="CNP71" s="63"/>
      <c r="CNQ71" s="63"/>
      <c r="CNR71" s="63"/>
      <c r="CNS71" s="63"/>
      <c r="CNT71" s="63"/>
      <c r="CNU71" s="63"/>
      <c r="CNV71" s="63"/>
      <c r="CNW71" s="63"/>
      <c r="CNX71" s="63"/>
      <c r="CNY71" s="63"/>
      <c r="CNZ71" s="63"/>
      <c r="COA71" s="63"/>
      <c r="COB71" s="63"/>
      <c r="COC71" s="63"/>
      <c r="COD71" s="63"/>
      <c r="COE71" s="63"/>
      <c r="COF71" s="63"/>
      <c r="COG71" s="63"/>
      <c r="COH71" s="63"/>
      <c r="COI71" s="63"/>
      <c r="COJ71" s="63"/>
      <c r="COK71" s="63"/>
      <c r="COL71" s="63"/>
      <c r="COM71" s="63"/>
      <c r="CON71" s="63"/>
      <c r="COO71" s="63"/>
      <c r="COP71" s="63"/>
      <c r="COQ71" s="63"/>
      <c r="COR71" s="63"/>
      <c r="COS71" s="63"/>
      <c r="COT71" s="63"/>
      <c r="COU71" s="63"/>
      <c r="COV71" s="63"/>
      <c r="COW71" s="63"/>
      <c r="COX71" s="63"/>
      <c r="COY71" s="63"/>
      <c r="COZ71" s="63"/>
      <c r="CPA71" s="63"/>
      <c r="CPB71" s="63"/>
      <c r="CPC71" s="63"/>
      <c r="CPD71" s="63"/>
      <c r="CPE71" s="63"/>
      <c r="CPF71" s="63"/>
      <c r="CPG71" s="63"/>
      <c r="CPH71" s="63"/>
      <c r="CPI71" s="63"/>
      <c r="CPJ71" s="63"/>
      <c r="CPK71" s="63"/>
      <c r="CPL71" s="63"/>
      <c r="CPM71" s="63"/>
      <c r="CPN71" s="63"/>
      <c r="CPO71" s="63"/>
      <c r="CPP71" s="63"/>
      <c r="CPQ71" s="63"/>
      <c r="CPR71" s="63"/>
      <c r="CPS71" s="63"/>
      <c r="CPT71" s="63"/>
      <c r="CPU71" s="63"/>
      <c r="CPV71" s="63"/>
      <c r="CPW71" s="63"/>
      <c r="CPX71" s="63"/>
      <c r="CPY71" s="63"/>
      <c r="CPZ71" s="63"/>
      <c r="CQA71" s="63"/>
      <c r="CQB71" s="63"/>
      <c r="CQC71" s="63"/>
      <c r="CQD71" s="63"/>
      <c r="CQE71" s="63"/>
      <c r="CQF71" s="63"/>
      <c r="CQG71" s="63"/>
      <c r="CQH71" s="63"/>
      <c r="CQI71" s="63"/>
      <c r="CQJ71" s="63"/>
      <c r="CQK71" s="63"/>
      <c r="CQL71" s="63"/>
      <c r="CQM71" s="63"/>
      <c r="CQN71" s="63"/>
      <c r="CQO71" s="63"/>
      <c r="CQP71" s="63"/>
      <c r="CQQ71" s="63"/>
      <c r="CQR71" s="63"/>
      <c r="CQS71" s="63"/>
      <c r="CQT71" s="63"/>
      <c r="CQU71" s="63"/>
      <c r="CQV71" s="63"/>
      <c r="CQW71" s="63"/>
      <c r="CQX71" s="63"/>
      <c r="CQY71" s="63"/>
      <c r="CQZ71" s="63"/>
      <c r="CRA71" s="63"/>
      <c r="CRB71" s="63"/>
      <c r="CRC71" s="63"/>
      <c r="CRD71" s="63"/>
      <c r="CRE71" s="63"/>
      <c r="CRF71" s="63"/>
      <c r="CRG71" s="63"/>
      <c r="CRH71" s="63"/>
      <c r="CRI71" s="63"/>
      <c r="CRJ71" s="63"/>
      <c r="CRK71" s="63"/>
      <c r="CRL71" s="63"/>
      <c r="CRM71" s="63"/>
      <c r="CRN71" s="63"/>
      <c r="CRO71" s="63"/>
      <c r="CRP71" s="63"/>
      <c r="CRQ71" s="63"/>
      <c r="CRR71" s="63"/>
      <c r="CRS71" s="63"/>
      <c r="CRT71" s="63"/>
      <c r="CRU71" s="63"/>
      <c r="CRV71" s="63"/>
      <c r="CRW71" s="63"/>
      <c r="CRX71" s="63"/>
      <c r="CRY71" s="63"/>
      <c r="CRZ71" s="63"/>
      <c r="CSA71" s="63"/>
      <c r="CSB71" s="63"/>
      <c r="CSC71" s="63"/>
      <c r="CSD71" s="63"/>
      <c r="CSE71" s="63"/>
      <c r="CSF71" s="63"/>
      <c r="CSG71" s="63"/>
      <c r="CSH71" s="63"/>
      <c r="CSI71" s="63"/>
      <c r="CSJ71" s="63"/>
      <c r="CSK71" s="63"/>
      <c r="CSL71" s="63"/>
      <c r="CSM71" s="63"/>
      <c r="CSN71" s="63"/>
      <c r="CSO71" s="63"/>
      <c r="CSP71" s="63"/>
      <c r="CSQ71" s="63"/>
      <c r="CSR71" s="63"/>
      <c r="CSS71" s="63"/>
      <c r="CST71" s="63"/>
      <c r="CSU71" s="63"/>
      <c r="CSV71" s="63"/>
      <c r="CSW71" s="63"/>
      <c r="CSX71" s="63"/>
      <c r="CSY71" s="63"/>
      <c r="CSZ71" s="63"/>
      <c r="CTA71" s="63"/>
      <c r="CTB71" s="63"/>
      <c r="CTC71" s="63"/>
      <c r="CTD71" s="63"/>
      <c r="CTE71" s="63"/>
      <c r="CTF71" s="63"/>
      <c r="CTG71" s="63"/>
      <c r="CTH71" s="63"/>
      <c r="CTI71" s="63"/>
      <c r="CTJ71" s="63"/>
      <c r="CTK71" s="63"/>
      <c r="CTL71" s="63"/>
      <c r="CTM71" s="63"/>
      <c r="CTN71" s="63"/>
      <c r="CTO71" s="63"/>
      <c r="CTP71" s="63"/>
      <c r="CTQ71" s="63"/>
      <c r="CTR71" s="63"/>
      <c r="CTS71" s="63"/>
      <c r="CTT71" s="63"/>
      <c r="CTU71" s="63"/>
      <c r="CTV71" s="63"/>
      <c r="CTW71" s="63"/>
      <c r="CTX71" s="63"/>
      <c r="CTY71" s="63"/>
      <c r="CTZ71" s="63"/>
      <c r="CUA71" s="63"/>
      <c r="CUB71" s="63"/>
      <c r="CUC71" s="63"/>
      <c r="CUD71" s="63"/>
      <c r="CUE71" s="63"/>
      <c r="CUF71" s="63"/>
      <c r="CUG71" s="63"/>
      <c r="CUH71" s="63"/>
      <c r="CUI71" s="63"/>
      <c r="CUJ71" s="63"/>
      <c r="CUK71" s="63"/>
      <c r="CUL71" s="63"/>
      <c r="CUM71" s="63"/>
      <c r="CUN71" s="63"/>
      <c r="CUO71" s="63"/>
      <c r="CUP71" s="63"/>
      <c r="CUQ71" s="63"/>
      <c r="CUR71" s="63"/>
      <c r="CUS71" s="63"/>
      <c r="CUT71" s="63"/>
      <c r="CUU71" s="63"/>
      <c r="CUV71" s="63"/>
      <c r="CUW71" s="63"/>
      <c r="CUX71" s="63"/>
      <c r="CUY71" s="63"/>
      <c r="CUZ71" s="63"/>
      <c r="CVA71" s="63"/>
      <c r="CVB71" s="63"/>
      <c r="CVC71" s="63"/>
      <c r="CVD71" s="63"/>
      <c r="CVE71" s="63"/>
      <c r="CVF71" s="63"/>
      <c r="CVG71" s="63"/>
      <c r="CVH71" s="63"/>
      <c r="CVI71" s="63"/>
      <c r="CVJ71" s="63"/>
      <c r="CVK71" s="63"/>
      <c r="CVL71" s="63"/>
      <c r="CVM71" s="63"/>
      <c r="CVN71" s="63"/>
      <c r="CVO71" s="63"/>
      <c r="CVP71" s="63"/>
      <c r="CVQ71" s="63"/>
      <c r="CVR71" s="63"/>
      <c r="CVS71" s="63"/>
      <c r="CVT71" s="63"/>
      <c r="CVU71" s="63"/>
      <c r="CVV71" s="63"/>
      <c r="CVW71" s="63"/>
      <c r="CVX71" s="63"/>
      <c r="CVY71" s="63"/>
      <c r="CVZ71" s="63"/>
      <c r="CWA71" s="63"/>
      <c r="CWB71" s="63"/>
      <c r="CWC71" s="63"/>
      <c r="CWD71" s="63"/>
      <c r="CWE71" s="63"/>
      <c r="CWF71" s="63"/>
      <c r="CWG71" s="63"/>
      <c r="CWH71" s="63"/>
      <c r="CWI71" s="63"/>
      <c r="CWJ71" s="63"/>
      <c r="CWK71" s="63"/>
      <c r="CWL71" s="63"/>
      <c r="CWM71" s="63"/>
      <c r="CWN71" s="63"/>
      <c r="CWO71" s="63"/>
      <c r="CWP71" s="63"/>
      <c r="CWQ71" s="63"/>
      <c r="CWR71" s="63"/>
      <c r="CWS71" s="63"/>
      <c r="CWT71" s="63"/>
      <c r="CWU71" s="63"/>
      <c r="CWV71" s="63"/>
      <c r="CWW71" s="63"/>
      <c r="CWX71" s="63"/>
      <c r="CWY71" s="63"/>
      <c r="CWZ71" s="63"/>
      <c r="CXA71" s="63"/>
      <c r="CXB71" s="63"/>
      <c r="CXC71" s="63"/>
      <c r="CXD71" s="63"/>
      <c r="CXE71" s="63"/>
      <c r="CXF71" s="63"/>
      <c r="CXG71" s="63"/>
      <c r="CXH71" s="63"/>
      <c r="CXI71" s="63"/>
      <c r="CXJ71" s="63"/>
      <c r="CXK71" s="63"/>
      <c r="CXL71" s="63"/>
      <c r="CXM71" s="63"/>
      <c r="CXN71" s="63"/>
      <c r="CXO71" s="63"/>
      <c r="CXP71" s="63"/>
      <c r="CXQ71" s="63"/>
      <c r="CXR71" s="63"/>
      <c r="CXS71" s="63"/>
      <c r="CXT71" s="63"/>
      <c r="CXU71" s="63"/>
      <c r="CXV71" s="63"/>
      <c r="CXW71" s="63"/>
      <c r="CXX71" s="63"/>
      <c r="CXY71" s="63"/>
      <c r="CXZ71" s="63"/>
      <c r="CYA71" s="63"/>
      <c r="CYB71" s="63"/>
      <c r="CYC71" s="63"/>
      <c r="CYD71" s="63"/>
      <c r="CYE71" s="63"/>
      <c r="CYF71" s="63"/>
      <c r="CYG71" s="63"/>
      <c r="CYH71" s="63"/>
      <c r="CYI71" s="63"/>
      <c r="CYJ71" s="63"/>
      <c r="CYK71" s="63"/>
      <c r="CYL71" s="63"/>
      <c r="CYM71" s="63"/>
      <c r="CYN71" s="63"/>
      <c r="CYO71" s="63"/>
      <c r="CYP71" s="63"/>
      <c r="CYQ71" s="63"/>
      <c r="CYR71" s="63"/>
      <c r="CYS71" s="63"/>
      <c r="CYT71" s="63"/>
      <c r="CYU71" s="63"/>
      <c r="CYV71" s="63"/>
      <c r="CYW71" s="63"/>
      <c r="CYX71" s="63"/>
      <c r="CYY71" s="63"/>
      <c r="CYZ71" s="63"/>
      <c r="CZA71" s="63"/>
      <c r="CZB71" s="63"/>
      <c r="CZC71" s="63"/>
      <c r="CZD71" s="63"/>
      <c r="CZE71" s="63"/>
      <c r="CZF71" s="63"/>
      <c r="CZG71" s="63"/>
      <c r="CZH71" s="63"/>
      <c r="CZI71" s="63"/>
      <c r="CZJ71" s="63"/>
      <c r="CZK71" s="63"/>
      <c r="CZL71" s="63"/>
      <c r="CZM71" s="63"/>
      <c r="CZN71" s="63"/>
      <c r="CZO71" s="63"/>
      <c r="CZP71" s="63"/>
      <c r="CZQ71" s="63"/>
      <c r="CZR71" s="63"/>
      <c r="CZS71" s="63"/>
      <c r="CZT71" s="63"/>
      <c r="CZU71" s="63"/>
      <c r="CZV71" s="63"/>
      <c r="CZW71" s="63"/>
      <c r="CZX71" s="63"/>
      <c r="CZY71" s="63"/>
      <c r="CZZ71" s="63"/>
      <c r="DAA71" s="63"/>
      <c r="DAB71" s="63"/>
      <c r="DAC71" s="63"/>
      <c r="DAD71" s="63"/>
      <c r="DAE71" s="63"/>
      <c r="DAF71" s="63"/>
      <c r="DAG71" s="63"/>
      <c r="DAH71" s="63"/>
      <c r="DAI71" s="63"/>
      <c r="DAJ71" s="63"/>
      <c r="DAK71" s="63"/>
      <c r="DAL71" s="63"/>
      <c r="DAM71" s="63"/>
      <c r="DAN71" s="63"/>
      <c r="DAO71" s="63"/>
      <c r="DAP71" s="63"/>
      <c r="DAQ71" s="63"/>
      <c r="DAR71" s="63"/>
      <c r="DAS71" s="63"/>
      <c r="DAT71" s="63"/>
      <c r="DAU71" s="63"/>
      <c r="DAV71" s="63"/>
      <c r="DAW71" s="63"/>
      <c r="DAX71" s="63"/>
      <c r="DAY71" s="63"/>
      <c r="DAZ71" s="63"/>
      <c r="DBA71" s="63"/>
      <c r="DBB71" s="63"/>
      <c r="DBC71" s="63"/>
      <c r="DBD71" s="63"/>
      <c r="DBE71" s="63"/>
      <c r="DBF71" s="63"/>
      <c r="DBG71" s="63"/>
      <c r="DBH71" s="63"/>
      <c r="DBI71" s="63"/>
      <c r="DBJ71" s="63"/>
      <c r="DBK71" s="63"/>
      <c r="DBL71" s="63"/>
      <c r="DBM71" s="63"/>
      <c r="DBN71" s="63"/>
      <c r="DBO71" s="63"/>
      <c r="DBP71" s="63"/>
      <c r="DBQ71" s="63"/>
      <c r="DBR71" s="63"/>
      <c r="DBS71" s="63"/>
      <c r="DBT71" s="63"/>
      <c r="DBU71" s="63"/>
      <c r="DBV71" s="63"/>
      <c r="DBW71" s="63"/>
      <c r="DBX71" s="63"/>
      <c r="DBY71" s="63"/>
      <c r="DBZ71" s="63"/>
      <c r="DCA71" s="63"/>
      <c r="DCB71" s="63"/>
      <c r="DCC71" s="63"/>
      <c r="DCD71" s="63"/>
      <c r="DCE71" s="63"/>
      <c r="DCF71" s="63"/>
      <c r="DCG71" s="63"/>
      <c r="DCH71" s="63"/>
      <c r="DCI71" s="63"/>
      <c r="DCJ71" s="63"/>
      <c r="DCK71" s="63"/>
      <c r="DCL71" s="63"/>
      <c r="DCM71" s="63"/>
      <c r="DCN71" s="63"/>
      <c r="DCO71" s="63"/>
      <c r="DCP71" s="63"/>
      <c r="DCQ71" s="63"/>
      <c r="DCR71" s="63"/>
      <c r="DCS71" s="63"/>
      <c r="DCT71" s="63"/>
      <c r="DCU71" s="63"/>
      <c r="DCV71" s="63"/>
      <c r="DCW71" s="63"/>
      <c r="DCX71" s="63"/>
      <c r="DCY71" s="63"/>
      <c r="DCZ71" s="63"/>
      <c r="DDA71" s="63"/>
      <c r="DDB71" s="63"/>
      <c r="DDC71" s="63"/>
      <c r="DDD71" s="63"/>
      <c r="DDE71" s="63"/>
      <c r="DDF71" s="63"/>
      <c r="DDG71" s="63"/>
      <c r="DDH71" s="63"/>
      <c r="DDI71" s="63"/>
      <c r="DDJ71" s="63"/>
      <c r="DDK71" s="63"/>
      <c r="DDL71" s="63"/>
      <c r="DDM71" s="63"/>
      <c r="DDN71" s="63"/>
      <c r="DDO71" s="63"/>
      <c r="DDP71" s="63"/>
      <c r="DDQ71" s="63"/>
      <c r="DDR71" s="63"/>
      <c r="DDS71" s="63"/>
      <c r="DDT71" s="63"/>
      <c r="DDU71" s="63"/>
      <c r="DDV71" s="63"/>
      <c r="DDW71" s="63"/>
      <c r="DDX71" s="63"/>
      <c r="DDY71" s="63"/>
      <c r="DDZ71" s="63"/>
      <c r="DEA71" s="63"/>
      <c r="DEB71" s="63"/>
      <c r="DEC71" s="63"/>
      <c r="DED71" s="63"/>
      <c r="DEE71" s="63"/>
      <c r="DEF71" s="63"/>
      <c r="DEG71" s="63"/>
      <c r="DEH71" s="63"/>
      <c r="DEI71" s="63"/>
      <c r="DEJ71" s="63"/>
      <c r="DEK71" s="63"/>
      <c r="DEL71" s="63"/>
      <c r="DEM71" s="63"/>
      <c r="DEN71" s="63"/>
      <c r="DEO71" s="63"/>
      <c r="DEP71" s="63"/>
      <c r="DEQ71" s="63"/>
      <c r="DER71" s="63"/>
      <c r="DES71" s="63"/>
      <c r="DET71" s="63"/>
      <c r="DEU71" s="63"/>
      <c r="DEV71" s="63"/>
      <c r="DEW71" s="63"/>
      <c r="DEX71" s="63"/>
      <c r="DEY71" s="63"/>
      <c r="DEZ71" s="63"/>
      <c r="DFA71" s="63"/>
      <c r="DFB71" s="63"/>
      <c r="DFC71" s="63"/>
      <c r="DFD71" s="63"/>
      <c r="DFE71" s="63"/>
      <c r="DFF71" s="63"/>
      <c r="DFG71" s="63"/>
      <c r="DFH71" s="63"/>
      <c r="DFI71" s="63"/>
      <c r="DFJ71" s="63"/>
      <c r="DFK71" s="63"/>
      <c r="DFL71" s="63"/>
      <c r="DFM71" s="63"/>
      <c r="DFN71" s="63"/>
      <c r="DFO71" s="63"/>
      <c r="DFP71" s="63"/>
      <c r="DFQ71" s="63"/>
      <c r="DFR71" s="63"/>
      <c r="DFS71" s="63"/>
      <c r="DFT71" s="63"/>
      <c r="DFU71" s="63"/>
      <c r="DFV71" s="63"/>
      <c r="DFW71" s="63"/>
      <c r="DFX71" s="63"/>
      <c r="DFY71" s="63"/>
      <c r="DFZ71" s="63"/>
      <c r="DGA71" s="63"/>
      <c r="DGB71" s="63"/>
      <c r="DGC71" s="63"/>
      <c r="DGD71" s="63"/>
      <c r="DGE71" s="63"/>
      <c r="DGF71" s="63"/>
      <c r="DGG71" s="63"/>
      <c r="DGH71" s="63"/>
      <c r="DGI71" s="63"/>
      <c r="DGJ71" s="63"/>
      <c r="DGK71" s="63"/>
      <c r="DGL71" s="63"/>
      <c r="DGM71" s="63"/>
      <c r="DGN71" s="63"/>
      <c r="DGO71" s="63"/>
      <c r="DGP71" s="63"/>
      <c r="DGQ71" s="63"/>
      <c r="DGR71" s="63"/>
      <c r="DGS71" s="63"/>
      <c r="DGT71" s="63"/>
      <c r="DGU71" s="63"/>
      <c r="DGV71" s="63"/>
      <c r="DGW71" s="63"/>
      <c r="DGX71" s="63"/>
      <c r="DGY71" s="63"/>
      <c r="DGZ71" s="63"/>
      <c r="DHA71" s="63"/>
      <c r="DHB71" s="63"/>
      <c r="DHC71" s="63"/>
      <c r="DHD71" s="63"/>
      <c r="DHE71" s="63"/>
      <c r="DHF71" s="63"/>
      <c r="DHG71" s="63"/>
      <c r="DHH71" s="63"/>
      <c r="DHI71" s="63"/>
      <c r="DHJ71" s="63"/>
      <c r="DHK71" s="63"/>
      <c r="DHL71" s="63"/>
      <c r="DHM71" s="63"/>
      <c r="DHN71" s="63"/>
      <c r="DHO71" s="63"/>
      <c r="DHP71" s="63"/>
      <c r="DHQ71" s="63"/>
      <c r="DHR71" s="63"/>
      <c r="DHS71" s="63"/>
      <c r="DHT71" s="63"/>
      <c r="DHU71" s="63"/>
      <c r="DHV71" s="63"/>
      <c r="DHW71" s="63"/>
      <c r="DHX71" s="63"/>
      <c r="DHY71" s="63"/>
      <c r="DHZ71" s="63"/>
      <c r="DIA71" s="63"/>
      <c r="DIB71" s="63"/>
      <c r="DIC71" s="63"/>
      <c r="DID71" s="63"/>
      <c r="DIE71" s="63"/>
      <c r="DIF71" s="63"/>
      <c r="DIG71" s="63"/>
      <c r="DIH71" s="63"/>
      <c r="DII71" s="63"/>
      <c r="DIJ71" s="63"/>
      <c r="DIK71" s="63"/>
      <c r="DIL71" s="63"/>
      <c r="DIM71" s="63"/>
      <c r="DIN71" s="63"/>
      <c r="DIO71" s="63"/>
      <c r="DIP71" s="63"/>
      <c r="DIQ71" s="63"/>
      <c r="DIR71" s="63"/>
      <c r="DIS71" s="63"/>
      <c r="DIT71" s="63"/>
      <c r="DIU71" s="63"/>
      <c r="DIV71" s="63"/>
      <c r="DIW71" s="63"/>
      <c r="DIX71" s="63"/>
      <c r="DIY71" s="63"/>
      <c r="DIZ71" s="63"/>
      <c r="DJA71" s="63"/>
      <c r="DJB71" s="63"/>
      <c r="DJC71" s="63"/>
      <c r="DJD71" s="63"/>
      <c r="DJE71" s="63"/>
      <c r="DJF71" s="63"/>
      <c r="DJG71" s="63"/>
      <c r="DJH71" s="63"/>
      <c r="DJI71" s="63"/>
      <c r="DJJ71" s="63"/>
      <c r="DJK71" s="63"/>
      <c r="DJL71" s="63"/>
      <c r="DJM71" s="63"/>
      <c r="DJN71" s="63"/>
      <c r="DJO71" s="63"/>
      <c r="DJP71" s="63"/>
      <c r="DJQ71" s="63"/>
      <c r="DJR71" s="63"/>
      <c r="DJS71" s="63"/>
      <c r="DJT71" s="63"/>
      <c r="DJU71" s="63"/>
      <c r="DJV71" s="63"/>
      <c r="DJW71" s="63"/>
      <c r="DJX71" s="63"/>
      <c r="DJY71" s="63"/>
      <c r="DJZ71" s="63"/>
      <c r="DKA71" s="63"/>
      <c r="DKB71" s="63"/>
      <c r="DKC71" s="63"/>
      <c r="DKD71" s="63"/>
      <c r="DKE71" s="63"/>
      <c r="DKF71" s="63"/>
      <c r="DKG71" s="63"/>
      <c r="DKH71" s="63"/>
      <c r="DKI71" s="63"/>
      <c r="DKJ71" s="63"/>
      <c r="DKK71" s="63"/>
      <c r="DKL71" s="63"/>
      <c r="DKM71" s="63"/>
      <c r="DKN71" s="63"/>
      <c r="DKO71" s="63"/>
      <c r="DKP71" s="63"/>
      <c r="DKQ71" s="63"/>
      <c r="DKR71" s="63"/>
      <c r="DKS71" s="63"/>
      <c r="DKT71" s="63"/>
      <c r="DKU71" s="63"/>
      <c r="DKV71" s="63"/>
      <c r="DKW71" s="63"/>
      <c r="DKX71" s="63"/>
      <c r="DKY71" s="63"/>
      <c r="DKZ71" s="63"/>
      <c r="DLA71" s="63"/>
      <c r="DLB71" s="63"/>
      <c r="DLC71" s="63"/>
      <c r="DLD71" s="63"/>
      <c r="DLE71" s="63"/>
      <c r="DLF71" s="63"/>
      <c r="DLG71" s="63"/>
      <c r="DLH71" s="63"/>
      <c r="DLI71" s="63"/>
      <c r="DLJ71" s="63"/>
      <c r="DLK71" s="63"/>
      <c r="DLL71" s="63"/>
      <c r="DLM71" s="63"/>
      <c r="DLN71" s="63"/>
      <c r="DLO71" s="63"/>
      <c r="DLP71" s="63"/>
      <c r="DLQ71" s="63"/>
      <c r="DLR71" s="63"/>
      <c r="DLS71" s="63"/>
      <c r="DLT71" s="63"/>
      <c r="DLU71" s="63"/>
      <c r="DLV71" s="63"/>
      <c r="DLW71" s="63"/>
      <c r="DLX71" s="63"/>
      <c r="DLY71" s="63"/>
      <c r="DLZ71" s="63"/>
      <c r="DMA71" s="63"/>
      <c r="DMB71" s="63"/>
      <c r="DMC71" s="63"/>
      <c r="DMD71" s="63"/>
      <c r="DME71" s="63"/>
      <c r="DMF71" s="63"/>
      <c r="DMG71" s="63"/>
      <c r="DMH71" s="63"/>
      <c r="DMI71" s="63"/>
      <c r="DMJ71" s="63"/>
      <c r="DMK71" s="63"/>
      <c r="DML71" s="63"/>
      <c r="DMM71" s="63"/>
      <c r="DMN71" s="63"/>
      <c r="DMO71" s="63"/>
      <c r="DMP71" s="63"/>
      <c r="DMQ71" s="63"/>
      <c r="DMR71" s="63"/>
      <c r="DMS71" s="63"/>
      <c r="DMT71" s="63"/>
      <c r="DMU71" s="63"/>
      <c r="DMV71" s="63"/>
      <c r="DMW71" s="63"/>
      <c r="DMX71" s="63"/>
      <c r="DMY71" s="63"/>
      <c r="DMZ71" s="63"/>
      <c r="DNA71" s="63"/>
      <c r="DNB71" s="63"/>
      <c r="DNC71" s="63"/>
      <c r="DND71" s="63"/>
      <c r="DNE71" s="63"/>
      <c r="DNF71" s="63"/>
      <c r="DNG71" s="63"/>
      <c r="DNH71" s="63"/>
      <c r="DNI71" s="63"/>
      <c r="DNJ71" s="63"/>
      <c r="DNK71" s="63"/>
      <c r="DNL71" s="63"/>
      <c r="DNM71" s="63"/>
      <c r="DNN71" s="63"/>
      <c r="DNO71" s="63"/>
      <c r="DNP71" s="63"/>
      <c r="DNQ71" s="63"/>
      <c r="DNR71" s="63"/>
      <c r="DNS71" s="63"/>
      <c r="DNT71" s="63"/>
      <c r="DNU71" s="63"/>
      <c r="DNV71" s="63"/>
      <c r="DNW71" s="63"/>
      <c r="DNX71" s="63"/>
      <c r="DNY71" s="63"/>
      <c r="DNZ71" s="63"/>
      <c r="DOA71" s="63"/>
      <c r="DOB71" s="63"/>
      <c r="DOC71" s="63"/>
      <c r="DOD71" s="63"/>
      <c r="DOE71" s="63"/>
      <c r="DOF71" s="63"/>
      <c r="DOG71" s="63"/>
      <c r="DOH71" s="63"/>
      <c r="DOI71" s="63"/>
      <c r="DOJ71" s="63"/>
      <c r="DOK71" s="63"/>
      <c r="DOL71" s="63"/>
      <c r="DOM71" s="63"/>
      <c r="DON71" s="63"/>
      <c r="DOO71" s="63"/>
      <c r="DOP71" s="63"/>
      <c r="DOQ71" s="63"/>
      <c r="DOR71" s="63"/>
      <c r="DOS71" s="63"/>
      <c r="DOT71" s="63"/>
      <c r="DOU71" s="63"/>
      <c r="DOV71" s="63"/>
      <c r="DOW71" s="63"/>
      <c r="DOX71" s="63"/>
      <c r="DOY71" s="63"/>
      <c r="DOZ71" s="63"/>
      <c r="DPA71" s="63"/>
      <c r="DPB71" s="63"/>
      <c r="DPC71" s="63"/>
      <c r="DPD71" s="63"/>
      <c r="DPE71" s="63"/>
      <c r="DPF71" s="63"/>
      <c r="DPG71" s="63"/>
      <c r="DPH71" s="63"/>
      <c r="DPI71" s="63"/>
      <c r="DPJ71" s="63"/>
      <c r="DPK71" s="63"/>
      <c r="DPL71" s="63"/>
      <c r="DPM71" s="63"/>
      <c r="DPN71" s="63"/>
      <c r="DPO71" s="63"/>
      <c r="DPP71" s="63"/>
      <c r="DPQ71" s="63"/>
      <c r="DPR71" s="63"/>
      <c r="DPS71" s="63"/>
      <c r="DPT71" s="63"/>
      <c r="DPU71" s="63"/>
      <c r="DPV71" s="63"/>
      <c r="DPW71" s="63"/>
      <c r="DPX71" s="63"/>
      <c r="DPY71" s="63"/>
      <c r="DPZ71" s="63"/>
      <c r="DQA71" s="63"/>
      <c r="DQB71" s="63"/>
      <c r="DQC71" s="63"/>
      <c r="DQD71" s="63"/>
      <c r="DQE71" s="63"/>
      <c r="DQF71" s="63"/>
      <c r="DQG71" s="63"/>
      <c r="DQH71" s="63"/>
      <c r="DQI71" s="63"/>
      <c r="DQJ71" s="63"/>
      <c r="DQK71" s="63"/>
      <c r="DQL71" s="63"/>
      <c r="DQM71" s="63"/>
      <c r="DQN71" s="63"/>
      <c r="DQO71" s="63"/>
      <c r="DQP71" s="63"/>
      <c r="DQQ71" s="63"/>
      <c r="DQR71" s="63"/>
      <c r="DQS71" s="63"/>
      <c r="DQT71" s="63"/>
      <c r="DQU71" s="63"/>
      <c r="DQV71" s="63"/>
      <c r="DQW71" s="63"/>
      <c r="DQX71" s="63"/>
      <c r="DQY71" s="63"/>
      <c r="DQZ71" s="63"/>
      <c r="DRA71" s="63"/>
      <c r="DRB71" s="63"/>
      <c r="DRC71" s="63"/>
      <c r="DRD71" s="63"/>
      <c r="DRE71" s="63"/>
      <c r="DRF71" s="63"/>
      <c r="DRG71" s="63"/>
      <c r="DRH71" s="63"/>
      <c r="DRI71" s="63"/>
      <c r="DRJ71" s="63"/>
      <c r="DRK71" s="63"/>
      <c r="DRL71" s="63"/>
      <c r="DRM71" s="63"/>
      <c r="DRN71" s="63"/>
      <c r="DRO71" s="63"/>
      <c r="DRP71" s="63"/>
      <c r="DRQ71" s="63"/>
      <c r="DRR71" s="63"/>
      <c r="DRS71" s="63"/>
      <c r="DRT71" s="63"/>
      <c r="DRU71" s="63"/>
      <c r="DRV71" s="63"/>
      <c r="DRW71" s="63"/>
      <c r="DRX71" s="63"/>
      <c r="DRY71" s="63"/>
      <c r="DRZ71" s="63"/>
      <c r="DSA71" s="63"/>
      <c r="DSB71" s="63"/>
      <c r="DSC71" s="63"/>
      <c r="DSD71" s="63"/>
      <c r="DSE71" s="63"/>
      <c r="DSF71" s="63"/>
      <c r="DSG71" s="63"/>
      <c r="DSH71" s="63"/>
      <c r="DSI71" s="63"/>
      <c r="DSJ71" s="63"/>
      <c r="DSK71" s="63"/>
      <c r="DSL71" s="63"/>
      <c r="DSM71" s="63"/>
      <c r="DSN71" s="63"/>
      <c r="DSO71" s="63"/>
      <c r="DSP71" s="63"/>
      <c r="DSQ71" s="63"/>
      <c r="DSR71" s="63"/>
      <c r="DSS71" s="63"/>
      <c r="DST71" s="63"/>
      <c r="DSU71" s="63"/>
      <c r="DSV71" s="63"/>
      <c r="DSW71" s="63"/>
      <c r="DSX71" s="63"/>
      <c r="DSY71" s="63"/>
      <c r="DSZ71" s="63"/>
      <c r="DTA71" s="63"/>
      <c r="DTB71" s="63"/>
      <c r="DTC71" s="63"/>
      <c r="DTD71" s="63"/>
      <c r="DTE71" s="63"/>
      <c r="DTF71" s="63"/>
      <c r="DTG71" s="63"/>
      <c r="DTH71" s="63"/>
      <c r="DTI71" s="63"/>
      <c r="DTJ71" s="63"/>
      <c r="DTK71" s="63"/>
      <c r="DTL71" s="63"/>
      <c r="DTM71" s="63"/>
      <c r="DTN71" s="63"/>
      <c r="DTO71" s="63"/>
      <c r="DTP71" s="63"/>
      <c r="DTQ71" s="63"/>
      <c r="DTR71" s="63"/>
      <c r="DTS71" s="63"/>
      <c r="DTT71" s="63"/>
      <c r="DTU71" s="63"/>
      <c r="DTV71" s="63"/>
      <c r="DTW71" s="63"/>
      <c r="DTX71" s="63"/>
      <c r="DTY71" s="63"/>
      <c r="DTZ71" s="63"/>
      <c r="DUA71" s="63"/>
      <c r="DUB71" s="63"/>
      <c r="DUC71" s="63"/>
      <c r="DUD71" s="63"/>
      <c r="DUE71" s="63"/>
      <c r="DUF71" s="63"/>
      <c r="DUG71" s="63"/>
      <c r="DUH71" s="63"/>
      <c r="DUI71" s="63"/>
      <c r="DUJ71" s="63"/>
      <c r="DUK71" s="63"/>
      <c r="DUL71" s="63"/>
      <c r="DUM71" s="63"/>
      <c r="DUN71" s="63"/>
      <c r="DUO71" s="63"/>
      <c r="DUP71" s="63"/>
      <c r="DUQ71" s="63"/>
      <c r="DUR71" s="63"/>
      <c r="DUS71" s="63"/>
      <c r="DUT71" s="63"/>
      <c r="DUU71" s="63"/>
      <c r="DUV71" s="63"/>
      <c r="DUW71" s="63"/>
      <c r="DUX71" s="63"/>
      <c r="DUY71" s="63"/>
      <c r="DUZ71" s="63"/>
      <c r="DVA71" s="63"/>
      <c r="DVB71" s="63"/>
      <c r="DVC71" s="63"/>
      <c r="DVD71" s="63"/>
      <c r="DVE71" s="63"/>
      <c r="DVF71" s="63"/>
      <c r="DVG71" s="63"/>
      <c r="DVH71" s="63"/>
      <c r="DVI71" s="63"/>
      <c r="DVJ71" s="63"/>
      <c r="DVK71" s="63"/>
      <c r="DVL71" s="63"/>
      <c r="DVM71" s="63"/>
      <c r="DVN71" s="63"/>
      <c r="DVO71" s="63"/>
      <c r="DVP71" s="63"/>
      <c r="DVQ71" s="63"/>
      <c r="DVR71" s="63"/>
      <c r="DVS71" s="63"/>
      <c r="DVT71" s="63"/>
      <c r="DVU71" s="63"/>
      <c r="DVV71" s="63"/>
      <c r="DVW71" s="63"/>
      <c r="DVX71" s="63"/>
      <c r="DVY71" s="63"/>
      <c r="DVZ71" s="63"/>
      <c r="DWA71" s="63"/>
      <c r="DWB71" s="63"/>
      <c r="DWC71" s="63"/>
      <c r="DWD71" s="63"/>
      <c r="DWE71" s="63"/>
      <c r="DWF71" s="63"/>
      <c r="DWG71" s="63"/>
      <c r="DWH71" s="63"/>
      <c r="DWI71" s="63"/>
      <c r="DWJ71" s="63"/>
      <c r="DWK71" s="63"/>
      <c r="DWL71" s="63"/>
      <c r="DWM71" s="63"/>
      <c r="DWN71" s="63"/>
      <c r="DWO71" s="63"/>
      <c r="DWP71" s="63"/>
      <c r="DWQ71" s="63"/>
      <c r="DWR71" s="63"/>
      <c r="DWS71" s="63"/>
      <c r="DWT71" s="63"/>
      <c r="DWU71" s="63"/>
      <c r="DWV71" s="63"/>
      <c r="DWW71" s="63"/>
      <c r="DWX71" s="63"/>
      <c r="DWY71" s="63"/>
      <c r="DWZ71" s="63"/>
      <c r="DXA71" s="63"/>
      <c r="DXB71" s="63"/>
      <c r="DXC71" s="63"/>
      <c r="DXD71" s="63"/>
      <c r="DXE71" s="63"/>
      <c r="DXF71" s="63"/>
      <c r="DXG71" s="63"/>
      <c r="DXH71" s="63"/>
      <c r="DXI71" s="63"/>
      <c r="DXJ71" s="63"/>
      <c r="DXK71" s="63"/>
      <c r="DXL71" s="63"/>
      <c r="DXM71" s="63"/>
      <c r="DXN71" s="63"/>
      <c r="DXO71" s="63"/>
      <c r="DXP71" s="63"/>
      <c r="DXQ71" s="63"/>
      <c r="DXR71" s="63"/>
      <c r="DXS71" s="63"/>
      <c r="DXT71" s="63"/>
      <c r="DXU71" s="63"/>
      <c r="DXV71" s="63"/>
      <c r="DXW71" s="63"/>
      <c r="DXX71" s="63"/>
      <c r="DXY71" s="63"/>
      <c r="DXZ71" s="63"/>
      <c r="DYA71" s="63"/>
      <c r="DYB71" s="63"/>
      <c r="DYC71" s="63"/>
      <c r="DYD71" s="63"/>
      <c r="DYE71" s="63"/>
      <c r="DYF71" s="63"/>
      <c r="DYG71" s="63"/>
      <c r="DYH71" s="63"/>
      <c r="DYI71" s="63"/>
      <c r="DYJ71" s="63"/>
      <c r="DYK71" s="63"/>
      <c r="DYL71" s="63"/>
      <c r="DYM71" s="63"/>
      <c r="DYN71" s="63"/>
      <c r="DYO71" s="63"/>
      <c r="DYP71" s="63"/>
      <c r="DYQ71" s="63"/>
      <c r="DYR71" s="63"/>
      <c r="DYS71" s="63"/>
      <c r="DYT71" s="63"/>
      <c r="DYU71" s="63"/>
      <c r="DYV71" s="63"/>
      <c r="DYW71" s="63"/>
      <c r="DYX71" s="63"/>
      <c r="DYY71" s="63"/>
      <c r="DYZ71" s="63"/>
      <c r="DZA71" s="63"/>
      <c r="DZB71" s="63"/>
      <c r="DZC71" s="63"/>
      <c r="DZD71" s="63"/>
      <c r="DZE71" s="63"/>
      <c r="DZF71" s="63"/>
      <c r="DZG71" s="63"/>
      <c r="DZH71" s="63"/>
      <c r="DZI71" s="63"/>
      <c r="DZJ71" s="63"/>
      <c r="DZK71" s="63"/>
      <c r="DZL71" s="63"/>
      <c r="DZM71" s="63"/>
      <c r="DZN71" s="63"/>
      <c r="DZO71" s="63"/>
      <c r="DZP71" s="63"/>
      <c r="DZQ71" s="63"/>
      <c r="DZR71" s="63"/>
      <c r="DZS71" s="63"/>
      <c r="DZT71" s="63"/>
      <c r="DZU71" s="63"/>
      <c r="DZV71" s="63"/>
      <c r="DZW71" s="63"/>
      <c r="DZX71" s="63"/>
      <c r="DZY71" s="63"/>
      <c r="DZZ71" s="63"/>
      <c r="EAA71" s="63"/>
      <c r="EAB71" s="63"/>
      <c r="EAC71" s="63"/>
      <c r="EAD71" s="63"/>
      <c r="EAE71" s="63"/>
      <c r="EAF71" s="63"/>
      <c r="EAG71" s="63"/>
      <c r="EAH71" s="63"/>
      <c r="EAI71" s="63"/>
      <c r="EAJ71" s="63"/>
      <c r="EAK71" s="63"/>
      <c r="EAL71" s="63"/>
      <c r="EAM71" s="63"/>
      <c r="EAN71" s="63"/>
      <c r="EAO71" s="63"/>
      <c r="EAP71" s="63"/>
      <c r="EAQ71" s="63"/>
      <c r="EAR71" s="63"/>
      <c r="EAS71" s="63"/>
      <c r="EAT71" s="63"/>
      <c r="EAU71" s="63"/>
      <c r="EAV71" s="63"/>
      <c r="EAW71" s="63"/>
      <c r="EAX71" s="63"/>
      <c r="EAY71" s="63"/>
      <c r="EAZ71" s="63"/>
      <c r="EBA71" s="63"/>
      <c r="EBB71" s="63"/>
      <c r="EBC71" s="63"/>
      <c r="EBD71" s="63"/>
      <c r="EBE71" s="63"/>
      <c r="EBF71" s="63"/>
      <c r="EBG71" s="63"/>
      <c r="EBH71" s="63"/>
      <c r="EBI71" s="63"/>
      <c r="EBJ71" s="63"/>
      <c r="EBK71" s="63"/>
      <c r="EBL71" s="63"/>
      <c r="EBM71" s="63"/>
      <c r="EBN71" s="63"/>
      <c r="EBO71" s="63"/>
      <c r="EBP71" s="63"/>
      <c r="EBQ71" s="63"/>
      <c r="EBR71" s="63"/>
      <c r="EBS71" s="63"/>
      <c r="EBT71" s="63"/>
      <c r="EBU71" s="63"/>
      <c r="EBV71" s="63"/>
      <c r="EBW71" s="63"/>
      <c r="EBX71" s="63"/>
      <c r="EBY71" s="63"/>
      <c r="EBZ71" s="63"/>
      <c r="ECA71" s="63"/>
      <c r="ECB71" s="63"/>
      <c r="ECC71" s="63"/>
      <c r="ECD71" s="63"/>
      <c r="ECE71" s="63"/>
      <c r="ECF71" s="63"/>
      <c r="ECG71" s="63"/>
      <c r="ECH71" s="63"/>
      <c r="ECI71" s="63"/>
      <c r="ECJ71" s="63"/>
      <c r="ECK71" s="63"/>
      <c r="ECL71" s="63"/>
      <c r="ECM71" s="63"/>
      <c r="ECN71" s="63"/>
      <c r="ECO71" s="63"/>
      <c r="ECP71" s="63"/>
      <c r="ECQ71" s="63"/>
      <c r="ECR71" s="63"/>
      <c r="ECS71" s="63"/>
      <c r="ECT71" s="63"/>
      <c r="ECU71" s="63"/>
      <c r="ECV71" s="63"/>
      <c r="ECW71" s="63"/>
      <c r="ECX71" s="63"/>
      <c r="ECY71" s="63"/>
      <c r="ECZ71" s="63"/>
      <c r="EDA71" s="63"/>
      <c r="EDB71" s="63"/>
      <c r="EDC71" s="63"/>
      <c r="EDD71" s="63"/>
      <c r="EDE71" s="63"/>
      <c r="EDF71" s="63"/>
      <c r="EDG71" s="63"/>
      <c r="EDH71" s="63"/>
      <c r="EDI71" s="63"/>
      <c r="EDJ71" s="63"/>
      <c r="EDK71" s="63"/>
      <c r="EDL71" s="63"/>
      <c r="EDM71" s="63"/>
      <c r="EDN71" s="63"/>
      <c r="EDO71" s="63"/>
      <c r="EDP71" s="63"/>
      <c r="EDQ71" s="63"/>
      <c r="EDR71" s="63"/>
      <c r="EDS71" s="63"/>
      <c r="EDT71" s="63"/>
      <c r="EDU71" s="63"/>
      <c r="EDV71" s="63"/>
      <c r="EDW71" s="63"/>
      <c r="EDX71" s="63"/>
      <c r="EDY71" s="63"/>
      <c r="EDZ71" s="63"/>
      <c r="EEA71" s="63"/>
      <c r="EEB71" s="63"/>
      <c r="EEC71" s="63"/>
      <c r="EED71" s="63"/>
      <c r="EEE71" s="63"/>
      <c r="EEF71" s="63"/>
      <c r="EEG71" s="63"/>
      <c r="EEH71" s="63"/>
      <c r="EEI71" s="63"/>
      <c r="EEJ71" s="63"/>
      <c r="EEK71" s="63"/>
      <c r="EEL71" s="63"/>
      <c r="EEM71" s="63"/>
      <c r="EEN71" s="63"/>
      <c r="EEO71" s="63"/>
      <c r="EEP71" s="63"/>
      <c r="EEQ71" s="63"/>
      <c r="EER71" s="63"/>
      <c r="EES71" s="63"/>
      <c r="EET71" s="63"/>
      <c r="EEU71" s="63"/>
      <c r="EEV71" s="63"/>
      <c r="EEW71" s="63"/>
      <c r="EEX71" s="63"/>
      <c r="EEY71" s="63"/>
      <c r="EEZ71" s="63"/>
      <c r="EFA71" s="63"/>
      <c r="EFB71" s="63"/>
      <c r="EFC71" s="63"/>
      <c r="EFD71" s="63"/>
      <c r="EFE71" s="63"/>
      <c r="EFF71" s="63"/>
      <c r="EFG71" s="63"/>
      <c r="EFH71" s="63"/>
      <c r="EFI71" s="63"/>
      <c r="EFJ71" s="63"/>
      <c r="EFK71" s="63"/>
      <c r="EFL71" s="63"/>
      <c r="EFM71" s="63"/>
      <c r="EFN71" s="63"/>
      <c r="EFO71" s="63"/>
      <c r="EFP71" s="63"/>
      <c r="EFQ71" s="63"/>
      <c r="EFR71" s="63"/>
      <c r="EFS71" s="63"/>
      <c r="EFT71" s="63"/>
      <c r="EFU71" s="63"/>
      <c r="EFV71" s="63"/>
      <c r="EFW71" s="63"/>
      <c r="EFX71" s="63"/>
      <c r="EFY71" s="63"/>
      <c r="EFZ71" s="63"/>
      <c r="EGA71" s="63"/>
      <c r="EGB71" s="63"/>
      <c r="EGC71" s="63"/>
      <c r="EGD71" s="63"/>
      <c r="EGE71" s="63"/>
      <c r="EGF71" s="63"/>
      <c r="EGG71" s="63"/>
      <c r="EGH71" s="63"/>
      <c r="EGI71" s="63"/>
      <c r="EGJ71" s="63"/>
      <c r="EGK71" s="63"/>
      <c r="EGL71" s="63"/>
      <c r="EGM71" s="63"/>
      <c r="EGN71" s="63"/>
      <c r="EGO71" s="63"/>
      <c r="EGP71" s="63"/>
      <c r="EGQ71" s="63"/>
      <c r="EGR71" s="63"/>
      <c r="EGS71" s="63"/>
      <c r="EGT71" s="63"/>
      <c r="EGU71" s="63"/>
      <c r="EGV71" s="63"/>
      <c r="EGW71" s="63"/>
      <c r="EGX71" s="63"/>
      <c r="EGY71" s="63"/>
      <c r="EGZ71" s="63"/>
      <c r="EHA71" s="63"/>
      <c r="EHB71" s="63"/>
      <c r="EHC71" s="63"/>
      <c r="EHD71" s="63"/>
      <c r="EHE71" s="63"/>
      <c r="EHF71" s="63"/>
      <c r="EHG71" s="63"/>
      <c r="EHH71" s="63"/>
      <c r="EHI71" s="63"/>
      <c r="EHJ71" s="63"/>
      <c r="EHK71" s="63"/>
      <c r="EHL71" s="63"/>
      <c r="EHM71" s="63"/>
      <c r="EHN71" s="63"/>
      <c r="EHO71" s="63"/>
      <c r="EHP71" s="63"/>
      <c r="EHQ71" s="63"/>
      <c r="EHR71" s="63"/>
      <c r="EHS71" s="63"/>
      <c r="EHT71" s="63"/>
      <c r="EHU71" s="63"/>
      <c r="EHV71" s="63"/>
      <c r="EHW71" s="63"/>
      <c r="EHX71" s="63"/>
      <c r="EHY71" s="63"/>
      <c r="EHZ71" s="63"/>
      <c r="EIA71" s="63"/>
      <c r="EIB71" s="63"/>
      <c r="EIC71" s="63"/>
      <c r="EID71" s="63"/>
      <c r="EIE71" s="63"/>
      <c r="EIF71" s="63"/>
      <c r="EIG71" s="63"/>
      <c r="EIH71" s="63"/>
      <c r="EII71" s="63"/>
      <c r="EIJ71" s="63"/>
      <c r="EIK71" s="63"/>
      <c r="EIL71" s="63"/>
      <c r="EIM71" s="63"/>
      <c r="EIN71" s="63"/>
      <c r="EIO71" s="63"/>
      <c r="EIP71" s="63"/>
      <c r="EIQ71" s="63"/>
      <c r="EIR71" s="63"/>
      <c r="EIS71" s="63"/>
      <c r="EIT71" s="63"/>
      <c r="EIU71" s="63"/>
      <c r="EIV71" s="63"/>
      <c r="EIW71" s="63"/>
      <c r="EIX71" s="63"/>
      <c r="EIY71" s="63"/>
      <c r="EIZ71" s="63"/>
      <c r="EJA71" s="63"/>
      <c r="EJB71" s="63"/>
      <c r="EJC71" s="63"/>
      <c r="EJD71" s="63"/>
      <c r="EJE71" s="63"/>
      <c r="EJF71" s="63"/>
      <c r="EJG71" s="63"/>
      <c r="EJH71" s="63"/>
      <c r="EJI71" s="63"/>
      <c r="EJJ71" s="63"/>
      <c r="EJK71" s="63"/>
      <c r="EJL71" s="63"/>
      <c r="EJM71" s="63"/>
      <c r="EJN71" s="63"/>
      <c r="EJO71" s="63"/>
      <c r="EJP71" s="63"/>
      <c r="EJQ71" s="63"/>
      <c r="EJR71" s="63"/>
      <c r="EJS71" s="63"/>
      <c r="EJT71" s="63"/>
      <c r="EJU71" s="63"/>
      <c r="EJV71" s="63"/>
      <c r="EJW71" s="63"/>
      <c r="EJX71" s="63"/>
      <c r="EJY71" s="63"/>
      <c r="EJZ71" s="63"/>
      <c r="EKA71" s="63"/>
      <c r="EKB71" s="63"/>
      <c r="EKC71" s="63"/>
      <c r="EKD71" s="63"/>
      <c r="EKE71" s="63"/>
      <c r="EKF71" s="63"/>
      <c r="EKG71" s="63"/>
      <c r="EKH71" s="63"/>
      <c r="EKI71" s="63"/>
      <c r="EKJ71" s="63"/>
      <c r="EKK71" s="63"/>
      <c r="EKL71" s="63"/>
      <c r="EKM71" s="63"/>
      <c r="EKN71" s="63"/>
      <c r="EKO71" s="63"/>
      <c r="EKP71" s="63"/>
      <c r="EKQ71" s="63"/>
      <c r="EKR71" s="63"/>
      <c r="EKS71" s="63"/>
      <c r="EKT71" s="63"/>
      <c r="EKU71" s="63"/>
      <c r="EKV71" s="63"/>
      <c r="EKW71" s="63"/>
      <c r="EKX71" s="63"/>
      <c r="EKY71" s="63"/>
      <c r="EKZ71" s="63"/>
      <c r="ELA71" s="63"/>
      <c r="ELB71" s="63"/>
      <c r="ELC71" s="63"/>
      <c r="ELD71" s="63"/>
      <c r="ELE71" s="63"/>
      <c r="ELF71" s="63"/>
      <c r="ELG71" s="63"/>
      <c r="ELH71" s="63"/>
      <c r="ELI71" s="63"/>
      <c r="ELJ71" s="63"/>
      <c r="ELK71" s="63"/>
      <c r="ELL71" s="63"/>
      <c r="ELM71" s="63"/>
      <c r="ELN71" s="63"/>
      <c r="ELO71" s="63"/>
      <c r="ELP71" s="63"/>
      <c r="ELQ71" s="63"/>
      <c r="ELR71" s="63"/>
      <c r="ELS71" s="63"/>
      <c r="ELT71" s="63"/>
      <c r="ELU71" s="63"/>
      <c r="ELV71" s="63"/>
      <c r="ELW71" s="63"/>
      <c r="ELX71" s="63"/>
      <c r="ELY71" s="63"/>
      <c r="ELZ71" s="63"/>
      <c r="EMA71" s="63"/>
      <c r="EMB71" s="63"/>
      <c r="EMC71" s="63"/>
      <c r="EMD71" s="63"/>
      <c r="EME71" s="63"/>
      <c r="EMF71" s="63"/>
      <c r="EMG71" s="63"/>
      <c r="EMH71" s="63"/>
      <c r="EMI71" s="63"/>
      <c r="EMJ71" s="63"/>
      <c r="EMK71" s="63"/>
      <c r="EML71" s="63"/>
      <c r="EMM71" s="63"/>
      <c r="EMN71" s="63"/>
      <c r="EMO71" s="63"/>
      <c r="EMP71" s="63"/>
      <c r="EMQ71" s="63"/>
      <c r="EMR71" s="63"/>
      <c r="EMS71" s="63"/>
      <c r="EMT71" s="63"/>
      <c r="EMU71" s="63"/>
      <c r="EMV71" s="63"/>
      <c r="EMW71" s="63"/>
      <c r="EMX71" s="63"/>
      <c r="EMY71" s="63"/>
      <c r="EMZ71" s="63"/>
      <c r="ENA71" s="63"/>
      <c r="ENB71" s="63"/>
      <c r="ENC71" s="63"/>
      <c r="END71" s="63"/>
      <c r="ENE71" s="63"/>
      <c r="ENF71" s="63"/>
      <c r="ENG71" s="63"/>
      <c r="ENH71" s="63"/>
      <c r="ENI71" s="63"/>
      <c r="ENJ71" s="63"/>
      <c r="ENK71" s="63"/>
      <c r="ENL71" s="63"/>
      <c r="ENM71" s="63"/>
      <c r="ENN71" s="63"/>
      <c r="ENO71" s="63"/>
      <c r="ENP71" s="63"/>
      <c r="ENQ71" s="63"/>
      <c r="ENR71" s="63"/>
      <c r="ENS71" s="63"/>
      <c r="ENT71" s="63"/>
      <c r="ENU71" s="63"/>
      <c r="ENV71" s="63"/>
      <c r="ENW71" s="63"/>
      <c r="ENX71" s="63"/>
      <c r="ENY71" s="63"/>
      <c r="ENZ71" s="63"/>
      <c r="EOA71" s="63"/>
      <c r="EOB71" s="63"/>
      <c r="EOC71" s="63"/>
      <c r="EOD71" s="63"/>
      <c r="EOE71" s="63"/>
      <c r="EOF71" s="63"/>
      <c r="EOG71" s="63"/>
      <c r="EOH71" s="63"/>
      <c r="EOI71" s="63"/>
      <c r="EOJ71" s="63"/>
      <c r="EOK71" s="63"/>
      <c r="EOL71" s="63"/>
      <c r="EOM71" s="63"/>
      <c r="EON71" s="63"/>
      <c r="EOO71" s="63"/>
      <c r="EOP71" s="63"/>
      <c r="EOQ71" s="63"/>
      <c r="EOR71" s="63"/>
      <c r="EOS71" s="63"/>
      <c r="EOT71" s="63"/>
      <c r="EOU71" s="63"/>
      <c r="EOV71" s="63"/>
      <c r="EOW71" s="63"/>
      <c r="EOX71" s="63"/>
      <c r="EOY71" s="63"/>
      <c r="EOZ71" s="63"/>
      <c r="EPA71" s="63"/>
      <c r="EPB71" s="63"/>
      <c r="EPC71" s="63"/>
      <c r="EPD71" s="63"/>
      <c r="EPE71" s="63"/>
      <c r="EPF71" s="63"/>
      <c r="EPG71" s="63"/>
      <c r="EPH71" s="63"/>
      <c r="EPI71" s="63"/>
      <c r="EPJ71" s="63"/>
      <c r="EPK71" s="63"/>
      <c r="EPL71" s="63"/>
      <c r="EPM71" s="63"/>
      <c r="EPN71" s="63"/>
      <c r="EPO71" s="63"/>
      <c r="EPP71" s="63"/>
      <c r="EPQ71" s="63"/>
      <c r="EPR71" s="63"/>
      <c r="EPS71" s="63"/>
      <c r="EPT71" s="63"/>
      <c r="EPU71" s="63"/>
      <c r="EPV71" s="63"/>
      <c r="EPW71" s="63"/>
      <c r="EPX71" s="63"/>
      <c r="EPY71" s="63"/>
      <c r="EPZ71" s="63"/>
      <c r="EQA71" s="63"/>
      <c r="EQB71" s="63"/>
      <c r="EQC71" s="63"/>
      <c r="EQD71" s="63"/>
      <c r="EQE71" s="63"/>
      <c r="EQF71" s="63"/>
      <c r="EQG71" s="63"/>
      <c r="EQH71" s="63"/>
      <c r="EQI71" s="63"/>
      <c r="EQJ71" s="63"/>
      <c r="EQK71" s="63"/>
      <c r="EQL71" s="63"/>
      <c r="EQM71" s="63"/>
      <c r="EQN71" s="63"/>
      <c r="EQO71" s="63"/>
      <c r="EQP71" s="63"/>
      <c r="EQQ71" s="63"/>
      <c r="EQR71" s="63"/>
      <c r="EQS71" s="63"/>
      <c r="EQT71" s="63"/>
      <c r="EQU71" s="63"/>
      <c r="EQV71" s="63"/>
      <c r="EQW71" s="63"/>
      <c r="EQX71" s="63"/>
      <c r="EQY71" s="63"/>
      <c r="EQZ71" s="63"/>
      <c r="ERA71" s="63"/>
      <c r="ERB71" s="63"/>
      <c r="ERC71" s="63"/>
      <c r="ERD71" s="63"/>
      <c r="ERE71" s="63"/>
      <c r="ERF71" s="63"/>
      <c r="ERG71" s="63"/>
      <c r="ERH71" s="63"/>
      <c r="ERI71" s="63"/>
      <c r="ERJ71" s="63"/>
      <c r="ERK71" s="63"/>
      <c r="ERL71" s="63"/>
      <c r="ERM71" s="63"/>
      <c r="ERN71" s="63"/>
      <c r="ERO71" s="63"/>
      <c r="ERP71" s="63"/>
      <c r="ERQ71" s="63"/>
      <c r="ERR71" s="63"/>
      <c r="ERS71" s="63"/>
      <c r="ERT71" s="63"/>
      <c r="ERU71" s="63"/>
      <c r="ERV71" s="63"/>
      <c r="ERW71" s="63"/>
      <c r="ERX71" s="63"/>
      <c r="ERY71" s="63"/>
      <c r="ERZ71" s="63"/>
      <c r="ESA71" s="63"/>
      <c r="ESB71" s="63"/>
      <c r="ESC71" s="63"/>
      <c r="ESD71" s="63"/>
      <c r="ESE71" s="63"/>
      <c r="ESF71" s="63"/>
      <c r="ESG71" s="63"/>
      <c r="ESH71" s="63"/>
      <c r="ESI71" s="63"/>
      <c r="ESJ71" s="63"/>
      <c r="ESK71" s="63"/>
      <c r="ESL71" s="63"/>
      <c r="ESM71" s="63"/>
      <c r="ESN71" s="63"/>
      <c r="ESO71" s="63"/>
      <c r="ESP71" s="63"/>
      <c r="ESQ71" s="63"/>
      <c r="ESR71" s="63"/>
      <c r="ESS71" s="63"/>
      <c r="EST71" s="63"/>
      <c r="ESU71" s="63"/>
      <c r="ESV71" s="63"/>
      <c r="ESW71" s="63"/>
      <c r="ESX71" s="63"/>
      <c r="ESY71" s="63"/>
      <c r="ESZ71" s="63"/>
      <c r="ETA71" s="63"/>
      <c r="ETB71" s="63"/>
      <c r="ETC71" s="63"/>
      <c r="ETD71" s="63"/>
      <c r="ETE71" s="63"/>
      <c r="ETF71" s="63"/>
      <c r="ETG71" s="63"/>
      <c r="ETH71" s="63"/>
      <c r="ETI71" s="63"/>
      <c r="ETJ71" s="63"/>
      <c r="ETK71" s="63"/>
      <c r="ETL71" s="63"/>
      <c r="ETM71" s="63"/>
      <c r="ETN71" s="63"/>
      <c r="ETO71" s="63"/>
      <c r="ETP71" s="63"/>
      <c r="ETQ71" s="63"/>
      <c r="ETR71" s="63"/>
      <c r="ETS71" s="63"/>
      <c r="ETT71" s="63"/>
      <c r="ETU71" s="63"/>
      <c r="ETV71" s="63"/>
      <c r="ETW71" s="63"/>
      <c r="ETX71" s="63"/>
      <c r="ETY71" s="63"/>
      <c r="ETZ71" s="63"/>
      <c r="EUA71" s="63"/>
      <c r="EUB71" s="63"/>
      <c r="EUC71" s="63"/>
      <c r="EUD71" s="63"/>
      <c r="EUE71" s="63"/>
      <c r="EUF71" s="63"/>
      <c r="EUG71" s="63"/>
      <c r="EUH71" s="63"/>
      <c r="EUI71" s="63"/>
      <c r="EUJ71" s="63"/>
      <c r="EUK71" s="63"/>
      <c r="EUL71" s="63"/>
      <c r="EUM71" s="63"/>
      <c r="EUN71" s="63"/>
      <c r="EUO71" s="63"/>
      <c r="EUP71" s="63"/>
      <c r="EUQ71" s="63"/>
      <c r="EUR71" s="63"/>
      <c r="EUS71" s="63"/>
      <c r="EUT71" s="63"/>
      <c r="EUU71" s="63"/>
      <c r="EUV71" s="63"/>
      <c r="EUW71" s="63"/>
      <c r="EUX71" s="63"/>
      <c r="EUY71" s="63"/>
      <c r="EUZ71" s="63"/>
      <c r="EVA71" s="63"/>
      <c r="EVB71" s="63"/>
      <c r="EVC71" s="63"/>
      <c r="EVD71" s="63"/>
      <c r="EVE71" s="63"/>
      <c r="EVF71" s="63"/>
      <c r="EVG71" s="63"/>
      <c r="EVH71" s="63"/>
      <c r="EVI71" s="63"/>
      <c r="EVJ71" s="63"/>
      <c r="EVK71" s="63"/>
      <c r="EVL71" s="63"/>
      <c r="EVM71" s="63"/>
      <c r="EVN71" s="63"/>
      <c r="EVO71" s="63"/>
      <c r="EVP71" s="63"/>
      <c r="EVQ71" s="63"/>
      <c r="EVR71" s="63"/>
      <c r="EVS71" s="63"/>
      <c r="EVT71" s="63"/>
      <c r="EVU71" s="63"/>
      <c r="EVV71" s="63"/>
      <c r="EVW71" s="63"/>
      <c r="EVX71" s="63"/>
      <c r="EVY71" s="63"/>
      <c r="EVZ71" s="63"/>
      <c r="EWA71" s="63"/>
      <c r="EWB71" s="63"/>
      <c r="EWC71" s="63"/>
      <c r="EWD71" s="63"/>
      <c r="EWE71" s="63"/>
      <c r="EWF71" s="63"/>
      <c r="EWG71" s="63"/>
      <c r="EWH71" s="63"/>
      <c r="EWI71" s="63"/>
      <c r="EWJ71" s="63"/>
      <c r="EWK71" s="63"/>
      <c r="EWL71" s="63"/>
      <c r="EWM71" s="63"/>
      <c r="EWN71" s="63"/>
      <c r="EWO71" s="63"/>
      <c r="EWP71" s="63"/>
      <c r="EWQ71" s="63"/>
      <c r="EWR71" s="63"/>
      <c r="EWS71" s="63"/>
      <c r="EWT71" s="63"/>
      <c r="EWU71" s="63"/>
      <c r="EWV71" s="63"/>
      <c r="EWW71" s="63"/>
      <c r="EWX71" s="63"/>
      <c r="EWY71" s="63"/>
      <c r="EWZ71" s="63"/>
      <c r="EXA71" s="63"/>
      <c r="EXB71" s="63"/>
      <c r="EXC71" s="63"/>
      <c r="EXD71" s="63"/>
      <c r="EXE71" s="63"/>
      <c r="EXF71" s="63"/>
      <c r="EXG71" s="63"/>
      <c r="EXH71" s="63"/>
      <c r="EXI71" s="63"/>
      <c r="EXJ71" s="63"/>
      <c r="EXK71" s="63"/>
      <c r="EXL71" s="63"/>
      <c r="EXM71" s="63"/>
      <c r="EXN71" s="63"/>
      <c r="EXO71" s="63"/>
      <c r="EXP71" s="63"/>
      <c r="EXQ71" s="63"/>
      <c r="EXR71" s="63"/>
      <c r="EXS71" s="63"/>
      <c r="EXT71" s="63"/>
      <c r="EXU71" s="63"/>
      <c r="EXV71" s="63"/>
      <c r="EXW71" s="63"/>
      <c r="EXX71" s="63"/>
      <c r="EXY71" s="63"/>
      <c r="EXZ71" s="63"/>
      <c r="EYA71" s="63"/>
      <c r="EYB71" s="63"/>
      <c r="EYC71" s="63"/>
      <c r="EYD71" s="63"/>
      <c r="EYE71" s="63"/>
      <c r="EYF71" s="63"/>
      <c r="EYG71" s="63"/>
      <c r="EYH71" s="63"/>
      <c r="EYI71" s="63"/>
      <c r="EYJ71" s="63"/>
      <c r="EYK71" s="63"/>
      <c r="EYL71" s="63"/>
      <c r="EYM71" s="63"/>
      <c r="EYN71" s="63"/>
      <c r="EYO71" s="63"/>
      <c r="EYP71" s="63"/>
      <c r="EYQ71" s="63"/>
      <c r="EYR71" s="63"/>
      <c r="EYS71" s="63"/>
      <c r="EYT71" s="63"/>
      <c r="EYU71" s="63"/>
      <c r="EYV71" s="63"/>
      <c r="EYW71" s="63"/>
      <c r="EYX71" s="63"/>
      <c r="EYY71" s="63"/>
      <c r="EYZ71" s="63"/>
      <c r="EZA71" s="63"/>
      <c r="EZB71" s="63"/>
      <c r="EZC71" s="63"/>
      <c r="EZD71" s="63"/>
      <c r="EZE71" s="63"/>
      <c r="EZF71" s="63"/>
      <c r="EZG71" s="63"/>
      <c r="EZH71" s="63"/>
      <c r="EZI71" s="63"/>
      <c r="EZJ71" s="63"/>
      <c r="EZK71" s="63"/>
      <c r="EZL71" s="63"/>
      <c r="EZM71" s="63"/>
      <c r="EZN71" s="63"/>
      <c r="EZO71" s="63"/>
      <c r="EZP71" s="63"/>
      <c r="EZQ71" s="63"/>
      <c r="EZR71" s="63"/>
      <c r="EZS71" s="63"/>
      <c r="EZT71" s="63"/>
      <c r="EZU71" s="63"/>
      <c r="EZV71" s="63"/>
      <c r="EZW71" s="63"/>
      <c r="EZX71" s="63"/>
      <c r="EZY71" s="63"/>
      <c r="EZZ71" s="63"/>
      <c r="FAA71" s="63"/>
      <c r="FAB71" s="63"/>
      <c r="FAC71" s="63"/>
      <c r="FAD71" s="63"/>
      <c r="FAE71" s="63"/>
      <c r="FAF71" s="63"/>
      <c r="FAG71" s="63"/>
      <c r="FAH71" s="63"/>
      <c r="FAI71" s="63"/>
      <c r="FAJ71" s="63"/>
      <c r="FAK71" s="63"/>
      <c r="FAL71" s="63"/>
      <c r="FAM71" s="63"/>
      <c r="FAN71" s="63"/>
      <c r="FAO71" s="63"/>
      <c r="FAP71" s="63"/>
      <c r="FAQ71" s="63"/>
      <c r="FAR71" s="63"/>
      <c r="FAS71" s="63"/>
      <c r="FAT71" s="63"/>
      <c r="FAU71" s="63"/>
      <c r="FAV71" s="63"/>
      <c r="FAW71" s="63"/>
      <c r="FAX71" s="63"/>
      <c r="FAY71" s="63"/>
      <c r="FAZ71" s="63"/>
      <c r="FBA71" s="63"/>
      <c r="FBB71" s="63"/>
      <c r="FBC71" s="63"/>
      <c r="FBD71" s="63"/>
      <c r="FBE71" s="63"/>
      <c r="FBF71" s="63"/>
      <c r="FBG71" s="63"/>
      <c r="FBH71" s="63"/>
      <c r="FBI71" s="63"/>
      <c r="FBJ71" s="63"/>
      <c r="FBK71" s="63"/>
      <c r="FBL71" s="63"/>
      <c r="FBM71" s="63"/>
      <c r="FBN71" s="63"/>
      <c r="FBO71" s="63"/>
      <c r="FBP71" s="63"/>
      <c r="FBQ71" s="63"/>
      <c r="FBR71" s="63"/>
      <c r="FBS71" s="63"/>
      <c r="FBT71" s="63"/>
      <c r="FBU71" s="63"/>
      <c r="FBV71" s="63"/>
      <c r="FBW71" s="63"/>
      <c r="FBX71" s="63"/>
      <c r="FBY71" s="63"/>
      <c r="FBZ71" s="63"/>
      <c r="FCA71" s="63"/>
      <c r="FCB71" s="63"/>
      <c r="FCC71" s="63"/>
      <c r="FCD71" s="63"/>
      <c r="FCE71" s="63"/>
      <c r="FCF71" s="63"/>
      <c r="FCG71" s="63"/>
      <c r="FCH71" s="63"/>
      <c r="FCI71" s="63"/>
      <c r="FCJ71" s="63"/>
      <c r="FCK71" s="63"/>
      <c r="FCL71" s="63"/>
      <c r="FCM71" s="63"/>
      <c r="FCN71" s="63"/>
      <c r="FCO71" s="63"/>
      <c r="FCP71" s="63"/>
      <c r="FCQ71" s="63"/>
      <c r="FCR71" s="63"/>
      <c r="FCS71" s="63"/>
      <c r="FCT71" s="63"/>
      <c r="FCU71" s="63"/>
      <c r="FCV71" s="63"/>
      <c r="FCW71" s="63"/>
      <c r="FCX71" s="63"/>
      <c r="FCY71" s="63"/>
      <c r="FCZ71" s="63"/>
      <c r="FDA71" s="63"/>
      <c r="FDB71" s="63"/>
      <c r="FDC71" s="63"/>
      <c r="FDD71" s="63"/>
      <c r="FDE71" s="63"/>
      <c r="FDF71" s="63"/>
      <c r="FDG71" s="63"/>
      <c r="FDH71" s="63"/>
      <c r="FDI71" s="63"/>
      <c r="FDJ71" s="63"/>
      <c r="FDK71" s="63"/>
      <c r="FDL71" s="63"/>
      <c r="FDM71" s="63"/>
      <c r="FDN71" s="63"/>
      <c r="FDO71" s="63"/>
      <c r="FDP71" s="63"/>
      <c r="FDQ71" s="63"/>
      <c r="FDR71" s="63"/>
      <c r="FDS71" s="63"/>
      <c r="FDT71" s="63"/>
      <c r="FDU71" s="63"/>
      <c r="FDV71" s="63"/>
      <c r="FDW71" s="63"/>
      <c r="FDX71" s="63"/>
      <c r="FDY71" s="63"/>
      <c r="FDZ71" s="63"/>
      <c r="FEA71" s="63"/>
      <c r="FEB71" s="63"/>
      <c r="FEC71" s="63"/>
      <c r="FED71" s="63"/>
      <c r="FEE71" s="63"/>
      <c r="FEF71" s="63"/>
      <c r="FEG71" s="63"/>
      <c r="FEH71" s="63"/>
      <c r="FEI71" s="63"/>
      <c r="FEJ71" s="63"/>
      <c r="FEK71" s="63"/>
      <c r="FEL71" s="63"/>
      <c r="FEM71" s="63"/>
      <c r="FEN71" s="63"/>
      <c r="FEO71" s="63"/>
      <c r="FEP71" s="63"/>
      <c r="FEQ71" s="63"/>
      <c r="FER71" s="63"/>
      <c r="FES71" s="63"/>
      <c r="FET71" s="63"/>
      <c r="FEU71" s="63"/>
      <c r="FEV71" s="63"/>
      <c r="FEW71" s="63"/>
      <c r="FEX71" s="63"/>
      <c r="FEY71" s="63"/>
      <c r="FEZ71" s="63"/>
      <c r="FFA71" s="63"/>
      <c r="FFB71" s="63"/>
      <c r="FFC71" s="63"/>
      <c r="FFD71" s="63"/>
      <c r="FFE71" s="63"/>
      <c r="FFF71" s="63"/>
      <c r="FFG71" s="63"/>
      <c r="FFH71" s="63"/>
      <c r="FFI71" s="63"/>
      <c r="FFJ71" s="63"/>
      <c r="FFK71" s="63"/>
      <c r="FFL71" s="63"/>
      <c r="FFM71" s="63"/>
      <c r="FFN71" s="63"/>
      <c r="FFO71" s="63"/>
      <c r="FFP71" s="63"/>
      <c r="FFQ71" s="63"/>
      <c r="FFR71" s="63"/>
      <c r="FFS71" s="63"/>
      <c r="FFT71" s="63"/>
      <c r="FFU71" s="63"/>
      <c r="FFV71" s="63"/>
      <c r="FFW71" s="63"/>
      <c r="FFX71" s="63"/>
      <c r="FFY71" s="63"/>
      <c r="FFZ71" s="63"/>
      <c r="FGA71" s="63"/>
      <c r="FGB71" s="63"/>
      <c r="FGC71" s="63"/>
      <c r="FGD71" s="63"/>
      <c r="FGE71" s="63"/>
      <c r="FGF71" s="63"/>
      <c r="FGG71" s="63"/>
      <c r="FGH71" s="63"/>
      <c r="FGI71" s="63"/>
      <c r="FGJ71" s="63"/>
      <c r="FGK71" s="63"/>
      <c r="FGL71" s="63"/>
      <c r="FGM71" s="63"/>
      <c r="FGN71" s="63"/>
      <c r="FGO71" s="63"/>
      <c r="FGP71" s="63"/>
      <c r="FGQ71" s="63"/>
      <c r="FGR71" s="63"/>
      <c r="FGS71" s="63"/>
      <c r="FGT71" s="63"/>
      <c r="FGU71" s="63"/>
      <c r="FGV71" s="63"/>
      <c r="FGW71" s="63"/>
      <c r="FGX71" s="63"/>
      <c r="FGY71" s="63"/>
      <c r="FGZ71" s="63"/>
      <c r="FHA71" s="63"/>
      <c r="FHB71" s="63"/>
      <c r="FHC71" s="63"/>
      <c r="FHD71" s="63"/>
      <c r="FHE71" s="63"/>
      <c r="FHF71" s="63"/>
      <c r="FHG71" s="63"/>
      <c r="FHH71" s="63"/>
      <c r="FHI71" s="63"/>
      <c r="FHJ71" s="63"/>
      <c r="FHK71" s="63"/>
      <c r="FHL71" s="63"/>
      <c r="FHM71" s="63"/>
      <c r="FHN71" s="63"/>
      <c r="FHO71" s="63"/>
      <c r="FHP71" s="63"/>
      <c r="FHQ71" s="63"/>
      <c r="FHR71" s="63"/>
      <c r="FHS71" s="63"/>
      <c r="FHT71" s="63"/>
      <c r="FHU71" s="63"/>
      <c r="FHV71" s="63"/>
      <c r="FHW71" s="63"/>
      <c r="FHX71" s="63"/>
      <c r="FHY71" s="63"/>
      <c r="FHZ71" s="63"/>
      <c r="FIA71" s="63"/>
      <c r="FIB71" s="63"/>
      <c r="FIC71" s="63"/>
      <c r="FID71" s="63"/>
      <c r="FIE71" s="63"/>
      <c r="FIF71" s="63"/>
      <c r="FIG71" s="63"/>
      <c r="FIH71" s="63"/>
      <c r="FII71" s="63"/>
      <c r="FIJ71" s="63"/>
      <c r="FIK71" s="63"/>
      <c r="FIL71" s="63"/>
      <c r="FIM71" s="63"/>
      <c r="FIN71" s="63"/>
      <c r="FIO71" s="63"/>
      <c r="FIP71" s="63"/>
      <c r="FIQ71" s="63"/>
      <c r="FIR71" s="63"/>
      <c r="FIS71" s="63"/>
      <c r="FIT71" s="63"/>
      <c r="FIU71" s="63"/>
      <c r="FIV71" s="63"/>
      <c r="FIW71" s="63"/>
      <c r="FIX71" s="63"/>
      <c r="FIY71" s="63"/>
      <c r="FIZ71" s="63"/>
      <c r="FJA71" s="63"/>
      <c r="FJB71" s="63"/>
      <c r="FJC71" s="63"/>
      <c r="FJD71" s="63"/>
      <c r="FJE71" s="63"/>
      <c r="FJF71" s="63"/>
      <c r="FJG71" s="63"/>
      <c r="FJH71" s="63"/>
      <c r="FJI71" s="63"/>
      <c r="FJJ71" s="63"/>
      <c r="FJK71" s="63"/>
      <c r="FJL71" s="63"/>
      <c r="FJM71" s="63"/>
      <c r="FJN71" s="63"/>
      <c r="FJO71" s="63"/>
      <c r="FJP71" s="63"/>
      <c r="FJQ71" s="63"/>
      <c r="FJR71" s="63"/>
      <c r="FJS71" s="63"/>
      <c r="FJT71" s="63"/>
      <c r="FJU71" s="63"/>
      <c r="FJV71" s="63"/>
      <c r="FJW71" s="63"/>
      <c r="FJX71" s="63"/>
      <c r="FJY71" s="63"/>
      <c r="FJZ71" s="63"/>
      <c r="FKA71" s="63"/>
      <c r="FKB71" s="63"/>
      <c r="FKC71" s="63"/>
      <c r="FKD71" s="63"/>
      <c r="FKE71" s="63"/>
      <c r="FKF71" s="63"/>
      <c r="FKG71" s="63"/>
      <c r="FKH71" s="63"/>
      <c r="FKI71" s="63"/>
      <c r="FKJ71" s="63"/>
      <c r="FKK71" s="63"/>
      <c r="FKL71" s="63"/>
      <c r="FKM71" s="63"/>
      <c r="FKN71" s="63"/>
      <c r="FKO71" s="63"/>
      <c r="FKP71" s="63"/>
      <c r="FKQ71" s="63"/>
      <c r="FKR71" s="63"/>
      <c r="FKS71" s="63"/>
      <c r="FKT71" s="63"/>
      <c r="FKU71" s="63"/>
      <c r="FKV71" s="63"/>
      <c r="FKW71" s="63"/>
      <c r="FKX71" s="63"/>
      <c r="FKY71" s="63"/>
      <c r="FKZ71" s="63"/>
      <c r="FLA71" s="63"/>
      <c r="FLB71" s="63"/>
      <c r="FLC71" s="63"/>
      <c r="FLD71" s="63"/>
      <c r="FLE71" s="63"/>
      <c r="FLF71" s="63"/>
      <c r="FLG71" s="63"/>
      <c r="FLH71" s="63"/>
      <c r="FLI71" s="63"/>
      <c r="FLJ71" s="63"/>
      <c r="FLK71" s="63"/>
      <c r="FLL71" s="63"/>
      <c r="FLM71" s="63"/>
      <c r="FLN71" s="63"/>
      <c r="FLO71" s="63"/>
      <c r="FLP71" s="63"/>
      <c r="FLQ71" s="63"/>
      <c r="FLR71" s="63"/>
      <c r="FLS71" s="63"/>
      <c r="FLT71" s="63"/>
      <c r="FLU71" s="63"/>
      <c r="FLV71" s="63"/>
      <c r="FLW71" s="63"/>
      <c r="FLX71" s="63"/>
      <c r="FLY71" s="63"/>
      <c r="FLZ71" s="63"/>
      <c r="FMA71" s="63"/>
      <c r="FMB71" s="63"/>
      <c r="FMC71" s="63"/>
      <c r="FMD71" s="63"/>
      <c r="FME71" s="63"/>
      <c r="FMF71" s="63"/>
      <c r="FMG71" s="63"/>
      <c r="FMH71" s="63"/>
      <c r="FMI71" s="63"/>
      <c r="FMJ71" s="63"/>
      <c r="FMK71" s="63"/>
      <c r="FML71" s="63"/>
      <c r="FMM71" s="63"/>
      <c r="FMN71" s="63"/>
      <c r="FMO71" s="63"/>
      <c r="FMP71" s="63"/>
      <c r="FMQ71" s="63"/>
      <c r="FMR71" s="63"/>
      <c r="FMS71" s="63"/>
      <c r="FMT71" s="63"/>
      <c r="FMU71" s="63"/>
      <c r="FMV71" s="63"/>
      <c r="FMW71" s="63"/>
      <c r="FMX71" s="63"/>
      <c r="FMY71" s="63"/>
      <c r="FMZ71" s="63"/>
      <c r="FNA71" s="63"/>
      <c r="FNB71" s="63"/>
      <c r="FNC71" s="63"/>
      <c r="FND71" s="63"/>
      <c r="FNE71" s="63"/>
      <c r="FNF71" s="63"/>
      <c r="FNG71" s="63"/>
      <c r="FNH71" s="63"/>
      <c r="FNI71" s="63"/>
      <c r="FNJ71" s="63"/>
      <c r="FNK71" s="63"/>
      <c r="FNL71" s="63"/>
      <c r="FNM71" s="63"/>
      <c r="FNN71" s="63"/>
      <c r="FNO71" s="63"/>
      <c r="FNP71" s="63"/>
      <c r="FNQ71" s="63"/>
      <c r="FNR71" s="63"/>
      <c r="FNS71" s="63"/>
      <c r="FNT71" s="63"/>
      <c r="FNU71" s="63"/>
      <c r="FNV71" s="63"/>
      <c r="FNW71" s="63"/>
      <c r="FNX71" s="63"/>
      <c r="FNY71" s="63"/>
      <c r="FNZ71" s="63"/>
      <c r="FOA71" s="63"/>
      <c r="FOB71" s="63"/>
      <c r="FOC71" s="63"/>
      <c r="FOD71" s="63"/>
      <c r="FOE71" s="63"/>
      <c r="FOF71" s="63"/>
      <c r="FOG71" s="63"/>
      <c r="FOH71" s="63"/>
      <c r="FOI71" s="63"/>
      <c r="FOJ71" s="63"/>
      <c r="FOK71" s="63"/>
      <c r="FOL71" s="63"/>
      <c r="FOM71" s="63"/>
      <c r="FON71" s="63"/>
      <c r="FOO71" s="63"/>
      <c r="FOP71" s="63"/>
      <c r="FOQ71" s="63"/>
      <c r="FOR71" s="63"/>
      <c r="FOS71" s="63"/>
      <c r="FOT71" s="63"/>
      <c r="FOU71" s="63"/>
      <c r="FOV71" s="63"/>
      <c r="FOW71" s="63"/>
      <c r="FOX71" s="63"/>
      <c r="FOY71" s="63"/>
      <c r="FOZ71" s="63"/>
      <c r="FPA71" s="63"/>
      <c r="FPB71" s="63"/>
      <c r="FPC71" s="63"/>
      <c r="FPD71" s="63"/>
      <c r="FPE71" s="63"/>
      <c r="FPF71" s="63"/>
      <c r="FPG71" s="63"/>
      <c r="FPH71" s="63"/>
      <c r="FPI71" s="63"/>
      <c r="FPJ71" s="63"/>
      <c r="FPK71" s="63"/>
      <c r="FPL71" s="63"/>
      <c r="FPM71" s="63"/>
      <c r="FPN71" s="63"/>
      <c r="FPO71" s="63"/>
      <c r="FPP71" s="63"/>
      <c r="FPQ71" s="63"/>
      <c r="FPR71" s="63"/>
      <c r="FPS71" s="63"/>
      <c r="FPT71" s="63"/>
      <c r="FPU71" s="63"/>
      <c r="FPV71" s="63"/>
      <c r="FPW71" s="63"/>
      <c r="FPX71" s="63"/>
      <c r="FPY71" s="63"/>
      <c r="FPZ71" s="63"/>
      <c r="FQA71" s="63"/>
      <c r="FQB71" s="63"/>
      <c r="FQC71" s="63"/>
      <c r="FQD71" s="63"/>
      <c r="FQE71" s="63"/>
      <c r="FQF71" s="63"/>
      <c r="FQG71" s="63"/>
      <c r="FQH71" s="63"/>
      <c r="FQI71" s="63"/>
      <c r="FQJ71" s="63"/>
      <c r="FQK71" s="63"/>
      <c r="FQL71" s="63"/>
      <c r="FQM71" s="63"/>
      <c r="FQN71" s="63"/>
      <c r="FQO71" s="63"/>
      <c r="FQP71" s="63"/>
      <c r="FQQ71" s="63"/>
      <c r="FQR71" s="63"/>
      <c r="FQS71" s="63"/>
      <c r="FQT71" s="63"/>
      <c r="FQU71" s="63"/>
      <c r="FQV71" s="63"/>
      <c r="FQW71" s="63"/>
      <c r="FQX71" s="63"/>
      <c r="FQY71" s="63"/>
      <c r="FQZ71" s="63"/>
      <c r="FRA71" s="63"/>
      <c r="FRB71" s="63"/>
      <c r="FRC71" s="63"/>
      <c r="FRD71" s="63"/>
      <c r="FRE71" s="63"/>
      <c r="FRF71" s="63"/>
      <c r="FRG71" s="63"/>
      <c r="FRH71" s="63"/>
      <c r="FRI71" s="63"/>
      <c r="FRJ71" s="63"/>
      <c r="FRK71" s="63"/>
      <c r="FRL71" s="63"/>
      <c r="FRM71" s="63"/>
      <c r="FRN71" s="63"/>
      <c r="FRO71" s="63"/>
      <c r="FRP71" s="63"/>
      <c r="FRQ71" s="63"/>
      <c r="FRR71" s="63"/>
      <c r="FRS71" s="63"/>
      <c r="FRT71" s="63"/>
      <c r="FRU71" s="63"/>
      <c r="FRV71" s="63"/>
      <c r="FRW71" s="63"/>
      <c r="FRX71" s="63"/>
      <c r="FRY71" s="63"/>
      <c r="FRZ71" s="63"/>
      <c r="FSA71" s="63"/>
      <c r="FSB71" s="63"/>
      <c r="FSC71" s="63"/>
      <c r="FSD71" s="63"/>
      <c r="FSE71" s="63"/>
      <c r="FSF71" s="63"/>
      <c r="FSG71" s="63"/>
      <c r="FSH71" s="63"/>
      <c r="FSI71" s="63"/>
      <c r="FSJ71" s="63"/>
      <c r="FSK71" s="63"/>
      <c r="FSL71" s="63"/>
      <c r="FSM71" s="63"/>
      <c r="FSN71" s="63"/>
      <c r="FSO71" s="63"/>
      <c r="FSP71" s="63"/>
      <c r="FSQ71" s="63"/>
      <c r="FSR71" s="63"/>
      <c r="FSS71" s="63"/>
      <c r="FST71" s="63"/>
      <c r="FSU71" s="63"/>
      <c r="FSV71" s="63"/>
      <c r="FSW71" s="63"/>
      <c r="FSX71" s="63"/>
      <c r="FSY71" s="63"/>
      <c r="FSZ71" s="63"/>
      <c r="FTA71" s="63"/>
      <c r="FTB71" s="63"/>
      <c r="FTC71" s="63"/>
      <c r="FTD71" s="63"/>
      <c r="FTE71" s="63"/>
      <c r="FTF71" s="63"/>
      <c r="FTG71" s="63"/>
      <c r="FTH71" s="63"/>
      <c r="FTI71" s="63"/>
      <c r="FTJ71" s="63"/>
      <c r="FTK71" s="63"/>
      <c r="FTL71" s="63"/>
      <c r="FTM71" s="63"/>
      <c r="FTN71" s="63"/>
      <c r="FTO71" s="63"/>
      <c r="FTP71" s="63"/>
      <c r="FTQ71" s="63"/>
      <c r="FTR71" s="63"/>
      <c r="FTS71" s="63"/>
      <c r="FTT71" s="63"/>
      <c r="FTU71" s="63"/>
      <c r="FTV71" s="63"/>
      <c r="FTW71" s="63"/>
      <c r="FTX71" s="63"/>
      <c r="FTY71" s="63"/>
      <c r="FTZ71" s="63"/>
      <c r="FUA71" s="63"/>
      <c r="FUB71" s="63"/>
      <c r="FUC71" s="63"/>
      <c r="FUD71" s="63"/>
      <c r="FUE71" s="63"/>
      <c r="FUF71" s="63"/>
      <c r="FUG71" s="63"/>
      <c r="FUH71" s="63"/>
      <c r="FUI71" s="63"/>
      <c r="FUJ71" s="63"/>
      <c r="FUK71" s="63"/>
      <c r="FUL71" s="63"/>
      <c r="FUM71" s="63"/>
      <c r="FUN71" s="63"/>
      <c r="FUO71" s="63"/>
      <c r="FUP71" s="63"/>
      <c r="FUQ71" s="63"/>
      <c r="FUR71" s="63"/>
      <c r="FUS71" s="63"/>
      <c r="FUT71" s="63"/>
      <c r="FUU71" s="63"/>
      <c r="FUV71" s="63"/>
      <c r="FUW71" s="63"/>
      <c r="FUX71" s="63"/>
      <c r="FUY71" s="63"/>
      <c r="FUZ71" s="63"/>
      <c r="FVA71" s="63"/>
      <c r="FVB71" s="63"/>
      <c r="FVC71" s="63"/>
      <c r="FVD71" s="63"/>
      <c r="FVE71" s="63"/>
      <c r="FVF71" s="63"/>
      <c r="FVG71" s="63"/>
      <c r="FVH71" s="63"/>
      <c r="FVI71" s="63"/>
      <c r="FVJ71" s="63"/>
      <c r="FVK71" s="63"/>
      <c r="FVL71" s="63"/>
      <c r="FVM71" s="63"/>
      <c r="FVN71" s="63"/>
      <c r="FVO71" s="63"/>
      <c r="FVP71" s="63"/>
      <c r="FVQ71" s="63"/>
      <c r="FVR71" s="63"/>
      <c r="FVS71" s="63"/>
      <c r="FVT71" s="63"/>
      <c r="FVU71" s="63"/>
      <c r="FVV71" s="63"/>
      <c r="FVW71" s="63"/>
      <c r="FVX71" s="63"/>
      <c r="FVY71" s="63"/>
      <c r="FVZ71" s="63"/>
      <c r="FWA71" s="63"/>
      <c r="FWB71" s="63"/>
      <c r="FWC71" s="63"/>
      <c r="FWD71" s="63"/>
      <c r="FWE71" s="63"/>
      <c r="FWF71" s="63"/>
      <c r="FWG71" s="63"/>
      <c r="FWH71" s="63"/>
      <c r="FWI71" s="63"/>
      <c r="FWJ71" s="63"/>
      <c r="FWK71" s="63"/>
      <c r="FWL71" s="63"/>
      <c r="FWM71" s="63"/>
      <c r="FWN71" s="63"/>
      <c r="FWO71" s="63"/>
      <c r="FWP71" s="63"/>
      <c r="FWQ71" s="63"/>
      <c r="FWR71" s="63"/>
      <c r="FWS71" s="63"/>
      <c r="FWT71" s="63"/>
      <c r="FWU71" s="63"/>
      <c r="FWV71" s="63"/>
      <c r="FWW71" s="63"/>
      <c r="FWX71" s="63"/>
      <c r="FWY71" s="63"/>
      <c r="FWZ71" s="63"/>
      <c r="FXA71" s="63"/>
      <c r="FXB71" s="63"/>
      <c r="FXC71" s="63"/>
      <c r="FXD71" s="63"/>
      <c r="FXE71" s="63"/>
      <c r="FXF71" s="63"/>
      <c r="FXG71" s="63"/>
      <c r="FXH71" s="63"/>
      <c r="FXI71" s="63"/>
      <c r="FXJ71" s="63"/>
      <c r="FXK71" s="63"/>
      <c r="FXL71" s="63"/>
      <c r="FXM71" s="63"/>
      <c r="FXN71" s="63"/>
      <c r="FXO71" s="63"/>
      <c r="FXP71" s="63"/>
      <c r="FXQ71" s="63"/>
      <c r="FXR71" s="63"/>
      <c r="FXS71" s="63"/>
      <c r="FXT71" s="63"/>
      <c r="FXU71" s="63"/>
      <c r="FXV71" s="63"/>
      <c r="FXW71" s="63"/>
      <c r="FXX71" s="63"/>
      <c r="FXY71" s="63"/>
      <c r="FXZ71" s="63"/>
      <c r="FYA71" s="63"/>
      <c r="FYB71" s="63"/>
      <c r="FYC71" s="63"/>
      <c r="FYD71" s="63"/>
      <c r="FYE71" s="63"/>
      <c r="FYF71" s="63"/>
      <c r="FYG71" s="63"/>
      <c r="FYH71" s="63"/>
      <c r="FYI71" s="63"/>
      <c r="FYJ71" s="63"/>
      <c r="FYK71" s="63"/>
      <c r="FYL71" s="63"/>
      <c r="FYM71" s="63"/>
      <c r="FYN71" s="63"/>
      <c r="FYO71" s="63"/>
      <c r="FYP71" s="63"/>
      <c r="FYQ71" s="63"/>
      <c r="FYR71" s="63"/>
      <c r="FYS71" s="63"/>
      <c r="FYT71" s="63"/>
      <c r="FYU71" s="63"/>
      <c r="FYV71" s="63"/>
      <c r="FYW71" s="63"/>
      <c r="FYX71" s="63"/>
      <c r="FYY71" s="63"/>
      <c r="FYZ71" s="63"/>
      <c r="FZA71" s="63"/>
      <c r="FZB71" s="63"/>
      <c r="FZC71" s="63"/>
      <c r="FZD71" s="63"/>
      <c r="FZE71" s="63"/>
      <c r="FZF71" s="63"/>
      <c r="FZG71" s="63"/>
      <c r="FZH71" s="63"/>
      <c r="FZI71" s="63"/>
      <c r="FZJ71" s="63"/>
      <c r="FZK71" s="63"/>
      <c r="FZL71" s="63"/>
      <c r="FZM71" s="63"/>
      <c r="FZN71" s="63"/>
      <c r="FZO71" s="63"/>
      <c r="FZP71" s="63"/>
      <c r="FZQ71" s="63"/>
      <c r="FZR71" s="63"/>
      <c r="FZS71" s="63"/>
      <c r="FZT71" s="63"/>
      <c r="FZU71" s="63"/>
      <c r="FZV71" s="63"/>
      <c r="FZW71" s="63"/>
      <c r="FZX71" s="63"/>
      <c r="FZY71" s="63"/>
      <c r="FZZ71" s="63"/>
      <c r="GAA71" s="63"/>
      <c r="GAB71" s="63"/>
      <c r="GAC71" s="63"/>
      <c r="GAD71" s="63"/>
      <c r="GAE71" s="63"/>
      <c r="GAF71" s="63"/>
      <c r="GAG71" s="63"/>
      <c r="GAH71" s="63"/>
      <c r="GAI71" s="63"/>
      <c r="GAJ71" s="63"/>
      <c r="GAK71" s="63"/>
      <c r="GAL71" s="63"/>
      <c r="GAM71" s="63"/>
      <c r="GAN71" s="63"/>
      <c r="GAO71" s="63"/>
      <c r="GAP71" s="63"/>
      <c r="GAQ71" s="63"/>
      <c r="GAR71" s="63"/>
      <c r="GAS71" s="63"/>
      <c r="GAT71" s="63"/>
      <c r="GAU71" s="63"/>
      <c r="GAV71" s="63"/>
      <c r="GAW71" s="63"/>
      <c r="GAX71" s="63"/>
      <c r="GAY71" s="63"/>
      <c r="GAZ71" s="63"/>
      <c r="GBA71" s="63"/>
      <c r="GBB71" s="63"/>
      <c r="GBC71" s="63"/>
      <c r="GBD71" s="63"/>
      <c r="GBE71" s="63"/>
      <c r="GBF71" s="63"/>
      <c r="GBG71" s="63"/>
      <c r="GBH71" s="63"/>
      <c r="GBI71" s="63"/>
      <c r="GBJ71" s="63"/>
      <c r="GBK71" s="63"/>
      <c r="GBL71" s="63"/>
      <c r="GBM71" s="63"/>
      <c r="GBN71" s="63"/>
      <c r="GBO71" s="63"/>
      <c r="GBP71" s="63"/>
      <c r="GBQ71" s="63"/>
      <c r="GBR71" s="63"/>
      <c r="GBS71" s="63"/>
      <c r="GBT71" s="63"/>
      <c r="GBU71" s="63"/>
      <c r="GBV71" s="63"/>
      <c r="GBW71" s="63"/>
      <c r="GBX71" s="63"/>
      <c r="GBY71" s="63"/>
      <c r="GBZ71" s="63"/>
      <c r="GCA71" s="63"/>
      <c r="GCB71" s="63"/>
      <c r="GCC71" s="63"/>
      <c r="GCD71" s="63"/>
      <c r="GCE71" s="63"/>
      <c r="GCF71" s="63"/>
      <c r="GCG71" s="63"/>
      <c r="GCH71" s="63"/>
      <c r="GCI71" s="63"/>
      <c r="GCJ71" s="63"/>
      <c r="GCK71" s="63"/>
      <c r="GCL71" s="63"/>
      <c r="GCM71" s="63"/>
      <c r="GCN71" s="63"/>
      <c r="GCO71" s="63"/>
      <c r="GCP71" s="63"/>
      <c r="GCQ71" s="63"/>
      <c r="GCR71" s="63"/>
      <c r="GCS71" s="63"/>
      <c r="GCT71" s="63"/>
      <c r="GCU71" s="63"/>
      <c r="GCV71" s="63"/>
      <c r="GCW71" s="63"/>
      <c r="GCX71" s="63"/>
      <c r="GCY71" s="63"/>
      <c r="GCZ71" s="63"/>
      <c r="GDA71" s="63"/>
      <c r="GDB71" s="63"/>
      <c r="GDC71" s="63"/>
      <c r="GDD71" s="63"/>
      <c r="GDE71" s="63"/>
      <c r="GDF71" s="63"/>
      <c r="GDG71" s="63"/>
      <c r="GDH71" s="63"/>
      <c r="GDI71" s="63"/>
      <c r="GDJ71" s="63"/>
      <c r="GDK71" s="63"/>
      <c r="GDL71" s="63"/>
      <c r="GDM71" s="63"/>
      <c r="GDN71" s="63"/>
      <c r="GDO71" s="63"/>
      <c r="GDP71" s="63"/>
      <c r="GDQ71" s="63"/>
      <c r="GDR71" s="63"/>
      <c r="GDS71" s="63"/>
      <c r="GDT71" s="63"/>
      <c r="GDU71" s="63"/>
      <c r="GDV71" s="63"/>
      <c r="GDW71" s="63"/>
      <c r="GDX71" s="63"/>
      <c r="GDY71" s="63"/>
      <c r="GDZ71" s="63"/>
      <c r="GEA71" s="63"/>
      <c r="GEB71" s="63"/>
      <c r="GEC71" s="63"/>
      <c r="GED71" s="63"/>
      <c r="GEE71" s="63"/>
      <c r="GEF71" s="63"/>
      <c r="GEG71" s="63"/>
      <c r="GEH71" s="63"/>
      <c r="GEI71" s="63"/>
      <c r="GEJ71" s="63"/>
      <c r="GEK71" s="63"/>
      <c r="GEL71" s="63"/>
      <c r="GEM71" s="63"/>
      <c r="GEN71" s="63"/>
      <c r="GEO71" s="63"/>
      <c r="GEP71" s="63"/>
      <c r="GEQ71" s="63"/>
      <c r="GER71" s="63"/>
      <c r="GES71" s="63"/>
      <c r="GET71" s="63"/>
      <c r="GEU71" s="63"/>
      <c r="GEV71" s="63"/>
      <c r="GEW71" s="63"/>
      <c r="GEX71" s="63"/>
      <c r="GEY71" s="63"/>
      <c r="GEZ71" s="63"/>
      <c r="GFA71" s="63"/>
      <c r="GFB71" s="63"/>
      <c r="GFC71" s="63"/>
      <c r="GFD71" s="63"/>
      <c r="GFE71" s="63"/>
      <c r="GFF71" s="63"/>
      <c r="GFG71" s="63"/>
      <c r="GFH71" s="63"/>
      <c r="GFI71" s="63"/>
      <c r="GFJ71" s="63"/>
      <c r="GFK71" s="63"/>
      <c r="GFL71" s="63"/>
      <c r="GFM71" s="63"/>
      <c r="GFN71" s="63"/>
      <c r="GFO71" s="63"/>
      <c r="GFP71" s="63"/>
      <c r="GFQ71" s="63"/>
      <c r="GFR71" s="63"/>
      <c r="GFS71" s="63"/>
      <c r="GFT71" s="63"/>
      <c r="GFU71" s="63"/>
      <c r="GFV71" s="63"/>
      <c r="GFW71" s="63"/>
      <c r="GFX71" s="63"/>
      <c r="GFY71" s="63"/>
      <c r="GFZ71" s="63"/>
      <c r="GGA71" s="63"/>
      <c r="GGB71" s="63"/>
      <c r="GGC71" s="63"/>
      <c r="GGD71" s="63"/>
      <c r="GGE71" s="63"/>
      <c r="GGF71" s="63"/>
      <c r="GGG71" s="63"/>
      <c r="GGH71" s="63"/>
      <c r="GGI71" s="63"/>
      <c r="GGJ71" s="63"/>
      <c r="GGK71" s="63"/>
      <c r="GGL71" s="63"/>
      <c r="GGM71" s="63"/>
      <c r="GGN71" s="63"/>
      <c r="GGO71" s="63"/>
      <c r="GGP71" s="63"/>
      <c r="GGQ71" s="63"/>
      <c r="GGR71" s="63"/>
      <c r="GGS71" s="63"/>
      <c r="GGT71" s="63"/>
      <c r="GGU71" s="63"/>
      <c r="GGV71" s="63"/>
      <c r="GGW71" s="63"/>
      <c r="GGX71" s="63"/>
      <c r="GGY71" s="63"/>
      <c r="GGZ71" s="63"/>
      <c r="GHA71" s="63"/>
      <c r="GHB71" s="63"/>
      <c r="GHC71" s="63"/>
      <c r="GHD71" s="63"/>
      <c r="GHE71" s="63"/>
      <c r="GHF71" s="63"/>
      <c r="GHG71" s="63"/>
      <c r="GHH71" s="63"/>
      <c r="GHI71" s="63"/>
      <c r="GHJ71" s="63"/>
      <c r="GHK71" s="63"/>
      <c r="GHL71" s="63"/>
      <c r="GHM71" s="63"/>
      <c r="GHN71" s="63"/>
      <c r="GHO71" s="63"/>
      <c r="GHP71" s="63"/>
      <c r="GHQ71" s="63"/>
      <c r="GHR71" s="63"/>
      <c r="GHS71" s="63"/>
      <c r="GHT71" s="63"/>
      <c r="GHU71" s="63"/>
      <c r="GHV71" s="63"/>
      <c r="GHW71" s="63"/>
      <c r="GHX71" s="63"/>
      <c r="GHY71" s="63"/>
      <c r="GHZ71" s="63"/>
      <c r="GIA71" s="63"/>
      <c r="GIB71" s="63"/>
      <c r="GIC71" s="63"/>
      <c r="GID71" s="63"/>
      <c r="GIE71" s="63"/>
      <c r="GIF71" s="63"/>
      <c r="GIG71" s="63"/>
      <c r="GIH71" s="63"/>
      <c r="GII71" s="63"/>
      <c r="GIJ71" s="63"/>
      <c r="GIK71" s="63"/>
      <c r="GIL71" s="63"/>
      <c r="GIM71" s="63"/>
      <c r="GIN71" s="63"/>
      <c r="GIO71" s="63"/>
      <c r="GIP71" s="63"/>
      <c r="GIQ71" s="63"/>
      <c r="GIR71" s="63"/>
      <c r="GIS71" s="63"/>
      <c r="GIT71" s="63"/>
      <c r="GIU71" s="63"/>
      <c r="GIV71" s="63"/>
      <c r="GIW71" s="63"/>
      <c r="GIX71" s="63"/>
      <c r="GIY71" s="63"/>
      <c r="GIZ71" s="63"/>
      <c r="GJA71" s="63"/>
      <c r="GJB71" s="63"/>
      <c r="GJC71" s="63"/>
      <c r="GJD71" s="63"/>
      <c r="GJE71" s="63"/>
      <c r="GJF71" s="63"/>
      <c r="GJG71" s="63"/>
      <c r="GJH71" s="63"/>
      <c r="GJI71" s="63"/>
      <c r="GJJ71" s="63"/>
      <c r="GJK71" s="63"/>
      <c r="GJL71" s="63"/>
      <c r="GJM71" s="63"/>
      <c r="GJN71" s="63"/>
      <c r="GJO71" s="63"/>
      <c r="GJP71" s="63"/>
      <c r="GJQ71" s="63"/>
      <c r="GJR71" s="63"/>
      <c r="GJS71" s="63"/>
      <c r="GJT71" s="63"/>
      <c r="GJU71" s="63"/>
      <c r="GJV71" s="63"/>
      <c r="GJW71" s="63"/>
      <c r="GJX71" s="63"/>
      <c r="GJY71" s="63"/>
      <c r="GJZ71" s="63"/>
      <c r="GKA71" s="63"/>
      <c r="GKB71" s="63"/>
      <c r="GKC71" s="63"/>
      <c r="GKD71" s="63"/>
      <c r="GKE71" s="63"/>
      <c r="GKF71" s="63"/>
      <c r="GKG71" s="63"/>
      <c r="GKH71" s="63"/>
      <c r="GKI71" s="63"/>
      <c r="GKJ71" s="63"/>
      <c r="GKK71" s="63"/>
      <c r="GKL71" s="63"/>
      <c r="GKM71" s="63"/>
      <c r="GKN71" s="63"/>
      <c r="GKO71" s="63"/>
      <c r="GKP71" s="63"/>
      <c r="GKQ71" s="63"/>
      <c r="GKR71" s="63"/>
      <c r="GKS71" s="63"/>
      <c r="GKT71" s="63"/>
      <c r="GKU71" s="63"/>
      <c r="GKV71" s="63"/>
      <c r="GKW71" s="63"/>
      <c r="GKX71" s="63"/>
      <c r="GKY71" s="63"/>
      <c r="GKZ71" s="63"/>
      <c r="GLA71" s="63"/>
      <c r="GLB71" s="63"/>
      <c r="GLC71" s="63"/>
      <c r="GLD71" s="63"/>
      <c r="GLE71" s="63"/>
      <c r="GLF71" s="63"/>
      <c r="GLG71" s="63"/>
      <c r="GLH71" s="63"/>
      <c r="GLI71" s="63"/>
      <c r="GLJ71" s="63"/>
      <c r="GLK71" s="63"/>
      <c r="GLL71" s="63"/>
      <c r="GLM71" s="63"/>
      <c r="GLN71" s="63"/>
      <c r="GLO71" s="63"/>
      <c r="GLP71" s="63"/>
      <c r="GLQ71" s="63"/>
      <c r="GLR71" s="63"/>
      <c r="GLS71" s="63"/>
      <c r="GLT71" s="63"/>
      <c r="GLU71" s="63"/>
      <c r="GLV71" s="63"/>
      <c r="GLW71" s="63"/>
      <c r="GLX71" s="63"/>
      <c r="GLY71" s="63"/>
      <c r="GLZ71" s="63"/>
      <c r="GMA71" s="63"/>
      <c r="GMB71" s="63"/>
      <c r="GMC71" s="63"/>
      <c r="GMD71" s="63"/>
      <c r="GME71" s="63"/>
      <c r="GMF71" s="63"/>
      <c r="GMG71" s="63"/>
      <c r="GMH71" s="63"/>
      <c r="GMI71" s="63"/>
      <c r="GMJ71" s="63"/>
      <c r="GMK71" s="63"/>
      <c r="GML71" s="63"/>
      <c r="GMM71" s="63"/>
      <c r="GMN71" s="63"/>
      <c r="GMO71" s="63"/>
      <c r="GMP71" s="63"/>
      <c r="GMQ71" s="63"/>
      <c r="GMR71" s="63"/>
      <c r="GMS71" s="63"/>
      <c r="GMT71" s="63"/>
      <c r="GMU71" s="63"/>
      <c r="GMV71" s="63"/>
      <c r="GMW71" s="63"/>
      <c r="GMX71" s="63"/>
      <c r="GMY71" s="63"/>
      <c r="GMZ71" s="63"/>
      <c r="GNA71" s="63"/>
      <c r="GNB71" s="63"/>
      <c r="GNC71" s="63"/>
      <c r="GND71" s="63"/>
      <c r="GNE71" s="63"/>
      <c r="GNF71" s="63"/>
      <c r="GNG71" s="63"/>
      <c r="GNH71" s="63"/>
      <c r="GNI71" s="63"/>
      <c r="GNJ71" s="63"/>
      <c r="GNK71" s="63"/>
      <c r="GNL71" s="63"/>
      <c r="GNM71" s="63"/>
      <c r="GNN71" s="63"/>
      <c r="GNO71" s="63"/>
      <c r="GNP71" s="63"/>
      <c r="GNQ71" s="63"/>
      <c r="GNR71" s="63"/>
      <c r="GNS71" s="63"/>
      <c r="GNT71" s="63"/>
      <c r="GNU71" s="63"/>
      <c r="GNV71" s="63"/>
      <c r="GNW71" s="63"/>
      <c r="GNX71" s="63"/>
      <c r="GNY71" s="63"/>
      <c r="GNZ71" s="63"/>
      <c r="GOA71" s="63"/>
      <c r="GOB71" s="63"/>
      <c r="GOC71" s="63"/>
      <c r="GOD71" s="63"/>
      <c r="GOE71" s="63"/>
      <c r="GOF71" s="63"/>
      <c r="GOG71" s="63"/>
      <c r="GOH71" s="63"/>
      <c r="GOI71" s="63"/>
      <c r="GOJ71" s="63"/>
      <c r="GOK71" s="63"/>
      <c r="GOL71" s="63"/>
      <c r="GOM71" s="63"/>
      <c r="GON71" s="63"/>
      <c r="GOO71" s="63"/>
      <c r="GOP71" s="63"/>
      <c r="GOQ71" s="63"/>
      <c r="GOR71" s="63"/>
      <c r="GOS71" s="63"/>
      <c r="GOT71" s="63"/>
      <c r="GOU71" s="63"/>
      <c r="GOV71" s="63"/>
      <c r="GOW71" s="63"/>
      <c r="GOX71" s="63"/>
      <c r="GOY71" s="63"/>
      <c r="GOZ71" s="63"/>
      <c r="GPA71" s="63"/>
      <c r="GPB71" s="63"/>
      <c r="GPC71" s="63"/>
      <c r="GPD71" s="63"/>
      <c r="GPE71" s="63"/>
      <c r="GPF71" s="63"/>
      <c r="GPG71" s="63"/>
      <c r="GPH71" s="63"/>
      <c r="GPI71" s="63"/>
      <c r="GPJ71" s="63"/>
      <c r="GPK71" s="63"/>
      <c r="GPL71" s="63"/>
      <c r="GPM71" s="63"/>
      <c r="GPN71" s="63"/>
      <c r="GPO71" s="63"/>
      <c r="GPP71" s="63"/>
      <c r="GPQ71" s="63"/>
      <c r="GPR71" s="63"/>
      <c r="GPS71" s="63"/>
      <c r="GPT71" s="63"/>
      <c r="GPU71" s="63"/>
      <c r="GPV71" s="63"/>
      <c r="GPW71" s="63"/>
      <c r="GPX71" s="63"/>
      <c r="GPY71" s="63"/>
      <c r="GPZ71" s="63"/>
      <c r="GQA71" s="63"/>
      <c r="GQB71" s="63"/>
      <c r="GQC71" s="63"/>
      <c r="GQD71" s="63"/>
      <c r="GQE71" s="63"/>
      <c r="GQF71" s="63"/>
      <c r="GQG71" s="63"/>
      <c r="GQH71" s="63"/>
      <c r="GQI71" s="63"/>
      <c r="GQJ71" s="63"/>
      <c r="GQK71" s="63"/>
      <c r="GQL71" s="63"/>
      <c r="GQM71" s="63"/>
      <c r="GQN71" s="63"/>
      <c r="GQO71" s="63"/>
      <c r="GQP71" s="63"/>
      <c r="GQQ71" s="63"/>
      <c r="GQR71" s="63"/>
      <c r="GQS71" s="63"/>
      <c r="GQT71" s="63"/>
      <c r="GQU71" s="63"/>
      <c r="GQV71" s="63"/>
      <c r="GQW71" s="63"/>
      <c r="GQX71" s="63"/>
      <c r="GQY71" s="63"/>
      <c r="GQZ71" s="63"/>
      <c r="GRA71" s="63"/>
      <c r="GRB71" s="63"/>
      <c r="GRC71" s="63"/>
      <c r="GRD71" s="63"/>
      <c r="GRE71" s="63"/>
      <c r="GRF71" s="63"/>
      <c r="GRG71" s="63"/>
      <c r="GRH71" s="63"/>
      <c r="GRI71" s="63"/>
      <c r="GRJ71" s="63"/>
      <c r="GRK71" s="63"/>
      <c r="GRL71" s="63"/>
      <c r="GRM71" s="63"/>
      <c r="GRN71" s="63"/>
      <c r="GRO71" s="63"/>
      <c r="GRP71" s="63"/>
      <c r="GRQ71" s="63"/>
      <c r="GRR71" s="63"/>
      <c r="GRS71" s="63"/>
      <c r="GRT71" s="63"/>
      <c r="GRU71" s="63"/>
      <c r="GRV71" s="63"/>
      <c r="GRW71" s="63"/>
      <c r="GRX71" s="63"/>
      <c r="GRY71" s="63"/>
      <c r="GRZ71" s="63"/>
      <c r="GSA71" s="63"/>
      <c r="GSB71" s="63"/>
      <c r="GSC71" s="63"/>
      <c r="GSD71" s="63"/>
      <c r="GSE71" s="63"/>
      <c r="GSF71" s="63"/>
      <c r="GSG71" s="63"/>
      <c r="GSH71" s="63"/>
      <c r="GSI71" s="63"/>
      <c r="GSJ71" s="63"/>
      <c r="GSK71" s="63"/>
      <c r="GSL71" s="63"/>
      <c r="GSM71" s="63"/>
      <c r="GSN71" s="63"/>
      <c r="GSO71" s="63"/>
      <c r="GSP71" s="63"/>
      <c r="GSQ71" s="63"/>
      <c r="GSR71" s="63"/>
      <c r="GSS71" s="63"/>
      <c r="GST71" s="63"/>
      <c r="GSU71" s="63"/>
      <c r="GSV71" s="63"/>
      <c r="GSW71" s="63"/>
      <c r="GSX71" s="63"/>
      <c r="GSY71" s="63"/>
      <c r="GSZ71" s="63"/>
      <c r="GTA71" s="63"/>
      <c r="GTB71" s="63"/>
      <c r="GTC71" s="63"/>
      <c r="GTD71" s="63"/>
      <c r="GTE71" s="63"/>
      <c r="GTF71" s="63"/>
      <c r="GTG71" s="63"/>
      <c r="GTH71" s="63"/>
      <c r="GTI71" s="63"/>
      <c r="GTJ71" s="63"/>
      <c r="GTK71" s="63"/>
      <c r="GTL71" s="63"/>
      <c r="GTM71" s="63"/>
      <c r="GTN71" s="63"/>
      <c r="GTO71" s="63"/>
      <c r="GTP71" s="63"/>
      <c r="GTQ71" s="63"/>
      <c r="GTR71" s="63"/>
      <c r="GTS71" s="63"/>
      <c r="GTT71" s="63"/>
      <c r="GTU71" s="63"/>
      <c r="GTV71" s="63"/>
      <c r="GTW71" s="63"/>
      <c r="GTX71" s="63"/>
      <c r="GTY71" s="63"/>
      <c r="GTZ71" s="63"/>
      <c r="GUA71" s="63"/>
      <c r="GUB71" s="63"/>
      <c r="GUC71" s="63"/>
      <c r="GUD71" s="63"/>
      <c r="GUE71" s="63"/>
      <c r="GUF71" s="63"/>
      <c r="GUG71" s="63"/>
      <c r="GUH71" s="63"/>
      <c r="GUI71" s="63"/>
      <c r="GUJ71" s="63"/>
      <c r="GUK71" s="63"/>
      <c r="GUL71" s="63"/>
      <c r="GUM71" s="63"/>
      <c r="GUN71" s="63"/>
      <c r="GUO71" s="63"/>
      <c r="GUP71" s="63"/>
      <c r="GUQ71" s="63"/>
      <c r="GUR71" s="63"/>
      <c r="GUS71" s="63"/>
      <c r="GUT71" s="63"/>
      <c r="GUU71" s="63"/>
      <c r="GUV71" s="63"/>
      <c r="GUW71" s="63"/>
      <c r="GUX71" s="63"/>
      <c r="GUY71" s="63"/>
      <c r="GUZ71" s="63"/>
      <c r="GVA71" s="63"/>
      <c r="GVB71" s="63"/>
      <c r="GVC71" s="63"/>
      <c r="GVD71" s="63"/>
      <c r="GVE71" s="63"/>
      <c r="GVF71" s="63"/>
      <c r="GVG71" s="63"/>
      <c r="GVH71" s="63"/>
      <c r="GVI71" s="63"/>
      <c r="GVJ71" s="63"/>
      <c r="GVK71" s="63"/>
      <c r="GVL71" s="63"/>
      <c r="GVM71" s="63"/>
      <c r="GVN71" s="63"/>
      <c r="GVO71" s="63"/>
      <c r="GVP71" s="63"/>
      <c r="GVQ71" s="63"/>
      <c r="GVR71" s="63"/>
      <c r="GVS71" s="63"/>
      <c r="GVT71" s="63"/>
      <c r="GVU71" s="63"/>
      <c r="GVV71" s="63"/>
      <c r="GVW71" s="63"/>
      <c r="GVX71" s="63"/>
      <c r="GVY71" s="63"/>
      <c r="GVZ71" s="63"/>
      <c r="GWA71" s="63"/>
      <c r="GWB71" s="63"/>
      <c r="GWC71" s="63"/>
      <c r="GWD71" s="63"/>
      <c r="GWE71" s="63"/>
      <c r="GWF71" s="63"/>
      <c r="GWG71" s="63"/>
      <c r="GWH71" s="63"/>
      <c r="GWI71" s="63"/>
      <c r="GWJ71" s="63"/>
      <c r="GWK71" s="63"/>
      <c r="GWL71" s="63"/>
      <c r="GWM71" s="63"/>
      <c r="GWN71" s="63"/>
      <c r="GWO71" s="63"/>
      <c r="GWP71" s="63"/>
      <c r="GWQ71" s="63"/>
      <c r="GWR71" s="63"/>
      <c r="GWS71" s="63"/>
      <c r="GWT71" s="63"/>
      <c r="GWU71" s="63"/>
      <c r="GWV71" s="63"/>
      <c r="GWW71" s="63"/>
      <c r="GWX71" s="63"/>
      <c r="GWY71" s="63"/>
      <c r="GWZ71" s="63"/>
      <c r="GXA71" s="63"/>
      <c r="GXB71" s="63"/>
      <c r="GXC71" s="63"/>
      <c r="GXD71" s="63"/>
      <c r="GXE71" s="63"/>
      <c r="GXF71" s="63"/>
      <c r="GXG71" s="63"/>
      <c r="GXH71" s="63"/>
      <c r="GXI71" s="63"/>
      <c r="GXJ71" s="63"/>
      <c r="GXK71" s="63"/>
      <c r="GXL71" s="63"/>
      <c r="GXM71" s="63"/>
      <c r="GXN71" s="63"/>
      <c r="GXO71" s="63"/>
      <c r="GXP71" s="63"/>
      <c r="GXQ71" s="63"/>
      <c r="GXR71" s="63"/>
      <c r="GXS71" s="63"/>
      <c r="GXT71" s="63"/>
      <c r="GXU71" s="63"/>
      <c r="GXV71" s="63"/>
      <c r="GXW71" s="63"/>
      <c r="GXX71" s="63"/>
      <c r="GXY71" s="63"/>
      <c r="GXZ71" s="63"/>
      <c r="GYA71" s="63"/>
      <c r="GYB71" s="63"/>
      <c r="GYC71" s="63"/>
      <c r="GYD71" s="63"/>
      <c r="GYE71" s="63"/>
      <c r="GYF71" s="63"/>
      <c r="GYG71" s="63"/>
      <c r="GYH71" s="63"/>
      <c r="GYI71" s="63"/>
      <c r="GYJ71" s="63"/>
      <c r="GYK71" s="63"/>
      <c r="GYL71" s="63"/>
      <c r="GYM71" s="63"/>
      <c r="GYN71" s="63"/>
      <c r="GYO71" s="63"/>
      <c r="GYP71" s="63"/>
      <c r="GYQ71" s="63"/>
      <c r="GYR71" s="63"/>
      <c r="GYS71" s="63"/>
      <c r="GYT71" s="63"/>
      <c r="GYU71" s="63"/>
      <c r="GYV71" s="63"/>
      <c r="GYW71" s="63"/>
      <c r="GYX71" s="63"/>
      <c r="GYY71" s="63"/>
      <c r="GYZ71" s="63"/>
      <c r="GZA71" s="63"/>
      <c r="GZB71" s="63"/>
      <c r="GZC71" s="63"/>
      <c r="GZD71" s="63"/>
      <c r="GZE71" s="63"/>
      <c r="GZF71" s="63"/>
      <c r="GZG71" s="63"/>
      <c r="GZH71" s="63"/>
      <c r="GZI71" s="63"/>
      <c r="GZJ71" s="63"/>
      <c r="GZK71" s="63"/>
      <c r="GZL71" s="63"/>
      <c r="GZM71" s="63"/>
      <c r="GZN71" s="63"/>
      <c r="GZO71" s="63"/>
      <c r="GZP71" s="63"/>
      <c r="GZQ71" s="63"/>
      <c r="GZR71" s="63"/>
      <c r="GZS71" s="63"/>
      <c r="GZT71" s="63"/>
      <c r="GZU71" s="63"/>
      <c r="GZV71" s="63"/>
      <c r="GZW71" s="63"/>
      <c r="GZX71" s="63"/>
      <c r="GZY71" s="63"/>
      <c r="GZZ71" s="63"/>
      <c r="HAA71" s="63"/>
      <c r="HAB71" s="63"/>
      <c r="HAC71" s="63"/>
      <c r="HAD71" s="63"/>
      <c r="HAE71" s="63"/>
      <c r="HAF71" s="63"/>
      <c r="HAG71" s="63"/>
      <c r="HAH71" s="63"/>
      <c r="HAI71" s="63"/>
      <c r="HAJ71" s="63"/>
      <c r="HAK71" s="63"/>
      <c r="HAL71" s="63"/>
      <c r="HAM71" s="63"/>
      <c r="HAN71" s="63"/>
      <c r="HAO71" s="63"/>
      <c r="HAP71" s="63"/>
      <c r="HAQ71" s="63"/>
      <c r="HAR71" s="63"/>
      <c r="HAS71" s="63"/>
      <c r="HAT71" s="63"/>
      <c r="HAU71" s="63"/>
      <c r="HAV71" s="63"/>
      <c r="HAW71" s="63"/>
      <c r="HAX71" s="63"/>
      <c r="HAY71" s="63"/>
      <c r="HAZ71" s="63"/>
      <c r="HBA71" s="63"/>
      <c r="HBB71" s="63"/>
      <c r="HBC71" s="63"/>
      <c r="HBD71" s="63"/>
      <c r="HBE71" s="63"/>
      <c r="HBF71" s="63"/>
      <c r="HBG71" s="63"/>
      <c r="HBH71" s="63"/>
      <c r="HBI71" s="63"/>
      <c r="HBJ71" s="63"/>
      <c r="HBK71" s="63"/>
      <c r="HBL71" s="63"/>
      <c r="HBM71" s="63"/>
      <c r="HBN71" s="63"/>
      <c r="HBO71" s="63"/>
      <c r="HBP71" s="63"/>
      <c r="HBQ71" s="63"/>
      <c r="HBR71" s="63"/>
      <c r="HBS71" s="63"/>
      <c r="HBT71" s="63"/>
      <c r="HBU71" s="63"/>
      <c r="HBV71" s="63"/>
      <c r="HBW71" s="63"/>
      <c r="HBX71" s="63"/>
      <c r="HBY71" s="63"/>
      <c r="HBZ71" s="63"/>
      <c r="HCA71" s="63"/>
      <c r="HCB71" s="63"/>
      <c r="HCC71" s="63"/>
      <c r="HCD71" s="63"/>
      <c r="HCE71" s="63"/>
      <c r="HCF71" s="63"/>
      <c r="HCG71" s="63"/>
      <c r="HCH71" s="63"/>
      <c r="HCI71" s="63"/>
      <c r="HCJ71" s="63"/>
      <c r="HCK71" s="63"/>
      <c r="HCL71" s="63"/>
      <c r="HCM71" s="63"/>
      <c r="HCN71" s="63"/>
      <c r="HCO71" s="63"/>
      <c r="HCP71" s="63"/>
      <c r="HCQ71" s="63"/>
      <c r="HCR71" s="63"/>
      <c r="HCS71" s="63"/>
      <c r="HCT71" s="63"/>
      <c r="HCU71" s="63"/>
      <c r="HCV71" s="63"/>
      <c r="HCW71" s="63"/>
      <c r="HCX71" s="63"/>
      <c r="HCY71" s="63"/>
      <c r="HCZ71" s="63"/>
      <c r="HDA71" s="63"/>
      <c r="HDB71" s="63"/>
      <c r="HDC71" s="63"/>
      <c r="HDD71" s="63"/>
      <c r="HDE71" s="63"/>
      <c r="HDF71" s="63"/>
      <c r="HDG71" s="63"/>
      <c r="HDH71" s="63"/>
      <c r="HDI71" s="63"/>
      <c r="HDJ71" s="63"/>
      <c r="HDK71" s="63"/>
      <c r="HDL71" s="63"/>
      <c r="HDM71" s="63"/>
      <c r="HDN71" s="63"/>
      <c r="HDO71" s="63"/>
      <c r="HDP71" s="63"/>
      <c r="HDQ71" s="63"/>
      <c r="HDR71" s="63"/>
      <c r="HDS71" s="63"/>
      <c r="HDT71" s="63"/>
      <c r="HDU71" s="63"/>
      <c r="HDV71" s="63"/>
      <c r="HDW71" s="63"/>
      <c r="HDX71" s="63"/>
      <c r="HDY71" s="63"/>
      <c r="HDZ71" s="63"/>
      <c r="HEA71" s="63"/>
      <c r="HEB71" s="63"/>
      <c r="HEC71" s="63"/>
      <c r="HED71" s="63"/>
      <c r="HEE71" s="63"/>
      <c r="HEF71" s="63"/>
      <c r="HEG71" s="63"/>
      <c r="HEH71" s="63"/>
      <c r="HEI71" s="63"/>
      <c r="HEJ71" s="63"/>
      <c r="HEK71" s="63"/>
      <c r="HEL71" s="63"/>
      <c r="HEM71" s="63"/>
      <c r="HEN71" s="63"/>
      <c r="HEO71" s="63"/>
      <c r="HEP71" s="63"/>
      <c r="HEQ71" s="63"/>
      <c r="HER71" s="63"/>
      <c r="HES71" s="63"/>
      <c r="HET71" s="63"/>
      <c r="HEU71" s="63"/>
      <c r="HEV71" s="63"/>
      <c r="HEW71" s="63"/>
      <c r="HEX71" s="63"/>
      <c r="HEY71" s="63"/>
      <c r="HEZ71" s="63"/>
      <c r="HFA71" s="63"/>
      <c r="HFB71" s="63"/>
      <c r="HFC71" s="63"/>
      <c r="HFD71" s="63"/>
      <c r="HFE71" s="63"/>
      <c r="HFF71" s="63"/>
      <c r="HFG71" s="63"/>
      <c r="HFH71" s="63"/>
      <c r="HFI71" s="63"/>
      <c r="HFJ71" s="63"/>
      <c r="HFK71" s="63"/>
      <c r="HFL71" s="63"/>
      <c r="HFM71" s="63"/>
      <c r="HFN71" s="63"/>
      <c r="HFO71" s="63"/>
      <c r="HFP71" s="63"/>
      <c r="HFQ71" s="63"/>
      <c r="HFR71" s="63"/>
      <c r="HFS71" s="63"/>
      <c r="HFT71" s="63"/>
      <c r="HFU71" s="63"/>
      <c r="HFV71" s="63"/>
      <c r="HFW71" s="63"/>
      <c r="HFX71" s="63"/>
      <c r="HFY71" s="63"/>
      <c r="HFZ71" s="63"/>
      <c r="HGA71" s="63"/>
      <c r="HGB71" s="63"/>
      <c r="HGC71" s="63"/>
      <c r="HGD71" s="63"/>
      <c r="HGE71" s="63"/>
      <c r="HGF71" s="63"/>
      <c r="HGG71" s="63"/>
      <c r="HGH71" s="63"/>
      <c r="HGI71" s="63"/>
      <c r="HGJ71" s="63"/>
      <c r="HGK71" s="63"/>
      <c r="HGL71" s="63"/>
      <c r="HGM71" s="63"/>
      <c r="HGN71" s="63"/>
      <c r="HGO71" s="63"/>
      <c r="HGP71" s="63"/>
      <c r="HGQ71" s="63"/>
      <c r="HGR71" s="63"/>
      <c r="HGS71" s="63"/>
      <c r="HGT71" s="63"/>
      <c r="HGU71" s="63"/>
      <c r="HGV71" s="63"/>
      <c r="HGW71" s="63"/>
      <c r="HGX71" s="63"/>
      <c r="HGY71" s="63"/>
      <c r="HGZ71" s="63"/>
      <c r="HHA71" s="63"/>
      <c r="HHB71" s="63"/>
      <c r="HHC71" s="63"/>
      <c r="HHD71" s="63"/>
      <c r="HHE71" s="63"/>
      <c r="HHF71" s="63"/>
      <c r="HHG71" s="63"/>
      <c r="HHH71" s="63"/>
      <c r="HHI71" s="63"/>
      <c r="HHJ71" s="63"/>
      <c r="HHK71" s="63"/>
      <c r="HHL71" s="63"/>
      <c r="HHM71" s="63"/>
      <c r="HHN71" s="63"/>
      <c r="HHO71" s="63"/>
      <c r="HHP71" s="63"/>
      <c r="HHQ71" s="63"/>
      <c r="HHR71" s="63"/>
      <c r="HHS71" s="63"/>
      <c r="HHT71" s="63"/>
      <c r="HHU71" s="63"/>
      <c r="HHV71" s="63"/>
      <c r="HHW71" s="63"/>
      <c r="HHX71" s="63"/>
      <c r="HHY71" s="63"/>
      <c r="HHZ71" s="63"/>
      <c r="HIA71" s="63"/>
      <c r="HIB71" s="63"/>
      <c r="HIC71" s="63"/>
      <c r="HID71" s="63"/>
      <c r="HIE71" s="63"/>
      <c r="HIF71" s="63"/>
      <c r="HIG71" s="63"/>
      <c r="HIH71" s="63"/>
      <c r="HII71" s="63"/>
      <c r="HIJ71" s="63"/>
      <c r="HIK71" s="63"/>
      <c r="HIL71" s="63"/>
      <c r="HIM71" s="63"/>
      <c r="HIN71" s="63"/>
      <c r="HIO71" s="63"/>
      <c r="HIP71" s="63"/>
      <c r="HIQ71" s="63"/>
      <c r="HIR71" s="63"/>
      <c r="HIS71" s="63"/>
      <c r="HIT71" s="63"/>
      <c r="HIU71" s="63"/>
      <c r="HIV71" s="63"/>
      <c r="HIW71" s="63"/>
      <c r="HIX71" s="63"/>
      <c r="HIY71" s="63"/>
      <c r="HIZ71" s="63"/>
      <c r="HJA71" s="63"/>
      <c r="HJB71" s="63"/>
      <c r="HJC71" s="63"/>
      <c r="HJD71" s="63"/>
      <c r="HJE71" s="63"/>
      <c r="HJF71" s="63"/>
      <c r="HJG71" s="63"/>
      <c r="HJH71" s="63"/>
      <c r="HJI71" s="63"/>
      <c r="HJJ71" s="63"/>
      <c r="HJK71" s="63"/>
      <c r="HJL71" s="63"/>
      <c r="HJM71" s="63"/>
      <c r="HJN71" s="63"/>
      <c r="HJO71" s="63"/>
      <c r="HJP71" s="63"/>
      <c r="HJQ71" s="63"/>
      <c r="HJR71" s="63"/>
      <c r="HJS71" s="63"/>
      <c r="HJT71" s="63"/>
      <c r="HJU71" s="63"/>
      <c r="HJV71" s="63"/>
      <c r="HJW71" s="63"/>
      <c r="HJX71" s="63"/>
      <c r="HJY71" s="63"/>
      <c r="HJZ71" s="63"/>
      <c r="HKA71" s="63"/>
      <c r="HKB71" s="63"/>
      <c r="HKC71" s="63"/>
      <c r="HKD71" s="63"/>
      <c r="HKE71" s="63"/>
      <c r="HKF71" s="63"/>
      <c r="HKG71" s="63"/>
      <c r="HKH71" s="63"/>
      <c r="HKI71" s="63"/>
      <c r="HKJ71" s="63"/>
      <c r="HKK71" s="63"/>
      <c r="HKL71" s="63"/>
      <c r="HKM71" s="63"/>
      <c r="HKN71" s="63"/>
      <c r="HKO71" s="63"/>
      <c r="HKP71" s="63"/>
      <c r="HKQ71" s="63"/>
      <c r="HKR71" s="63"/>
      <c r="HKS71" s="63"/>
      <c r="HKT71" s="63"/>
      <c r="HKU71" s="63"/>
      <c r="HKV71" s="63"/>
      <c r="HKW71" s="63"/>
      <c r="HKX71" s="63"/>
      <c r="HKY71" s="63"/>
      <c r="HKZ71" s="63"/>
      <c r="HLA71" s="63"/>
      <c r="HLB71" s="63"/>
      <c r="HLC71" s="63"/>
      <c r="HLD71" s="63"/>
      <c r="HLE71" s="63"/>
      <c r="HLF71" s="63"/>
      <c r="HLG71" s="63"/>
      <c r="HLH71" s="63"/>
      <c r="HLI71" s="63"/>
      <c r="HLJ71" s="63"/>
      <c r="HLK71" s="63"/>
      <c r="HLL71" s="63"/>
      <c r="HLM71" s="63"/>
      <c r="HLN71" s="63"/>
      <c r="HLO71" s="63"/>
      <c r="HLP71" s="63"/>
      <c r="HLQ71" s="63"/>
      <c r="HLR71" s="63"/>
      <c r="HLS71" s="63"/>
      <c r="HLT71" s="63"/>
      <c r="HLU71" s="63"/>
      <c r="HLV71" s="63"/>
      <c r="HLW71" s="63"/>
      <c r="HLX71" s="63"/>
      <c r="HLY71" s="63"/>
      <c r="HLZ71" s="63"/>
      <c r="HMA71" s="63"/>
      <c r="HMB71" s="63"/>
      <c r="HMC71" s="63"/>
      <c r="HMD71" s="63"/>
      <c r="HME71" s="63"/>
      <c r="HMF71" s="63"/>
      <c r="HMG71" s="63"/>
      <c r="HMH71" s="63"/>
      <c r="HMI71" s="63"/>
      <c r="HMJ71" s="63"/>
      <c r="HMK71" s="63"/>
      <c r="HML71" s="63"/>
      <c r="HMM71" s="63"/>
      <c r="HMN71" s="63"/>
      <c r="HMO71" s="63"/>
      <c r="HMP71" s="63"/>
      <c r="HMQ71" s="63"/>
      <c r="HMR71" s="63"/>
      <c r="HMS71" s="63"/>
      <c r="HMT71" s="63"/>
      <c r="HMU71" s="63"/>
      <c r="HMV71" s="63"/>
      <c r="HMW71" s="63"/>
      <c r="HMX71" s="63"/>
      <c r="HMY71" s="63"/>
      <c r="HMZ71" s="63"/>
      <c r="HNA71" s="63"/>
      <c r="HNB71" s="63"/>
      <c r="HNC71" s="63"/>
      <c r="HND71" s="63"/>
      <c r="HNE71" s="63"/>
      <c r="HNF71" s="63"/>
      <c r="HNG71" s="63"/>
      <c r="HNH71" s="63"/>
      <c r="HNI71" s="63"/>
      <c r="HNJ71" s="63"/>
      <c r="HNK71" s="63"/>
      <c r="HNL71" s="63"/>
      <c r="HNM71" s="63"/>
      <c r="HNN71" s="63"/>
      <c r="HNO71" s="63"/>
      <c r="HNP71" s="63"/>
      <c r="HNQ71" s="63"/>
      <c r="HNR71" s="63"/>
      <c r="HNS71" s="63"/>
      <c r="HNT71" s="63"/>
      <c r="HNU71" s="63"/>
      <c r="HNV71" s="63"/>
      <c r="HNW71" s="63"/>
      <c r="HNX71" s="63"/>
      <c r="HNY71" s="63"/>
      <c r="HNZ71" s="63"/>
      <c r="HOA71" s="63"/>
      <c r="HOB71" s="63"/>
      <c r="HOC71" s="63"/>
      <c r="HOD71" s="63"/>
      <c r="HOE71" s="63"/>
      <c r="HOF71" s="63"/>
      <c r="HOG71" s="63"/>
      <c r="HOH71" s="63"/>
      <c r="HOI71" s="63"/>
      <c r="HOJ71" s="63"/>
      <c r="HOK71" s="63"/>
      <c r="HOL71" s="63"/>
      <c r="HOM71" s="63"/>
      <c r="HON71" s="63"/>
      <c r="HOO71" s="63"/>
      <c r="HOP71" s="63"/>
      <c r="HOQ71" s="63"/>
      <c r="HOR71" s="63"/>
      <c r="HOS71" s="63"/>
      <c r="HOT71" s="63"/>
      <c r="HOU71" s="63"/>
      <c r="HOV71" s="63"/>
      <c r="HOW71" s="63"/>
      <c r="HOX71" s="63"/>
      <c r="HOY71" s="63"/>
      <c r="HOZ71" s="63"/>
      <c r="HPA71" s="63"/>
      <c r="HPB71" s="63"/>
      <c r="HPC71" s="63"/>
      <c r="HPD71" s="63"/>
      <c r="HPE71" s="63"/>
      <c r="HPF71" s="63"/>
      <c r="HPG71" s="63"/>
      <c r="HPH71" s="63"/>
      <c r="HPI71" s="63"/>
      <c r="HPJ71" s="63"/>
      <c r="HPK71" s="63"/>
      <c r="HPL71" s="63"/>
      <c r="HPM71" s="63"/>
      <c r="HPN71" s="63"/>
      <c r="HPO71" s="63"/>
      <c r="HPP71" s="63"/>
      <c r="HPQ71" s="63"/>
      <c r="HPR71" s="63"/>
      <c r="HPS71" s="63"/>
      <c r="HPT71" s="63"/>
      <c r="HPU71" s="63"/>
      <c r="HPV71" s="63"/>
      <c r="HPW71" s="63"/>
      <c r="HPX71" s="63"/>
      <c r="HPY71" s="63"/>
      <c r="HPZ71" s="63"/>
      <c r="HQA71" s="63"/>
      <c r="HQB71" s="63"/>
      <c r="HQC71" s="63"/>
      <c r="HQD71" s="63"/>
      <c r="HQE71" s="63"/>
      <c r="HQF71" s="63"/>
      <c r="HQG71" s="63"/>
      <c r="HQH71" s="63"/>
      <c r="HQI71" s="63"/>
      <c r="HQJ71" s="63"/>
      <c r="HQK71" s="63"/>
      <c r="HQL71" s="63"/>
      <c r="HQM71" s="63"/>
      <c r="HQN71" s="63"/>
      <c r="HQO71" s="63"/>
      <c r="HQP71" s="63"/>
      <c r="HQQ71" s="63"/>
      <c r="HQR71" s="63"/>
      <c r="HQS71" s="63"/>
      <c r="HQT71" s="63"/>
      <c r="HQU71" s="63"/>
      <c r="HQV71" s="63"/>
      <c r="HQW71" s="63"/>
      <c r="HQX71" s="63"/>
      <c r="HQY71" s="63"/>
      <c r="HQZ71" s="63"/>
      <c r="HRA71" s="63"/>
      <c r="HRB71" s="63"/>
      <c r="HRC71" s="63"/>
      <c r="HRD71" s="63"/>
      <c r="HRE71" s="63"/>
      <c r="HRF71" s="63"/>
      <c r="HRG71" s="63"/>
      <c r="HRH71" s="63"/>
      <c r="HRI71" s="63"/>
      <c r="HRJ71" s="63"/>
      <c r="HRK71" s="63"/>
      <c r="HRL71" s="63"/>
      <c r="HRM71" s="63"/>
      <c r="HRN71" s="63"/>
      <c r="HRO71" s="63"/>
      <c r="HRP71" s="63"/>
      <c r="HRQ71" s="63"/>
      <c r="HRR71" s="63"/>
      <c r="HRS71" s="63"/>
      <c r="HRT71" s="63"/>
      <c r="HRU71" s="63"/>
      <c r="HRV71" s="63"/>
      <c r="HRW71" s="63"/>
      <c r="HRX71" s="63"/>
      <c r="HRY71" s="63"/>
      <c r="HRZ71" s="63"/>
      <c r="HSA71" s="63"/>
      <c r="HSB71" s="63"/>
      <c r="HSC71" s="63"/>
      <c r="HSD71" s="63"/>
      <c r="HSE71" s="63"/>
      <c r="HSF71" s="63"/>
      <c r="HSG71" s="63"/>
      <c r="HSH71" s="63"/>
      <c r="HSI71" s="63"/>
      <c r="HSJ71" s="63"/>
      <c r="HSK71" s="63"/>
      <c r="HSL71" s="63"/>
      <c r="HSM71" s="63"/>
      <c r="HSN71" s="63"/>
      <c r="HSO71" s="63"/>
      <c r="HSP71" s="63"/>
      <c r="HSQ71" s="63"/>
      <c r="HSR71" s="63"/>
      <c r="HSS71" s="63"/>
      <c r="HST71" s="63"/>
      <c r="HSU71" s="63"/>
      <c r="HSV71" s="63"/>
      <c r="HSW71" s="63"/>
      <c r="HSX71" s="63"/>
      <c r="HSY71" s="63"/>
      <c r="HSZ71" s="63"/>
      <c r="HTA71" s="63"/>
      <c r="HTB71" s="63"/>
      <c r="HTC71" s="63"/>
      <c r="HTD71" s="63"/>
      <c r="HTE71" s="63"/>
      <c r="HTF71" s="63"/>
      <c r="HTG71" s="63"/>
      <c r="HTH71" s="63"/>
      <c r="HTI71" s="63"/>
      <c r="HTJ71" s="63"/>
      <c r="HTK71" s="63"/>
      <c r="HTL71" s="63"/>
      <c r="HTM71" s="63"/>
      <c r="HTN71" s="63"/>
      <c r="HTO71" s="63"/>
      <c r="HTP71" s="63"/>
      <c r="HTQ71" s="63"/>
      <c r="HTR71" s="63"/>
      <c r="HTS71" s="63"/>
      <c r="HTT71" s="63"/>
      <c r="HTU71" s="63"/>
      <c r="HTV71" s="63"/>
      <c r="HTW71" s="63"/>
      <c r="HTX71" s="63"/>
      <c r="HTY71" s="63"/>
      <c r="HTZ71" s="63"/>
      <c r="HUA71" s="63"/>
      <c r="HUB71" s="63"/>
      <c r="HUC71" s="63"/>
      <c r="HUD71" s="63"/>
      <c r="HUE71" s="63"/>
      <c r="HUF71" s="63"/>
      <c r="HUG71" s="63"/>
      <c r="HUH71" s="63"/>
      <c r="HUI71" s="63"/>
      <c r="HUJ71" s="63"/>
      <c r="HUK71" s="63"/>
      <c r="HUL71" s="63"/>
      <c r="HUM71" s="63"/>
      <c r="HUN71" s="63"/>
      <c r="HUO71" s="63"/>
      <c r="HUP71" s="63"/>
      <c r="HUQ71" s="63"/>
      <c r="HUR71" s="63"/>
      <c r="HUS71" s="63"/>
      <c r="HUT71" s="63"/>
      <c r="HUU71" s="63"/>
      <c r="HUV71" s="63"/>
      <c r="HUW71" s="63"/>
      <c r="HUX71" s="63"/>
      <c r="HUY71" s="63"/>
      <c r="HUZ71" s="63"/>
      <c r="HVA71" s="63"/>
      <c r="HVB71" s="63"/>
      <c r="HVC71" s="63"/>
      <c r="HVD71" s="63"/>
      <c r="HVE71" s="63"/>
      <c r="HVF71" s="63"/>
      <c r="HVG71" s="63"/>
      <c r="HVH71" s="63"/>
      <c r="HVI71" s="63"/>
      <c r="HVJ71" s="63"/>
      <c r="HVK71" s="63"/>
      <c r="HVL71" s="63"/>
      <c r="HVM71" s="63"/>
      <c r="HVN71" s="63"/>
      <c r="HVO71" s="63"/>
      <c r="HVP71" s="63"/>
      <c r="HVQ71" s="63"/>
      <c r="HVR71" s="63"/>
      <c r="HVS71" s="63"/>
      <c r="HVT71" s="63"/>
      <c r="HVU71" s="63"/>
      <c r="HVV71" s="63"/>
      <c r="HVW71" s="63"/>
      <c r="HVX71" s="63"/>
      <c r="HVY71" s="63"/>
      <c r="HVZ71" s="63"/>
      <c r="HWA71" s="63"/>
      <c r="HWB71" s="63"/>
      <c r="HWC71" s="63"/>
      <c r="HWD71" s="63"/>
      <c r="HWE71" s="63"/>
      <c r="HWF71" s="63"/>
      <c r="HWG71" s="63"/>
      <c r="HWH71" s="63"/>
      <c r="HWI71" s="63"/>
      <c r="HWJ71" s="63"/>
      <c r="HWK71" s="63"/>
      <c r="HWL71" s="63"/>
      <c r="HWM71" s="63"/>
      <c r="HWN71" s="63"/>
      <c r="HWO71" s="63"/>
      <c r="HWP71" s="63"/>
      <c r="HWQ71" s="63"/>
      <c r="HWR71" s="63"/>
      <c r="HWS71" s="63"/>
      <c r="HWT71" s="63"/>
      <c r="HWU71" s="63"/>
      <c r="HWV71" s="63"/>
      <c r="HWW71" s="63"/>
      <c r="HWX71" s="63"/>
      <c r="HWY71" s="63"/>
      <c r="HWZ71" s="63"/>
      <c r="HXA71" s="63"/>
      <c r="HXB71" s="63"/>
      <c r="HXC71" s="63"/>
      <c r="HXD71" s="63"/>
      <c r="HXE71" s="63"/>
      <c r="HXF71" s="63"/>
      <c r="HXG71" s="63"/>
      <c r="HXH71" s="63"/>
      <c r="HXI71" s="63"/>
      <c r="HXJ71" s="63"/>
      <c r="HXK71" s="63"/>
      <c r="HXL71" s="63"/>
      <c r="HXM71" s="63"/>
      <c r="HXN71" s="63"/>
      <c r="HXO71" s="63"/>
      <c r="HXP71" s="63"/>
      <c r="HXQ71" s="63"/>
      <c r="HXR71" s="63"/>
      <c r="HXS71" s="63"/>
      <c r="HXT71" s="63"/>
      <c r="HXU71" s="63"/>
      <c r="HXV71" s="63"/>
      <c r="HXW71" s="63"/>
      <c r="HXX71" s="63"/>
      <c r="HXY71" s="63"/>
      <c r="HXZ71" s="63"/>
      <c r="HYA71" s="63"/>
      <c r="HYB71" s="63"/>
      <c r="HYC71" s="63"/>
      <c r="HYD71" s="63"/>
      <c r="HYE71" s="63"/>
      <c r="HYF71" s="63"/>
      <c r="HYG71" s="63"/>
      <c r="HYH71" s="63"/>
      <c r="HYI71" s="63"/>
      <c r="HYJ71" s="63"/>
      <c r="HYK71" s="63"/>
      <c r="HYL71" s="63"/>
      <c r="HYM71" s="63"/>
      <c r="HYN71" s="63"/>
      <c r="HYO71" s="63"/>
      <c r="HYP71" s="63"/>
      <c r="HYQ71" s="63"/>
      <c r="HYR71" s="63"/>
      <c r="HYS71" s="63"/>
      <c r="HYT71" s="63"/>
      <c r="HYU71" s="63"/>
      <c r="HYV71" s="63"/>
      <c r="HYW71" s="63"/>
      <c r="HYX71" s="63"/>
      <c r="HYY71" s="63"/>
      <c r="HYZ71" s="63"/>
      <c r="HZA71" s="63"/>
      <c r="HZB71" s="63"/>
      <c r="HZC71" s="63"/>
      <c r="HZD71" s="63"/>
      <c r="HZE71" s="63"/>
      <c r="HZF71" s="63"/>
      <c r="HZG71" s="63"/>
      <c r="HZH71" s="63"/>
      <c r="HZI71" s="63"/>
      <c r="HZJ71" s="63"/>
      <c r="HZK71" s="63"/>
      <c r="HZL71" s="63"/>
      <c r="HZM71" s="63"/>
      <c r="HZN71" s="63"/>
      <c r="HZO71" s="63"/>
      <c r="HZP71" s="63"/>
      <c r="HZQ71" s="63"/>
      <c r="HZR71" s="63"/>
      <c r="HZS71" s="63"/>
      <c r="HZT71" s="63"/>
      <c r="HZU71" s="63"/>
      <c r="HZV71" s="63"/>
      <c r="HZW71" s="63"/>
      <c r="HZX71" s="63"/>
      <c r="HZY71" s="63"/>
      <c r="HZZ71" s="63"/>
      <c r="IAA71" s="63"/>
      <c r="IAB71" s="63"/>
      <c r="IAC71" s="63"/>
      <c r="IAD71" s="63"/>
      <c r="IAE71" s="63"/>
      <c r="IAF71" s="63"/>
      <c r="IAG71" s="63"/>
      <c r="IAH71" s="63"/>
      <c r="IAI71" s="63"/>
      <c r="IAJ71" s="63"/>
      <c r="IAK71" s="63"/>
      <c r="IAL71" s="63"/>
      <c r="IAM71" s="63"/>
      <c r="IAN71" s="63"/>
      <c r="IAO71" s="63"/>
      <c r="IAP71" s="63"/>
      <c r="IAQ71" s="63"/>
      <c r="IAR71" s="63"/>
      <c r="IAS71" s="63"/>
      <c r="IAT71" s="63"/>
      <c r="IAU71" s="63"/>
      <c r="IAV71" s="63"/>
      <c r="IAW71" s="63"/>
      <c r="IAX71" s="63"/>
      <c r="IAY71" s="63"/>
      <c r="IAZ71" s="63"/>
      <c r="IBA71" s="63"/>
      <c r="IBB71" s="63"/>
      <c r="IBC71" s="63"/>
      <c r="IBD71" s="63"/>
      <c r="IBE71" s="63"/>
      <c r="IBF71" s="63"/>
      <c r="IBG71" s="63"/>
      <c r="IBH71" s="63"/>
      <c r="IBI71" s="63"/>
      <c r="IBJ71" s="63"/>
      <c r="IBK71" s="63"/>
      <c r="IBL71" s="63"/>
      <c r="IBM71" s="63"/>
      <c r="IBN71" s="63"/>
      <c r="IBO71" s="63"/>
      <c r="IBP71" s="63"/>
      <c r="IBQ71" s="63"/>
      <c r="IBR71" s="63"/>
      <c r="IBS71" s="63"/>
      <c r="IBT71" s="63"/>
      <c r="IBU71" s="63"/>
      <c r="IBV71" s="63"/>
      <c r="IBW71" s="63"/>
      <c r="IBX71" s="63"/>
      <c r="IBY71" s="63"/>
      <c r="IBZ71" s="63"/>
      <c r="ICA71" s="63"/>
      <c r="ICB71" s="63"/>
      <c r="ICC71" s="63"/>
      <c r="ICD71" s="63"/>
      <c r="ICE71" s="63"/>
      <c r="ICF71" s="63"/>
      <c r="ICG71" s="63"/>
      <c r="ICH71" s="63"/>
      <c r="ICI71" s="63"/>
      <c r="ICJ71" s="63"/>
      <c r="ICK71" s="63"/>
      <c r="ICL71" s="63"/>
      <c r="ICM71" s="63"/>
      <c r="ICN71" s="63"/>
      <c r="ICO71" s="63"/>
      <c r="ICP71" s="63"/>
      <c r="ICQ71" s="63"/>
      <c r="ICR71" s="63"/>
      <c r="ICS71" s="63"/>
      <c r="ICT71" s="63"/>
      <c r="ICU71" s="63"/>
      <c r="ICV71" s="63"/>
      <c r="ICW71" s="63"/>
      <c r="ICX71" s="63"/>
      <c r="ICY71" s="63"/>
      <c r="ICZ71" s="63"/>
      <c r="IDA71" s="63"/>
      <c r="IDB71" s="63"/>
      <c r="IDC71" s="63"/>
      <c r="IDD71" s="63"/>
      <c r="IDE71" s="63"/>
      <c r="IDF71" s="63"/>
      <c r="IDG71" s="63"/>
      <c r="IDH71" s="63"/>
      <c r="IDI71" s="63"/>
      <c r="IDJ71" s="63"/>
      <c r="IDK71" s="63"/>
      <c r="IDL71" s="63"/>
      <c r="IDM71" s="63"/>
      <c r="IDN71" s="63"/>
      <c r="IDO71" s="63"/>
      <c r="IDP71" s="63"/>
      <c r="IDQ71" s="63"/>
      <c r="IDR71" s="63"/>
      <c r="IDS71" s="63"/>
      <c r="IDT71" s="63"/>
      <c r="IDU71" s="63"/>
      <c r="IDV71" s="63"/>
      <c r="IDW71" s="63"/>
      <c r="IDX71" s="63"/>
      <c r="IDY71" s="63"/>
      <c r="IDZ71" s="63"/>
      <c r="IEA71" s="63"/>
      <c r="IEB71" s="63"/>
      <c r="IEC71" s="63"/>
      <c r="IED71" s="63"/>
      <c r="IEE71" s="63"/>
      <c r="IEF71" s="63"/>
      <c r="IEG71" s="63"/>
      <c r="IEH71" s="63"/>
      <c r="IEI71" s="63"/>
      <c r="IEJ71" s="63"/>
      <c r="IEK71" s="63"/>
      <c r="IEL71" s="63"/>
      <c r="IEM71" s="63"/>
      <c r="IEN71" s="63"/>
      <c r="IEO71" s="63"/>
      <c r="IEP71" s="63"/>
      <c r="IEQ71" s="63"/>
      <c r="IER71" s="63"/>
      <c r="IES71" s="63"/>
      <c r="IET71" s="63"/>
      <c r="IEU71" s="63"/>
      <c r="IEV71" s="63"/>
      <c r="IEW71" s="63"/>
      <c r="IEX71" s="63"/>
      <c r="IEY71" s="63"/>
      <c r="IEZ71" s="63"/>
      <c r="IFA71" s="63"/>
      <c r="IFB71" s="63"/>
      <c r="IFC71" s="63"/>
      <c r="IFD71" s="63"/>
      <c r="IFE71" s="63"/>
      <c r="IFF71" s="63"/>
      <c r="IFG71" s="63"/>
      <c r="IFH71" s="63"/>
      <c r="IFI71" s="63"/>
      <c r="IFJ71" s="63"/>
      <c r="IFK71" s="63"/>
      <c r="IFL71" s="63"/>
      <c r="IFM71" s="63"/>
      <c r="IFN71" s="63"/>
      <c r="IFO71" s="63"/>
      <c r="IFP71" s="63"/>
      <c r="IFQ71" s="63"/>
      <c r="IFR71" s="63"/>
      <c r="IFS71" s="63"/>
      <c r="IFT71" s="63"/>
      <c r="IFU71" s="63"/>
      <c r="IFV71" s="63"/>
      <c r="IFW71" s="63"/>
      <c r="IFX71" s="63"/>
      <c r="IFY71" s="63"/>
      <c r="IFZ71" s="63"/>
      <c r="IGA71" s="63"/>
      <c r="IGB71" s="63"/>
      <c r="IGC71" s="63"/>
      <c r="IGD71" s="63"/>
      <c r="IGE71" s="63"/>
      <c r="IGF71" s="63"/>
      <c r="IGG71" s="63"/>
      <c r="IGH71" s="63"/>
      <c r="IGI71" s="63"/>
      <c r="IGJ71" s="63"/>
      <c r="IGK71" s="63"/>
      <c r="IGL71" s="63"/>
      <c r="IGM71" s="63"/>
      <c r="IGN71" s="63"/>
      <c r="IGO71" s="63"/>
      <c r="IGP71" s="63"/>
      <c r="IGQ71" s="63"/>
      <c r="IGR71" s="63"/>
      <c r="IGS71" s="63"/>
      <c r="IGT71" s="63"/>
      <c r="IGU71" s="63"/>
      <c r="IGV71" s="63"/>
      <c r="IGW71" s="63"/>
      <c r="IGX71" s="63"/>
      <c r="IGY71" s="63"/>
      <c r="IGZ71" s="63"/>
      <c r="IHA71" s="63"/>
      <c r="IHB71" s="63"/>
      <c r="IHC71" s="63"/>
      <c r="IHD71" s="63"/>
      <c r="IHE71" s="63"/>
      <c r="IHF71" s="63"/>
      <c r="IHG71" s="63"/>
      <c r="IHH71" s="63"/>
      <c r="IHI71" s="63"/>
      <c r="IHJ71" s="63"/>
      <c r="IHK71" s="63"/>
      <c r="IHL71" s="63"/>
      <c r="IHM71" s="63"/>
      <c r="IHN71" s="63"/>
      <c r="IHO71" s="63"/>
      <c r="IHP71" s="63"/>
      <c r="IHQ71" s="63"/>
      <c r="IHR71" s="63"/>
      <c r="IHS71" s="63"/>
      <c r="IHT71" s="63"/>
      <c r="IHU71" s="63"/>
      <c r="IHV71" s="63"/>
      <c r="IHW71" s="63"/>
      <c r="IHX71" s="63"/>
      <c r="IHY71" s="63"/>
      <c r="IHZ71" s="63"/>
      <c r="IIA71" s="63"/>
      <c r="IIB71" s="63"/>
      <c r="IIC71" s="63"/>
      <c r="IID71" s="63"/>
      <c r="IIE71" s="63"/>
      <c r="IIF71" s="63"/>
      <c r="IIG71" s="63"/>
      <c r="IIH71" s="63"/>
      <c r="III71" s="63"/>
      <c r="IIJ71" s="63"/>
      <c r="IIK71" s="63"/>
      <c r="IIL71" s="63"/>
      <c r="IIM71" s="63"/>
      <c r="IIN71" s="63"/>
      <c r="IIO71" s="63"/>
      <c r="IIP71" s="63"/>
      <c r="IIQ71" s="63"/>
      <c r="IIR71" s="63"/>
      <c r="IIS71" s="63"/>
      <c r="IIT71" s="63"/>
      <c r="IIU71" s="63"/>
      <c r="IIV71" s="63"/>
      <c r="IIW71" s="63"/>
      <c r="IIX71" s="63"/>
      <c r="IIY71" s="63"/>
      <c r="IIZ71" s="63"/>
      <c r="IJA71" s="63"/>
      <c r="IJB71" s="63"/>
      <c r="IJC71" s="63"/>
      <c r="IJD71" s="63"/>
      <c r="IJE71" s="63"/>
      <c r="IJF71" s="63"/>
      <c r="IJG71" s="63"/>
      <c r="IJH71" s="63"/>
      <c r="IJI71" s="63"/>
      <c r="IJJ71" s="63"/>
      <c r="IJK71" s="63"/>
      <c r="IJL71" s="63"/>
      <c r="IJM71" s="63"/>
      <c r="IJN71" s="63"/>
      <c r="IJO71" s="63"/>
      <c r="IJP71" s="63"/>
      <c r="IJQ71" s="63"/>
      <c r="IJR71" s="63"/>
      <c r="IJS71" s="63"/>
      <c r="IJT71" s="63"/>
      <c r="IJU71" s="63"/>
      <c r="IJV71" s="63"/>
      <c r="IJW71" s="63"/>
      <c r="IJX71" s="63"/>
      <c r="IJY71" s="63"/>
      <c r="IJZ71" s="63"/>
      <c r="IKA71" s="63"/>
      <c r="IKB71" s="63"/>
      <c r="IKC71" s="63"/>
      <c r="IKD71" s="63"/>
      <c r="IKE71" s="63"/>
      <c r="IKF71" s="63"/>
      <c r="IKG71" s="63"/>
      <c r="IKH71" s="63"/>
      <c r="IKI71" s="63"/>
      <c r="IKJ71" s="63"/>
      <c r="IKK71" s="63"/>
      <c r="IKL71" s="63"/>
      <c r="IKM71" s="63"/>
      <c r="IKN71" s="63"/>
      <c r="IKO71" s="63"/>
      <c r="IKP71" s="63"/>
      <c r="IKQ71" s="63"/>
      <c r="IKR71" s="63"/>
      <c r="IKS71" s="63"/>
      <c r="IKT71" s="63"/>
      <c r="IKU71" s="63"/>
      <c r="IKV71" s="63"/>
      <c r="IKW71" s="63"/>
      <c r="IKX71" s="63"/>
      <c r="IKY71" s="63"/>
      <c r="IKZ71" s="63"/>
      <c r="ILA71" s="63"/>
      <c r="ILB71" s="63"/>
      <c r="ILC71" s="63"/>
      <c r="ILD71" s="63"/>
      <c r="ILE71" s="63"/>
      <c r="ILF71" s="63"/>
      <c r="ILG71" s="63"/>
      <c r="ILH71" s="63"/>
      <c r="ILI71" s="63"/>
      <c r="ILJ71" s="63"/>
      <c r="ILK71" s="63"/>
      <c r="ILL71" s="63"/>
      <c r="ILM71" s="63"/>
      <c r="ILN71" s="63"/>
      <c r="ILO71" s="63"/>
      <c r="ILP71" s="63"/>
      <c r="ILQ71" s="63"/>
      <c r="ILR71" s="63"/>
      <c r="ILS71" s="63"/>
      <c r="ILT71" s="63"/>
      <c r="ILU71" s="63"/>
      <c r="ILV71" s="63"/>
      <c r="ILW71" s="63"/>
      <c r="ILX71" s="63"/>
      <c r="ILY71" s="63"/>
      <c r="ILZ71" s="63"/>
      <c r="IMA71" s="63"/>
      <c r="IMB71" s="63"/>
      <c r="IMC71" s="63"/>
      <c r="IMD71" s="63"/>
      <c r="IME71" s="63"/>
      <c r="IMF71" s="63"/>
      <c r="IMG71" s="63"/>
      <c r="IMH71" s="63"/>
      <c r="IMI71" s="63"/>
      <c r="IMJ71" s="63"/>
      <c r="IMK71" s="63"/>
      <c r="IML71" s="63"/>
      <c r="IMM71" s="63"/>
      <c r="IMN71" s="63"/>
      <c r="IMO71" s="63"/>
      <c r="IMP71" s="63"/>
      <c r="IMQ71" s="63"/>
      <c r="IMR71" s="63"/>
      <c r="IMS71" s="63"/>
      <c r="IMT71" s="63"/>
      <c r="IMU71" s="63"/>
      <c r="IMV71" s="63"/>
      <c r="IMW71" s="63"/>
      <c r="IMX71" s="63"/>
      <c r="IMY71" s="63"/>
      <c r="IMZ71" s="63"/>
      <c r="INA71" s="63"/>
      <c r="INB71" s="63"/>
      <c r="INC71" s="63"/>
      <c r="IND71" s="63"/>
      <c r="INE71" s="63"/>
      <c r="INF71" s="63"/>
      <c r="ING71" s="63"/>
      <c r="INH71" s="63"/>
      <c r="INI71" s="63"/>
      <c r="INJ71" s="63"/>
      <c r="INK71" s="63"/>
      <c r="INL71" s="63"/>
      <c r="INM71" s="63"/>
      <c r="INN71" s="63"/>
      <c r="INO71" s="63"/>
      <c r="INP71" s="63"/>
      <c r="INQ71" s="63"/>
      <c r="INR71" s="63"/>
      <c r="INS71" s="63"/>
      <c r="INT71" s="63"/>
      <c r="INU71" s="63"/>
      <c r="INV71" s="63"/>
      <c r="INW71" s="63"/>
      <c r="INX71" s="63"/>
      <c r="INY71" s="63"/>
      <c r="INZ71" s="63"/>
      <c r="IOA71" s="63"/>
      <c r="IOB71" s="63"/>
      <c r="IOC71" s="63"/>
      <c r="IOD71" s="63"/>
      <c r="IOE71" s="63"/>
      <c r="IOF71" s="63"/>
      <c r="IOG71" s="63"/>
      <c r="IOH71" s="63"/>
      <c r="IOI71" s="63"/>
      <c r="IOJ71" s="63"/>
      <c r="IOK71" s="63"/>
      <c r="IOL71" s="63"/>
      <c r="IOM71" s="63"/>
      <c r="ION71" s="63"/>
      <c r="IOO71" s="63"/>
      <c r="IOP71" s="63"/>
      <c r="IOQ71" s="63"/>
      <c r="IOR71" s="63"/>
      <c r="IOS71" s="63"/>
      <c r="IOT71" s="63"/>
      <c r="IOU71" s="63"/>
      <c r="IOV71" s="63"/>
      <c r="IOW71" s="63"/>
      <c r="IOX71" s="63"/>
      <c r="IOY71" s="63"/>
      <c r="IOZ71" s="63"/>
      <c r="IPA71" s="63"/>
      <c r="IPB71" s="63"/>
      <c r="IPC71" s="63"/>
      <c r="IPD71" s="63"/>
      <c r="IPE71" s="63"/>
      <c r="IPF71" s="63"/>
      <c r="IPG71" s="63"/>
      <c r="IPH71" s="63"/>
      <c r="IPI71" s="63"/>
      <c r="IPJ71" s="63"/>
      <c r="IPK71" s="63"/>
      <c r="IPL71" s="63"/>
      <c r="IPM71" s="63"/>
      <c r="IPN71" s="63"/>
      <c r="IPO71" s="63"/>
      <c r="IPP71" s="63"/>
      <c r="IPQ71" s="63"/>
      <c r="IPR71" s="63"/>
      <c r="IPS71" s="63"/>
      <c r="IPT71" s="63"/>
      <c r="IPU71" s="63"/>
      <c r="IPV71" s="63"/>
      <c r="IPW71" s="63"/>
      <c r="IPX71" s="63"/>
      <c r="IPY71" s="63"/>
      <c r="IPZ71" s="63"/>
      <c r="IQA71" s="63"/>
      <c r="IQB71" s="63"/>
      <c r="IQC71" s="63"/>
      <c r="IQD71" s="63"/>
      <c r="IQE71" s="63"/>
      <c r="IQF71" s="63"/>
      <c r="IQG71" s="63"/>
      <c r="IQH71" s="63"/>
      <c r="IQI71" s="63"/>
      <c r="IQJ71" s="63"/>
      <c r="IQK71" s="63"/>
      <c r="IQL71" s="63"/>
      <c r="IQM71" s="63"/>
      <c r="IQN71" s="63"/>
      <c r="IQO71" s="63"/>
      <c r="IQP71" s="63"/>
      <c r="IQQ71" s="63"/>
      <c r="IQR71" s="63"/>
      <c r="IQS71" s="63"/>
      <c r="IQT71" s="63"/>
      <c r="IQU71" s="63"/>
      <c r="IQV71" s="63"/>
      <c r="IQW71" s="63"/>
      <c r="IQX71" s="63"/>
      <c r="IQY71" s="63"/>
      <c r="IQZ71" s="63"/>
      <c r="IRA71" s="63"/>
      <c r="IRB71" s="63"/>
      <c r="IRC71" s="63"/>
      <c r="IRD71" s="63"/>
      <c r="IRE71" s="63"/>
      <c r="IRF71" s="63"/>
      <c r="IRG71" s="63"/>
      <c r="IRH71" s="63"/>
      <c r="IRI71" s="63"/>
      <c r="IRJ71" s="63"/>
      <c r="IRK71" s="63"/>
      <c r="IRL71" s="63"/>
      <c r="IRM71" s="63"/>
      <c r="IRN71" s="63"/>
      <c r="IRO71" s="63"/>
      <c r="IRP71" s="63"/>
      <c r="IRQ71" s="63"/>
      <c r="IRR71" s="63"/>
      <c r="IRS71" s="63"/>
      <c r="IRT71" s="63"/>
      <c r="IRU71" s="63"/>
      <c r="IRV71" s="63"/>
      <c r="IRW71" s="63"/>
      <c r="IRX71" s="63"/>
      <c r="IRY71" s="63"/>
      <c r="IRZ71" s="63"/>
      <c r="ISA71" s="63"/>
      <c r="ISB71" s="63"/>
      <c r="ISC71" s="63"/>
      <c r="ISD71" s="63"/>
      <c r="ISE71" s="63"/>
      <c r="ISF71" s="63"/>
      <c r="ISG71" s="63"/>
      <c r="ISH71" s="63"/>
      <c r="ISI71" s="63"/>
      <c r="ISJ71" s="63"/>
      <c r="ISK71" s="63"/>
      <c r="ISL71" s="63"/>
      <c r="ISM71" s="63"/>
      <c r="ISN71" s="63"/>
      <c r="ISO71" s="63"/>
      <c r="ISP71" s="63"/>
      <c r="ISQ71" s="63"/>
      <c r="ISR71" s="63"/>
      <c r="ISS71" s="63"/>
      <c r="IST71" s="63"/>
      <c r="ISU71" s="63"/>
      <c r="ISV71" s="63"/>
      <c r="ISW71" s="63"/>
      <c r="ISX71" s="63"/>
      <c r="ISY71" s="63"/>
      <c r="ISZ71" s="63"/>
      <c r="ITA71" s="63"/>
      <c r="ITB71" s="63"/>
      <c r="ITC71" s="63"/>
      <c r="ITD71" s="63"/>
      <c r="ITE71" s="63"/>
      <c r="ITF71" s="63"/>
      <c r="ITG71" s="63"/>
      <c r="ITH71" s="63"/>
      <c r="ITI71" s="63"/>
      <c r="ITJ71" s="63"/>
      <c r="ITK71" s="63"/>
      <c r="ITL71" s="63"/>
      <c r="ITM71" s="63"/>
      <c r="ITN71" s="63"/>
      <c r="ITO71" s="63"/>
      <c r="ITP71" s="63"/>
      <c r="ITQ71" s="63"/>
      <c r="ITR71" s="63"/>
      <c r="ITS71" s="63"/>
      <c r="ITT71" s="63"/>
      <c r="ITU71" s="63"/>
      <c r="ITV71" s="63"/>
      <c r="ITW71" s="63"/>
      <c r="ITX71" s="63"/>
      <c r="ITY71" s="63"/>
      <c r="ITZ71" s="63"/>
      <c r="IUA71" s="63"/>
      <c r="IUB71" s="63"/>
      <c r="IUC71" s="63"/>
      <c r="IUD71" s="63"/>
      <c r="IUE71" s="63"/>
      <c r="IUF71" s="63"/>
      <c r="IUG71" s="63"/>
      <c r="IUH71" s="63"/>
      <c r="IUI71" s="63"/>
      <c r="IUJ71" s="63"/>
      <c r="IUK71" s="63"/>
      <c r="IUL71" s="63"/>
      <c r="IUM71" s="63"/>
      <c r="IUN71" s="63"/>
      <c r="IUO71" s="63"/>
      <c r="IUP71" s="63"/>
      <c r="IUQ71" s="63"/>
      <c r="IUR71" s="63"/>
      <c r="IUS71" s="63"/>
      <c r="IUT71" s="63"/>
      <c r="IUU71" s="63"/>
      <c r="IUV71" s="63"/>
      <c r="IUW71" s="63"/>
      <c r="IUX71" s="63"/>
      <c r="IUY71" s="63"/>
      <c r="IUZ71" s="63"/>
      <c r="IVA71" s="63"/>
      <c r="IVB71" s="63"/>
      <c r="IVC71" s="63"/>
      <c r="IVD71" s="63"/>
      <c r="IVE71" s="63"/>
      <c r="IVF71" s="63"/>
      <c r="IVG71" s="63"/>
      <c r="IVH71" s="63"/>
      <c r="IVI71" s="63"/>
      <c r="IVJ71" s="63"/>
      <c r="IVK71" s="63"/>
      <c r="IVL71" s="63"/>
      <c r="IVM71" s="63"/>
      <c r="IVN71" s="63"/>
      <c r="IVO71" s="63"/>
      <c r="IVP71" s="63"/>
      <c r="IVQ71" s="63"/>
      <c r="IVR71" s="63"/>
      <c r="IVS71" s="63"/>
      <c r="IVT71" s="63"/>
      <c r="IVU71" s="63"/>
      <c r="IVV71" s="63"/>
      <c r="IVW71" s="63"/>
      <c r="IVX71" s="63"/>
      <c r="IVY71" s="63"/>
      <c r="IVZ71" s="63"/>
      <c r="IWA71" s="63"/>
      <c r="IWB71" s="63"/>
      <c r="IWC71" s="63"/>
      <c r="IWD71" s="63"/>
      <c r="IWE71" s="63"/>
      <c r="IWF71" s="63"/>
      <c r="IWG71" s="63"/>
      <c r="IWH71" s="63"/>
      <c r="IWI71" s="63"/>
      <c r="IWJ71" s="63"/>
      <c r="IWK71" s="63"/>
      <c r="IWL71" s="63"/>
      <c r="IWM71" s="63"/>
      <c r="IWN71" s="63"/>
      <c r="IWO71" s="63"/>
      <c r="IWP71" s="63"/>
      <c r="IWQ71" s="63"/>
      <c r="IWR71" s="63"/>
      <c r="IWS71" s="63"/>
      <c r="IWT71" s="63"/>
      <c r="IWU71" s="63"/>
      <c r="IWV71" s="63"/>
      <c r="IWW71" s="63"/>
      <c r="IWX71" s="63"/>
      <c r="IWY71" s="63"/>
      <c r="IWZ71" s="63"/>
      <c r="IXA71" s="63"/>
      <c r="IXB71" s="63"/>
      <c r="IXC71" s="63"/>
      <c r="IXD71" s="63"/>
      <c r="IXE71" s="63"/>
      <c r="IXF71" s="63"/>
      <c r="IXG71" s="63"/>
      <c r="IXH71" s="63"/>
      <c r="IXI71" s="63"/>
      <c r="IXJ71" s="63"/>
      <c r="IXK71" s="63"/>
      <c r="IXL71" s="63"/>
      <c r="IXM71" s="63"/>
      <c r="IXN71" s="63"/>
      <c r="IXO71" s="63"/>
      <c r="IXP71" s="63"/>
      <c r="IXQ71" s="63"/>
      <c r="IXR71" s="63"/>
      <c r="IXS71" s="63"/>
      <c r="IXT71" s="63"/>
      <c r="IXU71" s="63"/>
      <c r="IXV71" s="63"/>
      <c r="IXW71" s="63"/>
      <c r="IXX71" s="63"/>
      <c r="IXY71" s="63"/>
      <c r="IXZ71" s="63"/>
      <c r="IYA71" s="63"/>
      <c r="IYB71" s="63"/>
      <c r="IYC71" s="63"/>
      <c r="IYD71" s="63"/>
      <c r="IYE71" s="63"/>
      <c r="IYF71" s="63"/>
      <c r="IYG71" s="63"/>
      <c r="IYH71" s="63"/>
      <c r="IYI71" s="63"/>
      <c r="IYJ71" s="63"/>
      <c r="IYK71" s="63"/>
      <c r="IYL71" s="63"/>
      <c r="IYM71" s="63"/>
      <c r="IYN71" s="63"/>
      <c r="IYO71" s="63"/>
      <c r="IYP71" s="63"/>
      <c r="IYQ71" s="63"/>
      <c r="IYR71" s="63"/>
      <c r="IYS71" s="63"/>
      <c r="IYT71" s="63"/>
      <c r="IYU71" s="63"/>
      <c r="IYV71" s="63"/>
      <c r="IYW71" s="63"/>
      <c r="IYX71" s="63"/>
      <c r="IYY71" s="63"/>
      <c r="IYZ71" s="63"/>
      <c r="IZA71" s="63"/>
      <c r="IZB71" s="63"/>
      <c r="IZC71" s="63"/>
      <c r="IZD71" s="63"/>
      <c r="IZE71" s="63"/>
      <c r="IZF71" s="63"/>
      <c r="IZG71" s="63"/>
      <c r="IZH71" s="63"/>
      <c r="IZI71" s="63"/>
      <c r="IZJ71" s="63"/>
      <c r="IZK71" s="63"/>
      <c r="IZL71" s="63"/>
      <c r="IZM71" s="63"/>
      <c r="IZN71" s="63"/>
      <c r="IZO71" s="63"/>
      <c r="IZP71" s="63"/>
      <c r="IZQ71" s="63"/>
      <c r="IZR71" s="63"/>
      <c r="IZS71" s="63"/>
      <c r="IZT71" s="63"/>
      <c r="IZU71" s="63"/>
      <c r="IZV71" s="63"/>
      <c r="IZW71" s="63"/>
      <c r="IZX71" s="63"/>
      <c r="IZY71" s="63"/>
      <c r="IZZ71" s="63"/>
      <c r="JAA71" s="63"/>
      <c r="JAB71" s="63"/>
      <c r="JAC71" s="63"/>
      <c r="JAD71" s="63"/>
      <c r="JAE71" s="63"/>
      <c r="JAF71" s="63"/>
      <c r="JAG71" s="63"/>
      <c r="JAH71" s="63"/>
      <c r="JAI71" s="63"/>
      <c r="JAJ71" s="63"/>
      <c r="JAK71" s="63"/>
      <c r="JAL71" s="63"/>
      <c r="JAM71" s="63"/>
      <c r="JAN71" s="63"/>
      <c r="JAO71" s="63"/>
      <c r="JAP71" s="63"/>
      <c r="JAQ71" s="63"/>
      <c r="JAR71" s="63"/>
      <c r="JAS71" s="63"/>
      <c r="JAT71" s="63"/>
      <c r="JAU71" s="63"/>
      <c r="JAV71" s="63"/>
      <c r="JAW71" s="63"/>
      <c r="JAX71" s="63"/>
      <c r="JAY71" s="63"/>
      <c r="JAZ71" s="63"/>
      <c r="JBA71" s="63"/>
      <c r="JBB71" s="63"/>
      <c r="JBC71" s="63"/>
      <c r="JBD71" s="63"/>
      <c r="JBE71" s="63"/>
      <c r="JBF71" s="63"/>
      <c r="JBG71" s="63"/>
      <c r="JBH71" s="63"/>
      <c r="JBI71" s="63"/>
      <c r="JBJ71" s="63"/>
      <c r="JBK71" s="63"/>
      <c r="JBL71" s="63"/>
      <c r="JBM71" s="63"/>
      <c r="JBN71" s="63"/>
      <c r="JBO71" s="63"/>
      <c r="JBP71" s="63"/>
      <c r="JBQ71" s="63"/>
      <c r="JBR71" s="63"/>
      <c r="JBS71" s="63"/>
      <c r="JBT71" s="63"/>
      <c r="JBU71" s="63"/>
      <c r="JBV71" s="63"/>
      <c r="JBW71" s="63"/>
      <c r="JBX71" s="63"/>
      <c r="JBY71" s="63"/>
      <c r="JBZ71" s="63"/>
      <c r="JCA71" s="63"/>
      <c r="JCB71" s="63"/>
      <c r="JCC71" s="63"/>
      <c r="JCD71" s="63"/>
      <c r="JCE71" s="63"/>
      <c r="JCF71" s="63"/>
      <c r="JCG71" s="63"/>
      <c r="JCH71" s="63"/>
      <c r="JCI71" s="63"/>
      <c r="JCJ71" s="63"/>
      <c r="JCK71" s="63"/>
      <c r="JCL71" s="63"/>
      <c r="JCM71" s="63"/>
      <c r="JCN71" s="63"/>
      <c r="JCO71" s="63"/>
      <c r="JCP71" s="63"/>
      <c r="JCQ71" s="63"/>
      <c r="JCR71" s="63"/>
      <c r="JCS71" s="63"/>
      <c r="JCT71" s="63"/>
      <c r="JCU71" s="63"/>
      <c r="JCV71" s="63"/>
      <c r="JCW71" s="63"/>
      <c r="JCX71" s="63"/>
      <c r="JCY71" s="63"/>
      <c r="JCZ71" s="63"/>
      <c r="JDA71" s="63"/>
      <c r="JDB71" s="63"/>
      <c r="JDC71" s="63"/>
      <c r="JDD71" s="63"/>
      <c r="JDE71" s="63"/>
      <c r="JDF71" s="63"/>
      <c r="JDG71" s="63"/>
      <c r="JDH71" s="63"/>
      <c r="JDI71" s="63"/>
      <c r="JDJ71" s="63"/>
      <c r="JDK71" s="63"/>
      <c r="JDL71" s="63"/>
      <c r="JDM71" s="63"/>
      <c r="JDN71" s="63"/>
      <c r="JDO71" s="63"/>
      <c r="JDP71" s="63"/>
      <c r="JDQ71" s="63"/>
      <c r="JDR71" s="63"/>
      <c r="JDS71" s="63"/>
      <c r="JDT71" s="63"/>
      <c r="JDU71" s="63"/>
      <c r="JDV71" s="63"/>
      <c r="JDW71" s="63"/>
      <c r="JDX71" s="63"/>
      <c r="JDY71" s="63"/>
      <c r="JDZ71" s="63"/>
      <c r="JEA71" s="63"/>
      <c r="JEB71" s="63"/>
      <c r="JEC71" s="63"/>
      <c r="JED71" s="63"/>
      <c r="JEE71" s="63"/>
      <c r="JEF71" s="63"/>
      <c r="JEG71" s="63"/>
      <c r="JEH71" s="63"/>
      <c r="JEI71" s="63"/>
      <c r="JEJ71" s="63"/>
      <c r="JEK71" s="63"/>
      <c r="JEL71" s="63"/>
      <c r="JEM71" s="63"/>
      <c r="JEN71" s="63"/>
      <c r="JEO71" s="63"/>
      <c r="JEP71" s="63"/>
      <c r="JEQ71" s="63"/>
      <c r="JER71" s="63"/>
      <c r="JES71" s="63"/>
      <c r="JET71" s="63"/>
      <c r="JEU71" s="63"/>
      <c r="JEV71" s="63"/>
      <c r="JEW71" s="63"/>
      <c r="JEX71" s="63"/>
      <c r="JEY71" s="63"/>
      <c r="JEZ71" s="63"/>
      <c r="JFA71" s="63"/>
      <c r="JFB71" s="63"/>
      <c r="JFC71" s="63"/>
      <c r="JFD71" s="63"/>
      <c r="JFE71" s="63"/>
      <c r="JFF71" s="63"/>
      <c r="JFG71" s="63"/>
      <c r="JFH71" s="63"/>
      <c r="JFI71" s="63"/>
      <c r="JFJ71" s="63"/>
      <c r="JFK71" s="63"/>
      <c r="JFL71" s="63"/>
      <c r="JFM71" s="63"/>
      <c r="JFN71" s="63"/>
      <c r="JFO71" s="63"/>
      <c r="JFP71" s="63"/>
      <c r="JFQ71" s="63"/>
      <c r="JFR71" s="63"/>
      <c r="JFS71" s="63"/>
      <c r="JFT71" s="63"/>
      <c r="JFU71" s="63"/>
      <c r="JFV71" s="63"/>
      <c r="JFW71" s="63"/>
      <c r="JFX71" s="63"/>
      <c r="JFY71" s="63"/>
      <c r="JFZ71" s="63"/>
      <c r="JGA71" s="63"/>
      <c r="JGB71" s="63"/>
      <c r="JGC71" s="63"/>
      <c r="JGD71" s="63"/>
      <c r="JGE71" s="63"/>
      <c r="JGF71" s="63"/>
      <c r="JGG71" s="63"/>
      <c r="JGH71" s="63"/>
      <c r="JGI71" s="63"/>
      <c r="JGJ71" s="63"/>
      <c r="JGK71" s="63"/>
      <c r="JGL71" s="63"/>
      <c r="JGM71" s="63"/>
      <c r="JGN71" s="63"/>
      <c r="JGO71" s="63"/>
      <c r="JGP71" s="63"/>
      <c r="JGQ71" s="63"/>
      <c r="JGR71" s="63"/>
      <c r="JGS71" s="63"/>
      <c r="JGT71" s="63"/>
      <c r="JGU71" s="63"/>
      <c r="JGV71" s="63"/>
      <c r="JGW71" s="63"/>
      <c r="JGX71" s="63"/>
      <c r="JGY71" s="63"/>
      <c r="JGZ71" s="63"/>
      <c r="JHA71" s="63"/>
      <c r="JHB71" s="63"/>
      <c r="JHC71" s="63"/>
      <c r="JHD71" s="63"/>
      <c r="JHE71" s="63"/>
      <c r="JHF71" s="63"/>
      <c r="JHG71" s="63"/>
      <c r="JHH71" s="63"/>
      <c r="JHI71" s="63"/>
      <c r="JHJ71" s="63"/>
      <c r="JHK71" s="63"/>
      <c r="JHL71" s="63"/>
      <c r="JHM71" s="63"/>
      <c r="JHN71" s="63"/>
      <c r="JHO71" s="63"/>
      <c r="JHP71" s="63"/>
      <c r="JHQ71" s="63"/>
      <c r="JHR71" s="63"/>
      <c r="JHS71" s="63"/>
      <c r="JHT71" s="63"/>
      <c r="JHU71" s="63"/>
      <c r="JHV71" s="63"/>
      <c r="JHW71" s="63"/>
      <c r="JHX71" s="63"/>
      <c r="JHY71" s="63"/>
      <c r="JHZ71" s="63"/>
      <c r="JIA71" s="63"/>
      <c r="JIB71" s="63"/>
      <c r="JIC71" s="63"/>
      <c r="JID71" s="63"/>
      <c r="JIE71" s="63"/>
      <c r="JIF71" s="63"/>
      <c r="JIG71" s="63"/>
      <c r="JIH71" s="63"/>
      <c r="JII71" s="63"/>
      <c r="JIJ71" s="63"/>
      <c r="JIK71" s="63"/>
      <c r="JIL71" s="63"/>
      <c r="JIM71" s="63"/>
      <c r="JIN71" s="63"/>
      <c r="JIO71" s="63"/>
      <c r="JIP71" s="63"/>
      <c r="JIQ71" s="63"/>
      <c r="JIR71" s="63"/>
      <c r="JIS71" s="63"/>
      <c r="JIT71" s="63"/>
      <c r="JIU71" s="63"/>
      <c r="JIV71" s="63"/>
      <c r="JIW71" s="63"/>
      <c r="JIX71" s="63"/>
      <c r="JIY71" s="63"/>
      <c r="JIZ71" s="63"/>
      <c r="JJA71" s="63"/>
      <c r="JJB71" s="63"/>
      <c r="JJC71" s="63"/>
      <c r="JJD71" s="63"/>
      <c r="JJE71" s="63"/>
      <c r="JJF71" s="63"/>
      <c r="JJG71" s="63"/>
      <c r="JJH71" s="63"/>
      <c r="JJI71" s="63"/>
      <c r="JJJ71" s="63"/>
      <c r="JJK71" s="63"/>
      <c r="JJL71" s="63"/>
      <c r="JJM71" s="63"/>
      <c r="JJN71" s="63"/>
      <c r="JJO71" s="63"/>
      <c r="JJP71" s="63"/>
      <c r="JJQ71" s="63"/>
      <c r="JJR71" s="63"/>
      <c r="JJS71" s="63"/>
      <c r="JJT71" s="63"/>
      <c r="JJU71" s="63"/>
      <c r="JJV71" s="63"/>
      <c r="JJW71" s="63"/>
      <c r="JJX71" s="63"/>
      <c r="JJY71" s="63"/>
      <c r="JJZ71" s="63"/>
      <c r="JKA71" s="63"/>
      <c r="JKB71" s="63"/>
      <c r="JKC71" s="63"/>
      <c r="JKD71" s="63"/>
      <c r="JKE71" s="63"/>
      <c r="JKF71" s="63"/>
      <c r="JKG71" s="63"/>
      <c r="JKH71" s="63"/>
      <c r="JKI71" s="63"/>
      <c r="JKJ71" s="63"/>
      <c r="JKK71" s="63"/>
      <c r="JKL71" s="63"/>
      <c r="JKM71" s="63"/>
      <c r="JKN71" s="63"/>
      <c r="JKO71" s="63"/>
      <c r="JKP71" s="63"/>
      <c r="JKQ71" s="63"/>
      <c r="JKR71" s="63"/>
      <c r="JKS71" s="63"/>
      <c r="JKT71" s="63"/>
      <c r="JKU71" s="63"/>
      <c r="JKV71" s="63"/>
      <c r="JKW71" s="63"/>
      <c r="JKX71" s="63"/>
      <c r="JKY71" s="63"/>
      <c r="JKZ71" s="63"/>
      <c r="JLA71" s="63"/>
      <c r="JLB71" s="63"/>
      <c r="JLC71" s="63"/>
      <c r="JLD71" s="63"/>
      <c r="JLE71" s="63"/>
      <c r="JLF71" s="63"/>
      <c r="JLG71" s="63"/>
      <c r="JLH71" s="63"/>
      <c r="JLI71" s="63"/>
      <c r="JLJ71" s="63"/>
      <c r="JLK71" s="63"/>
      <c r="JLL71" s="63"/>
      <c r="JLM71" s="63"/>
      <c r="JLN71" s="63"/>
      <c r="JLO71" s="63"/>
      <c r="JLP71" s="63"/>
      <c r="JLQ71" s="63"/>
      <c r="JLR71" s="63"/>
      <c r="JLS71" s="63"/>
      <c r="JLT71" s="63"/>
      <c r="JLU71" s="63"/>
      <c r="JLV71" s="63"/>
      <c r="JLW71" s="63"/>
      <c r="JLX71" s="63"/>
      <c r="JLY71" s="63"/>
      <c r="JLZ71" s="63"/>
      <c r="JMA71" s="63"/>
      <c r="JMB71" s="63"/>
      <c r="JMC71" s="63"/>
      <c r="JMD71" s="63"/>
      <c r="JME71" s="63"/>
      <c r="JMF71" s="63"/>
      <c r="JMG71" s="63"/>
      <c r="JMH71" s="63"/>
      <c r="JMI71" s="63"/>
      <c r="JMJ71" s="63"/>
      <c r="JMK71" s="63"/>
      <c r="JML71" s="63"/>
      <c r="JMM71" s="63"/>
      <c r="JMN71" s="63"/>
      <c r="JMO71" s="63"/>
      <c r="JMP71" s="63"/>
      <c r="JMQ71" s="63"/>
      <c r="JMR71" s="63"/>
      <c r="JMS71" s="63"/>
      <c r="JMT71" s="63"/>
      <c r="JMU71" s="63"/>
      <c r="JMV71" s="63"/>
      <c r="JMW71" s="63"/>
      <c r="JMX71" s="63"/>
      <c r="JMY71" s="63"/>
      <c r="JMZ71" s="63"/>
      <c r="JNA71" s="63"/>
      <c r="JNB71" s="63"/>
      <c r="JNC71" s="63"/>
      <c r="JND71" s="63"/>
      <c r="JNE71" s="63"/>
      <c r="JNF71" s="63"/>
      <c r="JNG71" s="63"/>
      <c r="JNH71" s="63"/>
      <c r="JNI71" s="63"/>
      <c r="JNJ71" s="63"/>
      <c r="JNK71" s="63"/>
      <c r="JNL71" s="63"/>
      <c r="JNM71" s="63"/>
      <c r="JNN71" s="63"/>
      <c r="JNO71" s="63"/>
      <c r="JNP71" s="63"/>
      <c r="JNQ71" s="63"/>
      <c r="JNR71" s="63"/>
      <c r="JNS71" s="63"/>
      <c r="JNT71" s="63"/>
      <c r="JNU71" s="63"/>
      <c r="JNV71" s="63"/>
      <c r="JNW71" s="63"/>
      <c r="JNX71" s="63"/>
      <c r="JNY71" s="63"/>
      <c r="JNZ71" s="63"/>
      <c r="JOA71" s="63"/>
      <c r="JOB71" s="63"/>
      <c r="JOC71" s="63"/>
      <c r="JOD71" s="63"/>
      <c r="JOE71" s="63"/>
      <c r="JOF71" s="63"/>
      <c r="JOG71" s="63"/>
      <c r="JOH71" s="63"/>
      <c r="JOI71" s="63"/>
      <c r="JOJ71" s="63"/>
      <c r="JOK71" s="63"/>
      <c r="JOL71" s="63"/>
      <c r="JOM71" s="63"/>
      <c r="JON71" s="63"/>
      <c r="JOO71" s="63"/>
      <c r="JOP71" s="63"/>
      <c r="JOQ71" s="63"/>
      <c r="JOR71" s="63"/>
      <c r="JOS71" s="63"/>
      <c r="JOT71" s="63"/>
      <c r="JOU71" s="63"/>
      <c r="JOV71" s="63"/>
      <c r="JOW71" s="63"/>
      <c r="JOX71" s="63"/>
      <c r="JOY71" s="63"/>
      <c r="JOZ71" s="63"/>
      <c r="JPA71" s="63"/>
      <c r="JPB71" s="63"/>
      <c r="JPC71" s="63"/>
      <c r="JPD71" s="63"/>
      <c r="JPE71" s="63"/>
      <c r="JPF71" s="63"/>
      <c r="JPG71" s="63"/>
      <c r="JPH71" s="63"/>
      <c r="JPI71" s="63"/>
      <c r="JPJ71" s="63"/>
      <c r="JPK71" s="63"/>
      <c r="JPL71" s="63"/>
      <c r="JPM71" s="63"/>
      <c r="JPN71" s="63"/>
      <c r="JPO71" s="63"/>
      <c r="JPP71" s="63"/>
      <c r="JPQ71" s="63"/>
      <c r="JPR71" s="63"/>
      <c r="JPS71" s="63"/>
      <c r="JPT71" s="63"/>
      <c r="JPU71" s="63"/>
      <c r="JPV71" s="63"/>
      <c r="JPW71" s="63"/>
      <c r="JPX71" s="63"/>
      <c r="JPY71" s="63"/>
      <c r="JPZ71" s="63"/>
      <c r="JQA71" s="63"/>
      <c r="JQB71" s="63"/>
      <c r="JQC71" s="63"/>
      <c r="JQD71" s="63"/>
      <c r="JQE71" s="63"/>
      <c r="JQF71" s="63"/>
      <c r="JQG71" s="63"/>
      <c r="JQH71" s="63"/>
      <c r="JQI71" s="63"/>
      <c r="JQJ71" s="63"/>
      <c r="JQK71" s="63"/>
      <c r="JQL71" s="63"/>
      <c r="JQM71" s="63"/>
      <c r="JQN71" s="63"/>
      <c r="JQO71" s="63"/>
      <c r="JQP71" s="63"/>
      <c r="JQQ71" s="63"/>
      <c r="JQR71" s="63"/>
      <c r="JQS71" s="63"/>
      <c r="JQT71" s="63"/>
      <c r="JQU71" s="63"/>
      <c r="JQV71" s="63"/>
      <c r="JQW71" s="63"/>
      <c r="JQX71" s="63"/>
      <c r="JQY71" s="63"/>
      <c r="JQZ71" s="63"/>
      <c r="JRA71" s="63"/>
      <c r="JRB71" s="63"/>
      <c r="JRC71" s="63"/>
      <c r="JRD71" s="63"/>
      <c r="JRE71" s="63"/>
      <c r="JRF71" s="63"/>
      <c r="JRG71" s="63"/>
      <c r="JRH71" s="63"/>
      <c r="JRI71" s="63"/>
      <c r="JRJ71" s="63"/>
      <c r="JRK71" s="63"/>
      <c r="JRL71" s="63"/>
      <c r="JRM71" s="63"/>
      <c r="JRN71" s="63"/>
      <c r="JRO71" s="63"/>
      <c r="JRP71" s="63"/>
      <c r="JRQ71" s="63"/>
      <c r="JRR71" s="63"/>
      <c r="JRS71" s="63"/>
      <c r="JRT71" s="63"/>
      <c r="JRU71" s="63"/>
      <c r="JRV71" s="63"/>
      <c r="JRW71" s="63"/>
      <c r="JRX71" s="63"/>
      <c r="JRY71" s="63"/>
      <c r="JRZ71" s="63"/>
      <c r="JSA71" s="63"/>
      <c r="JSB71" s="63"/>
      <c r="JSC71" s="63"/>
      <c r="JSD71" s="63"/>
      <c r="JSE71" s="63"/>
      <c r="JSF71" s="63"/>
      <c r="JSG71" s="63"/>
      <c r="JSH71" s="63"/>
      <c r="JSI71" s="63"/>
      <c r="JSJ71" s="63"/>
      <c r="JSK71" s="63"/>
      <c r="JSL71" s="63"/>
      <c r="JSM71" s="63"/>
      <c r="JSN71" s="63"/>
      <c r="JSO71" s="63"/>
      <c r="JSP71" s="63"/>
      <c r="JSQ71" s="63"/>
      <c r="JSR71" s="63"/>
      <c r="JSS71" s="63"/>
      <c r="JST71" s="63"/>
      <c r="JSU71" s="63"/>
      <c r="JSV71" s="63"/>
      <c r="JSW71" s="63"/>
      <c r="JSX71" s="63"/>
      <c r="JSY71" s="63"/>
      <c r="JSZ71" s="63"/>
      <c r="JTA71" s="63"/>
      <c r="JTB71" s="63"/>
      <c r="JTC71" s="63"/>
      <c r="JTD71" s="63"/>
      <c r="JTE71" s="63"/>
      <c r="JTF71" s="63"/>
      <c r="JTG71" s="63"/>
      <c r="JTH71" s="63"/>
      <c r="JTI71" s="63"/>
      <c r="JTJ71" s="63"/>
      <c r="JTK71" s="63"/>
      <c r="JTL71" s="63"/>
      <c r="JTM71" s="63"/>
      <c r="JTN71" s="63"/>
      <c r="JTO71" s="63"/>
      <c r="JTP71" s="63"/>
      <c r="JTQ71" s="63"/>
      <c r="JTR71" s="63"/>
      <c r="JTS71" s="63"/>
      <c r="JTT71" s="63"/>
      <c r="JTU71" s="63"/>
      <c r="JTV71" s="63"/>
      <c r="JTW71" s="63"/>
      <c r="JTX71" s="63"/>
      <c r="JTY71" s="63"/>
      <c r="JTZ71" s="63"/>
      <c r="JUA71" s="63"/>
      <c r="JUB71" s="63"/>
      <c r="JUC71" s="63"/>
      <c r="JUD71" s="63"/>
      <c r="JUE71" s="63"/>
      <c r="JUF71" s="63"/>
      <c r="JUG71" s="63"/>
      <c r="JUH71" s="63"/>
      <c r="JUI71" s="63"/>
      <c r="JUJ71" s="63"/>
      <c r="JUK71" s="63"/>
      <c r="JUL71" s="63"/>
      <c r="JUM71" s="63"/>
      <c r="JUN71" s="63"/>
      <c r="JUO71" s="63"/>
      <c r="JUP71" s="63"/>
      <c r="JUQ71" s="63"/>
      <c r="JUR71" s="63"/>
      <c r="JUS71" s="63"/>
      <c r="JUT71" s="63"/>
      <c r="JUU71" s="63"/>
      <c r="JUV71" s="63"/>
      <c r="JUW71" s="63"/>
      <c r="JUX71" s="63"/>
      <c r="JUY71" s="63"/>
      <c r="JUZ71" s="63"/>
      <c r="JVA71" s="63"/>
      <c r="JVB71" s="63"/>
      <c r="JVC71" s="63"/>
      <c r="JVD71" s="63"/>
      <c r="JVE71" s="63"/>
      <c r="JVF71" s="63"/>
      <c r="JVG71" s="63"/>
      <c r="JVH71" s="63"/>
      <c r="JVI71" s="63"/>
      <c r="JVJ71" s="63"/>
      <c r="JVK71" s="63"/>
      <c r="JVL71" s="63"/>
      <c r="JVM71" s="63"/>
      <c r="JVN71" s="63"/>
      <c r="JVO71" s="63"/>
      <c r="JVP71" s="63"/>
      <c r="JVQ71" s="63"/>
      <c r="JVR71" s="63"/>
      <c r="JVS71" s="63"/>
      <c r="JVT71" s="63"/>
      <c r="JVU71" s="63"/>
      <c r="JVV71" s="63"/>
      <c r="JVW71" s="63"/>
      <c r="JVX71" s="63"/>
      <c r="JVY71" s="63"/>
      <c r="JVZ71" s="63"/>
      <c r="JWA71" s="63"/>
      <c r="JWB71" s="63"/>
      <c r="JWC71" s="63"/>
      <c r="JWD71" s="63"/>
      <c r="JWE71" s="63"/>
      <c r="JWF71" s="63"/>
      <c r="JWG71" s="63"/>
      <c r="JWH71" s="63"/>
      <c r="JWI71" s="63"/>
      <c r="JWJ71" s="63"/>
      <c r="JWK71" s="63"/>
      <c r="JWL71" s="63"/>
      <c r="JWM71" s="63"/>
      <c r="JWN71" s="63"/>
      <c r="JWO71" s="63"/>
      <c r="JWP71" s="63"/>
      <c r="JWQ71" s="63"/>
      <c r="JWR71" s="63"/>
      <c r="JWS71" s="63"/>
      <c r="JWT71" s="63"/>
      <c r="JWU71" s="63"/>
      <c r="JWV71" s="63"/>
      <c r="JWW71" s="63"/>
      <c r="JWX71" s="63"/>
      <c r="JWY71" s="63"/>
      <c r="JWZ71" s="63"/>
      <c r="JXA71" s="63"/>
      <c r="JXB71" s="63"/>
      <c r="JXC71" s="63"/>
      <c r="JXD71" s="63"/>
      <c r="JXE71" s="63"/>
      <c r="JXF71" s="63"/>
      <c r="JXG71" s="63"/>
      <c r="JXH71" s="63"/>
      <c r="JXI71" s="63"/>
      <c r="JXJ71" s="63"/>
      <c r="JXK71" s="63"/>
      <c r="JXL71" s="63"/>
      <c r="JXM71" s="63"/>
      <c r="JXN71" s="63"/>
      <c r="JXO71" s="63"/>
      <c r="JXP71" s="63"/>
      <c r="JXQ71" s="63"/>
      <c r="JXR71" s="63"/>
      <c r="JXS71" s="63"/>
      <c r="JXT71" s="63"/>
      <c r="JXU71" s="63"/>
      <c r="JXV71" s="63"/>
      <c r="JXW71" s="63"/>
      <c r="JXX71" s="63"/>
      <c r="JXY71" s="63"/>
      <c r="JXZ71" s="63"/>
      <c r="JYA71" s="63"/>
      <c r="JYB71" s="63"/>
      <c r="JYC71" s="63"/>
      <c r="JYD71" s="63"/>
      <c r="JYE71" s="63"/>
      <c r="JYF71" s="63"/>
      <c r="JYG71" s="63"/>
      <c r="JYH71" s="63"/>
      <c r="JYI71" s="63"/>
      <c r="JYJ71" s="63"/>
      <c r="JYK71" s="63"/>
      <c r="JYL71" s="63"/>
      <c r="JYM71" s="63"/>
      <c r="JYN71" s="63"/>
      <c r="JYO71" s="63"/>
      <c r="JYP71" s="63"/>
      <c r="JYQ71" s="63"/>
      <c r="JYR71" s="63"/>
      <c r="JYS71" s="63"/>
      <c r="JYT71" s="63"/>
      <c r="JYU71" s="63"/>
      <c r="JYV71" s="63"/>
      <c r="JYW71" s="63"/>
      <c r="JYX71" s="63"/>
      <c r="JYY71" s="63"/>
      <c r="JYZ71" s="63"/>
      <c r="JZA71" s="63"/>
      <c r="JZB71" s="63"/>
      <c r="JZC71" s="63"/>
      <c r="JZD71" s="63"/>
      <c r="JZE71" s="63"/>
      <c r="JZF71" s="63"/>
      <c r="JZG71" s="63"/>
      <c r="JZH71" s="63"/>
      <c r="JZI71" s="63"/>
      <c r="JZJ71" s="63"/>
      <c r="JZK71" s="63"/>
      <c r="JZL71" s="63"/>
      <c r="JZM71" s="63"/>
      <c r="JZN71" s="63"/>
      <c r="JZO71" s="63"/>
      <c r="JZP71" s="63"/>
      <c r="JZQ71" s="63"/>
      <c r="JZR71" s="63"/>
      <c r="JZS71" s="63"/>
      <c r="JZT71" s="63"/>
      <c r="JZU71" s="63"/>
      <c r="JZV71" s="63"/>
      <c r="JZW71" s="63"/>
      <c r="JZX71" s="63"/>
      <c r="JZY71" s="63"/>
      <c r="JZZ71" s="63"/>
      <c r="KAA71" s="63"/>
      <c r="KAB71" s="63"/>
      <c r="KAC71" s="63"/>
      <c r="KAD71" s="63"/>
      <c r="KAE71" s="63"/>
      <c r="KAF71" s="63"/>
      <c r="KAG71" s="63"/>
      <c r="KAH71" s="63"/>
      <c r="KAI71" s="63"/>
      <c r="KAJ71" s="63"/>
      <c r="KAK71" s="63"/>
      <c r="KAL71" s="63"/>
      <c r="KAM71" s="63"/>
      <c r="KAN71" s="63"/>
      <c r="KAO71" s="63"/>
      <c r="KAP71" s="63"/>
      <c r="KAQ71" s="63"/>
      <c r="KAR71" s="63"/>
      <c r="KAS71" s="63"/>
      <c r="KAT71" s="63"/>
      <c r="KAU71" s="63"/>
      <c r="KAV71" s="63"/>
      <c r="KAW71" s="63"/>
      <c r="KAX71" s="63"/>
      <c r="KAY71" s="63"/>
      <c r="KAZ71" s="63"/>
      <c r="KBA71" s="63"/>
      <c r="KBB71" s="63"/>
      <c r="KBC71" s="63"/>
      <c r="KBD71" s="63"/>
      <c r="KBE71" s="63"/>
      <c r="KBF71" s="63"/>
      <c r="KBG71" s="63"/>
      <c r="KBH71" s="63"/>
      <c r="KBI71" s="63"/>
      <c r="KBJ71" s="63"/>
      <c r="KBK71" s="63"/>
      <c r="KBL71" s="63"/>
      <c r="KBM71" s="63"/>
      <c r="KBN71" s="63"/>
      <c r="KBO71" s="63"/>
      <c r="KBP71" s="63"/>
      <c r="KBQ71" s="63"/>
      <c r="KBR71" s="63"/>
      <c r="KBS71" s="63"/>
      <c r="KBT71" s="63"/>
      <c r="KBU71" s="63"/>
      <c r="KBV71" s="63"/>
      <c r="KBW71" s="63"/>
      <c r="KBX71" s="63"/>
      <c r="KBY71" s="63"/>
      <c r="KBZ71" s="63"/>
      <c r="KCA71" s="63"/>
      <c r="KCB71" s="63"/>
      <c r="KCC71" s="63"/>
      <c r="KCD71" s="63"/>
      <c r="KCE71" s="63"/>
      <c r="KCF71" s="63"/>
      <c r="KCG71" s="63"/>
      <c r="KCH71" s="63"/>
      <c r="KCI71" s="63"/>
      <c r="KCJ71" s="63"/>
      <c r="KCK71" s="63"/>
      <c r="KCL71" s="63"/>
      <c r="KCM71" s="63"/>
      <c r="KCN71" s="63"/>
      <c r="KCO71" s="63"/>
      <c r="KCP71" s="63"/>
      <c r="KCQ71" s="63"/>
      <c r="KCR71" s="63"/>
      <c r="KCS71" s="63"/>
      <c r="KCT71" s="63"/>
      <c r="KCU71" s="63"/>
      <c r="KCV71" s="63"/>
      <c r="KCW71" s="63"/>
      <c r="KCX71" s="63"/>
      <c r="KCY71" s="63"/>
      <c r="KCZ71" s="63"/>
      <c r="KDA71" s="63"/>
      <c r="KDB71" s="63"/>
      <c r="KDC71" s="63"/>
      <c r="KDD71" s="63"/>
      <c r="KDE71" s="63"/>
      <c r="KDF71" s="63"/>
      <c r="KDG71" s="63"/>
      <c r="KDH71" s="63"/>
      <c r="KDI71" s="63"/>
      <c r="KDJ71" s="63"/>
      <c r="KDK71" s="63"/>
      <c r="KDL71" s="63"/>
      <c r="KDM71" s="63"/>
      <c r="KDN71" s="63"/>
      <c r="KDO71" s="63"/>
      <c r="KDP71" s="63"/>
      <c r="KDQ71" s="63"/>
      <c r="KDR71" s="63"/>
      <c r="KDS71" s="63"/>
      <c r="KDT71" s="63"/>
      <c r="KDU71" s="63"/>
      <c r="KDV71" s="63"/>
      <c r="KDW71" s="63"/>
      <c r="KDX71" s="63"/>
      <c r="KDY71" s="63"/>
      <c r="KDZ71" s="63"/>
      <c r="KEA71" s="63"/>
      <c r="KEB71" s="63"/>
      <c r="KEC71" s="63"/>
      <c r="KED71" s="63"/>
      <c r="KEE71" s="63"/>
      <c r="KEF71" s="63"/>
      <c r="KEG71" s="63"/>
      <c r="KEH71" s="63"/>
      <c r="KEI71" s="63"/>
      <c r="KEJ71" s="63"/>
      <c r="KEK71" s="63"/>
      <c r="KEL71" s="63"/>
      <c r="KEM71" s="63"/>
      <c r="KEN71" s="63"/>
      <c r="KEO71" s="63"/>
      <c r="KEP71" s="63"/>
      <c r="KEQ71" s="63"/>
      <c r="KER71" s="63"/>
      <c r="KES71" s="63"/>
      <c r="KET71" s="63"/>
      <c r="KEU71" s="63"/>
      <c r="KEV71" s="63"/>
      <c r="KEW71" s="63"/>
      <c r="KEX71" s="63"/>
      <c r="KEY71" s="63"/>
      <c r="KEZ71" s="63"/>
      <c r="KFA71" s="63"/>
      <c r="KFB71" s="63"/>
      <c r="KFC71" s="63"/>
      <c r="KFD71" s="63"/>
      <c r="KFE71" s="63"/>
      <c r="KFF71" s="63"/>
      <c r="KFG71" s="63"/>
      <c r="KFH71" s="63"/>
      <c r="KFI71" s="63"/>
      <c r="KFJ71" s="63"/>
      <c r="KFK71" s="63"/>
      <c r="KFL71" s="63"/>
      <c r="KFM71" s="63"/>
      <c r="KFN71" s="63"/>
      <c r="KFO71" s="63"/>
      <c r="KFP71" s="63"/>
      <c r="KFQ71" s="63"/>
      <c r="KFR71" s="63"/>
      <c r="KFS71" s="63"/>
      <c r="KFT71" s="63"/>
      <c r="KFU71" s="63"/>
      <c r="KFV71" s="63"/>
      <c r="KFW71" s="63"/>
      <c r="KFX71" s="63"/>
      <c r="KFY71" s="63"/>
      <c r="KFZ71" s="63"/>
      <c r="KGA71" s="63"/>
      <c r="KGB71" s="63"/>
      <c r="KGC71" s="63"/>
      <c r="KGD71" s="63"/>
      <c r="KGE71" s="63"/>
      <c r="KGF71" s="63"/>
      <c r="KGG71" s="63"/>
      <c r="KGH71" s="63"/>
      <c r="KGI71" s="63"/>
      <c r="KGJ71" s="63"/>
      <c r="KGK71" s="63"/>
      <c r="KGL71" s="63"/>
      <c r="KGM71" s="63"/>
      <c r="KGN71" s="63"/>
      <c r="KGO71" s="63"/>
      <c r="KGP71" s="63"/>
      <c r="KGQ71" s="63"/>
      <c r="KGR71" s="63"/>
      <c r="KGS71" s="63"/>
      <c r="KGT71" s="63"/>
      <c r="KGU71" s="63"/>
      <c r="KGV71" s="63"/>
      <c r="KGW71" s="63"/>
      <c r="KGX71" s="63"/>
      <c r="KGY71" s="63"/>
      <c r="KGZ71" s="63"/>
      <c r="KHA71" s="63"/>
      <c r="KHB71" s="63"/>
      <c r="KHC71" s="63"/>
      <c r="KHD71" s="63"/>
      <c r="KHE71" s="63"/>
      <c r="KHF71" s="63"/>
      <c r="KHG71" s="63"/>
      <c r="KHH71" s="63"/>
      <c r="KHI71" s="63"/>
      <c r="KHJ71" s="63"/>
      <c r="KHK71" s="63"/>
      <c r="KHL71" s="63"/>
      <c r="KHM71" s="63"/>
      <c r="KHN71" s="63"/>
      <c r="KHO71" s="63"/>
      <c r="KHP71" s="63"/>
      <c r="KHQ71" s="63"/>
      <c r="KHR71" s="63"/>
      <c r="KHS71" s="63"/>
      <c r="KHT71" s="63"/>
      <c r="KHU71" s="63"/>
      <c r="KHV71" s="63"/>
      <c r="KHW71" s="63"/>
      <c r="KHX71" s="63"/>
      <c r="KHY71" s="63"/>
      <c r="KHZ71" s="63"/>
      <c r="KIA71" s="63"/>
      <c r="KIB71" s="63"/>
      <c r="KIC71" s="63"/>
      <c r="KID71" s="63"/>
      <c r="KIE71" s="63"/>
      <c r="KIF71" s="63"/>
      <c r="KIG71" s="63"/>
      <c r="KIH71" s="63"/>
      <c r="KII71" s="63"/>
      <c r="KIJ71" s="63"/>
      <c r="KIK71" s="63"/>
      <c r="KIL71" s="63"/>
      <c r="KIM71" s="63"/>
      <c r="KIN71" s="63"/>
      <c r="KIO71" s="63"/>
      <c r="KIP71" s="63"/>
      <c r="KIQ71" s="63"/>
      <c r="KIR71" s="63"/>
      <c r="KIS71" s="63"/>
      <c r="KIT71" s="63"/>
      <c r="KIU71" s="63"/>
      <c r="KIV71" s="63"/>
      <c r="KIW71" s="63"/>
      <c r="KIX71" s="63"/>
      <c r="KIY71" s="63"/>
      <c r="KIZ71" s="63"/>
      <c r="KJA71" s="63"/>
      <c r="KJB71" s="63"/>
      <c r="KJC71" s="63"/>
      <c r="KJD71" s="63"/>
      <c r="KJE71" s="63"/>
      <c r="KJF71" s="63"/>
      <c r="KJG71" s="63"/>
      <c r="KJH71" s="63"/>
      <c r="KJI71" s="63"/>
      <c r="KJJ71" s="63"/>
      <c r="KJK71" s="63"/>
      <c r="KJL71" s="63"/>
      <c r="KJM71" s="63"/>
      <c r="KJN71" s="63"/>
      <c r="KJO71" s="63"/>
      <c r="KJP71" s="63"/>
      <c r="KJQ71" s="63"/>
      <c r="KJR71" s="63"/>
      <c r="KJS71" s="63"/>
      <c r="KJT71" s="63"/>
      <c r="KJU71" s="63"/>
      <c r="KJV71" s="63"/>
      <c r="KJW71" s="63"/>
      <c r="KJX71" s="63"/>
      <c r="KJY71" s="63"/>
      <c r="KJZ71" s="63"/>
      <c r="KKA71" s="63"/>
      <c r="KKB71" s="63"/>
      <c r="KKC71" s="63"/>
      <c r="KKD71" s="63"/>
      <c r="KKE71" s="63"/>
      <c r="KKF71" s="63"/>
      <c r="KKG71" s="63"/>
      <c r="KKH71" s="63"/>
      <c r="KKI71" s="63"/>
      <c r="KKJ71" s="63"/>
      <c r="KKK71" s="63"/>
      <c r="KKL71" s="63"/>
      <c r="KKM71" s="63"/>
      <c r="KKN71" s="63"/>
      <c r="KKO71" s="63"/>
      <c r="KKP71" s="63"/>
      <c r="KKQ71" s="63"/>
      <c r="KKR71" s="63"/>
      <c r="KKS71" s="63"/>
      <c r="KKT71" s="63"/>
      <c r="KKU71" s="63"/>
      <c r="KKV71" s="63"/>
      <c r="KKW71" s="63"/>
      <c r="KKX71" s="63"/>
      <c r="KKY71" s="63"/>
      <c r="KKZ71" s="63"/>
      <c r="KLA71" s="63"/>
      <c r="KLB71" s="63"/>
      <c r="KLC71" s="63"/>
      <c r="KLD71" s="63"/>
      <c r="KLE71" s="63"/>
      <c r="KLF71" s="63"/>
      <c r="KLG71" s="63"/>
      <c r="KLH71" s="63"/>
      <c r="KLI71" s="63"/>
      <c r="KLJ71" s="63"/>
      <c r="KLK71" s="63"/>
      <c r="KLL71" s="63"/>
      <c r="KLM71" s="63"/>
      <c r="KLN71" s="63"/>
      <c r="KLO71" s="63"/>
      <c r="KLP71" s="63"/>
      <c r="KLQ71" s="63"/>
      <c r="KLR71" s="63"/>
      <c r="KLS71" s="63"/>
      <c r="KLT71" s="63"/>
      <c r="KLU71" s="63"/>
      <c r="KLV71" s="63"/>
      <c r="KLW71" s="63"/>
      <c r="KLX71" s="63"/>
      <c r="KLY71" s="63"/>
      <c r="KLZ71" s="63"/>
      <c r="KMA71" s="63"/>
      <c r="KMB71" s="63"/>
      <c r="KMC71" s="63"/>
      <c r="KMD71" s="63"/>
      <c r="KME71" s="63"/>
      <c r="KMF71" s="63"/>
      <c r="KMG71" s="63"/>
      <c r="KMH71" s="63"/>
      <c r="KMI71" s="63"/>
      <c r="KMJ71" s="63"/>
      <c r="KMK71" s="63"/>
      <c r="KML71" s="63"/>
      <c r="KMM71" s="63"/>
      <c r="KMN71" s="63"/>
      <c r="KMO71" s="63"/>
      <c r="KMP71" s="63"/>
      <c r="KMQ71" s="63"/>
      <c r="KMR71" s="63"/>
      <c r="KMS71" s="63"/>
      <c r="KMT71" s="63"/>
      <c r="KMU71" s="63"/>
      <c r="KMV71" s="63"/>
      <c r="KMW71" s="63"/>
      <c r="KMX71" s="63"/>
      <c r="KMY71" s="63"/>
      <c r="KMZ71" s="63"/>
      <c r="KNA71" s="63"/>
      <c r="KNB71" s="63"/>
      <c r="KNC71" s="63"/>
      <c r="KND71" s="63"/>
      <c r="KNE71" s="63"/>
      <c r="KNF71" s="63"/>
      <c r="KNG71" s="63"/>
      <c r="KNH71" s="63"/>
      <c r="KNI71" s="63"/>
      <c r="KNJ71" s="63"/>
      <c r="KNK71" s="63"/>
      <c r="KNL71" s="63"/>
      <c r="KNM71" s="63"/>
      <c r="KNN71" s="63"/>
      <c r="KNO71" s="63"/>
      <c r="KNP71" s="63"/>
      <c r="KNQ71" s="63"/>
      <c r="KNR71" s="63"/>
      <c r="KNS71" s="63"/>
      <c r="KNT71" s="63"/>
      <c r="KNU71" s="63"/>
      <c r="KNV71" s="63"/>
      <c r="KNW71" s="63"/>
      <c r="KNX71" s="63"/>
      <c r="KNY71" s="63"/>
      <c r="KNZ71" s="63"/>
      <c r="KOA71" s="63"/>
      <c r="KOB71" s="63"/>
      <c r="KOC71" s="63"/>
      <c r="KOD71" s="63"/>
      <c r="KOE71" s="63"/>
      <c r="KOF71" s="63"/>
      <c r="KOG71" s="63"/>
      <c r="KOH71" s="63"/>
      <c r="KOI71" s="63"/>
      <c r="KOJ71" s="63"/>
      <c r="KOK71" s="63"/>
      <c r="KOL71" s="63"/>
      <c r="KOM71" s="63"/>
      <c r="KON71" s="63"/>
      <c r="KOO71" s="63"/>
      <c r="KOP71" s="63"/>
      <c r="KOQ71" s="63"/>
      <c r="KOR71" s="63"/>
      <c r="KOS71" s="63"/>
      <c r="KOT71" s="63"/>
      <c r="KOU71" s="63"/>
      <c r="KOV71" s="63"/>
      <c r="KOW71" s="63"/>
      <c r="KOX71" s="63"/>
      <c r="KOY71" s="63"/>
      <c r="KOZ71" s="63"/>
      <c r="KPA71" s="63"/>
      <c r="KPB71" s="63"/>
      <c r="KPC71" s="63"/>
      <c r="KPD71" s="63"/>
      <c r="KPE71" s="63"/>
      <c r="KPF71" s="63"/>
      <c r="KPG71" s="63"/>
      <c r="KPH71" s="63"/>
      <c r="KPI71" s="63"/>
      <c r="KPJ71" s="63"/>
      <c r="KPK71" s="63"/>
      <c r="KPL71" s="63"/>
      <c r="KPM71" s="63"/>
      <c r="KPN71" s="63"/>
      <c r="KPO71" s="63"/>
      <c r="KPP71" s="63"/>
      <c r="KPQ71" s="63"/>
      <c r="KPR71" s="63"/>
      <c r="KPS71" s="63"/>
      <c r="KPT71" s="63"/>
      <c r="KPU71" s="63"/>
      <c r="KPV71" s="63"/>
      <c r="KPW71" s="63"/>
      <c r="KPX71" s="63"/>
      <c r="KPY71" s="63"/>
      <c r="KPZ71" s="63"/>
      <c r="KQA71" s="63"/>
      <c r="KQB71" s="63"/>
      <c r="KQC71" s="63"/>
      <c r="KQD71" s="63"/>
      <c r="KQE71" s="63"/>
      <c r="KQF71" s="63"/>
      <c r="KQG71" s="63"/>
      <c r="KQH71" s="63"/>
      <c r="KQI71" s="63"/>
      <c r="KQJ71" s="63"/>
      <c r="KQK71" s="63"/>
      <c r="KQL71" s="63"/>
      <c r="KQM71" s="63"/>
      <c r="KQN71" s="63"/>
      <c r="KQO71" s="63"/>
      <c r="KQP71" s="63"/>
      <c r="KQQ71" s="63"/>
      <c r="KQR71" s="63"/>
      <c r="KQS71" s="63"/>
      <c r="KQT71" s="63"/>
      <c r="KQU71" s="63"/>
      <c r="KQV71" s="63"/>
      <c r="KQW71" s="63"/>
      <c r="KQX71" s="63"/>
      <c r="KQY71" s="63"/>
      <c r="KQZ71" s="63"/>
      <c r="KRA71" s="63"/>
      <c r="KRB71" s="63"/>
      <c r="KRC71" s="63"/>
      <c r="KRD71" s="63"/>
      <c r="KRE71" s="63"/>
      <c r="KRF71" s="63"/>
      <c r="KRG71" s="63"/>
      <c r="KRH71" s="63"/>
      <c r="KRI71" s="63"/>
      <c r="KRJ71" s="63"/>
      <c r="KRK71" s="63"/>
      <c r="KRL71" s="63"/>
      <c r="KRM71" s="63"/>
      <c r="KRN71" s="63"/>
      <c r="KRO71" s="63"/>
      <c r="KRP71" s="63"/>
      <c r="KRQ71" s="63"/>
      <c r="KRR71" s="63"/>
      <c r="KRS71" s="63"/>
      <c r="KRT71" s="63"/>
      <c r="KRU71" s="63"/>
      <c r="KRV71" s="63"/>
      <c r="KRW71" s="63"/>
      <c r="KRX71" s="63"/>
      <c r="KRY71" s="63"/>
      <c r="KRZ71" s="63"/>
      <c r="KSA71" s="63"/>
      <c r="KSB71" s="63"/>
      <c r="KSC71" s="63"/>
      <c r="KSD71" s="63"/>
      <c r="KSE71" s="63"/>
      <c r="KSF71" s="63"/>
      <c r="KSG71" s="63"/>
      <c r="KSH71" s="63"/>
      <c r="KSI71" s="63"/>
      <c r="KSJ71" s="63"/>
      <c r="KSK71" s="63"/>
      <c r="KSL71" s="63"/>
      <c r="KSM71" s="63"/>
      <c r="KSN71" s="63"/>
      <c r="KSO71" s="63"/>
      <c r="KSP71" s="63"/>
      <c r="KSQ71" s="63"/>
      <c r="KSR71" s="63"/>
      <c r="KSS71" s="63"/>
      <c r="KST71" s="63"/>
      <c r="KSU71" s="63"/>
      <c r="KSV71" s="63"/>
      <c r="KSW71" s="63"/>
      <c r="KSX71" s="63"/>
      <c r="KSY71" s="63"/>
      <c r="KSZ71" s="63"/>
      <c r="KTA71" s="63"/>
      <c r="KTB71" s="63"/>
      <c r="KTC71" s="63"/>
      <c r="KTD71" s="63"/>
      <c r="KTE71" s="63"/>
      <c r="KTF71" s="63"/>
      <c r="KTG71" s="63"/>
      <c r="KTH71" s="63"/>
      <c r="KTI71" s="63"/>
      <c r="KTJ71" s="63"/>
      <c r="KTK71" s="63"/>
      <c r="KTL71" s="63"/>
      <c r="KTM71" s="63"/>
      <c r="KTN71" s="63"/>
      <c r="KTO71" s="63"/>
      <c r="KTP71" s="63"/>
      <c r="KTQ71" s="63"/>
      <c r="KTR71" s="63"/>
      <c r="KTS71" s="63"/>
      <c r="KTT71" s="63"/>
      <c r="KTU71" s="63"/>
      <c r="KTV71" s="63"/>
      <c r="KTW71" s="63"/>
      <c r="KTX71" s="63"/>
      <c r="KTY71" s="63"/>
      <c r="KTZ71" s="63"/>
      <c r="KUA71" s="63"/>
      <c r="KUB71" s="63"/>
      <c r="KUC71" s="63"/>
      <c r="KUD71" s="63"/>
      <c r="KUE71" s="63"/>
      <c r="KUF71" s="63"/>
      <c r="KUG71" s="63"/>
      <c r="KUH71" s="63"/>
      <c r="KUI71" s="63"/>
      <c r="KUJ71" s="63"/>
      <c r="KUK71" s="63"/>
      <c r="KUL71" s="63"/>
      <c r="KUM71" s="63"/>
      <c r="KUN71" s="63"/>
      <c r="KUO71" s="63"/>
      <c r="KUP71" s="63"/>
      <c r="KUQ71" s="63"/>
      <c r="KUR71" s="63"/>
      <c r="KUS71" s="63"/>
      <c r="KUT71" s="63"/>
      <c r="KUU71" s="63"/>
      <c r="KUV71" s="63"/>
      <c r="KUW71" s="63"/>
      <c r="KUX71" s="63"/>
      <c r="KUY71" s="63"/>
      <c r="KUZ71" s="63"/>
      <c r="KVA71" s="63"/>
      <c r="KVB71" s="63"/>
      <c r="KVC71" s="63"/>
      <c r="KVD71" s="63"/>
      <c r="KVE71" s="63"/>
      <c r="KVF71" s="63"/>
      <c r="KVG71" s="63"/>
      <c r="KVH71" s="63"/>
      <c r="KVI71" s="63"/>
      <c r="KVJ71" s="63"/>
      <c r="KVK71" s="63"/>
      <c r="KVL71" s="63"/>
      <c r="KVM71" s="63"/>
      <c r="KVN71" s="63"/>
      <c r="KVO71" s="63"/>
      <c r="KVP71" s="63"/>
      <c r="KVQ71" s="63"/>
      <c r="KVR71" s="63"/>
      <c r="KVS71" s="63"/>
      <c r="KVT71" s="63"/>
      <c r="KVU71" s="63"/>
      <c r="KVV71" s="63"/>
      <c r="KVW71" s="63"/>
      <c r="KVX71" s="63"/>
      <c r="KVY71" s="63"/>
      <c r="KVZ71" s="63"/>
      <c r="KWA71" s="63"/>
      <c r="KWB71" s="63"/>
      <c r="KWC71" s="63"/>
      <c r="KWD71" s="63"/>
      <c r="KWE71" s="63"/>
      <c r="KWF71" s="63"/>
      <c r="KWG71" s="63"/>
      <c r="KWH71" s="63"/>
      <c r="KWI71" s="63"/>
      <c r="KWJ71" s="63"/>
      <c r="KWK71" s="63"/>
      <c r="KWL71" s="63"/>
      <c r="KWM71" s="63"/>
      <c r="KWN71" s="63"/>
      <c r="KWO71" s="63"/>
      <c r="KWP71" s="63"/>
      <c r="KWQ71" s="63"/>
      <c r="KWR71" s="63"/>
      <c r="KWS71" s="63"/>
      <c r="KWT71" s="63"/>
      <c r="KWU71" s="63"/>
      <c r="KWV71" s="63"/>
      <c r="KWW71" s="63"/>
      <c r="KWX71" s="63"/>
      <c r="KWY71" s="63"/>
      <c r="KWZ71" s="63"/>
      <c r="KXA71" s="63"/>
      <c r="KXB71" s="63"/>
      <c r="KXC71" s="63"/>
      <c r="KXD71" s="63"/>
      <c r="KXE71" s="63"/>
      <c r="KXF71" s="63"/>
      <c r="KXG71" s="63"/>
      <c r="KXH71" s="63"/>
      <c r="KXI71" s="63"/>
      <c r="KXJ71" s="63"/>
      <c r="KXK71" s="63"/>
      <c r="KXL71" s="63"/>
      <c r="KXM71" s="63"/>
      <c r="KXN71" s="63"/>
      <c r="KXO71" s="63"/>
      <c r="KXP71" s="63"/>
      <c r="KXQ71" s="63"/>
      <c r="KXR71" s="63"/>
      <c r="KXS71" s="63"/>
      <c r="KXT71" s="63"/>
      <c r="KXU71" s="63"/>
      <c r="KXV71" s="63"/>
      <c r="KXW71" s="63"/>
      <c r="KXX71" s="63"/>
      <c r="KXY71" s="63"/>
      <c r="KXZ71" s="63"/>
      <c r="KYA71" s="63"/>
      <c r="KYB71" s="63"/>
      <c r="KYC71" s="63"/>
      <c r="KYD71" s="63"/>
      <c r="KYE71" s="63"/>
      <c r="KYF71" s="63"/>
      <c r="KYG71" s="63"/>
      <c r="KYH71" s="63"/>
      <c r="KYI71" s="63"/>
      <c r="KYJ71" s="63"/>
      <c r="KYK71" s="63"/>
      <c r="KYL71" s="63"/>
      <c r="KYM71" s="63"/>
      <c r="KYN71" s="63"/>
      <c r="KYO71" s="63"/>
      <c r="KYP71" s="63"/>
      <c r="KYQ71" s="63"/>
      <c r="KYR71" s="63"/>
      <c r="KYS71" s="63"/>
      <c r="KYT71" s="63"/>
      <c r="KYU71" s="63"/>
      <c r="KYV71" s="63"/>
      <c r="KYW71" s="63"/>
      <c r="KYX71" s="63"/>
      <c r="KYY71" s="63"/>
      <c r="KYZ71" s="63"/>
      <c r="KZA71" s="63"/>
      <c r="KZB71" s="63"/>
      <c r="KZC71" s="63"/>
      <c r="KZD71" s="63"/>
      <c r="KZE71" s="63"/>
      <c r="KZF71" s="63"/>
      <c r="KZG71" s="63"/>
      <c r="KZH71" s="63"/>
      <c r="KZI71" s="63"/>
      <c r="KZJ71" s="63"/>
      <c r="KZK71" s="63"/>
      <c r="KZL71" s="63"/>
      <c r="KZM71" s="63"/>
      <c r="KZN71" s="63"/>
      <c r="KZO71" s="63"/>
      <c r="KZP71" s="63"/>
      <c r="KZQ71" s="63"/>
      <c r="KZR71" s="63"/>
      <c r="KZS71" s="63"/>
      <c r="KZT71" s="63"/>
      <c r="KZU71" s="63"/>
      <c r="KZV71" s="63"/>
      <c r="KZW71" s="63"/>
      <c r="KZX71" s="63"/>
      <c r="KZY71" s="63"/>
      <c r="KZZ71" s="63"/>
      <c r="LAA71" s="63"/>
      <c r="LAB71" s="63"/>
      <c r="LAC71" s="63"/>
      <c r="LAD71" s="63"/>
      <c r="LAE71" s="63"/>
      <c r="LAF71" s="63"/>
      <c r="LAG71" s="63"/>
      <c r="LAH71" s="63"/>
      <c r="LAI71" s="63"/>
      <c r="LAJ71" s="63"/>
      <c r="LAK71" s="63"/>
      <c r="LAL71" s="63"/>
      <c r="LAM71" s="63"/>
      <c r="LAN71" s="63"/>
      <c r="LAO71" s="63"/>
      <c r="LAP71" s="63"/>
      <c r="LAQ71" s="63"/>
      <c r="LAR71" s="63"/>
      <c r="LAS71" s="63"/>
      <c r="LAT71" s="63"/>
      <c r="LAU71" s="63"/>
      <c r="LAV71" s="63"/>
      <c r="LAW71" s="63"/>
      <c r="LAX71" s="63"/>
      <c r="LAY71" s="63"/>
      <c r="LAZ71" s="63"/>
      <c r="LBA71" s="63"/>
      <c r="LBB71" s="63"/>
      <c r="LBC71" s="63"/>
      <c r="LBD71" s="63"/>
      <c r="LBE71" s="63"/>
      <c r="LBF71" s="63"/>
      <c r="LBG71" s="63"/>
      <c r="LBH71" s="63"/>
      <c r="LBI71" s="63"/>
      <c r="LBJ71" s="63"/>
      <c r="LBK71" s="63"/>
      <c r="LBL71" s="63"/>
      <c r="LBM71" s="63"/>
      <c r="LBN71" s="63"/>
      <c r="LBO71" s="63"/>
      <c r="LBP71" s="63"/>
      <c r="LBQ71" s="63"/>
      <c r="LBR71" s="63"/>
      <c r="LBS71" s="63"/>
      <c r="LBT71" s="63"/>
      <c r="LBU71" s="63"/>
      <c r="LBV71" s="63"/>
      <c r="LBW71" s="63"/>
      <c r="LBX71" s="63"/>
      <c r="LBY71" s="63"/>
      <c r="LBZ71" s="63"/>
      <c r="LCA71" s="63"/>
      <c r="LCB71" s="63"/>
      <c r="LCC71" s="63"/>
      <c r="LCD71" s="63"/>
      <c r="LCE71" s="63"/>
      <c r="LCF71" s="63"/>
      <c r="LCG71" s="63"/>
      <c r="LCH71" s="63"/>
      <c r="LCI71" s="63"/>
      <c r="LCJ71" s="63"/>
      <c r="LCK71" s="63"/>
      <c r="LCL71" s="63"/>
      <c r="LCM71" s="63"/>
      <c r="LCN71" s="63"/>
      <c r="LCO71" s="63"/>
      <c r="LCP71" s="63"/>
      <c r="LCQ71" s="63"/>
      <c r="LCR71" s="63"/>
      <c r="LCS71" s="63"/>
      <c r="LCT71" s="63"/>
      <c r="LCU71" s="63"/>
      <c r="LCV71" s="63"/>
      <c r="LCW71" s="63"/>
      <c r="LCX71" s="63"/>
      <c r="LCY71" s="63"/>
      <c r="LCZ71" s="63"/>
      <c r="LDA71" s="63"/>
      <c r="LDB71" s="63"/>
      <c r="LDC71" s="63"/>
      <c r="LDD71" s="63"/>
      <c r="LDE71" s="63"/>
      <c r="LDF71" s="63"/>
      <c r="LDG71" s="63"/>
      <c r="LDH71" s="63"/>
      <c r="LDI71" s="63"/>
      <c r="LDJ71" s="63"/>
      <c r="LDK71" s="63"/>
      <c r="LDL71" s="63"/>
      <c r="LDM71" s="63"/>
      <c r="LDN71" s="63"/>
      <c r="LDO71" s="63"/>
      <c r="LDP71" s="63"/>
      <c r="LDQ71" s="63"/>
      <c r="LDR71" s="63"/>
      <c r="LDS71" s="63"/>
      <c r="LDT71" s="63"/>
      <c r="LDU71" s="63"/>
      <c r="LDV71" s="63"/>
      <c r="LDW71" s="63"/>
      <c r="LDX71" s="63"/>
      <c r="LDY71" s="63"/>
      <c r="LDZ71" s="63"/>
      <c r="LEA71" s="63"/>
      <c r="LEB71" s="63"/>
      <c r="LEC71" s="63"/>
      <c r="LED71" s="63"/>
      <c r="LEE71" s="63"/>
      <c r="LEF71" s="63"/>
      <c r="LEG71" s="63"/>
      <c r="LEH71" s="63"/>
      <c r="LEI71" s="63"/>
      <c r="LEJ71" s="63"/>
      <c r="LEK71" s="63"/>
      <c r="LEL71" s="63"/>
      <c r="LEM71" s="63"/>
      <c r="LEN71" s="63"/>
      <c r="LEO71" s="63"/>
      <c r="LEP71" s="63"/>
      <c r="LEQ71" s="63"/>
      <c r="LER71" s="63"/>
      <c r="LES71" s="63"/>
      <c r="LET71" s="63"/>
      <c r="LEU71" s="63"/>
      <c r="LEV71" s="63"/>
      <c r="LEW71" s="63"/>
      <c r="LEX71" s="63"/>
      <c r="LEY71" s="63"/>
      <c r="LEZ71" s="63"/>
      <c r="LFA71" s="63"/>
      <c r="LFB71" s="63"/>
      <c r="LFC71" s="63"/>
      <c r="LFD71" s="63"/>
      <c r="LFE71" s="63"/>
      <c r="LFF71" s="63"/>
      <c r="LFG71" s="63"/>
      <c r="LFH71" s="63"/>
      <c r="LFI71" s="63"/>
      <c r="LFJ71" s="63"/>
      <c r="LFK71" s="63"/>
      <c r="LFL71" s="63"/>
      <c r="LFM71" s="63"/>
      <c r="LFN71" s="63"/>
      <c r="LFO71" s="63"/>
      <c r="LFP71" s="63"/>
      <c r="LFQ71" s="63"/>
      <c r="LFR71" s="63"/>
      <c r="LFS71" s="63"/>
      <c r="LFT71" s="63"/>
      <c r="LFU71" s="63"/>
      <c r="LFV71" s="63"/>
      <c r="LFW71" s="63"/>
      <c r="LFX71" s="63"/>
      <c r="LFY71" s="63"/>
      <c r="LFZ71" s="63"/>
      <c r="LGA71" s="63"/>
      <c r="LGB71" s="63"/>
      <c r="LGC71" s="63"/>
      <c r="LGD71" s="63"/>
      <c r="LGE71" s="63"/>
      <c r="LGF71" s="63"/>
      <c r="LGG71" s="63"/>
      <c r="LGH71" s="63"/>
      <c r="LGI71" s="63"/>
      <c r="LGJ71" s="63"/>
      <c r="LGK71" s="63"/>
      <c r="LGL71" s="63"/>
      <c r="LGM71" s="63"/>
      <c r="LGN71" s="63"/>
      <c r="LGO71" s="63"/>
      <c r="LGP71" s="63"/>
      <c r="LGQ71" s="63"/>
      <c r="LGR71" s="63"/>
      <c r="LGS71" s="63"/>
      <c r="LGT71" s="63"/>
      <c r="LGU71" s="63"/>
      <c r="LGV71" s="63"/>
      <c r="LGW71" s="63"/>
      <c r="LGX71" s="63"/>
      <c r="LGY71" s="63"/>
      <c r="LGZ71" s="63"/>
      <c r="LHA71" s="63"/>
      <c r="LHB71" s="63"/>
      <c r="LHC71" s="63"/>
      <c r="LHD71" s="63"/>
      <c r="LHE71" s="63"/>
      <c r="LHF71" s="63"/>
      <c r="LHG71" s="63"/>
      <c r="LHH71" s="63"/>
      <c r="LHI71" s="63"/>
      <c r="LHJ71" s="63"/>
      <c r="LHK71" s="63"/>
      <c r="LHL71" s="63"/>
      <c r="LHM71" s="63"/>
      <c r="LHN71" s="63"/>
      <c r="LHO71" s="63"/>
      <c r="LHP71" s="63"/>
      <c r="LHQ71" s="63"/>
      <c r="LHR71" s="63"/>
      <c r="LHS71" s="63"/>
      <c r="LHT71" s="63"/>
      <c r="LHU71" s="63"/>
      <c r="LHV71" s="63"/>
      <c r="LHW71" s="63"/>
      <c r="LHX71" s="63"/>
      <c r="LHY71" s="63"/>
      <c r="LHZ71" s="63"/>
      <c r="LIA71" s="63"/>
      <c r="LIB71" s="63"/>
      <c r="LIC71" s="63"/>
      <c r="LID71" s="63"/>
      <c r="LIE71" s="63"/>
      <c r="LIF71" s="63"/>
      <c r="LIG71" s="63"/>
      <c r="LIH71" s="63"/>
      <c r="LII71" s="63"/>
      <c r="LIJ71" s="63"/>
      <c r="LIK71" s="63"/>
      <c r="LIL71" s="63"/>
      <c r="LIM71" s="63"/>
      <c r="LIN71" s="63"/>
      <c r="LIO71" s="63"/>
      <c r="LIP71" s="63"/>
      <c r="LIQ71" s="63"/>
      <c r="LIR71" s="63"/>
      <c r="LIS71" s="63"/>
      <c r="LIT71" s="63"/>
      <c r="LIU71" s="63"/>
      <c r="LIV71" s="63"/>
      <c r="LIW71" s="63"/>
      <c r="LIX71" s="63"/>
      <c r="LIY71" s="63"/>
      <c r="LIZ71" s="63"/>
      <c r="LJA71" s="63"/>
      <c r="LJB71" s="63"/>
      <c r="LJC71" s="63"/>
      <c r="LJD71" s="63"/>
      <c r="LJE71" s="63"/>
      <c r="LJF71" s="63"/>
      <c r="LJG71" s="63"/>
      <c r="LJH71" s="63"/>
      <c r="LJI71" s="63"/>
      <c r="LJJ71" s="63"/>
      <c r="LJK71" s="63"/>
      <c r="LJL71" s="63"/>
      <c r="LJM71" s="63"/>
      <c r="LJN71" s="63"/>
      <c r="LJO71" s="63"/>
      <c r="LJP71" s="63"/>
      <c r="LJQ71" s="63"/>
      <c r="LJR71" s="63"/>
      <c r="LJS71" s="63"/>
      <c r="LJT71" s="63"/>
      <c r="LJU71" s="63"/>
      <c r="LJV71" s="63"/>
      <c r="LJW71" s="63"/>
      <c r="LJX71" s="63"/>
      <c r="LJY71" s="63"/>
      <c r="LJZ71" s="63"/>
      <c r="LKA71" s="63"/>
      <c r="LKB71" s="63"/>
      <c r="LKC71" s="63"/>
      <c r="LKD71" s="63"/>
      <c r="LKE71" s="63"/>
      <c r="LKF71" s="63"/>
      <c r="LKG71" s="63"/>
      <c r="LKH71" s="63"/>
      <c r="LKI71" s="63"/>
      <c r="LKJ71" s="63"/>
      <c r="LKK71" s="63"/>
      <c r="LKL71" s="63"/>
      <c r="LKM71" s="63"/>
      <c r="LKN71" s="63"/>
      <c r="LKO71" s="63"/>
      <c r="LKP71" s="63"/>
      <c r="LKQ71" s="63"/>
      <c r="LKR71" s="63"/>
      <c r="LKS71" s="63"/>
      <c r="LKT71" s="63"/>
      <c r="LKU71" s="63"/>
      <c r="LKV71" s="63"/>
      <c r="LKW71" s="63"/>
      <c r="LKX71" s="63"/>
      <c r="LKY71" s="63"/>
      <c r="LKZ71" s="63"/>
      <c r="LLA71" s="63"/>
      <c r="LLB71" s="63"/>
      <c r="LLC71" s="63"/>
      <c r="LLD71" s="63"/>
      <c r="LLE71" s="63"/>
      <c r="LLF71" s="63"/>
      <c r="LLG71" s="63"/>
      <c r="LLH71" s="63"/>
      <c r="LLI71" s="63"/>
      <c r="LLJ71" s="63"/>
      <c r="LLK71" s="63"/>
      <c r="LLL71" s="63"/>
      <c r="LLM71" s="63"/>
      <c r="LLN71" s="63"/>
      <c r="LLO71" s="63"/>
      <c r="LLP71" s="63"/>
      <c r="LLQ71" s="63"/>
      <c r="LLR71" s="63"/>
      <c r="LLS71" s="63"/>
      <c r="LLT71" s="63"/>
      <c r="LLU71" s="63"/>
      <c r="LLV71" s="63"/>
      <c r="LLW71" s="63"/>
      <c r="LLX71" s="63"/>
      <c r="LLY71" s="63"/>
      <c r="LLZ71" s="63"/>
      <c r="LMA71" s="63"/>
      <c r="LMB71" s="63"/>
      <c r="LMC71" s="63"/>
      <c r="LMD71" s="63"/>
      <c r="LME71" s="63"/>
      <c r="LMF71" s="63"/>
      <c r="LMG71" s="63"/>
      <c r="LMH71" s="63"/>
      <c r="LMI71" s="63"/>
      <c r="LMJ71" s="63"/>
      <c r="LMK71" s="63"/>
      <c r="LML71" s="63"/>
      <c r="LMM71" s="63"/>
      <c r="LMN71" s="63"/>
      <c r="LMO71" s="63"/>
      <c r="LMP71" s="63"/>
      <c r="LMQ71" s="63"/>
      <c r="LMR71" s="63"/>
      <c r="LMS71" s="63"/>
      <c r="LMT71" s="63"/>
      <c r="LMU71" s="63"/>
      <c r="LMV71" s="63"/>
      <c r="LMW71" s="63"/>
      <c r="LMX71" s="63"/>
      <c r="LMY71" s="63"/>
      <c r="LMZ71" s="63"/>
      <c r="LNA71" s="63"/>
      <c r="LNB71" s="63"/>
      <c r="LNC71" s="63"/>
      <c r="LND71" s="63"/>
      <c r="LNE71" s="63"/>
      <c r="LNF71" s="63"/>
      <c r="LNG71" s="63"/>
      <c r="LNH71" s="63"/>
      <c r="LNI71" s="63"/>
      <c r="LNJ71" s="63"/>
      <c r="LNK71" s="63"/>
      <c r="LNL71" s="63"/>
      <c r="LNM71" s="63"/>
      <c r="LNN71" s="63"/>
      <c r="LNO71" s="63"/>
      <c r="LNP71" s="63"/>
      <c r="LNQ71" s="63"/>
      <c r="LNR71" s="63"/>
      <c r="LNS71" s="63"/>
      <c r="LNT71" s="63"/>
      <c r="LNU71" s="63"/>
      <c r="LNV71" s="63"/>
      <c r="LNW71" s="63"/>
      <c r="LNX71" s="63"/>
      <c r="LNY71" s="63"/>
      <c r="LNZ71" s="63"/>
      <c r="LOA71" s="63"/>
      <c r="LOB71" s="63"/>
      <c r="LOC71" s="63"/>
      <c r="LOD71" s="63"/>
      <c r="LOE71" s="63"/>
      <c r="LOF71" s="63"/>
      <c r="LOG71" s="63"/>
      <c r="LOH71" s="63"/>
      <c r="LOI71" s="63"/>
      <c r="LOJ71" s="63"/>
      <c r="LOK71" s="63"/>
      <c r="LOL71" s="63"/>
      <c r="LOM71" s="63"/>
      <c r="LON71" s="63"/>
      <c r="LOO71" s="63"/>
      <c r="LOP71" s="63"/>
      <c r="LOQ71" s="63"/>
      <c r="LOR71" s="63"/>
      <c r="LOS71" s="63"/>
      <c r="LOT71" s="63"/>
      <c r="LOU71" s="63"/>
      <c r="LOV71" s="63"/>
      <c r="LOW71" s="63"/>
      <c r="LOX71" s="63"/>
      <c r="LOY71" s="63"/>
      <c r="LOZ71" s="63"/>
      <c r="LPA71" s="63"/>
      <c r="LPB71" s="63"/>
      <c r="LPC71" s="63"/>
      <c r="LPD71" s="63"/>
      <c r="LPE71" s="63"/>
      <c r="LPF71" s="63"/>
      <c r="LPG71" s="63"/>
      <c r="LPH71" s="63"/>
      <c r="LPI71" s="63"/>
      <c r="LPJ71" s="63"/>
      <c r="LPK71" s="63"/>
      <c r="LPL71" s="63"/>
      <c r="LPM71" s="63"/>
      <c r="LPN71" s="63"/>
      <c r="LPO71" s="63"/>
      <c r="LPP71" s="63"/>
      <c r="LPQ71" s="63"/>
      <c r="LPR71" s="63"/>
      <c r="LPS71" s="63"/>
      <c r="LPT71" s="63"/>
      <c r="LPU71" s="63"/>
      <c r="LPV71" s="63"/>
      <c r="LPW71" s="63"/>
      <c r="LPX71" s="63"/>
      <c r="LPY71" s="63"/>
      <c r="LPZ71" s="63"/>
      <c r="LQA71" s="63"/>
      <c r="LQB71" s="63"/>
      <c r="LQC71" s="63"/>
      <c r="LQD71" s="63"/>
      <c r="LQE71" s="63"/>
      <c r="LQF71" s="63"/>
      <c r="LQG71" s="63"/>
      <c r="LQH71" s="63"/>
      <c r="LQI71" s="63"/>
      <c r="LQJ71" s="63"/>
      <c r="LQK71" s="63"/>
      <c r="LQL71" s="63"/>
      <c r="LQM71" s="63"/>
      <c r="LQN71" s="63"/>
      <c r="LQO71" s="63"/>
      <c r="LQP71" s="63"/>
      <c r="LQQ71" s="63"/>
      <c r="LQR71" s="63"/>
      <c r="LQS71" s="63"/>
      <c r="LQT71" s="63"/>
      <c r="LQU71" s="63"/>
      <c r="LQV71" s="63"/>
      <c r="LQW71" s="63"/>
      <c r="LQX71" s="63"/>
      <c r="LQY71" s="63"/>
      <c r="LQZ71" s="63"/>
      <c r="LRA71" s="63"/>
      <c r="LRB71" s="63"/>
      <c r="LRC71" s="63"/>
      <c r="LRD71" s="63"/>
      <c r="LRE71" s="63"/>
      <c r="LRF71" s="63"/>
      <c r="LRG71" s="63"/>
      <c r="LRH71" s="63"/>
      <c r="LRI71" s="63"/>
      <c r="LRJ71" s="63"/>
      <c r="LRK71" s="63"/>
      <c r="LRL71" s="63"/>
      <c r="LRM71" s="63"/>
      <c r="LRN71" s="63"/>
      <c r="LRO71" s="63"/>
      <c r="LRP71" s="63"/>
      <c r="LRQ71" s="63"/>
      <c r="LRR71" s="63"/>
      <c r="LRS71" s="63"/>
      <c r="LRT71" s="63"/>
      <c r="LRU71" s="63"/>
      <c r="LRV71" s="63"/>
      <c r="LRW71" s="63"/>
      <c r="LRX71" s="63"/>
      <c r="LRY71" s="63"/>
      <c r="LRZ71" s="63"/>
      <c r="LSA71" s="63"/>
      <c r="LSB71" s="63"/>
      <c r="LSC71" s="63"/>
      <c r="LSD71" s="63"/>
      <c r="LSE71" s="63"/>
      <c r="LSF71" s="63"/>
      <c r="LSG71" s="63"/>
      <c r="LSH71" s="63"/>
      <c r="LSI71" s="63"/>
      <c r="LSJ71" s="63"/>
      <c r="LSK71" s="63"/>
      <c r="LSL71" s="63"/>
      <c r="LSM71" s="63"/>
      <c r="LSN71" s="63"/>
      <c r="LSO71" s="63"/>
      <c r="LSP71" s="63"/>
      <c r="LSQ71" s="63"/>
      <c r="LSR71" s="63"/>
      <c r="LSS71" s="63"/>
      <c r="LST71" s="63"/>
      <c r="LSU71" s="63"/>
      <c r="LSV71" s="63"/>
      <c r="LSW71" s="63"/>
      <c r="LSX71" s="63"/>
      <c r="LSY71" s="63"/>
      <c r="LSZ71" s="63"/>
      <c r="LTA71" s="63"/>
      <c r="LTB71" s="63"/>
      <c r="LTC71" s="63"/>
      <c r="LTD71" s="63"/>
      <c r="LTE71" s="63"/>
      <c r="LTF71" s="63"/>
      <c r="LTG71" s="63"/>
      <c r="LTH71" s="63"/>
      <c r="LTI71" s="63"/>
      <c r="LTJ71" s="63"/>
      <c r="LTK71" s="63"/>
      <c r="LTL71" s="63"/>
      <c r="LTM71" s="63"/>
      <c r="LTN71" s="63"/>
      <c r="LTO71" s="63"/>
      <c r="LTP71" s="63"/>
      <c r="LTQ71" s="63"/>
      <c r="LTR71" s="63"/>
      <c r="LTS71" s="63"/>
      <c r="LTT71" s="63"/>
      <c r="LTU71" s="63"/>
      <c r="LTV71" s="63"/>
      <c r="LTW71" s="63"/>
      <c r="LTX71" s="63"/>
      <c r="LTY71" s="63"/>
      <c r="LTZ71" s="63"/>
      <c r="LUA71" s="63"/>
      <c r="LUB71" s="63"/>
      <c r="LUC71" s="63"/>
      <c r="LUD71" s="63"/>
      <c r="LUE71" s="63"/>
      <c r="LUF71" s="63"/>
      <c r="LUG71" s="63"/>
      <c r="LUH71" s="63"/>
      <c r="LUI71" s="63"/>
      <c r="LUJ71" s="63"/>
      <c r="LUK71" s="63"/>
      <c r="LUL71" s="63"/>
      <c r="LUM71" s="63"/>
      <c r="LUN71" s="63"/>
      <c r="LUO71" s="63"/>
      <c r="LUP71" s="63"/>
      <c r="LUQ71" s="63"/>
      <c r="LUR71" s="63"/>
      <c r="LUS71" s="63"/>
      <c r="LUT71" s="63"/>
      <c r="LUU71" s="63"/>
      <c r="LUV71" s="63"/>
      <c r="LUW71" s="63"/>
      <c r="LUX71" s="63"/>
      <c r="LUY71" s="63"/>
      <c r="LUZ71" s="63"/>
      <c r="LVA71" s="63"/>
      <c r="LVB71" s="63"/>
      <c r="LVC71" s="63"/>
      <c r="LVD71" s="63"/>
      <c r="LVE71" s="63"/>
      <c r="LVF71" s="63"/>
      <c r="LVG71" s="63"/>
      <c r="LVH71" s="63"/>
      <c r="LVI71" s="63"/>
      <c r="LVJ71" s="63"/>
      <c r="LVK71" s="63"/>
      <c r="LVL71" s="63"/>
      <c r="LVM71" s="63"/>
      <c r="LVN71" s="63"/>
      <c r="LVO71" s="63"/>
      <c r="LVP71" s="63"/>
      <c r="LVQ71" s="63"/>
      <c r="LVR71" s="63"/>
      <c r="LVS71" s="63"/>
      <c r="LVT71" s="63"/>
      <c r="LVU71" s="63"/>
      <c r="LVV71" s="63"/>
      <c r="LVW71" s="63"/>
      <c r="LVX71" s="63"/>
      <c r="LVY71" s="63"/>
      <c r="LVZ71" s="63"/>
      <c r="LWA71" s="63"/>
      <c r="LWB71" s="63"/>
      <c r="LWC71" s="63"/>
      <c r="LWD71" s="63"/>
      <c r="LWE71" s="63"/>
      <c r="LWF71" s="63"/>
      <c r="LWG71" s="63"/>
      <c r="LWH71" s="63"/>
      <c r="LWI71" s="63"/>
      <c r="LWJ71" s="63"/>
      <c r="LWK71" s="63"/>
      <c r="LWL71" s="63"/>
      <c r="LWM71" s="63"/>
      <c r="LWN71" s="63"/>
      <c r="LWO71" s="63"/>
      <c r="LWP71" s="63"/>
      <c r="LWQ71" s="63"/>
      <c r="LWR71" s="63"/>
      <c r="LWS71" s="63"/>
      <c r="LWT71" s="63"/>
      <c r="LWU71" s="63"/>
      <c r="LWV71" s="63"/>
      <c r="LWW71" s="63"/>
      <c r="LWX71" s="63"/>
      <c r="LWY71" s="63"/>
      <c r="LWZ71" s="63"/>
      <c r="LXA71" s="63"/>
      <c r="LXB71" s="63"/>
      <c r="LXC71" s="63"/>
      <c r="LXD71" s="63"/>
      <c r="LXE71" s="63"/>
      <c r="LXF71" s="63"/>
      <c r="LXG71" s="63"/>
      <c r="LXH71" s="63"/>
      <c r="LXI71" s="63"/>
      <c r="LXJ71" s="63"/>
      <c r="LXK71" s="63"/>
      <c r="LXL71" s="63"/>
      <c r="LXM71" s="63"/>
      <c r="LXN71" s="63"/>
      <c r="LXO71" s="63"/>
      <c r="LXP71" s="63"/>
      <c r="LXQ71" s="63"/>
      <c r="LXR71" s="63"/>
      <c r="LXS71" s="63"/>
      <c r="LXT71" s="63"/>
      <c r="LXU71" s="63"/>
      <c r="LXV71" s="63"/>
      <c r="LXW71" s="63"/>
      <c r="LXX71" s="63"/>
      <c r="LXY71" s="63"/>
      <c r="LXZ71" s="63"/>
      <c r="LYA71" s="63"/>
      <c r="LYB71" s="63"/>
      <c r="LYC71" s="63"/>
      <c r="LYD71" s="63"/>
      <c r="LYE71" s="63"/>
      <c r="LYF71" s="63"/>
      <c r="LYG71" s="63"/>
      <c r="LYH71" s="63"/>
      <c r="LYI71" s="63"/>
      <c r="LYJ71" s="63"/>
      <c r="LYK71" s="63"/>
      <c r="LYL71" s="63"/>
      <c r="LYM71" s="63"/>
      <c r="LYN71" s="63"/>
      <c r="LYO71" s="63"/>
      <c r="LYP71" s="63"/>
      <c r="LYQ71" s="63"/>
      <c r="LYR71" s="63"/>
      <c r="LYS71" s="63"/>
      <c r="LYT71" s="63"/>
      <c r="LYU71" s="63"/>
      <c r="LYV71" s="63"/>
      <c r="LYW71" s="63"/>
      <c r="LYX71" s="63"/>
      <c r="LYY71" s="63"/>
      <c r="LYZ71" s="63"/>
      <c r="LZA71" s="63"/>
      <c r="LZB71" s="63"/>
      <c r="LZC71" s="63"/>
      <c r="LZD71" s="63"/>
      <c r="LZE71" s="63"/>
      <c r="LZF71" s="63"/>
      <c r="LZG71" s="63"/>
      <c r="LZH71" s="63"/>
      <c r="LZI71" s="63"/>
      <c r="LZJ71" s="63"/>
      <c r="LZK71" s="63"/>
      <c r="LZL71" s="63"/>
      <c r="LZM71" s="63"/>
      <c r="LZN71" s="63"/>
      <c r="LZO71" s="63"/>
      <c r="LZP71" s="63"/>
      <c r="LZQ71" s="63"/>
      <c r="LZR71" s="63"/>
      <c r="LZS71" s="63"/>
      <c r="LZT71" s="63"/>
      <c r="LZU71" s="63"/>
      <c r="LZV71" s="63"/>
      <c r="LZW71" s="63"/>
      <c r="LZX71" s="63"/>
      <c r="LZY71" s="63"/>
      <c r="LZZ71" s="63"/>
      <c r="MAA71" s="63"/>
      <c r="MAB71" s="63"/>
      <c r="MAC71" s="63"/>
      <c r="MAD71" s="63"/>
      <c r="MAE71" s="63"/>
      <c r="MAF71" s="63"/>
      <c r="MAG71" s="63"/>
      <c r="MAH71" s="63"/>
      <c r="MAI71" s="63"/>
      <c r="MAJ71" s="63"/>
      <c r="MAK71" s="63"/>
      <c r="MAL71" s="63"/>
      <c r="MAM71" s="63"/>
      <c r="MAN71" s="63"/>
      <c r="MAO71" s="63"/>
      <c r="MAP71" s="63"/>
      <c r="MAQ71" s="63"/>
      <c r="MAR71" s="63"/>
      <c r="MAS71" s="63"/>
      <c r="MAT71" s="63"/>
      <c r="MAU71" s="63"/>
      <c r="MAV71" s="63"/>
      <c r="MAW71" s="63"/>
      <c r="MAX71" s="63"/>
      <c r="MAY71" s="63"/>
      <c r="MAZ71" s="63"/>
      <c r="MBA71" s="63"/>
      <c r="MBB71" s="63"/>
      <c r="MBC71" s="63"/>
      <c r="MBD71" s="63"/>
      <c r="MBE71" s="63"/>
      <c r="MBF71" s="63"/>
      <c r="MBG71" s="63"/>
      <c r="MBH71" s="63"/>
      <c r="MBI71" s="63"/>
      <c r="MBJ71" s="63"/>
      <c r="MBK71" s="63"/>
      <c r="MBL71" s="63"/>
      <c r="MBM71" s="63"/>
      <c r="MBN71" s="63"/>
      <c r="MBO71" s="63"/>
      <c r="MBP71" s="63"/>
      <c r="MBQ71" s="63"/>
      <c r="MBR71" s="63"/>
      <c r="MBS71" s="63"/>
      <c r="MBT71" s="63"/>
      <c r="MBU71" s="63"/>
      <c r="MBV71" s="63"/>
      <c r="MBW71" s="63"/>
      <c r="MBX71" s="63"/>
      <c r="MBY71" s="63"/>
      <c r="MBZ71" s="63"/>
      <c r="MCA71" s="63"/>
      <c r="MCB71" s="63"/>
      <c r="MCC71" s="63"/>
      <c r="MCD71" s="63"/>
      <c r="MCE71" s="63"/>
      <c r="MCF71" s="63"/>
      <c r="MCG71" s="63"/>
      <c r="MCH71" s="63"/>
      <c r="MCI71" s="63"/>
      <c r="MCJ71" s="63"/>
      <c r="MCK71" s="63"/>
      <c r="MCL71" s="63"/>
      <c r="MCM71" s="63"/>
      <c r="MCN71" s="63"/>
      <c r="MCO71" s="63"/>
      <c r="MCP71" s="63"/>
      <c r="MCQ71" s="63"/>
      <c r="MCR71" s="63"/>
      <c r="MCS71" s="63"/>
      <c r="MCT71" s="63"/>
      <c r="MCU71" s="63"/>
      <c r="MCV71" s="63"/>
      <c r="MCW71" s="63"/>
      <c r="MCX71" s="63"/>
      <c r="MCY71" s="63"/>
      <c r="MCZ71" s="63"/>
      <c r="MDA71" s="63"/>
      <c r="MDB71" s="63"/>
      <c r="MDC71" s="63"/>
      <c r="MDD71" s="63"/>
      <c r="MDE71" s="63"/>
      <c r="MDF71" s="63"/>
      <c r="MDG71" s="63"/>
      <c r="MDH71" s="63"/>
      <c r="MDI71" s="63"/>
      <c r="MDJ71" s="63"/>
      <c r="MDK71" s="63"/>
      <c r="MDL71" s="63"/>
      <c r="MDM71" s="63"/>
      <c r="MDN71" s="63"/>
      <c r="MDO71" s="63"/>
      <c r="MDP71" s="63"/>
      <c r="MDQ71" s="63"/>
      <c r="MDR71" s="63"/>
      <c r="MDS71" s="63"/>
      <c r="MDT71" s="63"/>
      <c r="MDU71" s="63"/>
      <c r="MDV71" s="63"/>
      <c r="MDW71" s="63"/>
      <c r="MDX71" s="63"/>
      <c r="MDY71" s="63"/>
      <c r="MDZ71" s="63"/>
      <c r="MEA71" s="63"/>
      <c r="MEB71" s="63"/>
      <c r="MEC71" s="63"/>
      <c r="MED71" s="63"/>
      <c r="MEE71" s="63"/>
      <c r="MEF71" s="63"/>
      <c r="MEG71" s="63"/>
      <c r="MEH71" s="63"/>
      <c r="MEI71" s="63"/>
      <c r="MEJ71" s="63"/>
      <c r="MEK71" s="63"/>
      <c r="MEL71" s="63"/>
      <c r="MEM71" s="63"/>
      <c r="MEN71" s="63"/>
      <c r="MEO71" s="63"/>
      <c r="MEP71" s="63"/>
      <c r="MEQ71" s="63"/>
      <c r="MER71" s="63"/>
      <c r="MES71" s="63"/>
      <c r="MET71" s="63"/>
      <c r="MEU71" s="63"/>
      <c r="MEV71" s="63"/>
      <c r="MEW71" s="63"/>
      <c r="MEX71" s="63"/>
      <c r="MEY71" s="63"/>
      <c r="MEZ71" s="63"/>
      <c r="MFA71" s="63"/>
      <c r="MFB71" s="63"/>
      <c r="MFC71" s="63"/>
      <c r="MFD71" s="63"/>
      <c r="MFE71" s="63"/>
      <c r="MFF71" s="63"/>
      <c r="MFG71" s="63"/>
      <c r="MFH71" s="63"/>
      <c r="MFI71" s="63"/>
      <c r="MFJ71" s="63"/>
      <c r="MFK71" s="63"/>
      <c r="MFL71" s="63"/>
      <c r="MFM71" s="63"/>
      <c r="MFN71" s="63"/>
      <c r="MFO71" s="63"/>
      <c r="MFP71" s="63"/>
      <c r="MFQ71" s="63"/>
      <c r="MFR71" s="63"/>
      <c r="MFS71" s="63"/>
      <c r="MFT71" s="63"/>
      <c r="MFU71" s="63"/>
      <c r="MFV71" s="63"/>
      <c r="MFW71" s="63"/>
      <c r="MFX71" s="63"/>
      <c r="MFY71" s="63"/>
      <c r="MFZ71" s="63"/>
      <c r="MGA71" s="63"/>
      <c r="MGB71" s="63"/>
      <c r="MGC71" s="63"/>
      <c r="MGD71" s="63"/>
      <c r="MGE71" s="63"/>
      <c r="MGF71" s="63"/>
      <c r="MGG71" s="63"/>
      <c r="MGH71" s="63"/>
      <c r="MGI71" s="63"/>
      <c r="MGJ71" s="63"/>
      <c r="MGK71" s="63"/>
      <c r="MGL71" s="63"/>
      <c r="MGM71" s="63"/>
      <c r="MGN71" s="63"/>
      <c r="MGO71" s="63"/>
      <c r="MGP71" s="63"/>
      <c r="MGQ71" s="63"/>
      <c r="MGR71" s="63"/>
      <c r="MGS71" s="63"/>
      <c r="MGT71" s="63"/>
      <c r="MGU71" s="63"/>
      <c r="MGV71" s="63"/>
      <c r="MGW71" s="63"/>
      <c r="MGX71" s="63"/>
      <c r="MGY71" s="63"/>
      <c r="MGZ71" s="63"/>
      <c r="MHA71" s="63"/>
      <c r="MHB71" s="63"/>
      <c r="MHC71" s="63"/>
      <c r="MHD71" s="63"/>
      <c r="MHE71" s="63"/>
      <c r="MHF71" s="63"/>
      <c r="MHG71" s="63"/>
      <c r="MHH71" s="63"/>
      <c r="MHI71" s="63"/>
      <c r="MHJ71" s="63"/>
      <c r="MHK71" s="63"/>
      <c r="MHL71" s="63"/>
      <c r="MHM71" s="63"/>
      <c r="MHN71" s="63"/>
      <c r="MHO71" s="63"/>
      <c r="MHP71" s="63"/>
      <c r="MHQ71" s="63"/>
      <c r="MHR71" s="63"/>
      <c r="MHS71" s="63"/>
      <c r="MHT71" s="63"/>
      <c r="MHU71" s="63"/>
      <c r="MHV71" s="63"/>
      <c r="MHW71" s="63"/>
      <c r="MHX71" s="63"/>
      <c r="MHY71" s="63"/>
      <c r="MHZ71" s="63"/>
      <c r="MIA71" s="63"/>
      <c r="MIB71" s="63"/>
      <c r="MIC71" s="63"/>
      <c r="MID71" s="63"/>
      <c r="MIE71" s="63"/>
      <c r="MIF71" s="63"/>
      <c r="MIG71" s="63"/>
      <c r="MIH71" s="63"/>
      <c r="MII71" s="63"/>
      <c r="MIJ71" s="63"/>
      <c r="MIK71" s="63"/>
      <c r="MIL71" s="63"/>
      <c r="MIM71" s="63"/>
      <c r="MIN71" s="63"/>
      <c r="MIO71" s="63"/>
      <c r="MIP71" s="63"/>
      <c r="MIQ71" s="63"/>
      <c r="MIR71" s="63"/>
      <c r="MIS71" s="63"/>
      <c r="MIT71" s="63"/>
      <c r="MIU71" s="63"/>
      <c r="MIV71" s="63"/>
      <c r="MIW71" s="63"/>
      <c r="MIX71" s="63"/>
      <c r="MIY71" s="63"/>
      <c r="MIZ71" s="63"/>
      <c r="MJA71" s="63"/>
      <c r="MJB71" s="63"/>
      <c r="MJC71" s="63"/>
      <c r="MJD71" s="63"/>
      <c r="MJE71" s="63"/>
      <c r="MJF71" s="63"/>
      <c r="MJG71" s="63"/>
      <c r="MJH71" s="63"/>
      <c r="MJI71" s="63"/>
      <c r="MJJ71" s="63"/>
      <c r="MJK71" s="63"/>
      <c r="MJL71" s="63"/>
      <c r="MJM71" s="63"/>
      <c r="MJN71" s="63"/>
      <c r="MJO71" s="63"/>
      <c r="MJP71" s="63"/>
      <c r="MJQ71" s="63"/>
      <c r="MJR71" s="63"/>
      <c r="MJS71" s="63"/>
      <c r="MJT71" s="63"/>
      <c r="MJU71" s="63"/>
      <c r="MJV71" s="63"/>
      <c r="MJW71" s="63"/>
      <c r="MJX71" s="63"/>
      <c r="MJY71" s="63"/>
      <c r="MJZ71" s="63"/>
      <c r="MKA71" s="63"/>
      <c r="MKB71" s="63"/>
      <c r="MKC71" s="63"/>
      <c r="MKD71" s="63"/>
      <c r="MKE71" s="63"/>
      <c r="MKF71" s="63"/>
      <c r="MKG71" s="63"/>
      <c r="MKH71" s="63"/>
      <c r="MKI71" s="63"/>
      <c r="MKJ71" s="63"/>
      <c r="MKK71" s="63"/>
      <c r="MKL71" s="63"/>
      <c r="MKM71" s="63"/>
      <c r="MKN71" s="63"/>
      <c r="MKO71" s="63"/>
      <c r="MKP71" s="63"/>
      <c r="MKQ71" s="63"/>
      <c r="MKR71" s="63"/>
      <c r="MKS71" s="63"/>
      <c r="MKT71" s="63"/>
      <c r="MKU71" s="63"/>
      <c r="MKV71" s="63"/>
      <c r="MKW71" s="63"/>
      <c r="MKX71" s="63"/>
      <c r="MKY71" s="63"/>
      <c r="MKZ71" s="63"/>
      <c r="MLA71" s="63"/>
      <c r="MLB71" s="63"/>
      <c r="MLC71" s="63"/>
      <c r="MLD71" s="63"/>
      <c r="MLE71" s="63"/>
      <c r="MLF71" s="63"/>
      <c r="MLG71" s="63"/>
      <c r="MLH71" s="63"/>
      <c r="MLI71" s="63"/>
      <c r="MLJ71" s="63"/>
      <c r="MLK71" s="63"/>
      <c r="MLL71" s="63"/>
      <c r="MLM71" s="63"/>
      <c r="MLN71" s="63"/>
      <c r="MLO71" s="63"/>
      <c r="MLP71" s="63"/>
      <c r="MLQ71" s="63"/>
      <c r="MLR71" s="63"/>
      <c r="MLS71" s="63"/>
      <c r="MLT71" s="63"/>
      <c r="MLU71" s="63"/>
      <c r="MLV71" s="63"/>
      <c r="MLW71" s="63"/>
      <c r="MLX71" s="63"/>
      <c r="MLY71" s="63"/>
      <c r="MLZ71" s="63"/>
      <c r="MMA71" s="63"/>
      <c r="MMB71" s="63"/>
      <c r="MMC71" s="63"/>
      <c r="MMD71" s="63"/>
      <c r="MME71" s="63"/>
      <c r="MMF71" s="63"/>
      <c r="MMG71" s="63"/>
      <c r="MMH71" s="63"/>
      <c r="MMI71" s="63"/>
      <c r="MMJ71" s="63"/>
      <c r="MMK71" s="63"/>
      <c r="MML71" s="63"/>
      <c r="MMM71" s="63"/>
      <c r="MMN71" s="63"/>
      <c r="MMO71" s="63"/>
      <c r="MMP71" s="63"/>
      <c r="MMQ71" s="63"/>
      <c r="MMR71" s="63"/>
      <c r="MMS71" s="63"/>
      <c r="MMT71" s="63"/>
      <c r="MMU71" s="63"/>
      <c r="MMV71" s="63"/>
      <c r="MMW71" s="63"/>
      <c r="MMX71" s="63"/>
      <c r="MMY71" s="63"/>
      <c r="MMZ71" s="63"/>
      <c r="MNA71" s="63"/>
      <c r="MNB71" s="63"/>
      <c r="MNC71" s="63"/>
      <c r="MND71" s="63"/>
      <c r="MNE71" s="63"/>
      <c r="MNF71" s="63"/>
      <c r="MNG71" s="63"/>
      <c r="MNH71" s="63"/>
      <c r="MNI71" s="63"/>
      <c r="MNJ71" s="63"/>
      <c r="MNK71" s="63"/>
      <c r="MNL71" s="63"/>
      <c r="MNM71" s="63"/>
      <c r="MNN71" s="63"/>
      <c r="MNO71" s="63"/>
      <c r="MNP71" s="63"/>
      <c r="MNQ71" s="63"/>
      <c r="MNR71" s="63"/>
      <c r="MNS71" s="63"/>
      <c r="MNT71" s="63"/>
      <c r="MNU71" s="63"/>
      <c r="MNV71" s="63"/>
      <c r="MNW71" s="63"/>
      <c r="MNX71" s="63"/>
      <c r="MNY71" s="63"/>
      <c r="MNZ71" s="63"/>
      <c r="MOA71" s="63"/>
      <c r="MOB71" s="63"/>
      <c r="MOC71" s="63"/>
      <c r="MOD71" s="63"/>
      <c r="MOE71" s="63"/>
      <c r="MOF71" s="63"/>
      <c r="MOG71" s="63"/>
      <c r="MOH71" s="63"/>
      <c r="MOI71" s="63"/>
      <c r="MOJ71" s="63"/>
      <c r="MOK71" s="63"/>
      <c r="MOL71" s="63"/>
      <c r="MOM71" s="63"/>
      <c r="MON71" s="63"/>
      <c r="MOO71" s="63"/>
      <c r="MOP71" s="63"/>
      <c r="MOQ71" s="63"/>
      <c r="MOR71" s="63"/>
      <c r="MOS71" s="63"/>
      <c r="MOT71" s="63"/>
      <c r="MOU71" s="63"/>
      <c r="MOV71" s="63"/>
      <c r="MOW71" s="63"/>
      <c r="MOX71" s="63"/>
      <c r="MOY71" s="63"/>
      <c r="MOZ71" s="63"/>
      <c r="MPA71" s="63"/>
      <c r="MPB71" s="63"/>
      <c r="MPC71" s="63"/>
      <c r="MPD71" s="63"/>
      <c r="MPE71" s="63"/>
      <c r="MPF71" s="63"/>
      <c r="MPG71" s="63"/>
      <c r="MPH71" s="63"/>
      <c r="MPI71" s="63"/>
      <c r="MPJ71" s="63"/>
      <c r="MPK71" s="63"/>
      <c r="MPL71" s="63"/>
      <c r="MPM71" s="63"/>
      <c r="MPN71" s="63"/>
      <c r="MPO71" s="63"/>
      <c r="MPP71" s="63"/>
      <c r="MPQ71" s="63"/>
      <c r="MPR71" s="63"/>
      <c r="MPS71" s="63"/>
      <c r="MPT71" s="63"/>
      <c r="MPU71" s="63"/>
      <c r="MPV71" s="63"/>
      <c r="MPW71" s="63"/>
      <c r="MPX71" s="63"/>
      <c r="MPY71" s="63"/>
      <c r="MPZ71" s="63"/>
      <c r="MQA71" s="63"/>
      <c r="MQB71" s="63"/>
      <c r="MQC71" s="63"/>
      <c r="MQD71" s="63"/>
      <c r="MQE71" s="63"/>
      <c r="MQF71" s="63"/>
      <c r="MQG71" s="63"/>
      <c r="MQH71" s="63"/>
      <c r="MQI71" s="63"/>
      <c r="MQJ71" s="63"/>
      <c r="MQK71" s="63"/>
      <c r="MQL71" s="63"/>
      <c r="MQM71" s="63"/>
      <c r="MQN71" s="63"/>
      <c r="MQO71" s="63"/>
      <c r="MQP71" s="63"/>
      <c r="MQQ71" s="63"/>
      <c r="MQR71" s="63"/>
      <c r="MQS71" s="63"/>
      <c r="MQT71" s="63"/>
      <c r="MQU71" s="63"/>
      <c r="MQV71" s="63"/>
      <c r="MQW71" s="63"/>
      <c r="MQX71" s="63"/>
      <c r="MQY71" s="63"/>
      <c r="MQZ71" s="63"/>
      <c r="MRA71" s="63"/>
      <c r="MRB71" s="63"/>
      <c r="MRC71" s="63"/>
      <c r="MRD71" s="63"/>
      <c r="MRE71" s="63"/>
      <c r="MRF71" s="63"/>
      <c r="MRG71" s="63"/>
      <c r="MRH71" s="63"/>
      <c r="MRI71" s="63"/>
      <c r="MRJ71" s="63"/>
      <c r="MRK71" s="63"/>
      <c r="MRL71" s="63"/>
      <c r="MRM71" s="63"/>
      <c r="MRN71" s="63"/>
      <c r="MRO71" s="63"/>
      <c r="MRP71" s="63"/>
      <c r="MRQ71" s="63"/>
      <c r="MRR71" s="63"/>
      <c r="MRS71" s="63"/>
      <c r="MRT71" s="63"/>
      <c r="MRU71" s="63"/>
      <c r="MRV71" s="63"/>
      <c r="MRW71" s="63"/>
      <c r="MRX71" s="63"/>
      <c r="MRY71" s="63"/>
      <c r="MRZ71" s="63"/>
      <c r="MSA71" s="63"/>
      <c r="MSB71" s="63"/>
      <c r="MSC71" s="63"/>
      <c r="MSD71" s="63"/>
      <c r="MSE71" s="63"/>
      <c r="MSF71" s="63"/>
      <c r="MSG71" s="63"/>
      <c r="MSH71" s="63"/>
      <c r="MSI71" s="63"/>
      <c r="MSJ71" s="63"/>
      <c r="MSK71" s="63"/>
      <c r="MSL71" s="63"/>
      <c r="MSM71" s="63"/>
      <c r="MSN71" s="63"/>
      <c r="MSO71" s="63"/>
      <c r="MSP71" s="63"/>
      <c r="MSQ71" s="63"/>
      <c r="MSR71" s="63"/>
      <c r="MSS71" s="63"/>
      <c r="MST71" s="63"/>
      <c r="MSU71" s="63"/>
      <c r="MSV71" s="63"/>
      <c r="MSW71" s="63"/>
      <c r="MSX71" s="63"/>
      <c r="MSY71" s="63"/>
      <c r="MSZ71" s="63"/>
      <c r="MTA71" s="63"/>
      <c r="MTB71" s="63"/>
      <c r="MTC71" s="63"/>
      <c r="MTD71" s="63"/>
      <c r="MTE71" s="63"/>
      <c r="MTF71" s="63"/>
      <c r="MTG71" s="63"/>
      <c r="MTH71" s="63"/>
      <c r="MTI71" s="63"/>
      <c r="MTJ71" s="63"/>
      <c r="MTK71" s="63"/>
      <c r="MTL71" s="63"/>
      <c r="MTM71" s="63"/>
      <c r="MTN71" s="63"/>
      <c r="MTO71" s="63"/>
      <c r="MTP71" s="63"/>
      <c r="MTQ71" s="63"/>
      <c r="MTR71" s="63"/>
      <c r="MTS71" s="63"/>
      <c r="MTT71" s="63"/>
      <c r="MTU71" s="63"/>
      <c r="MTV71" s="63"/>
      <c r="MTW71" s="63"/>
      <c r="MTX71" s="63"/>
      <c r="MTY71" s="63"/>
      <c r="MTZ71" s="63"/>
      <c r="MUA71" s="63"/>
      <c r="MUB71" s="63"/>
      <c r="MUC71" s="63"/>
      <c r="MUD71" s="63"/>
      <c r="MUE71" s="63"/>
      <c r="MUF71" s="63"/>
      <c r="MUG71" s="63"/>
      <c r="MUH71" s="63"/>
      <c r="MUI71" s="63"/>
      <c r="MUJ71" s="63"/>
      <c r="MUK71" s="63"/>
      <c r="MUL71" s="63"/>
      <c r="MUM71" s="63"/>
      <c r="MUN71" s="63"/>
      <c r="MUO71" s="63"/>
      <c r="MUP71" s="63"/>
      <c r="MUQ71" s="63"/>
      <c r="MUR71" s="63"/>
      <c r="MUS71" s="63"/>
      <c r="MUT71" s="63"/>
      <c r="MUU71" s="63"/>
      <c r="MUV71" s="63"/>
      <c r="MUW71" s="63"/>
      <c r="MUX71" s="63"/>
      <c r="MUY71" s="63"/>
      <c r="MUZ71" s="63"/>
      <c r="MVA71" s="63"/>
      <c r="MVB71" s="63"/>
      <c r="MVC71" s="63"/>
      <c r="MVD71" s="63"/>
      <c r="MVE71" s="63"/>
      <c r="MVF71" s="63"/>
      <c r="MVG71" s="63"/>
      <c r="MVH71" s="63"/>
      <c r="MVI71" s="63"/>
      <c r="MVJ71" s="63"/>
      <c r="MVK71" s="63"/>
      <c r="MVL71" s="63"/>
      <c r="MVM71" s="63"/>
      <c r="MVN71" s="63"/>
      <c r="MVO71" s="63"/>
      <c r="MVP71" s="63"/>
      <c r="MVQ71" s="63"/>
      <c r="MVR71" s="63"/>
      <c r="MVS71" s="63"/>
      <c r="MVT71" s="63"/>
      <c r="MVU71" s="63"/>
      <c r="MVV71" s="63"/>
      <c r="MVW71" s="63"/>
      <c r="MVX71" s="63"/>
      <c r="MVY71" s="63"/>
      <c r="MVZ71" s="63"/>
      <c r="MWA71" s="63"/>
      <c r="MWB71" s="63"/>
      <c r="MWC71" s="63"/>
      <c r="MWD71" s="63"/>
      <c r="MWE71" s="63"/>
      <c r="MWF71" s="63"/>
      <c r="MWG71" s="63"/>
      <c r="MWH71" s="63"/>
      <c r="MWI71" s="63"/>
      <c r="MWJ71" s="63"/>
      <c r="MWK71" s="63"/>
      <c r="MWL71" s="63"/>
      <c r="MWM71" s="63"/>
      <c r="MWN71" s="63"/>
      <c r="MWO71" s="63"/>
      <c r="MWP71" s="63"/>
      <c r="MWQ71" s="63"/>
      <c r="MWR71" s="63"/>
      <c r="MWS71" s="63"/>
      <c r="MWT71" s="63"/>
      <c r="MWU71" s="63"/>
      <c r="MWV71" s="63"/>
      <c r="MWW71" s="63"/>
      <c r="MWX71" s="63"/>
      <c r="MWY71" s="63"/>
      <c r="MWZ71" s="63"/>
      <c r="MXA71" s="63"/>
      <c r="MXB71" s="63"/>
      <c r="MXC71" s="63"/>
      <c r="MXD71" s="63"/>
      <c r="MXE71" s="63"/>
      <c r="MXF71" s="63"/>
      <c r="MXG71" s="63"/>
      <c r="MXH71" s="63"/>
      <c r="MXI71" s="63"/>
      <c r="MXJ71" s="63"/>
      <c r="MXK71" s="63"/>
      <c r="MXL71" s="63"/>
      <c r="MXM71" s="63"/>
      <c r="MXN71" s="63"/>
      <c r="MXO71" s="63"/>
      <c r="MXP71" s="63"/>
      <c r="MXQ71" s="63"/>
      <c r="MXR71" s="63"/>
      <c r="MXS71" s="63"/>
      <c r="MXT71" s="63"/>
      <c r="MXU71" s="63"/>
      <c r="MXV71" s="63"/>
      <c r="MXW71" s="63"/>
      <c r="MXX71" s="63"/>
      <c r="MXY71" s="63"/>
      <c r="MXZ71" s="63"/>
      <c r="MYA71" s="63"/>
      <c r="MYB71" s="63"/>
      <c r="MYC71" s="63"/>
      <c r="MYD71" s="63"/>
      <c r="MYE71" s="63"/>
      <c r="MYF71" s="63"/>
      <c r="MYG71" s="63"/>
      <c r="MYH71" s="63"/>
      <c r="MYI71" s="63"/>
      <c r="MYJ71" s="63"/>
      <c r="MYK71" s="63"/>
      <c r="MYL71" s="63"/>
      <c r="MYM71" s="63"/>
      <c r="MYN71" s="63"/>
      <c r="MYO71" s="63"/>
      <c r="MYP71" s="63"/>
      <c r="MYQ71" s="63"/>
      <c r="MYR71" s="63"/>
      <c r="MYS71" s="63"/>
      <c r="MYT71" s="63"/>
      <c r="MYU71" s="63"/>
      <c r="MYV71" s="63"/>
      <c r="MYW71" s="63"/>
      <c r="MYX71" s="63"/>
      <c r="MYY71" s="63"/>
      <c r="MYZ71" s="63"/>
      <c r="MZA71" s="63"/>
      <c r="MZB71" s="63"/>
      <c r="MZC71" s="63"/>
      <c r="MZD71" s="63"/>
      <c r="MZE71" s="63"/>
      <c r="MZF71" s="63"/>
      <c r="MZG71" s="63"/>
      <c r="MZH71" s="63"/>
      <c r="MZI71" s="63"/>
      <c r="MZJ71" s="63"/>
      <c r="MZK71" s="63"/>
      <c r="MZL71" s="63"/>
      <c r="MZM71" s="63"/>
      <c r="MZN71" s="63"/>
      <c r="MZO71" s="63"/>
      <c r="MZP71" s="63"/>
      <c r="MZQ71" s="63"/>
      <c r="MZR71" s="63"/>
      <c r="MZS71" s="63"/>
      <c r="MZT71" s="63"/>
      <c r="MZU71" s="63"/>
      <c r="MZV71" s="63"/>
      <c r="MZW71" s="63"/>
      <c r="MZX71" s="63"/>
      <c r="MZY71" s="63"/>
      <c r="MZZ71" s="63"/>
      <c r="NAA71" s="63"/>
      <c r="NAB71" s="63"/>
      <c r="NAC71" s="63"/>
      <c r="NAD71" s="63"/>
      <c r="NAE71" s="63"/>
      <c r="NAF71" s="63"/>
      <c r="NAG71" s="63"/>
      <c r="NAH71" s="63"/>
      <c r="NAI71" s="63"/>
      <c r="NAJ71" s="63"/>
      <c r="NAK71" s="63"/>
      <c r="NAL71" s="63"/>
      <c r="NAM71" s="63"/>
      <c r="NAN71" s="63"/>
      <c r="NAO71" s="63"/>
      <c r="NAP71" s="63"/>
      <c r="NAQ71" s="63"/>
      <c r="NAR71" s="63"/>
      <c r="NAS71" s="63"/>
      <c r="NAT71" s="63"/>
      <c r="NAU71" s="63"/>
      <c r="NAV71" s="63"/>
      <c r="NAW71" s="63"/>
      <c r="NAX71" s="63"/>
      <c r="NAY71" s="63"/>
      <c r="NAZ71" s="63"/>
      <c r="NBA71" s="63"/>
      <c r="NBB71" s="63"/>
      <c r="NBC71" s="63"/>
      <c r="NBD71" s="63"/>
      <c r="NBE71" s="63"/>
      <c r="NBF71" s="63"/>
      <c r="NBG71" s="63"/>
      <c r="NBH71" s="63"/>
      <c r="NBI71" s="63"/>
      <c r="NBJ71" s="63"/>
      <c r="NBK71" s="63"/>
      <c r="NBL71" s="63"/>
      <c r="NBM71" s="63"/>
      <c r="NBN71" s="63"/>
      <c r="NBO71" s="63"/>
      <c r="NBP71" s="63"/>
      <c r="NBQ71" s="63"/>
      <c r="NBR71" s="63"/>
      <c r="NBS71" s="63"/>
      <c r="NBT71" s="63"/>
      <c r="NBU71" s="63"/>
      <c r="NBV71" s="63"/>
      <c r="NBW71" s="63"/>
      <c r="NBX71" s="63"/>
      <c r="NBY71" s="63"/>
      <c r="NBZ71" s="63"/>
      <c r="NCA71" s="63"/>
      <c r="NCB71" s="63"/>
      <c r="NCC71" s="63"/>
      <c r="NCD71" s="63"/>
      <c r="NCE71" s="63"/>
      <c r="NCF71" s="63"/>
      <c r="NCG71" s="63"/>
      <c r="NCH71" s="63"/>
      <c r="NCI71" s="63"/>
      <c r="NCJ71" s="63"/>
      <c r="NCK71" s="63"/>
      <c r="NCL71" s="63"/>
      <c r="NCM71" s="63"/>
      <c r="NCN71" s="63"/>
      <c r="NCO71" s="63"/>
      <c r="NCP71" s="63"/>
      <c r="NCQ71" s="63"/>
      <c r="NCR71" s="63"/>
      <c r="NCS71" s="63"/>
      <c r="NCT71" s="63"/>
      <c r="NCU71" s="63"/>
      <c r="NCV71" s="63"/>
      <c r="NCW71" s="63"/>
      <c r="NCX71" s="63"/>
      <c r="NCY71" s="63"/>
      <c r="NCZ71" s="63"/>
      <c r="NDA71" s="63"/>
      <c r="NDB71" s="63"/>
      <c r="NDC71" s="63"/>
      <c r="NDD71" s="63"/>
      <c r="NDE71" s="63"/>
      <c r="NDF71" s="63"/>
      <c r="NDG71" s="63"/>
      <c r="NDH71" s="63"/>
      <c r="NDI71" s="63"/>
      <c r="NDJ71" s="63"/>
      <c r="NDK71" s="63"/>
      <c r="NDL71" s="63"/>
      <c r="NDM71" s="63"/>
      <c r="NDN71" s="63"/>
      <c r="NDO71" s="63"/>
      <c r="NDP71" s="63"/>
      <c r="NDQ71" s="63"/>
      <c r="NDR71" s="63"/>
      <c r="NDS71" s="63"/>
      <c r="NDT71" s="63"/>
      <c r="NDU71" s="63"/>
      <c r="NDV71" s="63"/>
      <c r="NDW71" s="63"/>
      <c r="NDX71" s="63"/>
      <c r="NDY71" s="63"/>
      <c r="NDZ71" s="63"/>
      <c r="NEA71" s="63"/>
      <c r="NEB71" s="63"/>
      <c r="NEC71" s="63"/>
      <c r="NED71" s="63"/>
      <c r="NEE71" s="63"/>
      <c r="NEF71" s="63"/>
      <c r="NEG71" s="63"/>
      <c r="NEH71" s="63"/>
      <c r="NEI71" s="63"/>
      <c r="NEJ71" s="63"/>
      <c r="NEK71" s="63"/>
      <c r="NEL71" s="63"/>
      <c r="NEM71" s="63"/>
      <c r="NEN71" s="63"/>
      <c r="NEO71" s="63"/>
      <c r="NEP71" s="63"/>
      <c r="NEQ71" s="63"/>
      <c r="NER71" s="63"/>
      <c r="NES71" s="63"/>
      <c r="NET71" s="63"/>
      <c r="NEU71" s="63"/>
      <c r="NEV71" s="63"/>
      <c r="NEW71" s="63"/>
      <c r="NEX71" s="63"/>
      <c r="NEY71" s="63"/>
      <c r="NEZ71" s="63"/>
      <c r="NFA71" s="63"/>
      <c r="NFB71" s="63"/>
      <c r="NFC71" s="63"/>
      <c r="NFD71" s="63"/>
      <c r="NFE71" s="63"/>
      <c r="NFF71" s="63"/>
      <c r="NFG71" s="63"/>
      <c r="NFH71" s="63"/>
      <c r="NFI71" s="63"/>
      <c r="NFJ71" s="63"/>
      <c r="NFK71" s="63"/>
      <c r="NFL71" s="63"/>
      <c r="NFM71" s="63"/>
      <c r="NFN71" s="63"/>
      <c r="NFO71" s="63"/>
      <c r="NFP71" s="63"/>
      <c r="NFQ71" s="63"/>
      <c r="NFR71" s="63"/>
      <c r="NFS71" s="63"/>
      <c r="NFT71" s="63"/>
      <c r="NFU71" s="63"/>
      <c r="NFV71" s="63"/>
      <c r="NFW71" s="63"/>
      <c r="NFX71" s="63"/>
      <c r="NFY71" s="63"/>
      <c r="NFZ71" s="63"/>
      <c r="NGA71" s="63"/>
      <c r="NGB71" s="63"/>
      <c r="NGC71" s="63"/>
      <c r="NGD71" s="63"/>
      <c r="NGE71" s="63"/>
      <c r="NGF71" s="63"/>
      <c r="NGG71" s="63"/>
      <c r="NGH71" s="63"/>
      <c r="NGI71" s="63"/>
      <c r="NGJ71" s="63"/>
      <c r="NGK71" s="63"/>
      <c r="NGL71" s="63"/>
      <c r="NGM71" s="63"/>
      <c r="NGN71" s="63"/>
      <c r="NGO71" s="63"/>
      <c r="NGP71" s="63"/>
      <c r="NGQ71" s="63"/>
      <c r="NGR71" s="63"/>
      <c r="NGS71" s="63"/>
      <c r="NGT71" s="63"/>
      <c r="NGU71" s="63"/>
      <c r="NGV71" s="63"/>
      <c r="NGW71" s="63"/>
      <c r="NGX71" s="63"/>
      <c r="NGY71" s="63"/>
      <c r="NGZ71" s="63"/>
      <c r="NHA71" s="63"/>
      <c r="NHB71" s="63"/>
      <c r="NHC71" s="63"/>
      <c r="NHD71" s="63"/>
      <c r="NHE71" s="63"/>
      <c r="NHF71" s="63"/>
      <c r="NHG71" s="63"/>
      <c r="NHH71" s="63"/>
      <c r="NHI71" s="63"/>
      <c r="NHJ71" s="63"/>
      <c r="NHK71" s="63"/>
      <c r="NHL71" s="63"/>
      <c r="NHM71" s="63"/>
      <c r="NHN71" s="63"/>
      <c r="NHO71" s="63"/>
      <c r="NHP71" s="63"/>
      <c r="NHQ71" s="63"/>
      <c r="NHR71" s="63"/>
      <c r="NHS71" s="63"/>
      <c r="NHT71" s="63"/>
      <c r="NHU71" s="63"/>
      <c r="NHV71" s="63"/>
      <c r="NHW71" s="63"/>
      <c r="NHX71" s="63"/>
      <c r="NHY71" s="63"/>
      <c r="NHZ71" s="63"/>
      <c r="NIA71" s="63"/>
      <c r="NIB71" s="63"/>
      <c r="NIC71" s="63"/>
      <c r="NID71" s="63"/>
      <c r="NIE71" s="63"/>
      <c r="NIF71" s="63"/>
      <c r="NIG71" s="63"/>
      <c r="NIH71" s="63"/>
      <c r="NII71" s="63"/>
      <c r="NIJ71" s="63"/>
      <c r="NIK71" s="63"/>
      <c r="NIL71" s="63"/>
      <c r="NIM71" s="63"/>
      <c r="NIN71" s="63"/>
      <c r="NIO71" s="63"/>
      <c r="NIP71" s="63"/>
      <c r="NIQ71" s="63"/>
      <c r="NIR71" s="63"/>
      <c r="NIS71" s="63"/>
      <c r="NIT71" s="63"/>
      <c r="NIU71" s="63"/>
      <c r="NIV71" s="63"/>
      <c r="NIW71" s="63"/>
      <c r="NIX71" s="63"/>
      <c r="NIY71" s="63"/>
      <c r="NIZ71" s="63"/>
      <c r="NJA71" s="63"/>
      <c r="NJB71" s="63"/>
      <c r="NJC71" s="63"/>
      <c r="NJD71" s="63"/>
      <c r="NJE71" s="63"/>
      <c r="NJF71" s="63"/>
      <c r="NJG71" s="63"/>
      <c r="NJH71" s="63"/>
      <c r="NJI71" s="63"/>
      <c r="NJJ71" s="63"/>
      <c r="NJK71" s="63"/>
      <c r="NJL71" s="63"/>
      <c r="NJM71" s="63"/>
      <c r="NJN71" s="63"/>
      <c r="NJO71" s="63"/>
      <c r="NJP71" s="63"/>
      <c r="NJQ71" s="63"/>
      <c r="NJR71" s="63"/>
      <c r="NJS71" s="63"/>
      <c r="NJT71" s="63"/>
      <c r="NJU71" s="63"/>
      <c r="NJV71" s="63"/>
      <c r="NJW71" s="63"/>
      <c r="NJX71" s="63"/>
      <c r="NJY71" s="63"/>
      <c r="NJZ71" s="63"/>
      <c r="NKA71" s="63"/>
      <c r="NKB71" s="63"/>
      <c r="NKC71" s="63"/>
      <c r="NKD71" s="63"/>
      <c r="NKE71" s="63"/>
      <c r="NKF71" s="63"/>
      <c r="NKG71" s="63"/>
      <c r="NKH71" s="63"/>
      <c r="NKI71" s="63"/>
      <c r="NKJ71" s="63"/>
      <c r="NKK71" s="63"/>
      <c r="NKL71" s="63"/>
      <c r="NKM71" s="63"/>
      <c r="NKN71" s="63"/>
      <c r="NKO71" s="63"/>
      <c r="NKP71" s="63"/>
      <c r="NKQ71" s="63"/>
      <c r="NKR71" s="63"/>
      <c r="NKS71" s="63"/>
      <c r="NKT71" s="63"/>
      <c r="NKU71" s="63"/>
      <c r="NKV71" s="63"/>
      <c r="NKW71" s="63"/>
      <c r="NKX71" s="63"/>
      <c r="NKY71" s="63"/>
      <c r="NKZ71" s="63"/>
      <c r="NLA71" s="63"/>
      <c r="NLB71" s="63"/>
      <c r="NLC71" s="63"/>
      <c r="NLD71" s="63"/>
      <c r="NLE71" s="63"/>
      <c r="NLF71" s="63"/>
      <c r="NLG71" s="63"/>
      <c r="NLH71" s="63"/>
      <c r="NLI71" s="63"/>
      <c r="NLJ71" s="63"/>
      <c r="NLK71" s="63"/>
      <c r="NLL71" s="63"/>
      <c r="NLM71" s="63"/>
      <c r="NLN71" s="63"/>
      <c r="NLO71" s="63"/>
      <c r="NLP71" s="63"/>
      <c r="NLQ71" s="63"/>
      <c r="NLR71" s="63"/>
      <c r="NLS71" s="63"/>
      <c r="NLT71" s="63"/>
      <c r="NLU71" s="63"/>
      <c r="NLV71" s="63"/>
      <c r="NLW71" s="63"/>
      <c r="NLX71" s="63"/>
      <c r="NLY71" s="63"/>
      <c r="NLZ71" s="63"/>
      <c r="NMA71" s="63"/>
      <c r="NMB71" s="63"/>
      <c r="NMC71" s="63"/>
      <c r="NMD71" s="63"/>
      <c r="NME71" s="63"/>
      <c r="NMF71" s="63"/>
      <c r="NMG71" s="63"/>
      <c r="NMH71" s="63"/>
      <c r="NMI71" s="63"/>
      <c r="NMJ71" s="63"/>
      <c r="NMK71" s="63"/>
      <c r="NML71" s="63"/>
      <c r="NMM71" s="63"/>
      <c r="NMN71" s="63"/>
      <c r="NMO71" s="63"/>
      <c r="NMP71" s="63"/>
      <c r="NMQ71" s="63"/>
      <c r="NMR71" s="63"/>
      <c r="NMS71" s="63"/>
      <c r="NMT71" s="63"/>
      <c r="NMU71" s="63"/>
      <c r="NMV71" s="63"/>
      <c r="NMW71" s="63"/>
      <c r="NMX71" s="63"/>
      <c r="NMY71" s="63"/>
      <c r="NMZ71" s="63"/>
      <c r="NNA71" s="63"/>
      <c r="NNB71" s="63"/>
      <c r="NNC71" s="63"/>
      <c r="NND71" s="63"/>
      <c r="NNE71" s="63"/>
      <c r="NNF71" s="63"/>
      <c r="NNG71" s="63"/>
      <c r="NNH71" s="63"/>
      <c r="NNI71" s="63"/>
      <c r="NNJ71" s="63"/>
      <c r="NNK71" s="63"/>
      <c r="NNL71" s="63"/>
      <c r="NNM71" s="63"/>
      <c r="NNN71" s="63"/>
      <c r="NNO71" s="63"/>
      <c r="NNP71" s="63"/>
      <c r="NNQ71" s="63"/>
      <c r="NNR71" s="63"/>
      <c r="NNS71" s="63"/>
      <c r="NNT71" s="63"/>
      <c r="NNU71" s="63"/>
      <c r="NNV71" s="63"/>
      <c r="NNW71" s="63"/>
      <c r="NNX71" s="63"/>
      <c r="NNY71" s="63"/>
      <c r="NNZ71" s="63"/>
      <c r="NOA71" s="63"/>
      <c r="NOB71" s="63"/>
      <c r="NOC71" s="63"/>
      <c r="NOD71" s="63"/>
      <c r="NOE71" s="63"/>
      <c r="NOF71" s="63"/>
      <c r="NOG71" s="63"/>
      <c r="NOH71" s="63"/>
      <c r="NOI71" s="63"/>
      <c r="NOJ71" s="63"/>
      <c r="NOK71" s="63"/>
      <c r="NOL71" s="63"/>
      <c r="NOM71" s="63"/>
      <c r="NON71" s="63"/>
      <c r="NOO71" s="63"/>
      <c r="NOP71" s="63"/>
      <c r="NOQ71" s="63"/>
      <c r="NOR71" s="63"/>
      <c r="NOS71" s="63"/>
      <c r="NOT71" s="63"/>
      <c r="NOU71" s="63"/>
      <c r="NOV71" s="63"/>
      <c r="NOW71" s="63"/>
      <c r="NOX71" s="63"/>
      <c r="NOY71" s="63"/>
      <c r="NOZ71" s="63"/>
      <c r="NPA71" s="63"/>
      <c r="NPB71" s="63"/>
      <c r="NPC71" s="63"/>
      <c r="NPD71" s="63"/>
      <c r="NPE71" s="63"/>
      <c r="NPF71" s="63"/>
      <c r="NPG71" s="63"/>
      <c r="NPH71" s="63"/>
      <c r="NPI71" s="63"/>
      <c r="NPJ71" s="63"/>
      <c r="NPK71" s="63"/>
      <c r="NPL71" s="63"/>
      <c r="NPM71" s="63"/>
      <c r="NPN71" s="63"/>
      <c r="NPO71" s="63"/>
      <c r="NPP71" s="63"/>
      <c r="NPQ71" s="63"/>
      <c r="NPR71" s="63"/>
      <c r="NPS71" s="63"/>
      <c r="NPT71" s="63"/>
      <c r="NPU71" s="63"/>
      <c r="NPV71" s="63"/>
      <c r="NPW71" s="63"/>
      <c r="NPX71" s="63"/>
      <c r="NPY71" s="63"/>
      <c r="NPZ71" s="63"/>
      <c r="NQA71" s="63"/>
      <c r="NQB71" s="63"/>
      <c r="NQC71" s="63"/>
      <c r="NQD71" s="63"/>
      <c r="NQE71" s="63"/>
      <c r="NQF71" s="63"/>
      <c r="NQG71" s="63"/>
      <c r="NQH71" s="63"/>
      <c r="NQI71" s="63"/>
      <c r="NQJ71" s="63"/>
      <c r="NQK71" s="63"/>
      <c r="NQL71" s="63"/>
      <c r="NQM71" s="63"/>
      <c r="NQN71" s="63"/>
      <c r="NQO71" s="63"/>
      <c r="NQP71" s="63"/>
      <c r="NQQ71" s="63"/>
      <c r="NQR71" s="63"/>
      <c r="NQS71" s="63"/>
      <c r="NQT71" s="63"/>
      <c r="NQU71" s="63"/>
      <c r="NQV71" s="63"/>
      <c r="NQW71" s="63"/>
      <c r="NQX71" s="63"/>
      <c r="NQY71" s="63"/>
      <c r="NQZ71" s="63"/>
      <c r="NRA71" s="63"/>
      <c r="NRB71" s="63"/>
      <c r="NRC71" s="63"/>
      <c r="NRD71" s="63"/>
      <c r="NRE71" s="63"/>
      <c r="NRF71" s="63"/>
      <c r="NRG71" s="63"/>
      <c r="NRH71" s="63"/>
      <c r="NRI71" s="63"/>
      <c r="NRJ71" s="63"/>
      <c r="NRK71" s="63"/>
      <c r="NRL71" s="63"/>
      <c r="NRM71" s="63"/>
      <c r="NRN71" s="63"/>
      <c r="NRO71" s="63"/>
      <c r="NRP71" s="63"/>
      <c r="NRQ71" s="63"/>
      <c r="NRR71" s="63"/>
      <c r="NRS71" s="63"/>
      <c r="NRT71" s="63"/>
      <c r="NRU71" s="63"/>
      <c r="NRV71" s="63"/>
      <c r="NRW71" s="63"/>
      <c r="NRX71" s="63"/>
      <c r="NRY71" s="63"/>
      <c r="NRZ71" s="63"/>
      <c r="NSA71" s="63"/>
      <c r="NSB71" s="63"/>
      <c r="NSC71" s="63"/>
      <c r="NSD71" s="63"/>
      <c r="NSE71" s="63"/>
      <c r="NSF71" s="63"/>
      <c r="NSG71" s="63"/>
      <c r="NSH71" s="63"/>
      <c r="NSI71" s="63"/>
      <c r="NSJ71" s="63"/>
      <c r="NSK71" s="63"/>
      <c r="NSL71" s="63"/>
      <c r="NSM71" s="63"/>
      <c r="NSN71" s="63"/>
      <c r="NSO71" s="63"/>
      <c r="NSP71" s="63"/>
      <c r="NSQ71" s="63"/>
      <c r="NSR71" s="63"/>
      <c r="NSS71" s="63"/>
      <c r="NST71" s="63"/>
      <c r="NSU71" s="63"/>
      <c r="NSV71" s="63"/>
      <c r="NSW71" s="63"/>
      <c r="NSX71" s="63"/>
      <c r="NSY71" s="63"/>
      <c r="NSZ71" s="63"/>
      <c r="NTA71" s="63"/>
      <c r="NTB71" s="63"/>
      <c r="NTC71" s="63"/>
      <c r="NTD71" s="63"/>
      <c r="NTE71" s="63"/>
      <c r="NTF71" s="63"/>
      <c r="NTG71" s="63"/>
      <c r="NTH71" s="63"/>
      <c r="NTI71" s="63"/>
      <c r="NTJ71" s="63"/>
      <c r="NTK71" s="63"/>
      <c r="NTL71" s="63"/>
      <c r="NTM71" s="63"/>
      <c r="NTN71" s="63"/>
      <c r="NTO71" s="63"/>
      <c r="NTP71" s="63"/>
      <c r="NTQ71" s="63"/>
      <c r="NTR71" s="63"/>
      <c r="NTS71" s="63"/>
      <c r="NTT71" s="63"/>
      <c r="NTU71" s="63"/>
      <c r="NTV71" s="63"/>
      <c r="NTW71" s="63"/>
      <c r="NTX71" s="63"/>
      <c r="NTY71" s="63"/>
      <c r="NTZ71" s="63"/>
      <c r="NUA71" s="63"/>
      <c r="NUB71" s="63"/>
      <c r="NUC71" s="63"/>
      <c r="NUD71" s="63"/>
      <c r="NUE71" s="63"/>
      <c r="NUF71" s="63"/>
      <c r="NUG71" s="63"/>
      <c r="NUH71" s="63"/>
      <c r="NUI71" s="63"/>
      <c r="NUJ71" s="63"/>
      <c r="NUK71" s="63"/>
      <c r="NUL71" s="63"/>
      <c r="NUM71" s="63"/>
      <c r="NUN71" s="63"/>
      <c r="NUO71" s="63"/>
      <c r="NUP71" s="63"/>
      <c r="NUQ71" s="63"/>
      <c r="NUR71" s="63"/>
      <c r="NUS71" s="63"/>
      <c r="NUT71" s="63"/>
      <c r="NUU71" s="63"/>
      <c r="NUV71" s="63"/>
      <c r="NUW71" s="63"/>
      <c r="NUX71" s="63"/>
      <c r="NUY71" s="63"/>
      <c r="NUZ71" s="63"/>
      <c r="NVA71" s="63"/>
      <c r="NVB71" s="63"/>
      <c r="NVC71" s="63"/>
      <c r="NVD71" s="63"/>
      <c r="NVE71" s="63"/>
      <c r="NVF71" s="63"/>
      <c r="NVG71" s="63"/>
      <c r="NVH71" s="63"/>
      <c r="NVI71" s="63"/>
      <c r="NVJ71" s="63"/>
      <c r="NVK71" s="63"/>
      <c r="NVL71" s="63"/>
      <c r="NVM71" s="63"/>
      <c r="NVN71" s="63"/>
      <c r="NVO71" s="63"/>
      <c r="NVP71" s="63"/>
      <c r="NVQ71" s="63"/>
      <c r="NVR71" s="63"/>
      <c r="NVS71" s="63"/>
      <c r="NVT71" s="63"/>
      <c r="NVU71" s="63"/>
      <c r="NVV71" s="63"/>
      <c r="NVW71" s="63"/>
      <c r="NVX71" s="63"/>
      <c r="NVY71" s="63"/>
      <c r="NVZ71" s="63"/>
      <c r="NWA71" s="63"/>
      <c r="NWB71" s="63"/>
      <c r="NWC71" s="63"/>
      <c r="NWD71" s="63"/>
      <c r="NWE71" s="63"/>
      <c r="NWF71" s="63"/>
      <c r="NWG71" s="63"/>
      <c r="NWH71" s="63"/>
      <c r="NWI71" s="63"/>
      <c r="NWJ71" s="63"/>
      <c r="NWK71" s="63"/>
      <c r="NWL71" s="63"/>
      <c r="NWM71" s="63"/>
      <c r="NWN71" s="63"/>
      <c r="NWO71" s="63"/>
      <c r="NWP71" s="63"/>
      <c r="NWQ71" s="63"/>
      <c r="NWR71" s="63"/>
      <c r="NWS71" s="63"/>
      <c r="NWT71" s="63"/>
      <c r="NWU71" s="63"/>
      <c r="NWV71" s="63"/>
      <c r="NWW71" s="63"/>
      <c r="NWX71" s="63"/>
      <c r="NWY71" s="63"/>
      <c r="NWZ71" s="63"/>
      <c r="NXA71" s="63"/>
      <c r="NXB71" s="63"/>
      <c r="NXC71" s="63"/>
      <c r="NXD71" s="63"/>
      <c r="NXE71" s="63"/>
      <c r="NXF71" s="63"/>
      <c r="NXG71" s="63"/>
      <c r="NXH71" s="63"/>
      <c r="NXI71" s="63"/>
      <c r="NXJ71" s="63"/>
      <c r="NXK71" s="63"/>
      <c r="NXL71" s="63"/>
      <c r="NXM71" s="63"/>
      <c r="NXN71" s="63"/>
      <c r="NXO71" s="63"/>
      <c r="NXP71" s="63"/>
      <c r="NXQ71" s="63"/>
      <c r="NXR71" s="63"/>
      <c r="NXS71" s="63"/>
      <c r="NXT71" s="63"/>
      <c r="NXU71" s="63"/>
      <c r="NXV71" s="63"/>
      <c r="NXW71" s="63"/>
      <c r="NXX71" s="63"/>
      <c r="NXY71" s="63"/>
      <c r="NXZ71" s="63"/>
      <c r="NYA71" s="63"/>
      <c r="NYB71" s="63"/>
      <c r="NYC71" s="63"/>
      <c r="NYD71" s="63"/>
      <c r="NYE71" s="63"/>
      <c r="NYF71" s="63"/>
      <c r="NYG71" s="63"/>
      <c r="NYH71" s="63"/>
      <c r="NYI71" s="63"/>
      <c r="NYJ71" s="63"/>
      <c r="NYK71" s="63"/>
      <c r="NYL71" s="63"/>
      <c r="NYM71" s="63"/>
      <c r="NYN71" s="63"/>
      <c r="NYO71" s="63"/>
      <c r="NYP71" s="63"/>
      <c r="NYQ71" s="63"/>
      <c r="NYR71" s="63"/>
      <c r="NYS71" s="63"/>
      <c r="NYT71" s="63"/>
      <c r="NYU71" s="63"/>
      <c r="NYV71" s="63"/>
      <c r="NYW71" s="63"/>
      <c r="NYX71" s="63"/>
      <c r="NYY71" s="63"/>
      <c r="NYZ71" s="63"/>
      <c r="NZA71" s="63"/>
      <c r="NZB71" s="63"/>
      <c r="NZC71" s="63"/>
      <c r="NZD71" s="63"/>
      <c r="NZE71" s="63"/>
      <c r="NZF71" s="63"/>
      <c r="NZG71" s="63"/>
      <c r="NZH71" s="63"/>
      <c r="NZI71" s="63"/>
      <c r="NZJ71" s="63"/>
      <c r="NZK71" s="63"/>
      <c r="NZL71" s="63"/>
      <c r="NZM71" s="63"/>
      <c r="NZN71" s="63"/>
      <c r="NZO71" s="63"/>
      <c r="NZP71" s="63"/>
      <c r="NZQ71" s="63"/>
      <c r="NZR71" s="63"/>
      <c r="NZS71" s="63"/>
      <c r="NZT71" s="63"/>
      <c r="NZU71" s="63"/>
      <c r="NZV71" s="63"/>
      <c r="NZW71" s="63"/>
      <c r="NZX71" s="63"/>
      <c r="NZY71" s="63"/>
      <c r="NZZ71" s="63"/>
      <c r="OAA71" s="63"/>
      <c r="OAB71" s="63"/>
      <c r="OAC71" s="63"/>
      <c r="OAD71" s="63"/>
      <c r="OAE71" s="63"/>
      <c r="OAF71" s="63"/>
      <c r="OAG71" s="63"/>
      <c r="OAH71" s="63"/>
      <c r="OAI71" s="63"/>
      <c r="OAJ71" s="63"/>
      <c r="OAK71" s="63"/>
      <c r="OAL71" s="63"/>
      <c r="OAM71" s="63"/>
      <c r="OAN71" s="63"/>
      <c r="OAO71" s="63"/>
      <c r="OAP71" s="63"/>
      <c r="OAQ71" s="63"/>
      <c r="OAR71" s="63"/>
      <c r="OAS71" s="63"/>
      <c r="OAT71" s="63"/>
      <c r="OAU71" s="63"/>
      <c r="OAV71" s="63"/>
      <c r="OAW71" s="63"/>
      <c r="OAX71" s="63"/>
      <c r="OAY71" s="63"/>
      <c r="OAZ71" s="63"/>
      <c r="OBA71" s="63"/>
      <c r="OBB71" s="63"/>
      <c r="OBC71" s="63"/>
      <c r="OBD71" s="63"/>
      <c r="OBE71" s="63"/>
      <c r="OBF71" s="63"/>
      <c r="OBG71" s="63"/>
      <c r="OBH71" s="63"/>
      <c r="OBI71" s="63"/>
      <c r="OBJ71" s="63"/>
      <c r="OBK71" s="63"/>
      <c r="OBL71" s="63"/>
      <c r="OBM71" s="63"/>
      <c r="OBN71" s="63"/>
      <c r="OBO71" s="63"/>
      <c r="OBP71" s="63"/>
      <c r="OBQ71" s="63"/>
      <c r="OBR71" s="63"/>
      <c r="OBS71" s="63"/>
      <c r="OBT71" s="63"/>
      <c r="OBU71" s="63"/>
      <c r="OBV71" s="63"/>
      <c r="OBW71" s="63"/>
      <c r="OBX71" s="63"/>
      <c r="OBY71" s="63"/>
      <c r="OBZ71" s="63"/>
      <c r="OCA71" s="63"/>
      <c r="OCB71" s="63"/>
      <c r="OCC71" s="63"/>
      <c r="OCD71" s="63"/>
      <c r="OCE71" s="63"/>
      <c r="OCF71" s="63"/>
      <c r="OCG71" s="63"/>
      <c r="OCH71" s="63"/>
      <c r="OCI71" s="63"/>
      <c r="OCJ71" s="63"/>
      <c r="OCK71" s="63"/>
      <c r="OCL71" s="63"/>
      <c r="OCM71" s="63"/>
      <c r="OCN71" s="63"/>
      <c r="OCO71" s="63"/>
      <c r="OCP71" s="63"/>
      <c r="OCQ71" s="63"/>
      <c r="OCR71" s="63"/>
      <c r="OCS71" s="63"/>
      <c r="OCT71" s="63"/>
      <c r="OCU71" s="63"/>
      <c r="OCV71" s="63"/>
      <c r="OCW71" s="63"/>
      <c r="OCX71" s="63"/>
      <c r="OCY71" s="63"/>
      <c r="OCZ71" s="63"/>
      <c r="ODA71" s="63"/>
      <c r="ODB71" s="63"/>
      <c r="ODC71" s="63"/>
      <c r="ODD71" s="63"/>
      <c r="ODE71" s="63"/>
      <c r="ODF71" s="63"/>
      <c r="ODG71" s="63"/>
      <c r="ODH71" s="63"/>
      <c r="ODI71" s="63"/>
      <c r="ODJ71" s="63"/>
      <c r="ODK71" s="63"/>
      <c r="ODL71" s="63"/>
      <c r="ODM71" s="63"/>
      <c r="ODN71" s="63"/>
      <c r="ODO71" s="63"/>
      <c r="ODP71" s="63"/>
      <c r="ODQ71" s="63"/>
      <c r="ODR71" s="63"/>
      <c r="ODS71" s="63"/>
      <c r="ODT71" s="63"/>
      <c r="ODU71" s="63"/>
      <c r="ODV71" s="63"/>
      <c r="ODW71" s="63"/>
      <c r="ODX71" s="63"/>
      <c r="ODY71" s="63"/>
      <c r="ODZ71" s="63"/>
      <c r="OEA71" s="63"/>
      <c r="OEB71" s="63"/>
      <c r="OEC71" s="63"/>
      <c r="OED71" s="63"/>
      <c r="OEE71" s="63"/>
      <c r="OEF71" s="63"/>
      <c r="OEG71" s="63"/>
      <c r="OEH71" s="63"/>
      <c r="OEI71" s="63"/>
      <c r="OEJ71" s="63"/>
      <c r="OEK71" s="63"/>
      <c r="OEL71" s="63"/>
      <c r="OEM71" s="63"/>
      <c r="OEN71" s="63"/>
      <c r="OEO71" s="63"/>
      <c r="OEP71" s="63"/>
      <c r="OEQ71" s="63"/>
      <c r="OER71" s="63"/>
      <c r="OES71" s="63"/>
      <c r="OET71" s="63"/>
      <c r="OEU71" s="63"/>
      <c r="OEV71" s="63"/>
      <c r="OEW71" s="63"/>
      <c r="OEX71" s="63"/>
      <c r="OEY71" s="63"/>
      <c r="OEZ71" s="63"/>
      <c r="OFA71" s="63"/>
      <c r="OFB71" s="63"/>
      <c r="OFC71" s="63"/>
      <c r="OFD71" s="63"/>
      <c r="OFE71" s="63"/>
      <c r="OFF71" s="63"/>
      <c r="OFG71" s="63"/>
      <c r="OFH71" s="63"/>
      <c r="OFI71" s="63"/>
      <c r="OFJ71" s="63"/>
      <c r="OFK71" s="63"/>
      <c r="OFL71" s="63"/>
      <c r="OFM71" s="63"/>
      <c r="OFN71" s="63"/>
      <c r="OFO71" s="63"/>
      <c r="OFP71" s="63"/>
      <c r="OFQ71" s="63"/>
      <c r="OFR71" s="63"/>
      <c r="OFS71" s="63"/>
      <c r="OFT71" s="63"/>
      <c r="OFU71" s="63"/>
      <c r="OFV71" s="63"/>
      <c r="OFW71" s="63"/>
      <c r="OFX71" s="63"/>
      <c r="OFY71" s="63"/>
      <c r="OFZ71" s="63"/>
      <c r="OGA71" s="63"/>
      <c r="OGB71" s="63"/>
      <c r="OGC71" s="63"/>
      <c r="OGD71" s="63"/>
      <c r="OGE71" s="63"/>
      <c r="OGF71" s="63"/>
      <c r="OGG71" s="63"/>
      <c r="OGH71" s="63"/>
      <c r="OGI71" s="63"/>
      <c r="OGJ71" s="63"/>
      <c r="OGK71" s="63"/>
      <c r="OGL71" s="63"/>
      <c r="OGM71" s="63"/>
      <c r="OGN71" s="63"/>
      <c r="OGO71" s="63"/>
      <c r="OGP71" s="63"/>
      <c r="OGQ71" s="63"/>
      <c r="OGR71" s="63"/>
      <c r="OGS71" s="63"/>
      <c r="OGT71" s="63"/>
      <c r="OGU71" s="63"/>
      <c r="OGV71" s="63"/>
      <c r="OGW71" s="63"/>
      <c r="OGX71" s="63"/>
      <c r="OGY71" s="63"/>
      <c r="OGZ71" s="63"/>
      <c r="OHA71" s="63"/>
      <c r="OHB71" s="63"/>
      <c r="OHC71" s="63"/>
      <c r="OHD71" s="63"/>
      <c r="OHE71" s="63"/>
      <c r="OHF71" s="63"/>
      <c r="OHG71" s="63"/>
      <c r="OHH71" s="63"/>
      <c r="OHI71" s="63"/>
      <c r="OHJ71" s="63"/>
      <c r="OHK71" s="63"/>
      <c r="OHL71" s="63"/>
      <c r="OHM71" s="63"/>
      <c r="OHN71" s="63"/>
      <c r="OHO71" s="63"/>
      <c r="OHP71" s="63"/>
      <c r="OHQ71" s="63"/>
      <c r="OHR71" s="63"/>
      <c r="OHS71" s="63"/>
      <c r="OHT71" s="63"/>
      <c r="OHU71" s="63"/>
      <c r="OHV71" s="63"/>
      <c r="OHW71" s="63"/>
      <c r="OHX71" s="63"/>
      <c r="OHY71" s="63"/>
      <c r="OHZ71" s="63"/>
      <c r="OIA71" s="63"/>
      <c r="OIB71" s="63"/>
      <c r="OIC71" s="63"/>
      <c r="OID71" s="63"/>
      <c r="OIE71" s="63"/>
      <c r="OIF71" s="63"/>
      <c r="OIG71" s="63"/>
      <c r="OIH71" s="63"/>
      <c r="OII71" s="63"/>
      <c r="OIJ71" s="63"/>
      <c r="OIK71" s="63"/>
      <c r="OIL71" s="63"/>
      <c r="OIM71" s="63"/>
      <c r="OIN71" s="63"/>
      <c r="OIO71" s="63"/>
      <c r="OIP71" s="63"/>
      <c r="OIQ71" s="63"/>
      <c r="OIR71" s="63"/>
      <c r="OIS71" s="63"/>
      <c r="OIT71" s="63"/>
      <c r="OIU71" s="63"/>
      <c r="OIV71" s="63"/>
      <c r="OIW71" s="63"/>
      <c r="OIX71" s="63"/>
      <c r="OIY71" s="63"/>
      <c r="OIZ71" s="63"/>
      <c r="OJA71" s="63"/>
      <c r="OJB71" s="63"/>
      <c r="OJC71" s="63"/>
      <c r="OJD71" s="63"/>
      <c r="OJE71" s="63"/>
      <c r="OJF71" s="63"/>
      <c r="OJG71" s="63"/>
      <c r="OJH71" s="63"/>
      <c r="OJI71" s="63"/>
      <c r="OJJ71" s="63"/>
      <c r="OJK71" s="63"/>
      <c r="OJL71" s="63"/>
      <c r="OJM71" s="63"/>
      <c r="OJN71" s="63"/>
      <c r="OJO71" s="63"/>
      <c r="OJP71" s="63"/>
      <c r="OJQ71" s="63"/>
      <c r="OJR71" s="63"/>
      <c r="OJS71" s="63"/>
      <c r="OJT71" s="63"/>
      <c r="OJU71" s="63"/>
      <c r="OJV71" s="63"/>
      <c r="OJW71" s="63"/>
      <c r="OJX71" s="63"/>
      <c r="OJY71" s="63"/>
      <c r="OJZ71" s="63"/>
      <c r="OKA71" s="63"/>
      <c r="OKB71" s="63"/>
      <c r="OKC71" s="63"/>
      <c r="OKD71" s="63"/>
      <c r="OKE71" s="63"/>
      <c r="OKF71" s="63"/>
      <c r="OKG71" s="63"/>
      <c r="OKH71" s="63"/>
      <c r="OKI71" s="63"/>
      <c r="OKJ71" s="63"/>
      <c r="OKK71" s="63"/>
      <c r="OKL71" s="63"/>
      <c r="OKM71" s="63"/>
      <c r="OKN71" s="63"/>
      <c r="OKO71" s="63"/>
      <c r="OKP71" s="63"/>
      <c r="OKQ71" s="63"/>
      <c r="OKR71" s="63"/>
      <c r="OKS71" s="63"/>
      <c r="OKT71" s="63"/>
      <c r="OKU71" s="63"/>
      <c r="OKV71" s="63"/>
      <c r="OKW71" s="63"/>
      <c r="OKX71" s="63"/>
      <c r="OKY71" s="63"/>
      <c r="OKZ71" s="63"/>
      <c r="OLA71" s="63"/>
      <c r="OLB71" s="63"/>
      <c r="OLC71" s="63"/>
      <c r="OLD71" s="63"/>
      <c r="OLE71" s="63"/>
      <c r="OLF71" s="63"/>
      <c r="OLG71" s="63"/>
      <c r="OLH71" s="63"/>
      <c r="OLI71" s="63"/>
      <c r="OLJ71" s="63"/>
      <c r="OLK71" s="63"/>
      <c r="OLL71" s="63"/>
      <c r="OLM71" s="63"/>
      <c r="OLN71" s="63"/>
      <c r="OLO71" s="63"/>
      <c r="OLP71" s="63"/>
      <c r="OLQ71" s="63"/>
      <c r="OLR71" s="63"/>
      <c r="OLS71" s="63"/>
      <c r="OLT71" s="63"/>
      <c r="OLU71" s="63"/>
      <c r="OLV71" s="63"/>
      <c r="OLW71" s="63"/>
      <c r="OLX71" s="63"/>
      <c r="OLY71" s="63"/>
      <c r="OLZ71" s="63"/>
      <c r="OMA71" s="63"/>
      <c r="OMB71" s="63"/>
      <c r="OMC71" s="63"/>
      <c r="OMD71" s="63"/>
      <c r="OME71" s="63"/>
      <c r="OMF71" s="63"/>
      <c r="OMG71" s="63"/>
      <c r="OMH71" s="63"/>
      <c r="OMI71" s="63"/>
      <c r="OMJ71" s="63"/>
      <c r="OMK71" s="63"/>
      <c r="OML71" s="63"/>
      <c r="OMM71" s="63"/>
      <c r="OMN71" s="63"/>
      <c r="OMO71" s="63"/>
      <c r="OMP71" s="63"/>
      <c r="OMQ71" s="63"/>
      <c r="OMR71" s="63"/>
      <c r="OMS71" s="63"/>
      <c r="OMT71" s="63"/>
      <c r="OMU71" s="63"/>
      <c r="OMV71" s="63"/>
      <c r="OMW71" s="63"/>
      <c r="OMX71" s="63"/>
      <c r="OMY71" s="63"/>
      <c r="OMZ71" s="63"/>
      <c r="ONA71" s="63"/>
      <c r="ONB71" s="63"/>
      <c r="ONC71" s="63"/>
      <c r="OND71" s="63"/>
      <c r="ONE71" s="63"/>
      <c r="ONF71" s="63"/>
      <c r="ONG71" s="63"/>
      <c r="ONH71" s="63"/>
      <c r="ONI71" s="63"/>
      <c r="ONJ71" s="63"/>
      <c r="ONK71" s="63"/>
      <c r="ONL71" s="63"/>
      <c r="ONM71" s="63"/>
      <c r="ONN71" s="63"/>
      <c r="ONO71" s="63"/>
      <c r="ONP71" s="63"/>
      <c r="ONQ71" s="63"/>
      <c r="ONR71" s="63"/>
      <c r="ONS71" s="63"/>
      <c r="ONT71" s="63"/>
      <c r="ONU71" s="63"/>
      <c r="ONV71" s="63"/>
      <c r="ONW71" s="63"/>
      <c r="ONX71" s="63"/>
      <c r="ONY71" s="63"/>
      <c r="ONZ71" s="63"/>
      <c r="OOA71" s="63"/>
      <c r="OOB71" s="63"/>
      <c r="OOC71" s="63"/>
      <c r="OOD71" s="63"/>
      <c r="OOE71" s="63"/>
      <c r="OOF71" s="63"/>
      <c r="OOG71" s="63"/>
      <c r="OOH71" s="63"/>
      <c r="OOI71" s="63"/>
      <c r="OOJ71" s="63"/>
      <c r="OOK71" s="63"/>
      <c r="OOL71" s="63"/>
      <c r="OOM71" s="63"/>
      <c r="OON71" s="63"/>
      <c r="OOO71" s="63"/>
      <c r="OOP71" s="63"/>
      <c r="OOQ71" s="63"/>
      <c r="OOR71" s="63"/>
      <c r="OOS71" s="63"/>
      <c r="OOT71" s="63"/>
      <c r="OOU71" s="63"/>
      <c r="OOV71" s="63"/>
      <c r="OOW71" s="63"/>
      <c r="OOX71" s="63"/>
      <c r="OOY71" s="63"/>
      <c r="OOZ71" s="63"/>
      <c r="OPA71" s="63"/>
      <c r="OPB71" s="63"/>
      <c r="OPC71" s="63"/>
      <c r="OPD71" s="63"/>
      <c r="OPE71" s="63"/>
      <c r="OPF71" s="63"/>
      <c r="OPG71" s="63"/>
      <c r="OPH71" s="63"/>
      <c r="OPI71" s="63"/>
      <c r="OPJ71" s="63"/>
      <c r="OPK71" s="63"/>
      <c r="OPL71" s="63"/>
      <c r="OPM71" s="63"/>
      <c r="OPN71" s="63"/>
      <c r="OPO71" s="63"/>
      <c r="OPP71" s="63"/>
      <c r="OPQ71" s="63"/>
      <c r="OPR71" s="63"/>
      <c r="OPS71" s="63"/>
      <c r="OPT71" s="63"/>
      <c r="OPU71" s="63"/>
      <c r="OPV71" s="63"/>
      <c r="OPW71" s="63"/>
      <c r="OPX71" s="63"/>
      <c r="OPY71" s="63"/>
      <c r="OPZ71" s="63"/>
      <c r="OQA71" s="63"/>
      <c r="OQB71" s="63"/>
      <c r="OQC71" s="63"/>
      <c r="OQD71" s="63"/>
      <c r="OQE71" s="63"/>
      <c r="OQF71" s="63"/>
      <c r="OQG71" s="63"/>
      <c r="OQH71" s="63"/>
      <c r="OQI71" s="63"/>
      <c r="OQJ71" s="63"/>
      <c r="OQK71" s="63"/>
      <c r="OQL71" s="63"/>
      <c r="OQM71" s="63"/>
      <c r="OQN71" s="63"/>
      <c r="OQO71" s="63"/>
      <c r="OQP71" s="63"/>
      <c r="OQQ71" s="63"/>
      <c r="OQR71" s="63"/>
      <c r="OQS71" s="63"/>
      <c r="OQT71" s="63"/>
      <c r="OQU71" s="63"/>
      <c r="OQV71" s="63"/>
      <c r="OQW71" s="63"/>
      <c r="OQX71" s="63"/>
      <c r="OQY71" s="63"/>
      <c r="OQZ71" s="63"/>
      <c r="ORA71" s="63"/>
      <c r="ORB71" s="63"/>
      <c r="ORC71" s="63"/>
      <c r="ORD71" s="63"/>
      <c r="ORE71" s="63"/>
      <c r="ORF71" s="63"/>
      <c r="ORG71" s="63"/>
      <c r="ORH71" s="63"/>
      <c r="ORI71" s="63"/>
      <c r="ORJ71" s="63"/>
      <c r="ORK71" s="63"/>
      <c r="ORL71" s="63"/>
      <c r="ORM71" s="63"/>
      <c r="ORN71" s="63"/>
      <c r="ORO71" s="63"/>
      <c r="ORP71" s="63"/>
      <c r="ORQ71" s="63"/>
      <c r="ORR71" s="63"/>
      <c r="ORS71" s="63"/>
      <c r="ORT71" s="63"/>
      <c r="ORU71" s="63"/>
      <c r="ORV71" s="63"/>
      <c r="ORW71" s="63"/>
      <c r="ORX71" s="63"/>
      <c r="ORY71" s="63"/>
      <c r="ORZ71" s="63"/>
      <c r="OSA71" s="63"/>
      <c r="OSB71" s="63"/>
      <c r="OSC71" s="63"/>
      <c r="OSD71" s="63"/>
      <c r="OSE71" s="63"/>
      <c r="OSF71" s="63"/>
      <c r="OSG71" s="63"/>
      <c r="OSH71" s="63"/>
      <c r="OSI71" s="63"/>
      <c r="OSJ71" s="63"/>
      <c r="OSK71" s="63"/>
      <c r="OSL71" s="63"/>
      <c r="OSM71" s="63"/>
      <c r="OSN71" s="63"/>
      <c r="OSO71" s="63"/>
      <c r="OSP71" s="63"/>
      <c r="OSQ71" s="63"/>
      <c r="OSR71" s="63"/>
      <c r="OSS71" s="63"/>
      <c r="OST71" s="63"/>
      <c r="OSU71" s="63"/>
      <c r="OSV71" s="63"/>
      <c r="OSW71" s="63"/>
      <c r="OSX71" s="63"/>
      <c r="OSY71" s="63"/>
      <c r="OSZ71" s="63"/>
      <c r="OTA71" s="63"/>
      <c r="OTB71" s="63"/>
      <c r="OTC71" s="63"/>
      <c r="OTD71" s="63"/>
      <c r="OTE71" s="63"/>
      <c r="OTF71" s="63"/>
      <c r="OTG71" s="63"/>
      <c r="OTH71" s="63"/>
      <c r="OTI71" s="63"/>
      <c r="OTJ71" s="63"/>
      <c r="OTK71" s="63"/>
      <c r="OTL71" s="63"/>
      <c r="OTM71" s="63"/>
      <c r="OTN71" s="63"/>
      <c r="OTO71" s="63"/>
      <c r="OTP71" s="63"/>
      <c r="OTQ71" s="63"/>
      <c r="OTR71" s="63"/>
      <c r="OTS71" s="63"/>
      <c r="OTT71" s="63"/>
      <c r="OTU71" s="63"/>
      <c r="OTV71" s="63"/>
      <c r="OTW71" s="63"/>
      <c r="OTX71" s="63"/>
      <c r="OTY71" s="63"/>
      <c r="OTZ71" s="63"/>
      <c r="OUA71" s="63"/>
      <c r="OUB71" s="63"/>
      <c r="OUC71" s="63"/>
      <c r="OUD71" s="63"/>
      <c r="OUE71" s="63"/>
      <c r="OUF71" s="63"/>
      <c r="OUG71" s="63"/>
      <c r="OUH71" s="63"/>
      <c r="OUI71" s="63"/>
      <c r="OUJ71" s="63"/>
      <c r="OUK71" s="63"/>
      <c r="OUL71" s="63"/>
      <c r="OUM71" s="63"/>
      <c r="OUN71" s="63"/>
      <c r="OUO71" s="63"/>
      <c r="OUP71" s="63"/>
      <c r="OUQ71" s="63"/>
      <c r="OUR71" s="63"/>
      <c r="OUS71" s="63"/>
      <c r="OUT71" s="63"/>
      <c r="OUU71" s="63"/>
      <c r="OUV71" s="63"/>
      <c r="OUW71" s="63"/>
      <c r="OUX71" s="63"/>
      <c r="OUY71" s="63"/>
      <c r="OUZ71" s="63"/>
      <c r="OVA71" s="63"/>
      <c r="OVB71" s="63"/>
      <c r="OVC71" s="63"/>
      <c r="OVD71" s="63"/>
      <c r="OVE71" s="63"/>
      <c r="OVF71" s="63"/>
      <c r="OVG71" s="63"/>
      <c r="OVH71" s="63"/>
      <c r="OVI71" s="63"/>
      <c r="OVJ71" s="63"/>
      <c r="OVK71" s="63"/>
      <c r="OVL71" s="63"/>
      <c r="OVM71" s="63"/>
      <c r="OVN71" s="63"/>
      <c r="OVO71" s="63"/>
      <c r="OVP71" s="63"/>
      <c r="OVQ71" s="63"/>
      <c r="OVR71" s="63"/>
      <c r="OVS71" s="63"/>
      <c r="OVT71" s="63"/>
      <c r="OVU71" s="63"/>
      <c r="OVV71" s="63"/>
      <c r="OVW71" s="63"/>
      <c r="OVX71" s="63"/>
      <c r="OVY71" s="63"/>
      <c r="OVZ71" s="63"/>
      <c r="OWA71" s="63"/>
      <c r="OWB71" s="63"/>
      <c r="OWC71" s="63"/>
      <c r="OWD71" s="63"/>
      <c r="OWE71" s="63"/>
      <c r="OWF71" s="63"/>
      <c r="OWG71" s="63"/>
      <c r="OWH71" s="63"/>
      <c r="OWI71" s="63"/>
      <c r="OWJ71" s="63"/>
      <c r="OWK71" s="63"/>
      <c r="OWL71" s="63"/>
      <c r="OWM71" s="63"/>
      <c r="OWN71" s="63"/>
      <c r="OWO71" s="63"/>
      <c r="OWP71" s="63"/>
      <c r="OWQ71" s="63"/>
      <c r="OWR71" s="63"/>
      <c r="OWS71" s="63"/>
      <c r="OWT71" s="63"/>
      <c r="OWU71" s="63"/>
      <c r="OWV71" s="63"/>
      <c r="OWW71" s="63"/>
      <c r="OWX71" s="63"/>
      <c r="OWY71" s="63"/>
      <c r="OWZ71" s="63"/>
      <c r="OXA71" s="63"/>
      <c r="OXB71" s="63"/>
      <c r="OXC71" s="63"/>
      <c r="OXD71" s="63"/>
      <c r="OXE71" s="63"/>
      <c r="OXF71" s="63"/>
      <c r="OXG71" s="63"/>
      <c r="OXH71" s="63"/>
      <c r="OXI71" s="63"/>
      <c r="OXJ71" s="63"/>
      <c r="OXK71" s="63"/>
      <c r="OXL71" s="63"/>
      <c r="OXM71" s="63"/>
      <c r="OXN71" s="63"/>
      <c r="OXO71" s="63"/>
      <c r="OXP71" s="63"/>
      <c r="OXQ71" s="63"/>
      <c r="OXR71" s="63"/>
      <c r="OXS71" s="63"/>
      <c r="OXT71" s="63"/>
      <c r="OXU71" s="63"/>
      <c r="OXV71" s="63"/>
      <c r="OXW71" s="63"/>
      <c r="OXX71" s="63"/>
      <c r="OXY71" s="63"/>
      <c r="OXZ71" s="63"/>
      <c r="OYA71" s="63"/>
      <c r="OYB71" s="63"/>
      <c r="OYC71" s="63"/>
      <c r="OYD71" s="63"/>
      <c r="OYE71" s="63"/>
      <c r="OYF71" s="63"/>
      <c r="OYG71" s="63"/>
      <c r="OYH71" s="63"/>
      <c r="OYI71" s="63"/>
      <c r="OYJ71" s="63"/>
      <c r="OYK71" s="63"/>
      <c r="OYL71" s="63"/>
      <c r="OYM71" s="63"/>
      <c r="OYN71" s="63"/>
      <c r="OYO71" s="63"/>
      <c r="OYP71" s="63"/>
      <c r="OYQ71" s="63"/>
      <c r="OYR71" s="63"/>
      <c r="OYS71" s="63"/>
      <c r="OYT71" s="63"/>
      <c r="OYU71" s="63"/>
      <c r="OYV71" s="63"/>
      <c r="OYW71" s="63"/>
      <c r="OYX71" s="63"/>
      <c r="OYY71" s="63"/>
      <c r="OYZ71" s="63"/>
      <c r="OZA71" s="63"/>
      <c r="OZB71" s="63"/>
      <c r="OZC71" s="63"/>
      <c r="OZD71" s="63"/>
      <c r="OZE71" s="63"/>
      <c r="OZF71" s="63"/>
      <c r="OZG71" s="63"/>
      <c r="OZH71" s="63"/>
      <c r="OZI71" s="63"/>
      <c r="OZJ71" s="63"/>
      <c r="OZK71" s="63"/>
      <c r="OZL71" s="63"/>
      <c r="OZM71" s="63"/>
      <c r="OZN71" s="63"/>
      <c r="OZO71" s="63"/>
      <c r="OZP71" s="63"/>
      <c r="OZQ71" s="63"/>
      <c r="OZR71" s="63"/>
      <c r="OZS71" s="63"/>
      <c r="OZT71" s="63"/>
      <c r="OZU71" s="63"/>
      <c r="OZV71" s="63"/>
      <c r="OZW71" s="63"/>
      <c r="OZX71" s="63"/>
      <c r="OZY71" s="63"/>
      <c r="OZZ71" s="63"/>
      <c r="PAA71" s="63"/>
      <c r="PAB71" s="63"/>
      <c r="PAC71" s="63"/>
      <c r="PAD71" s="63"/>
      <c r="PAE71" s="63"/>
      <c r="PAF71" s="63"/>
      <c r="PAG71" s="63"/>
      <c r="PAH71" s="63"/>
      <c r="PAI71" s="63"/>
      <c r="PAJ71" s="63"/>
      <c r="PAK71" s="63"/>
      <c r="PAL71" s="63"/>
      <c r="PAM71" s="63"/>
      <c r="PAN71" s="63"/>
      <c r="PAO71" s="63"/>
      <c r="PAP71" s="63"/>
      <c r="PAQ71" s="63"/>
      <c r="PAR71" s="63"/>
      <c r="PAS71" s="63"/>
      <c r="PAT71" s="63"/>
      <c r="PAU71" s="63"/>
      <c r="PAV71" s="63"/>
      <c r="PAW71" s="63"/>
      <c r="PAX71" s="63"/>
      <c r="PAY71" s="63"/>
      <c r="PAZ71" s="63"/>
      <c r="PBA71" s="63"/>
      <c r="PBB71" s="63"/>
      <c r="PBC71" s="63"/>
      <c r="PBD71" s="63"/>
      <c r="PBE71" s="63"/>
      <c r="PBF71" s="63"/>
      <c r="PBG71" s="63"/>
      <c r="PBH71" s="63"/>
      <c r="PBI71" s="63"/>
      <c r="PBJ71" s="63"/>
      <c r="PBK71" s="63"/>
      <c r="PBL71" s="63"/>
      <c r="PBM71" s="63"/>
      <c r="PBN71" s="63"/>
      <c r="PBO71" s="63"/>
      <c r="PBP71" s="63"/>
      <c r="PBQ71" s="63"/>
      <c r="PBR71" s="63"/>
      <c r="PBS71" s="63"/>
      <c r="PBT71" s="63"/>
      <c r="PBU71" s="63"/>
      <c r="PBV71" s="63"/>
      <c r="PBW71" s="63"/>
      <c r="PBX71" s="63"/>
      <c r="PBY71" s="63"/>
      <c r="PBZ71" s="63"/>
      <c r="PCA71" s="63"/>
      <c r="PCB71" s="63"/>
      <c r="PCC71" s="63"/>
      <c r="PCD71" s="63"/>
      <c r="PCE71" s="63"/>
      <c r="PCF71" s="63"/>
      <c r="PCG71" s="63"/>
      <c r="PCH71" s="63"/>
      <c r="PCI71" s="63"/>
      <c r="PCJ71" s="63"/>
      <c r="PCK71" s="63"/>
      <c r="PCL71" s="63"/>
      <c r="PCM71" s="63"/>
      <c r="PCN71" s="63"/>
      <c r="PCO71" s="63"/>
      <c r="PCP71" s="63"/>
      <c r="PCQ71" s="63"/>
      <c r="PCR71" s="63"/>
      <c r="PCS71" s="63"/>
      <c r="PCT71" s="63"/>
      <c r="PCU71" s="63"/>
      <c r="PCV71" s="63"/>
      <c r="PCW71" s="63"/>
      <c r="PCX71" s="63"/>
      <c r="PCY71" s="63"/>
      <c r="PCZ71" s="63"/>
      <c r="PDA71" s="63"/>
      <c r="PDB71" s="63"/>
      <c r="PDC71" s="63"/>
      <c r="PDD71" s="63"/>
      <c r="PDE71" s="63"/>
      <c r="PDF71" s="63"/>
      <c r="PDG71" s="63"/>
      <c r="PDH71" s="63"/>
      <c r="PDI71" s="63"/>
      <c r="PDJ71" s="63"/>
      <c r="PDK71" s="63"/>
      <c r="PDL71" s="63"/>
      <c r="PDM71" s="63"/>
      <c r="PDN71" s="63"/>
      <c r="PDO71" s="63"/>
      <c r="PDP71" s="63"/>
      <c r="PDQ71" s="63"/>
      <c r="PDR71" s="63"/>
      <c r="PDS71" s="63"/>
      <c r="PDT71" s="63"/>
      <c r="PDU71" s="63"/>
      <c r="PDV71" s="63"/>
      <c r="PDW71" s="63"/>
      <c r="PDX71" s="63"/>
      <c r="PDY71" s="63"/>
      <c r="PDZ71" s="63"/>
      <c r="PEA71" s="63"/>
      <c r="PEB71" s="63"/>
      <c r="PEC71" s="63"/>
      <c r="PED71" s="63"/>
      <c r="PEE71" s="63"/>
      <c r="PEF71" s="63"/>
      <c r="PEG71" s="63"/>
      <c r="PEH71" s="63"/>
      <c r="PEI71" s="63"/>
      <c r="PEJ71" s="63"/>
      <c r="PEK71" s="63"/>
      <c r="PEL71" s="63"/>
      <c r="PEM71" s="63"/>
      <c r="PEN71" s="63"/>
      <c r="PEO71" s="63"/>
      <c r="PEP71" s="63"/>
      <c r="PEQ71" s="63"/>
      <c r="PER71" s="63"/>
      <c r="PES71" s="63"/>
      <c r="PET71" s="63"/>
      <c r="PEU71" s="63"/>
      <c r="PEV71" s="63"/>
      <c r="PEW71" s="63"/>
      <c r="PEX71" s="63"/>
      <c r="PEY71" s="63"/>
      <c r="PEZ71" s="63"/>
      <c r="PFA71" s="63"/>
      <c r="PFB71" s="63"/>
      <c r="PFC71" s="63"/>
      <c r="PFD71" s="63"/>
      <c r="PFE71" s="63"/>
      <c r="PFF71" s="63"/>
      <c r="PFG71" s="63"/>
      <c r="PFH71" s="63"/>
      <c r="PFI71" s="63"/>
      <c r="PFJ71" s="63"/>
      <c r="PFK71" s="63"/>
      <c r="PFL71" s="63"/>
      <c r="PFM71" s="63"/>
      <c r="PFN71" s="63"/>
      <c r="PFO71" s="63"/>
      <c r="PFP71" s="63"/>
      <c r="PFQ71" s="63"/>
      <c r="PFR71" s="63"/>
      <c r="PFS71" s="63"/>
      <c r="PFT71" s="63"/>
      <c r="PFU71" s="63"/>
      <c r="PFV71" s="63"/>
      <c r="PFW71" s="63"/>
      <c r="PFX71" s="63"/>
      <c r="PFY71" s="63"/>
      <c r="PFZ71" s="63"/>
      <c r="PGA71" s="63"/>
      <c r="PGB71" s="63"/>
      <c r="PGC71" s="63"/>
      <c r="PGD71" s="63"/>
      <c r="PGE71" s="63"/>
      <c r="PGF71" s="63"/>
      <c r="PGG71" s="63"/>
      <c r="PGH71" s="63"/>
      <c r="PGI71" s="63"/>
      <c r="PGJ71" s="63"/>
      <c r="PGK71" s="63"/>
      <c r="PGL71" s="63"/>
      <c r="PGM71" s="63"/>
      <c r="PGN71" s="63"/>
      <c r="PGO71" s="63"/>
      <c r="PGP71" s="63"/>
      <c r="PGQ71" s="63"/>
      <c r="PGR71" s="63"/>
      <c r="PGS71" s="63"/>
      <c r="PGT71" s="63"/>
      <c r="PGU71" s="63"/>
      <c r="PGV71" s="63"/>
      <c r="PGW71" s="63"/>
      <c r="PGX71" s="63"/>
      <c r="PGY71" s="63"/>
      <c r="PGZ71" s="63"/>
      <c r="PHA71" s="63"/>
      <c r="PHB71" s="63"/>
      <c r="PHC71" s="63"/>
      <c r="PHD71" s="63"/>
      <c r="PHE71" s="63"/>
      <c r="PHF71" s="63"/>
      <c r="PHG71" s="63"/>
      <c r="PHH71" s="63"/>
      <c r="PHI71" s="63"/>
      <c r="PHJ71" s="63"/>
      <c r="PHK71" s="63"/>
      <c r="PHL71" s="63"/>
      <c r="PHM71" s="63"/>
      <c r="PHN71" s="63"/>
      <c r="PHO71" s="63"/>
      <c r="PHP71" s="63"/>
      <c r="PHQ71" s="63"/>
      <c r="PHR71" s="63"/>
      <c r="PHS71" s="63"/>
      <c r="PHT71" s="63"/>
      <c r="PHU71" s="63"/>
      <c r="PHV71" s="63"/>
      <c r="PHW71" s="63"/>
      <c r="PHX71" s="63"/>
      <c r="PHY71" s="63"/>
      <c r="PHZ71" s="63"/>
      <c r="PIA71" s="63"/>
      <c r="PIB71" s="63"/>
      <c r="PIC71" s="63"/>
      <c r="PID71" s="63"/>
      <c r="PIE71" s="63"/>
      <c r="PIF71" s="63"/>
      <c r="PIG71" s="63"/>
      <c r="PIH71" s="63"/>
      <c r="PII71" s="63"/>
      <c r="PIJ71" s="63"/>
      <c r="PIK71" s="63"/>
      <c r="PIL71" s="63"/>
      <c r="PIM71" s="63"/>
      <c r="PIN71" s="63"/>
      <c r="PIO71" s="63"/>
      <c r="PIP71" s="63"/>
      <c r="PIQ71" s="63"/>
      <c r="PIR71" s="63"/>
      <c r="PIS71" s="63"/>
      <c r="PIT71" s="63"/>
      <c r="PIU71" s="63"/>
      <c r="PIV71" s="63"/>
      <c r="PIW71" s="63"/>
      <c r="PIX71" s="63"/>
      <c r="PIY71" s="63"/>
      <c r="PIZ71" s="63"/>
      <c r="PJA71" s="63"/>
      <c r="PJB71" s="63"/>
      <c r="PJC71" s="63"/>
      <c r="PJD71" s="63"/>
      <c r="PJE71" s="63"/>
      <c r="PJF71" s="63"/>
      <c r="PJG71" s="63"/>
      <c r="PJH71" s="63"/>
      <c r="PJI71" s="63"/>
      <c r="PJJ71" s="63"/>
      <c r="PJK71" s="63"/>
      <c r="PJL71" s="63"/>
      <c r="PJM71" s="63"/>
      <c r="PJN71" s="63"/>
      <c r="PJO71" s="63"/>
      <c r="PJP71" s="63"/>
      <c r="PJQ71" s="63"/>
      <c r="PJR71" s="63"/>
      <c r="PJS71" s="63"/>
      <c r="PJT71" s="63"/>
      <c r="PJU71" s="63"/>
      <c r="PJV71" s="63"/>
      <c r="PJW71" s="63"/>
      <c r="PJX71" s="63"/>
      <c r="PJY71" s="63"/>
      <c r="PJZ71" s="63"/>
      <c r="PKA71" s="63"/>
      <c r="PKB71" s="63"/>
      <c r="PKC71" s="63"/>
      <c r="PKD71" s="63"/>
      <c r="PKE71" s="63"/>
      <c r="PKF71" s="63"/>
      <c r="PKG71" s="63"/>
      <c r="PKH71" s="63"/>
      <c r="PKI71" s="63"/>
      <c r="PKJ71" s="63"/>
      <c r="PKK71" s="63"/>
      <c r="PKL71" s="63"/>
      <c r="PKM71" s="63"/>
      <c r="PKN71" s="63"/>
      <c r="PKO71" s="63"/>
      <c r="PKP71" s="63"/>
      <c r="PKQ71" s="63"/>
      <c r="PKR71" s="63"/>
      <c r="PKS71" s="63"/>
      <c r="PKT71" s="63"/>
      <c r="PKU71" s="63"/>
      <c r="PKV71" s="63"/>
      <c r="PKW71" s="63"/>
      <c r="PKX71" s="63"/>
      <c r="PKY71" s="63"/>
      <c r="PKZ71" s="63"/>
      <c r="PLA71" s="63"/>
      <c r="PLB71" s="63"/>
      <c r="PLC71" s="63"/>
      <c r="PLD71" s="63"/>
      <c r="PLE71" s="63"/>
      <c r="PLF71" s="63"/>
      <c r="PLG71" s="63"/>
      <c r="PLH71" s="63"/>
      <c r="PLI71" s="63"/>
      <c r="PLJ71" s="63"/>
      <c r="PLK71" s="63"/>
      <c r="PLL71" s="63"/>
      <c r="PLM71" s="63"/>
      <c r="PLN71" s="63"/>
      <c r="PLO71" s="63"/>
      <c r="PLP71" s="63"/>
      <c r="PLQ71" s="63"/>
      <c r="PLR71" s="63"/>
      <c r="PLS71" s="63"/>
      <c r="PLT71" s="63"/>
      <c r="PLU71" s="63"/>
      <c r="PLV71" s="63"/>
      <c r="PLW71" s="63"/>
      <c r="PLX71" s="63"/>
      <c r="PLY71" s="63"/>
      <c r="PLZ71" s="63"/>
      <c r="PMA71" s="63"/>
      <c r="PMB71" s="63"/>
      <c r="PMC71" s="63"/>
      <c r="PMD71" s="63"/>
      <c r="PME71" s="63"/>
      <c r="PMF71" s="63"/>
      <c r="PMG71" s="63"/>
      <c r="PMH71" s="63"/>
      <c r="PMI71" s="63"/>
      <c r="PMJ71" s="63"/>
      <c r="PMK71" s="63"/>
      <c r="PML71" s="63"/>
      <c r="PMM71" s="63"/>
      <c r="PMN71" s="63"/>
      <c r="PMO71" s="63"/>
      <c r="PMP71" s="63"/>
      <c r="PMQ71" s="63"/>
      <c r="PMR71" s="63"/>
      <c r="PMS71" s="63"/>
      <c r="PMT71" s="63"/>
      <c r="PMU71" s="63"/>
      <c r="PMV71" s="63"/>
      <c r="PMW71" s="63"/>
      <c r="PMX71" s="63"/>
      <c r="PMY71" s="63"/>
      <c r="PMZ71" s="63"/>
      <c r="PNA71" s="63"/>
      <c r="PNB71" s="63"/>
      <c r="PNC71" s="63"/>
      <c r="PND71" s="63"/>
      <c r="PNE71" s="63"/>
      <c r="PNF71" s="63"/>
      <c r="PNG71" s="63"/>
      <c r="PNH71" s="63"/>
      <c r="PNI71" s="63"/>
      <c r="PNJ71" s="63"/>
      <c r="PNK71" s="63"/>
      <c r="PNL71" s="63"/>
      <c r="PNM71" s="63"/>
      <c r="PNN71" s="63"/>
      <c r="PNO71" s="63"/>
      <c r="PNP71" s="63"/>
      <c r="PNQ71" s="63"/>
      <c r="PNR71" s="63"/>
      <c r="PNS71" s="63"/>
      <c r="PNT71" s="63"/>
      <c r="PNU71" s="63"/>
      <c r="PNV71" s="63"/>
      <c r="PNW71" s="63"/>
      <c r="PNX71" s="63"/>
      <c r="PNY71" s="63"/>
      <c r="PNZ71" s="63"/>
      <c r="POA71" s="63"/>
      <c r="POB71" s="63"/>
      <c r="POC71" s="63"/>
      <c r="POD71" s="63"/>
      <c r="POE71" s="63"/>
      <c r="POF71" s="63"/>
      <c r="POG71" s="63"/>
      <c r="POH71" s="63"/>
      <c r="POI71" s="63"/>
      <c r="POJ71" s="63"/>
      <c r="POK71" s="63"/>
      <c r="POL71" s="63"/>
      <c r="POM71" s="63"/>
      <c r="PON71" s="63"/>
      <c r="POO71" s="63"/>
      <c r="POP71" s="63"/>
      <c r="POQ71" s="63"/>
      <c r="POR71" s="63"/>
      <c r="POS71" s="63"/>
      <c r="POT71" s="63"/>
      <c r="POU71" s="63"/>
      <c r="POV71" s="63"/>
      <c r="POW71" s="63"/>
      <c r="POX71" s="63"/>
      <c r="POY71" s="63"/>
      <c r="POZ71" s="63"/>
      <c r="PPA71" s="63"/>
      <c r="PPB71" s="63"/>
      <c r="PPC71" s="63"/>
      <c r="PPD71" s="63"/>
      <c r="PPE71" s="63"/>
      <c r="PPF71" s="63"/>
      <c r="PPG71" s="63"/>
      <c r="PPH71" s="63"/>
      <c r="PPI71" s="63"/>
      <c r="PPJ71" s="63"/>
      <c r="PPK71" s="63"/>
      <c r="PPL71" s="63"/>
      <c r="PPM71" s="63"/>
      <c r="PPN71" s="63"/>
      <c r="PPO71" s="63"/>
      <c r="PPP71" s="63"/>
      <c r="PPQ71" s="63"/>
      <c r="PPR71" s="63"/>
      <c r="PPS71" s="63"/>
      <c r="PPT71" s="63"/>
      <c r="PPU71" s="63"/>
      <c r="PPV71" s="63"/>
      <c r="PPW71" s="63"/>
      <c r="PPX71" s="63"/>
      <c r="PPY71" s="63"/>
      <c r="PPZ71" s="63"/>
      <c r="PQA71" s="63"/>
      <c r="PQB71" s="63"/>
      <c r="PQC71" s="63"/>
      <c r="PQD71" s="63"/>
      <c r="PQE71" s="63"/>
      <c r="PQF71" s="63"/>
      <c r="PQG71" s="63"/>
      <c r="PQH71" s="63"/>
      <c r="PQI71" s="63"/>
      <c r="PQJ71" s="63"/>
      <c r="PQK71" s="63"/>
      <c r="PQL71" s="63"/>
      <c r="PQM71" s="63"/>
      <c r="PQN71" s="63"/>
      <c r="PQO71" s="63"/>
      <c r="PQP71" s="63"/>
      <c r="PQQ71" s="63"/>
      <c r="PQR71" s="63"/>
      <c r="PQS71" s="63"/>
      <c r="PQT71" s="63"/>
      <c r="PQU71" s="63"/>
      <c r="PQV71" s="63"/>
      <c r="PQW71" s="63"/>
      <c r="PQX71" s="63"/>
      <c r="PQY71" s="63"/>
      <c r="PQZ71" s="63"/>
      <c r="PRA71" s="63"/>
      <c r="PRB71" s="63"/>
      <c r="PRC71" s="63"/>
      <c r="PRD71" s="63"/>
      <c r="PRE71" s="63"/>
      <c r="PRF71" s="63"/>
      <c r="PRG71" s="63"/>
      <c r="PRH71" s="63"/>
      <c r="PRI71" s="63"/>
      <c r="PRJ71" s="63"/>
      <c r="PRK71" s="63"/>
      <c r="PRL71" s="63"/>
      <c r="PRM71" s="63"/>
      <c r="PRN71" s="63"/>
      <c r="PRO71" s="63"/>
      <c r="PRP71" s="63"/>
      <c r="PRQ71" s="63"/>
      <c r="PRR71" s="63"/>
      <c r="PRS71" s="63"/>
      <c r="PRT71" s="63"/>
      <c r="PRU71" s="63"/>
      <c r="PRV71" s="63"/>
      <c r="PRW71" s="63"/>
      <c r="PRX71" s="63"/>
      <c r="PRY71" s="63"/>
      <c r="PRZ71" s="63"/>
      <c r="PSA71" s="63"/>
      <c r="PSB71" s="63"/>
      <c r="PSC71" s="63"/>
      <c r="PSD71" s="63"/>
      <c r="PSE71" s="63"/>
      <c r="PSF71" s="63"/>
      <c r="PSG71" s="63"/>
      <c r="PSH71" s="63"/>
      <c r="PSI71" s="63"/>
      <c r="PSJ71" s="63"/>
      <c r="PSK71" s="63"/>
      <c r="PSL71" s="63"/>
      <c r="PSM71" s="63"/>
      <c r="PSN71" s="63"/>
      <c r="PSO71" s="63"/>
      <c r="PSP71" s="63"/>
      <c r="PSQ71" s="63"/>
      <c r="PSR71" s="63"/>
      <c r="PSS71" s="63"/>
      <c r="PST71" s="63"/>
      <c r="PSU71" s="63"/>
      <c r="PSV71" s="63"/>
      <c r="PSW71" s="63"/>
      <c r="PSX71" s="63"/>
      <c r="PSY71" s="63"/>
      <c r="PSZ71" s="63"/>
      <c r="PTA71" s="63"/>
      <c r="PTB71" s="63"/>
      <c r="PTC71" s="63"/>
      <c r="PTD71" s="63"/>
      <c r="PTE71" s="63"/>
      <c r="PTF71" s="63"/>
      <c r="PTG71" s="63"/>
      <c r="PTH71" s="63"/>
      <c r="PTI71" s="63"/>
      <c r="PTJ71" s="63"/>
      <c r="PTK71" s="63"/>
      <c r="PTL71" s="63"/>
      <c r="PTM71" s="63"/>
      <c r="PTN71" s="63"/>
      <c r="PTO71" s="63"/>
      <c r="PTP71" s="63"/>
      <c r="PTQ71" s="63"/>
      <c r="PTR71" s="63"/>
      <c r="PTS71" s="63"/>
      <c r="PTT71" s="63"/>
      <c r="PTU71" s="63"/>
      <c r="PTV71" s="63"/>
      <c r="PTW71" s="63"/>
      <c r="PTX71" s="63"/>
      <c r="PTY71" s="63"/>
      <c r="PTZ71" s="63"/>
      <c r="PUA71" s="63"/>
      <c r="PUB71" s="63"/>
      <c r="PUC71" s="63"/>
      <c r="PUD71" s="63"/>
      <c r="PUE71" s="63"/>
      <c r="PUF71" s="63"/>
      <c r="PUG71" s="63"/>
      <c r="PUH71" s="63"/>
      <c r="PUI71" s="63"/>
      <c r="PUJ71" s="63"/>
      <c r="PUK71" s="63"/>
      <c r="PUL71" s="63"/>
      <c r="PUM71" s="63"/>
      <c r="PUN71" s="63"/>
      <c r="PUO71" s="63"/>
      <c r="PUP71" s="63"/>
      <c r="PUQ71" s="63"/>
      <c r="PUR71" s="63"/>
      <c r="PUS71" s="63"/>
      <c r="PUT71" s="63"/>
      <c r="PUU71" s="63"/>
      <c r="PUV71" s="63"/>
      <c r="PUW71" s="63"/>
      <c r="PUX71" s="63"/>
      <c r="PUY71" s="63"/>
      <c r="PUZ71" s="63"/>
      <c r="PVA71" s="63"/>
      <c r="PVB71" s="63"/>
      <c r="PVC71" s="63"/>
      <c r="PVD71" s="63"/>
      <c r="PVE71" s="63"/>
      <c r="PVF71" s="63"/>
      <c r="PVG71" s="63"/>
      <c r="PVH71" s="63"/>
      <c r="PVI71" s="63"/>
      <c r="PVJ71" s="63"/>
      <c r="PVK71" s="63"/>
      <c r="PVL71" s="63"/>
      <c r="PVM71" s="63"/>
      <c r="PVN71" s="63"/>
      <c r="PVO71" s="63"/>
      <c r="PVP71" s="63"/>
      <c r="PVQ71" s="63"/>
      <c r="PVR71" s="63"/>
      <c r="PVS71" s="63"/>
      <c r="PVT71" s="63"/>
      <c r="PVU71" s="63"/>
      <c r="PVV71" s="63"/>
      <c r="PVW71" s="63"/>
      <c r="PVX71" s="63"/>
      <c r="PVY71" s="63"/>
      <c r="PVZ71" s="63"/>
      <c r="PWA71" s="63"/>
      <c r="PWB71" s="63"/>
      <c r="PWC71" s="63"/>
      <c r="PWD71" s="63"/>
      <c r="PWE71" s="63"/>
      <c r="PWF71" s="63"/>
      <c r="PWG71" s="63"/>
      <c r="PWH71" s="63"/>
      <c r="PWI71" s="63"/>
      <c r="PWJ71" s="63"/>
      <c r="PWK71" s="63"/>
      <c r="PWL71" s="63"/>
      <c r="PWM71" s="63"/>
      <c r="PWN71" s="63"/>
      <c r="PWO71" s="63"/>
      <c r="PWP71" s="63"/>
      <c r="PWQ71" s="63"/>
      <c r="PWR71" s="63"/>
      <c r="PWS71" s="63"/>
      <c r="PWT71" s="63"/>
      <c r="PWU71" s="63"/>
      <c r="PWV71" s="63"/>
      <c r="PWW71" s="63"/>
      <c r="PWX71" s="63"/>
      <c r="PWY71" s="63"/>
      <c r="PWZ71" s="63"/>
      <c r="PXA71" s="63"/>
      <c r="PXB71" s="63"/>
      <c r="PXC71" s="63"/>
      <c r="PXD71" s="63"/>
      <c r="PXE71" s="63"/>
      <c r="PXF71" s="63"/>
      <c r="PXG71" s="63"/>
      <c r="PXH71" s="63"/>
      <c r="PXI71" s="63"/>
      <c r="PXJ71" s="63"/>
      <c r="PXK71" s="63"/>
      <c r="PXL71" s="63"/>
      <c r="PXM71" s="63"/>
      <c r="PXN71" s="63"/>
      <c r="PXO71" s="63"/>
      <c r="PXP71" s="63"/>
      <c r="PXQ71" s="63"/>
      <c r="PXR71" s="63"/>
      <c r="PXS71" s="63"/>
      <c r="PXT71" s="63"/>
      <c r="PXU71" s="63"/>
      <c r="PXV71" s="63"/>
      <c r="PXW71" s="63"/>
      <c r="PXX71" s="63"/>
      <c r="PXY71" s="63"/>
      <c r="PXZ71" s="63"/>
      <c r="PYA71" s="63"/>
      <c r="PYB71" s="63"/>
      <c r="PYC71" s="63"/>
      <c r="PYD71" s="63"/>
      <c r="PYE71" s="63"/>
      <c r="PYF71" s="63"/>
      <c r="PYG71" s="63"/>
      <c r="PYH71" s="63"/>
      <c r="PYI71" s="63"/>
      <c r="PYJ71" s="63"/>
      <c r="PYK71" s="63"/>
      <c r="PYL71" s="63"/>
      <c r="PYM71" s="63"/>
      <c r="PYN71" s="63"/>
      <c r="PYO71" s="63"/>
      <c r="PYP71" s="63"/>
      <c r="PYQ71" s="63"/>
      <c r="PYR71" s="63"/>
      <c r="PYS71" s="63"/>
      <c r="PYT71" s="63"/>
      <c r="PYU71" s="63"/>
      <c r="PYV71" s="63"/>
      <c r="PYW71" s="63"/>
      <c r="PYX71" s="63"/>
      <c r="PYY71" s="63"/>
      <c r="PYZ71" s="63"/>
      <c r="PZA71" s="63"/>
      <c r="PZB71" s="63"/>
      <c r="PZC71" s="63"/>
      <c r="PZD71" s="63"/>
      <c r="PZE71" s="63"/>
      <c r="PZF71" s="63"/>
      <c r="PZG71" s="63"/>
      <c r="PZH71" s="63"/>
      <c r="PZI71" s="63"/>
      <c r="PZJ71" s="63"/>
      <c r="PZK71" s="63"/>
      <c r="PZL71" s="63"/>
      <c r="PZM71" s="63"/>
      <c r="PZN71" s="63"/>
      <c r="PZO71" s="63"/>
      <c r="PZP71" s="63"/>
      <c r="PZQ71" s="63"/>
      <c r="PZR71" s="63"/>
      <c r="PZS71" s="63"/>
      <c r="PZT71" s="63"/>
      <c r="PZU71" s="63"/>
      <c r="PZV71" s="63"/>
      <c r="PZW71" s="63"/>
      <c r="PZX71" s="63"/>
      <c r="PZY71" s="63"/>
      <c r="PZZ71" s="63"/>
      <c r="QAA71" s="63"/>
      <c r="QAB71" s="63"/>
      <c r="QAC71" s="63"/>
      <c r="QAD71" s="63"/>
      <c r="QAE71" s="63"/>
      <c r="QAF71" s="63"/>
      <c r="QAG71" s="63"/>
      <c r="QAH71" s="63"/>
      <c r="QAI71" s="63"/>
      <c r="QAJ71" s="63"/>
      <c r="QAK71" s="63"/>
      <c r="QAL71" s="63"/>
      <c r="QAM71" s="63"/>
      <c r="QAN71" s="63"/>
      <c r="QAO71" s="63"/>
      <c r="QAP71" s="63"/>
      <c r="QAQ71" s="63"/>
      <c r="QAR71" s="63"/>
      <c r="QAS71" s="63"/>
      <c r="QAT71" s="63"/>
      <c r="QAU71" s="63"/>
      <c r="QAV71" s="63"/>
      <c r="QAW71" s="63"/>
      <c r="QAX71" s="63"/>
      <c r="QAY71" s="63"/>
      <c r="QAZ71" s="63"/>
      <c r="QBA71" s="63"/>
      <c r="QBB71" s="63"/>
      <c r="QBC71" s="63"/>
      <c r="QBD71" s="63"/>
      <c r="QBE71" s="63"/>
      <c r="QBF71" s="63"/>
      <c r="QBG71" s="63"/>
      <c r="QBH71" s="63"/>
      <c r="QBI71" s="63"/>
      <c r="QBJ71" s="63"/>
      <c r="QBK71" s="63"/>
      <c r="QBL71" s="63"/>
      <c r="QBM71" s="63"/>
      <c r="QBN71" s="63"/>
      <c r="QBO71" s="63"/>
      <c r="QBP71" s="63"/>
      <c r="QBQ71" s="63"/>
      <c r="QBR71" s="63"/>
      <c r="QBS71" s="63"/>
      <c r="QBT71" s="63"/>
      <c r="QBU71" s="63"/>
      <c r="QBV71" s="63"/>
      <c r="QBW71" s="63"/>
      <c r="QBX71" s="63"/>
      <c r="QBY71" s="63"/>
      <c r="QBZ71" s="63"/>
      <c r="QCA71" s="63"/>
      <c r="QCB71" s="63"/>
      <c r="QCC71" s="63"/>
      <c r="QCD71" s="63"/>
      <c r="QCE71" s="63"/>
      <c r="QCF71" s="63"/>
      <c r="QCG71" s="63"/>
      <c r="QCH71" s="63"/>
      <c r="QCI71" s="63"/>
      <c r="QCJ71" s="63"/>
      <c r="QCK71" s="63"/>
      <c r="QCL71" s="63"/>
      <c r="QCM71" s="63"/>
      <c r="QCN71" s="63"/>
      <c r="QCO71" s="63"/>
      <c r="QCP71" s="63"/>
      <c r="QCQ71" s="63"/>
      <c r="QCR71" s="63"/>
      <c r="QCS71" s="63"/>
      <c r="QCT71" s="63"/>
      <c r="QCU71" s="63"/>
      <c r="QCV71" s="63"/>
      <c r="QCW71" s="63"/>
      <c r="QCX71" s="63"/>
      <c r="QCY71" s="63"/>
      <c r="QCZ71" s="63"/>
      <c r="QDA71" s="63"/>
      <c r="QDB71" s="63"/>
      <c r="QDC71" s="63"/>
      <c r="QDD71" s="63"/>
      <c r="QDE71" s="63"/>
      <c r="QDF71" s="63"/>
      <c r="QDG71" s="63"/>
      <c r="QDH71" s="63"/>
      <c r="QDI71" s="63"/>
      <c r="QDJ71" s="63"/>
      <c r="QDK71" s="63"/>
      <c r="QDL71" s="63"/>
      <c r="QDM71" s="63"/>
      <c r="QDN71" s="63"/>
      <c r="QDO71" s="63"/>
      <c r="QDP71" s="63"/>
      <c r="QDQ71" s="63"/>
      <c r="QDR71" s="63"/>
      <c r="QDS71" s="63"/>
      <c r="QDT71" s="63"/>
      <c r="QDU71" s="63"/>
      <c r="QDV71" s="63"/>
      <c r="QDW71" s="63"/>
      <c r="QDX71" s="63"/>
      <c r="QDY71" s="63"/>
      <c r="QDZ71" s="63"/>
      <c r="QEA71" s="63"/>
      <c r="QEB71" s="63"/>
      <c r="QEC71" s="63"/>
      <c r="QED71" s="63"/>
      <c r="QEE71" s="63"/>
      <c r="QEF71" s="63"/>
      <c r="QEG71" s="63"/>
      <c r="QEH71" s="63"/>
      <c r="QEI71" s="63"/>
      <c r="QEJ71" s="63"/>
      <c r="QEK71" s="63"/>
      <c r="QEL71" s="63"/>
      <c r="QEM71" s="63"/>
      <c r="QEN71" s="63"/>
      <c r="QEO71" s="63"/>
      <c r="QEP71" s="63"/>
      <c r="QEQ71" s="63"/>
      <c r="QER71" s="63"/>
      <c r="QES71" s="63"/>
      <c r="QET71" s="63"/>
      <c r="QEU71" s="63"/>
      <c r="QEV71" s="63"/>
      <c r="QEW71" s="63"/>
      <c r="QEX71" s="63"/>
      <c r="QEY71" s="63"/>
      <c r="QEZ71" s="63"/>
      <c r="QFA71" s="63"/>
      <c r="QFB71" s="63"/>
      <c r="QFC71" s="63"/>
      <c r="QFD71" s="63"/>
      <c r="QFE71" s="63"/>
      <c r="QFF71" s="63"/>
      <c r="QFG71" s="63"/>
      <c r="QFH71" s="63"/>
      <c r="QFI71" s="63"/>
      <c r="QFJ71" s="63"/>
      <c r="QFK71" s="63"/>
      <c r="QFL71" s="63"/>
      <c r="QFM71" s="63"/>
      <c r="QFN71" s="63"/>
      <c r="QFO71" s="63"/>
      <c r="QFP71" s="63"/>
      <c r="QFQ71" s="63"/>
      <c r="QFR71" s="63"/>
      <c r="QFS71" s="63"/>
      <c r="QFT71" s="63"/>
      <c r="QFU71" s="63"/>
      <c r="QFV71" s="63"/>
      <c r="QFW71" s="63"/>
      <c r="QFX71" s="63"/>
      <c r="QFY71" s="63"/>
      <c r="QFZ71" s="63"/>
      <c r="QGA71" s="63"/>
      <c r="QGB71" s="63"/>
      <c r="QGC71" s="63"/>
      <c r="QGD71" s="63"/>
      <c r="QGE71" s="63"/>
      <c r="QGF71" s="63"/>
      <c r="QGG71" s="63"/>
      <c r="QGH71" s="63"/>
      <c r="QGI71" s="63"/>
      <c r="QGJ71" s="63"/>
      <c r="QGK71" s="63"/>
      <c r="QGL71" s="63"/>
      <c r="QGM71" s="63"/>
      <c r="QGN71" s="63"/>
      <c r="QGO71" s="63"/>
      <c r="QGP71" s="63"/>
      <c r="QGQ71" s="63"/>
      <c r="QGR71" s="63"/>
      <c r="QGS71" s="63"/>
      <c r="QGT71" s="63"/>
      <c r="QGU71" s="63"/>
      <c r="QGV71" s="63"/>
      <c r="QGW71" s="63"/>
      <c r="QGX71" s="63"/>
      <c r="QGY71" s="63"/>
      <c r="QGZ71" s="63"/>
      <c r="QHA71" s="63"/>
      <c r="QHB71" s="63"/>
      <c r="QHC71" s="63"/>
      <c r="QHD71" s="63"/>
      <c r="QHE71" s="63"/>
      <c r="QHF71" s="63"/>
      <c r="QHG71" s="63"/>
      <c r="QHH71" s="63"/>
      <c r="QHI71" s="63"/>
      <c r="QHJ71" s="63"/>
      <c r="QHK71" s="63"/>
      <c r="QHL71" s="63"/>
      <c r="QHM71" s="63"/>
      <c r="QHN71" s="63"/>
      <c r="QHO71" s="63"/>
      <c r="QHP71" s="63"/>
      <c r="QHQ71" s="63"/>
      <c r="QHR71" s="63"/>
      <c r="QHS71" s="63"/>
      <c r="QHT71" s="63"/>
      <c r="QHU71" s="63"/>
      <c r="QHV71" s="63"/>
      <c r="QHW71" s="63"/>
      <c r="QHX71" s="63"/>
      <c r="QHY71" s="63"/>
      <c r="QHZ71" s="63"/>
      <c r="QIA71" s="63"/>
      <c r="QIB71" s="63"/>
      <c r="QIC71" s="63"/>
      <c r="QID71" s="63"/>
      <c r="QIE71" s="63"/>
      <c r="QIF71" s="63"/>
      <c r="QIG71" s="63"/>
      <c r="QIH71" s="63"/>
      <c r="QII71" s="63"/>
      <c r="QIJ71" s="63"/>
      <c r="QIK71" s="63"/>
      <c r="QIL71" s="63"/>
      <c r="QIM71" s="63"/>
      <c r="QIN71" s="63"/>
      <c r="QIO71" s="63"/>
      <c r="QIP71" s="63"/>
      <c r="QIQ71" s="63"/>
      <c r="QIR71" s="63"/>
      <c r="QIS71" s="63"/>
      <c r="QIT71" s="63"/>
      <c r="QIU71" s="63"/>
      <c r="QIV71" s="63"/>
      <c r="QIW71" s="63"/>
      <c r="QIX71" s="63"/>
      <c r="QIY71" s="63"/>
      <c r="QIZ71" s="63"/>
      <c r="QJA71" s="63"/>
      <c r="QJB71" s="63"/>
      <c r="QJC71" s="63"/>
      <c r="QJD71" s="63"/>
      <c r="QJE71" s="63"/>
      <c r="QJF71" s="63"/>
      <c r="QJG71" s="63"/>
      <c r="QJH71" s="63"/>
      <c r="QJI71" s="63"/>
      <c r="QJJ71" s="63"/>
      <c r="QJK71" s="63"/>
      <c r="QJL71" s="63"/>
      <c r="QJM71" s="63"/>
      <c r="QJN71" s="63"/>
      <c r="QJO71" s="63"/>
      <c r="QJP71" s="63"/>
      <c r="QJQ71" s="63"/>
      <c r="QJR71" s="63"/>
      <c r="QJS71" s="63"/>
      <c r="QJT71" s="63"/>
      <c r="QJU71" s="63"/>
      <c r="QJV71" s="63"/>
      <c r="QJW71" s="63"/>
      <c r="QJX71" s="63"/>
      <c r="QJY71" s="63"/>
      <c r="QJZ71" s="63"/>
      <c r="QKA71" s="63"/>
      <c r="QKB71" s="63"/>
      <c r="QKC71" s="63"/>
      <c r="QKD71" s="63"/>
      <c r="QKE71" s="63"/>
      <c r="QKF71" s="63"/>
      <c r="QKG71" s="63"/>
      <c r="QKH71" s="63"/>
      <c r="QKI71" s="63"/>
      <c r="QKJ71" s="63"/>
      <c r="QKK71" s="63"/>
      <c r="QKL71" s="63"/>
      <c r="QKM71" s="63"/>
      <c r="QKN71" s="63"/>
      <c r="QKO71" s="63"/>
      <c r="QKP71" s="63"/>
      <c r="QKQ71" s="63"/>
      <c r="QKR71" s="63"/>
      <c r="QKS71" s="63"/>
      <c r="QKT71" s="63"/>
      <c r="QKU71" s="63"/>
      <c r="QKV71" s="63"/>
      <c r="QKW71" s="63"/>
      <c r="QKX71" s="63"/>
      <c r="QKY71" s="63"/>
      <c r="QKZ71" s="63"/>
      <c r="QLA71" s="63"/>
      <c r="QLB71" s="63"/>
      <c r="QLC71" s="63"/>
      <c r="QLD71" s="63"/>
      <c r="QLE71" s="63"/>
      <c r="QLF71" s="63"/>
      <c r="QLG71" s="63"/>
      <c r="QLH71" s="63"/>
      <c r="QLI71" s="63"/>
      <c r="QLJ71" s="63"/>
      <c r="QLK71" s="63"/>
      <c r="QLL71" s="63"/>
      <c r="QLM71" s="63"/>
      <c r="QLN71" s="63"/>
      <c r="QLO71" s="63"/>
      <c r="QLP71" s="63"/>
      <c r="QLQ71" s="63"/>
      <c r="QLR71" s="63"/>
      <c r="QLS71" s="63"/>
      <c r="QLT71" s="63"/>
      <c r="QLU71" s="63"/>
      <c r="QLV71" s="63"/>
      <c r="QLW71" s="63"/>
      <c r="QLX71" s="63"/>
      <c r="QLY71" s="63"/>
      <c r="QLZ71" s="63"/>
      <c r="QMA71" s="63"/>
      <c r="QMB71" s="63"/>
      <c r="QMC71" s="63"/>
      <c r="QMD71" s="63"/>
      <c r="QME71" s="63"/>
      <c r="QMF71" s="63"/>
      <c r="QMG71" s="63"/>
      <c r="QMH71" s="63"/>
      <c r="QMI71" s="63"/>
      <c r="QMJ71" s="63"/>
      <c r="QMK71" s="63"/>
      <c r="QML71" s="63"/>
      <c r="QMM71" s="63"/>
      <c r="QMN71" s="63"/>
      <c r="QMO71" s="63"/>
      <c r="QMP71" s="63"/>
      <c r="QMQ71" s="63"/>
      <c r="QMR71" s="63"/>
      <c r="QMS71" s="63"/>
      <c r="QMT71" s="63"/>
      <c r="QMU71" s="63"/>
      <c r="QMV71" s="63"/>
      <c r="QMW71" s="63"/>
      <c r="QMX71" s="63"/>
      <c r="QMY71" s="63"/>
      <c r="QMZ71" s="63"/>
      <c r="QNA71" s="63"/>
      <c r="QNB71" s="63"/>
      <c r="QNC71" s="63"/>
      <c r="QND71" s="63"/>
      <c r="QNE71" s="63"/>
      <c r="QNF71" s="63"/>
      <c r="QNG71" s="63"/>
      <c r="QNH71" s="63"/>
      <c r="QNI71" s="63"/>
      <c r="QNJ71" s="63"/>
      <c r="QNK71" s="63"/>
      <c r="QNL71" s="63"/>
      <c r="QNM71" s="63"/>
      <c r="QNN71" s="63"/>
      <c r="QNO71" s="63"/>
      <c r="QNP71" s="63"/>
      <c r="QNQ71" s="63"/>
      <c r="QNR71" s="63"/>
      <c r="QNS71" s="63"/>
      <c r="QNT71" s="63"/>
      <c r="QNU71" s="63"/>
      <c r="QNV71" s="63"/>
      <c r="QNW71" s="63"/>
      <c r="QNX71" s="63"/>
      <c r="QNY71" s="63"/>
      <c r="QNZ71" s="63"/>
      <c r="QOA71" s="63"/>
      <c r="QOB71" s="63"/>
      <c r="QOC71" s="63"/>
      <c r="QOD71" s="63"/>
      <c r="QOE71" s="63"/>
      <c r="QOF71" s="63"/>
      <c r="QOG71" s="63"/>
      <c r="QOH71" s="63"/>
      <c r="QOI71" s="63"/>
      <c r="QOJ71" s="63"/>
      <c r="QOK71" s="63"/>
      <c r="QOL71" s="63"/>
      <c r="QOM71" s="63"/>
      <c r="QON71" s="63"/>
      <c r="QOO71" s="63"/>
      <c r="QOP71" s="63"/>
      <c r="QOQ71" s="63"/>
      <c r="QOR71" s="63"/>
      <c r="QOS71" s="63"/>
      <c r="QOT71" s="63"/>
      <c r="QOU71" s="63"/>
      <c r="QOV71" s="63"/>
      <c r="QOW71" s="63"/>
      <c r="QOX71" s="63"/>
      <c r="QOY71" s="63"/>
      <c r="QOZ71" s="63"/>
      <c r="QPA71" s="63"/>
      <c r="QPB71" s="63"/>
      <c r="QPC71" s="63"/>
      <c r="QPD71" s="63"/>
      <c r="QPE71" s="63"/>
      <c r="QPF71" s="63"/>
      <c r="QPG71" s="63"/>
      <c r="QPH71" s="63"/>
      <c r="QPI71" s="63"/>
      <c r="QPJ71" s="63"/>
      <c r="QPK71" s="63"/>
      <c r="QPL71" s="63"/>
      <c r="QPM71" s="63"/>
      <c r="QPN71" s="63"/>
      <c r="QPO71" s="63"/>
      <c r="QPP71" s="63"/>
      <c r="QPQ71" s="63"/>
      <c r="QPR71" s="63"/>
      <c r="QPS71" s="63"/>
      <c r="QPT71" s="63"/>
      <c r="QPU71" s="63"/>
      <c r="QPV71" s="63"/>
      <c r="QPW71" s="63"/>
      <c r="QPX71" s="63"/>
      <c r="QPY71" s="63"/>
      <c r="QPZ71" s="63"/>
      <c r="QQA71" s="63"/>
      <c r="QQB71" s="63"/>
      <c r="QQC71" s="63"/>
      <c r="QQD71" s="63"/>
      <c r="QQE71" s="63"/>
      <c r="QQF71" s="63"/>
      <c r="QQG71" s="63"/>
      <c r="QQH71" s="63"/>
      <c r="QQI71" s="63"/>
      <c r="QQJ71" s="63"/>
      <c r="QQK71" s="63"/>
      <c r="QQL71" s="63"/>
      <c r="QQM71" s="63"/>
      <c r="QQN71" s="63"/>
      <c r="QQO71" s="63"/>
      <c r="QQP71" s="63"/>
      <c r="QQQ71" s="63"/>
      <c r="QQR71" s="63"/>
      <c r="QQS71" s="63"/>
      <c r="QQT71" s="63"/>
      <c r="QQU71" s="63"/>
      <c r="QQV71" s="63"/>
      <c r="QQW71" s="63"/>
      <c r="QQX71" s="63"/>
      <c r="QQY71" s="63"/>
      <c r="QQZ71" s="63"/>
      <c r="QRA71" s="63"/>
      <c r="QRB71" s="63"/>
      <c r="QRC71" s="63"/>
      <c r="QRD71" s="63"/>
      <c r="QRE71" s="63"/>
      <c r="QRF71" s="63"/>
      <c r="QRG71" s="63"/>
      <c r="QRH71" s="63"/>
      <c r="QRI71" s="63"/>
      <c r="QRJ71" s="63"/>
      <c r="QRK71" s="63"/>
      <c r="QRL71" s="63"/>
      <c r="QRM71" s="63"/>
      <c r="QRN71" s="63"/>
      <c r="QRO71" s="63"/>
      <c r="QRP71" s="63"/>
      <c r="QRQ71" s="63"/>
      <c r="QRR71" s="63"/>
      <c r="QRS71" s="63"/>
      <c r="QRT71" s="63"/>
      <c r="QRU71" s="63"/>
      <c r="QRV71" s="63"/>
      <c r="QRW71" s="63"/>
      <c r="QRX71" s="63"/>
      <c r="QRY71" s="63"/>
      <c r="QRZ71" s="63"/>
      <c r="QSA71" s="63"/>
      <c r="QSB71" s="63"/>
      <c r="QSC71" s="63"/>
      <c r="QSD71" s="63"/>
      <c r="QSE71" s="63"/>
      <c r="QSF71" s="63"/>
      <c r="QSG71" s="63"/>
      <c r="QSH71" s="63"/>
      <c r="QSI71" s="63"/>
      <c r="QSJ71" s="63"/>
      <c r="QSK71" s="63"/>
      <c r="QSL71" s="63"/>
      <c r="QSM71" s="63"/>
      <c r="QSN71" s="63"/>
      <c r="QSO71" s="63"/>
      <c r="QSP71" s="63"/>
      <c r="QSQ71" s="63"/>
      <c r="QSR71" s="63"/>
      <c r="QSS71" s="63"/>
      <c r="QST71" s="63"/>
      <c r="QSU71" s="63"/>
      <c r="QSV71" s="63"/>
      <c r="QSW71" s="63"/>
      <c r="QSX71" s="63"/>
      <c r="QSY71" s="63"/>
      <c r="QSZ71" s="63"/>
      <c r="QTA71" s="63"/>
      <c r="QTB71" s="63"/>
      <c r="QTC71" s="63"/>
      <c r="QTD71" s="63"/>
      <c r="QTE71" s="63"/>
      <c r="QTF71" s="63"/>
      <c r="QTG71" s="63"/>
      <c r="QTH71" s="63"/>
      <c r="QTI71" s="63"/>
      <c r="QTJ71" s="63"/>
      <c r="QTK71" s="63"/>
      <c r="QTL71" s="63"/>
      <c r="QTM71" s="63"/>
      <c r="QTN71" s="63"/>
      <c r="QTO71" s="63"/>
      <c r="QTP71" s="63"/>
      <c r="QTQ71" s="63"/>
      <c r="QTR71" s="63"/>
      <c r="QTS71" s="63"/>
      <c r="QTT71" s="63"/>
      <c r="QTU71" s="63"/>
      <c r="QTV71" s="63"/>
      <c r="QTW71" s="63"/>
      <c r="QTX71" s="63"/>
      <c r="QTY71" s="63"/>
      <c r="QTZ71" s="63"/>
      <c r="QUA71" s="63"/>
      <c r="QUB71" s="63"/>
      <c r="QUC71" s="63"/>
      <c r="QUD71" s="63"/>
      <c r="QUE71" s="63"/>
      <c r="QUF71" s="63"/>
      <c r="QUG71" s="63"/>
      <c r="QUH71" s="63"/>
      <c r="QUI71" s="63"/>
      <c r="QUJ71" s="63"/>
      <c r="QUK71" s="63"/>
      <c r="QUL71" s="63"/>
      <c r="QUM71" s="63"/>
      <c r="QUN71" s="63"/>
      <c r="QUO71" s="63"/>
      <c r="QUP71" s="63"/>
      <c r="QUQ71" s="63"/>
      <c r="QUR71" s="63"/>
      <c r="QUS71" s="63"/>
      <c r="QUT71" s="63"/>
      <c r="QUU71" s="63"/>
      <c r="QUV71" s="63"/>
      <c r="QUW71" s="63"/>
      <c r="QUX71" s="63"/>
      <c r="QUY71" s="63"/>
      <c r="QUZ71" s="63"/>
      <c r="QVA71" s="63"/>
      <c r="QVB71" s="63"/>
      <c r="QVC71" s="63"/>
      <c r="QVD71" s="63"/>
      <c r="QVE71" s="63"/>
      <c r="QVF71" s="63"/>
      <c r="QVG71" s="63"/>
      <c r="QVH71" s="63"/>
      <c r="QVI71" s="63"/>
      <c r="QVJ71" s="63"/>
      <c r="QVK71" s="63"/>
      <c r="QVL71" s="63"/>
      <c r="QVM71" s="63"/>
      <c r="QVN71" s="63"/>
      <c r="QVO71" s="63"/>
      <c r="QVP71" s="63"/>
      <c r="QVQ71" s="63"/>
      <c r="QVR71" s="63"/>
      <c r="QVS71" s="63"/>
      <c r="QVT71" s="63"/>
      <c r="QVU71" s="63"/>
      <c r="QVV71" s="63"/>
      <c r="QVW71" s="63"/>
      <c r="QVX71" s="63"/>
      <c r="QVY71" s="63"/>
      <c r="QVZ71" s="63"/>
      <c r="QWA71" s="63"/>
      <c r="QWB71" s="63"/>
      <c r="QWC71" s="63"/>
      <c r="QWD71" s="63"/>
      <c r="QWE71" s="63"/>
      <c r="QWF71" s="63"/>
      <c r="QWG71" s="63"/>
      <c r="QWH71" s="63"/>
      <c r="QWI71" s="63"/>
      <c r="QWJ71" s="63"/>
      <c r="QWK71" s="63"/>
      <c r="QWL71" s="63"/>
      <c r="QWM71" s="63"/>
      <c r="QWN71" s="63"/>
      <c r="QWO71" s="63"/>
      <c r="QWP71" s="63"/>
      <c r="QWQ71" s="63"/>
      <c r="QWR71" s="63"/>
      <c r="QWS71" s="63"/>
      <c r="QWT71" s="63"/>
      <c r="QWU71" s="63"/>
      <c r="QWV71" s="63"/>
      <c r="QWW71" s="63"/>
      <c r="QWX71" s="63"/>
      <c r="QWY71" s="63"/>
      <c r="QWZ71" s="63"/>
      <c r="QXA71" s="63"/>
      <c r="QXB71" s="63"/>
      <c r="QXC71" s="63"/>
      <c r="QXD71" s="63"/>
      <c r="QXE71" s="63"/>
      <c r="QXF71" s="63"/>
      <c r="QXG71" s="63"/>
      <c r="QXH71" s="63"/>
      <c r="QXI71" s="63"/>
      <c r="QXJ71" s="63"/>
      <c r="QXK71" s="63"/>
      <c r="QXL71" s="63"/>
      <c r="QXM71" s="63"/>
      <c r="QXN71" s="63"/>
      <c r="QXO71" s="63"/>
      <c r="QXP71" s="63"/>
      <c r="QXQ71" s="63"/>
      <c r="QXR71" s="63"/>
      <c r="QXS71" s="63"/>
      <c r="QXT71" s="63"/>
      <c r="QXU71" s="63"/>
      <c r="QXV71" s="63"/>
      <c r="QXW71" s="63"/>
      <c r="QXX71" s="63"/>
      <c r="QXY71" s="63"/>
      <c r="QXZ71" s="63"/>
      <c r="QYA71" s="63"/>
      <c r="QYB71" s="63"/>
      <c r="QYC71" s="63"/>
      <c r="QYD71" s="63"/>
      <c r="QYE71" s="63"/>
      <c r="QYF71" s="63"/>
      <c r="QYG71" s="63"/>
      <c r="QYH71" s="63"/>
      <c r="QYI71" s="63"/>
      <c r="QYJ71" s="63"/>
      <c r="QYK71" s="63"/>
      <c r="QYL71" s="63"/>
      <c r="QYM71" s="63"/>
      <c r="QYN71" s="63"/>
      <c r="QYO71" s="63"/>
      <c r="QYP71" s="63"/>
      <c r="QYQ71" s="63"/>
      <c r="QYR71" s="63"/>
      <c r="QYS71" s="63"/>
      <c r="QYT71" s="63"/>
      <c r="QYU71" s="63"/>
      <c r="QYV71" s="63"/>
      <c r="QYW71" s="63"/>
      <c r="QYX71" s="63"/>
      <c r="QYY71" s="63"/>
      <c r="QYZ71" s="63"/>
      <c r="QZA71" s="63"/>
      <c r="QZB71" s="63"/>
      <c r="QZC71" s="63"/>
      <c r="QZD71" s="63"/>
      <c r="QZE71" s="63"/>
      <c r="QZF71" s="63"/>
      <c r="QZG71" s="63"/>
      <c r="QZH71" s="63"/>
      <c r="QZI71" s="63"/>
      <c r="QZJ71" s="63"/>
      <c r="QZK71" s="63"/>
      <c r="QZL71" s="63"/>
      <c r="QZM71" s="63"/>
      <c r="QZN71" s="63"/>
      <c r="QZO71" s="63"/>
      <c r="QZP71" s="63"/>
      <c r="QZQ71" s="63"/>
      <c r="QZR71" s="63"/>
      <c r="QZS71" s="63"/>
      <c r="QZT71" s="63"/>
      <c r="QZU71" s="63"/>
      <c r="QZV71" s="63"/>
      <c r="QZW71" s="63"/>
      <c r="QZX71" s="63"/>
      <c r="QZY71" s="63"/>
      <c r="QZZ71" s="63"/>
      <c r="RAA71" s="63"/>
      <c r="RAB71" s="63"/>
      <c r="RAC71" s="63"/>
      <c r="RAD71" s="63"/>
      <c r="RAE71" s="63"/>
      <c r="RAF71" s="63"/>
      <c r="RAG71" s="63"/>
      <c r="RAH71" s="63"/>
      <c r="RAI71" s="63"/>
      <c r="RAJ71" s="63"/>
      <c r="RAK71" s="63"/>
      <c r="RAL71" s="63"/>
      <c r="RAM71" s="63"/>
      <c r="RAN71" s="63"/>
      <c r="RAO71" s="63"/>
      <c r="RAP71" s="63"/>
      <c r="RAQ71" s="63"/>
      <c r="RAR71" s="63"/>
      <c r="RAS71" s="63"/>
      <c r="RAT71" s="63"/>
      <c r="RAU71" s="63"/>
      <c r="RAV71" s="63"/>
      <c r="RAW71" s="63"/>
      <c r="RAX71" s="63"/>
      <c r="RAY71" s="63"/>
      <c r="RAZ71" s="63"/>
      <c r="RBA71" s="63"/>
      <c r="RBB71" s="63"/>
      <c r="RBC71" s="63"/>
      <c r="RBD71" s="63"/>
      <c r="RBE71" s="63"/>
      <c r="RBF71" s="63"/>
      <c r="RBG71" s="63"/>
      <c r="RBH71" s="63"/>
      <c r="RBI71" s="63"/>
      <c r="RBJ71" s="63"/>
      <c r="RBK71" s="63"/>
      <c r="RBL71" s="63"/>
      <c r="RBM71" s="63"/>
      <c r="RBN71" s="63"/>
      <c r="RBO71" s="63"/>
      <c r="RBP71" s="63"/>
      <c r="RBQ71" s="63"/>
      <c r="RBR71" s="63"/>
      <c r="RBS71" s="63"/>
      <c r="RBT71" s="63"/>
      <c r="RBU71" s="63"/>
      <c r="RBV71" s="63"/>
      <c r="RBW71" s="63"/>
      <c r="RBX71" s="63"/>
      <c r="RBY71" s="63"/>
      <c r="RBZ71" s="63"/>
      <c r="RCA71" s="63"/>
      <c r="RCB71" s="63"/>
      <c r="RCC71" s="63"/>
      <c r="RCD71" s="63"/>
      <c r="RCE71" s="63"/>
      <c r="RCF71" s="63"/>
      <c r="RCG71" s="63"/>
      <c r="RCH71" s="63"/>
      <c r="RCI71" s="63"/>
      <c r="RCJ71" s="63"/>
      <c r="RCK71" s="63"/>
      <c r="RCL71" s="63"/>
      <c r="RCM71" s="63"/>
      <c r="RCN71" s="63"/>
      <c r="RCO71" s="63"/>
      <c r="RCP71" s="63"/>
      <c r="RCQ71" s="63"/>
      <c r="RCR71" s="63"/>
      <c r="RCS71" s="63"/>
      <c r="RCT71" s="63"/>
      <c r="RCU71" s="63"/>
      <c r="RCV71" s="63"/>
      <c r="RCW71" s="63"/>
      <c r="RCX71" s="63"/>
      <c r="RCY71" s="63"/>
      <c r="RCZ71" s="63"/>
      <c r="RDA71" s="63"/>
      <c r="RDB71" s="63"/>
      <c r="RDC71" s="63"/>
      <c r="RDD71" s="63"/>
      <c r="RDE71" s="63"/>
      <c r="RDF71" s="63"/>
      <c r="RDG71" s="63"/>
      <c r="RDH71" s="63"/>
      <c r="RDI71" s="63"/>
      <c r="RDJ71" s="63"/>
      <c r="RDK71" s="63"/>
      <c r="RDL71" s="63"/>
      <c r="RDM71" s="63"/>
      <c r="RDN71" s="63"/>
      <c r="RDO71" s="63"/>
      <c r="RDP71" s="63"/>
      <c r="RDQ71" s="63"/>
      <c r="RDR71" s="63"/>
      <c r="RDS71" s="63"/>
      <c r="RDT71" s="63"/>
      <c r="RDU71" s="63"/>
      <c r="RDV71" s="63"/>
      <c r="RDW71" s="63"/>
      <c r="RDX71" s="63"/>
      <c r="RDY71" s="63"/>
      <c r="RDZ71" s="63"/>
      <c r="REA71" s="63"/>
      <c r="REB71" s="63"/>
      <c r="REC71" s="63"/>
      <c r="RED71" s="63"/>
      <c r="REE71" s="63"/>
      <c r="REF71" s="63"/>
      <c r="REG71" s="63"/>
      <c r="REH71" s="63"/>
      <c r="REI71" s="63"/>
      <c r="REJ71" s="63"/>
      <c r="REK71" s="63"/>
      <c r="REL71" s="63"/>
      <c r="REM71" s="63"/>
      <c r="REN71" s="63"/>
      <c r="REO71" s="63"/>
      <c r="REP71" s="63"/>
      <c r="REQ71" s="63"/>
      <c r="RER71" s="63"/>
      <c r="RES71" s="63"/>
      <c r="RET71" s="63"/>
      <c r="REU71" s="63"/>
      <c r="REV71" s="63"/>
      <c r="REW71" s="63"/>
      <c r="REX71" s="63"/>
      <c r="REY71" s="63"/>
      <c r="REZ71" s="63"/>
      <c r="RFA71" s="63"/>
      <c r="RFB71" s="63"/>
      <c r="RFC71" s="63"/>
      <c r="RFD71" s="63"/>
      <c r="RFE71" s="63"/>
      <c r="RFF71" s="63"/>
      <c r="RFG71" s="63"/>
      <c r="RFH71" s="63"/>
      <c r="RFI71" s="63"/>
      <c r="RFJ71" s="63"/>
      <c r="RFK71" s="63"/>
      <c r="RFL71" s="63"/>
      <c r="RFM71" s="63"/>
      <c r="RFN71" s="63"/>
      <c r="RFO71" s="63"/>
      <c r="RFP71" s="63"/>
      <c r="RFQ71" s="63"/>
      <c r="RFR71" s="63"/>
      <c r="RFS71" s="63"/>
      <c r="RFT71" s="63"/>
      <c r="RFU71" s="63"/>
      <c r="RFV71" s="63"/>
      <c r="RFW71" s="63"/>
      <c r="RFX71" s="63"/>
      <c r="RFY71" s="63"/>
      <c r="RFZ71" s="63"/>
      <c r="RGA71" s="63"/>
      <c r="RGB71" s="63"/>
      <c r="RGC71" s="63"/>
      <c r="RGD71" s="63"/>
      <c r="RGE71" s="63"/>
      <c r="RGF71" s="63"/>
      <c r="RGG71" s="63"/>
      <c r="RGH71" s="63"/>
      <c r="RGI71" s="63"/>
      <c r="RGJ71" s="63"/>
      <c r="RGK71" s="63"/>
      <c r="RGL71" s="63"/>
      <c r="RGM71" s="63"/>
      <c r="RGN71" s="63"/>
      <c r="RGO71" s="63"/>
      <c r="RGP71" s="63"/>
      <c r="RGQ71" s="63"/>
      <c r="RGR71" s="63"/>
      <c r="RGS71" s="63"/>
      <c r="RGT71" s="63"/>
      <c r="RGU71" s="63"/>
      <c r="RGV71" s="63"/>
      <c r="RGW71" s="63"/>
      <c r="RGX71" s="63"/>
      <c r="RGY71" s="63"/>
      <c r="RGZ71" s="63"/>
      <c r="RHA71" s="63"/>
      <c r="RHB71" s="63"/>
      <c r="RHC71" s="63"/>
      <c r="RHD71" s="63"/>
      <c r="RHE71" s="63"/>
      <c r="RHF71" s="63"/>
      <c r="RHG71" s="63"/>
      <c r="RHH71" s="63"/>
      <c r="RHI71" s="63"/>
      <c r="RHJ71" s="63"/>
      <c r="RHK71" s="63"/>
      <c r="RHL71" s="63"/>
      <c r="RHM71" s="63"/>
      <c r="RHN71" s="63"/>
      <c r="RHO71" s="63"/>
      <c r="RHP71" s="63"/>
      <c r="RHQ71" s="63"/>
      <c r="RHR71" s="63"/>
      <c r="RHS71" s="63"/>
      <c r="RHT71" s="63"/>
      <c r="RHU71" s="63"/>
      <c r="RHV71" s="63"/>
      <c r="RHW71" s="63"/>
      <c r="RHX71" s="63"/>
      <c r="RHY71" s="63"/>
      <c r="RHZ71" s="63"/>
      <c r="RIA71" s="63"/>
      <c r="RIB71" s="63"/>
      <c r="RIC71" s="63"/>
      <c r="RID71" s="63"/>
      <c r="RIE71" s="63"/>
      <c r="RIF71" s="63"/>
      <c r="RIG71" s="63"/>
      <c r="RIH71" s="63"/>
      <c r="RII71" s="63"/>
      <c r="RIJ71" s="63"/>
      <c r="RIK71" s="63"/>
      <c r="RIL71" s="63"/>
      <c r="RIM71" s="63"/>
      <c r="RIN71" s="63"/>
      <c r="RIO71" s="63"/>
      <c r="RIP71" s="63"/>
      <c r="RIQ71" s="63"/>
      <c r="RIR71" s="63"/>
      <c r="RIS71" s="63"/>
      <c r="RIT71" s="63"/>
      <c r="RIU71" s="63"/>
      <c r="RIV71" s="63"/>
      <c r="RIW71" s="63"/>
      <c r="RIX71" s="63"/>
      <c r="RIY71" s="63"/>
      <c r="RIZ71" s="63"/>
      <c r="RJA71" s="63"/>
      <c r="RJB71" s="63"/>
      <c r="RJC71" s="63"/>
      <c r="RJD71" s="63"/>
      <c r="RJE71" s="63"/>
      <c r="RJF71" s="63"/>
      <c r="RJG71" s="63"/>
      <c r="RJH71" s="63"/>
      <c r="RJI71" s="63"/>
      <c r="RJJ71" s="63"/>
      <c r="RJK71" s="63"/>
      <c r="RJL71" s="63"/>
      <c r="RJM71" s="63"/>
      <c r="RJN71" s="63"/>
      <c r="RJO71" s="63"/>
      <c r="RJP71" s="63"/>
      <c r="RJQ71" s="63"/>
      <c r="RJR71" s="63"/>
      <c r="RJS71" s="63"/>
      <c r="RJT71" s="63"/>
      <c r="RJU71" s="63"/>
      <c r="RJV71" s="63"/>
      <c r="RJW71" s="63"/>
      <c r="RJX71" s="63"/>
      <c r="RJY71" s="63"/>
      <c r="RJZ71" s="63"/>
      <c r="RKA71" s="63"/>
      <c r="RKB71" s="63"/>
      <c r="RKC71" s="63"/>
      <c r="RKD71" s="63"/>
      <c r="RKE71" s="63"/>
      <c r="RKF71" s="63"/>
      <c r="RKG71" s="63"/>
      <c r="RKH71" s="63"/>
      <c r="RKI71" s="63"/>
      <c r="RKJ71" s="63"/>
      <c r="RKK71" s="63"/>
      <c r="RKL71" s="63"/>
      <c r="RKM71" s="63"/>
      <c r="RKN71" s="63"/>
      <c r="RKO71" s="63"/>
      <c r="RKP71" s="63"/>
      <c r="RKQ71" s="63"/>
      <c r="RKR71" s="63"/>
      <c r="RKS71" s="63"/>
      <c r="RKT71" s="63"/>
      <c r="RKU71" s="63"/>
      <c r="RKV71" s="63"/>
      <c r="RKW71" s="63"/>
      <c r="RKX71" s="63"/>
      <c r="RKY71" s="63"/>
      <c r="RKZ71" s="63"/>
      <c r="RLA71" s="63"/>
      <c r="RLB71" s="63"/>
      <c r="RLC71" s="63"/>
      <c r="RLD71" s="63"/>
      <c r="RLE71" s="63"/>
      <c r="RLF71" s="63"/>
      <c r="RLG71" s="63"/>
      <c r="RLH71" s="63"/>
      <c r="RLI71" s="63"/>
      <c r="RLJ71" s="63"/>
      <c r="RLK71" s="63"/>
      <c r="RLL71" s="63"/>
      <c r="RLM71" s="63"/>
      <c r="RLN71" s="63"/>
      <c r="RLO71" s="63"/>
      <c r="RLP71" s="63"/>
      <c r="RLQ71" s="63"/>
      <c r="RLR71" s="63"/>
      <c r="RLS71" s="63"/>
      <c r="RLT71" s="63"/>
      <c r="RLU71" s="63"/>
      <c r="RLV71" s="63"/>
      <c r="RLW71" s="63"/>
      <c r="RLX71" s="63"/>
      <c r="RLY71" s="63"/>
      <c r="RLZ71" s="63"/>
      <c r="RMA71" s="63"/>
      <c r="RMB71" s="63"/>
      <c r="RMC71" s="63"/>
      <c r="RMD71" s="63"/>
      <c r="RME71" s="63"/>
      <c r="RMF71" s="63"/>
      <c r="RMG71" s="63"/>
      <c r="RMH71" s="63"/>
      <c r="RMI71" s="63"/>
      <c r="RMJ71" s="63"/>
      <c r="RMK71" s="63"/>
      <c r="RML71" s="63"/>
      <c r="RMM71" s="63"/>
      <c r="RMN71" s="63"/>
      <c r="RMO71" s="63"/>
      <c r="RMP71" s="63"/>
      <c r="RMQ71" s="63"/>
      <c r="RMR71" s="63"/>
      <c r="RMS71" s="63"/>
      <c r="RMT71" s="63"/>
      <c r="RMU71" s="63"/>
      <c r="RMV71" s="63"/>
      <c r="RMW71" s="63"/>
      <c r="RMX71" s="63"/>
      <c r="RMY71" s="63"/>
      <c r="RMZ71" s="63"/>
      <c r="RNA71" s="63"/>
      <c r="RNB71" s="63"/>
      <c r="RNC71" s="63"/>
      <c r="RND71" s="63"/>
      <c r="RNE71" s="63"/>
      <c r="RNF71" s="63"/>
      <c r="RNG71" s="63"/>
      <c r="RNH71" s="63"/>
      <c r="RNI71" s="63"/>
      <c r="RNJ71" s="63"/>
      <c r="RNK71" s="63"/>
      <c r="RNL71" s="63"/>
      <c r="RNM71" s="63"/>
      <c r="RNN71" s="63"/>
      <c r="RNO71" s="63"/>
      <c r="RNP71" s="63"/>
      <c r="RNQ71" s="63"/>
      <c r="RNR71" s="63"/>
      <c r="RNS71" s="63"/>
      <c r="RNT71" s="63"/>
      <c r="RNU71" s="63"/>
      <c r="RNV71" s="63"/>
      <c r="RNW71" s="63"/>
      <c r="RNX71" s="63"/>
      <c r="RNY71" s="63"/>
      <c r="RNZ71" s="63"/>
      <c r="ROA71" s="63"/>
      <c r="ROB71" s="63"/>
      <c r="ROC71" s="63"/>
      <c r="ROD71" s="63"/>
      <c r="ROE71" s="63"/>
      <c r="ROF71" s="63"/>
      <c r="ROG71" s="63"/>
      <c r="ROH71" s="63"/>
      <c r="ROI71" s="63"/>
      <c r="ROJ71" s="63"/>
      <c r="ROK71" s="63"/>
      <c r="ROL71" s="63"/>
      <c r="ROM71" s="63"/>
      <c r="RON71" s="63"/>
      <c r="ROO71" s="63"/>
      <c r="ROP71" s="63"/>
      <c r="ROQ71" s="63"/>
      <c r="ROR71" s="63"/>
      <c r="ROS71" s="63"/>
      <c r="ROT71" s="63"/>
      <c r="ROU71" s="63"/>
      <c r="ROV71" s="63"/>
      <c r="ROW71" s="63"/>
      <c r="ROX71" s="63"/>
      <c r="ROY71" s="63"/>
      <c r="ROZ71" s="63"/>
      <c r="RPA71" s="63"/>
      <c r="RPB71" s="63"/>
      <c r="RPC71" s="63"/>
      <c r="RPD71" s="63"/>
      <c r="RPE71" s="63"/>
      <c r="RPF71" s="63"/>
      <c r="RPG71" s="63"/>
      <c r="RPH71" s="63"/>
      <c r="RPI71" s="63"/>
      <c r="RPJ71" s="63"/>
      <c r="RPK71" s="63"/>
      <c r="RPL71" s="63"/>
      <c r="RPM71" s="63"/>
      <c r="RPN71" s="63"/>
      <c r="RPO71" s="63"/>
      <c r="RPP71" s="63"/>
      <c r="RPQ71" s="63"/>
      <c r="RPR71" s="63"/>
      <c r="RPS71" s="63"/>
      <c r="RPT71" s="63"/>
      <c r="RPU71" s="63"/>
      <c r="RPV71" s="63"/>
      <c r="RPW71" s="63"/>
      <c r="RPX71" s="63"/>
      <c r="RPY71" s="63"/>
      <c r="RPZ71" s="63"/>
      <c r="RQA71" s="63"/>
      <c r="RQB71" s="63"/>
      <c r="RQC71" s="63"/>
      <c r="RQD71" s="63"/>
      <c r="RQE71" s="63"/>
      <c r="RQF71" s="63"/>
      <c r="RQG71" s="63"/>
      <c r="RQH71" s="63"/>
      <c r="RQI71" s="63"/>
      <c r="RQJ71" s="63"/>
      <c r="RQK71" s="63"/>
      <c r="RQL71" s="63"/>
      <c r="RQM71" s="63"/>
      <c r="RQN71" s="63"/>
      <c r="RQO71" s="63"/>
      <c r="RQP71" s="63"/>
      <c r="RQQ71" s="63"/>
      <c r="RQR71" s="63"/>
      <c r="RQS71" s="63"/>
      <c r="RQT71" s="63"/>
      <c r="RQU71" s="63"/>
      <c r="RQV71" s="63"/>
      <c r="RQW71" s="63"/>
      <c r="RQX71" s="63"/>
      <c r="RQY71" s="63"/>
      <c r="RQZ71" s="63"/>
      <c r="RRA71" s="63"/>
      <c r="RRB71" s="63"/>
      <c r="RRC71" s="63"/>
      <c r="RRD71" s="63"/>
      <c r="RRE71" s="63"/>
      <c r="RRF71" s="63"/>
      <c r="RRG71" s="63"/>
      <c r="RRH71" s="63"/>
      <c r="RRI71" s="63"/>
      <c r="RRJ71" s="63"/>
      <c r="RRK71" s="63"/>
      <c r="RRL71" s="63"/>
      <c r="RRM71" s="63"/>
      <c r="RRN71" s="63"/>
      <c r="RRO71" s="63"/>
      <c r="RRP71" s="63"/>
      <c r="RRQ71" s="63"/>
      <c r="RRR71" s="63"/>
      <c r="RRS71" s="63"/>
      <c r="RRT71" s="63"/>
      <c r="RRU71" s="63"/>
      <c r="RRV71" s="63"/>
      <c r="RRW71" s="63"/>
      <c r="RRX71" s="63"/>
      <c r="RRY71" s="63"/>
      <c r="RRZ71" s="63"/>
      <c r="RSA71" s="63"/>
      <c r="RSB71" s="63"/>
      <c r="RSC71" s="63"/>
      <c r="RSD71" s="63"/>
      <c r="RSE71" s="63"/>
      <c r="RSF71" s="63"/>
      <c r="RSG71" s="63"/>
      <c r="RSH71" s="63"/>
      <c r="RSI71" s="63"/>
      <c r="RSJ71" s="63"/>
      <c r="RSK71" s="63"/>
      <c r="RSL71" s="63"/>
      <c r="RSM71" s="63"/>
      <c r="RSN71" s="63"/>
      <c r="RSO71" s="63"/>
      <c r="RSP71" s="63"/>
      <c r="RSQ71" s="63"/>
      <c r="RSR71" s="63"/>
      <c r="RSS71" s="63"/>
      <c r="RST71" s="63"/>
      <c r="RSU71" s="63"/>
      <c r="RSV71" s="63"/>
      <c r="RSW71" s="63"/>
      <c r="RSX71" s="63"/>
      <c r="RSY71" s="63"/>
      <c r="RSZ71" s="63"/>
      <c r="RTA71" s="63"/>
      <c r="RTB71" s="63"/>
      <c r="RTC71" s="63"/>
      <c r="RTD71" s="63"/>
      <c r="RTE71" s="63"/>
      <c r="RTF71" s="63"/>
      <c r="RTG71" s="63"/>
      <c r="RTH71" s="63"/>
      <c r="RTI71" s="63"/>
      <c r="RTJ71" s="63"/>
      <c r="RTK71" s="63"/>
      <c r="RTL71" s="63"/>
      <c r="RTM71" s="63"/>
      <c r="RTN71" s="63"/>
      <c r="RTO71" s="63"/>
      <c r="RTP71" s="63"/>
      <c r="RTQ71" s="63"/>
      <c r="RTR71" s="63"/>
      <c r="RTS71" s="63"/>
      <c r="RTT71" s="63"/>
      <c r="RTU71" s="63"/>
      <c r="RTV71" s="63"/>
      <c r="RTW71" s="63"/>
      <c r="RTX71" s="63"/>
      <c r="RTY71" s="63"/>
      <c r="RTZ71" s="63"/>
      <c r="RUA71" s="63"/>
      <c r="RUB71" s="63"/>
      <c r="RUC71" s="63"/>
      <c r="RUD71" s="63"/>
      <c r="RUE71" s="63"/>
      <c r="RUF71" s="63"/>
      <c r="RUG71" s="63"/>
      <c r="RUH71" s="63"/>
      <c r="RUI71" s="63"/>
      <c r="RUJ71" s="63"/>
      <c r="RUK71" s="63"/>
      <c r="RUL71" s="63"/>
      <c r="RUM71" s="63"/>
      <c r="RUN71" s="63"/>
      <c r="RUO71" s="63"/>
      <c r="RUP71" s="63"/>
      <c r="RUQ71" s="63"/>
      <c r="RUR71" s="63"/>
      <c r="RUS71" s="63"/>
      <c r="RUT71" s="63"/>
      <c r="RUU71" s="63"/>
      <c r="RUV71" s="63"/>
      <c r="RUW71" s="63"/>
      <c r="RUX71" s="63"/>
      <c r="RUY71" s="63"/>
      <c r="RUZ71" s="63"/>
      <c r="RVA71" s="63"/>
      <c r="RVB71" s="63"/>
      <c r="RVC71" s="63"/>
      <c r="RVD71" s="63"/>
      <c r="RVE71" s="63"/>
      <c r="RVF71" s="63"/>
      <c r="RVG71" s="63"/>
      <c r="RVH71" s="63"/>
      <c r="RVI71" s="63"/>
      <c r="RVJ71" s="63"/>
      <c r="RVK71" s="63"/>
      <c r="RVL71" s="63"/>
      <c r="RVM71" s="63"/>
      <c r="RVN71" s="63"/>
      <c r="RVO71" s="63"/>
      <c r="RVP71" s="63"/>
      <c r="RVQ71" s="63"/>
      <c r="RVR71" s="63"/>
      <c r="RVS71" s="63"/>
      <c r="RVT71" s="63"/>
      <c r="RVU71" s="63"/>
      <c r="RVV71" s="63"/>
      <c r="RVW71" s="63"/>
      <c r="RVX71" s="63"/>
      <c r="RVY71" s="63"/>
      <c r="RVZ71" s="63"/>
      <c r="RWA71" s="63"/>
      <c r="RWB71" s="63"/>
      <c r="RWC71" s="63"/>
      <c r="RWD71" s="63"/>
      <c r="RWE71" s="63"/>
      <c r="RWF71" s="63"/>
      <c r="RWG71" s="63"/>
      <c r="RWH71" s="63"/>
      <c r="RWI71" s="63"/>
      <c r="RWJ71" s="63"/>
      <c r="RWK71" s="63"/>
      <c r="RWL71" s="63"/>
      <c r="RWM71" s="63"/>
      <c r="RWN71" s="63"/>
      <c r="RWO71" s="63"/>
      <c r="RWP71" s="63"/>
      <c r="RWQ71" s="63"/>
      <c r="RWR71" s="63"/>
      <c r="RWS71" s="63"/>
      <c r="RWT71" s="63"/>
      <c r="RWU71" s="63"/>
      <c r="RWV71" s="63"/>
      <c r="RWW71" s="63"/>
      <c r="RWX71" s="63"/>
      <c r="RWY71" s="63"/>
      <c r="RWZ71" s="63"/>
      <c r="RXA71" s="63"/>
      <c r="RXB71" s="63"/>
      <c r="RXC71" s="63"/>
      <c r="RXD71" s="63"/>
      <c r="RXE71" s="63"/>
      <c r="RXF71" s="63"/>
      <c r="RXG71" s="63"/>
      <c r="RXH71" s="63"/>
      <c r="RXI71" s="63"/>
      <c r="RXJ71" s="63"/>
      <c r="RXK71" s="63"/>
      <c r="RXL71" s="63"/>
      <c r="RXM71" s="63"/>
      <c r="RXN71" s="63"/>
      <c r="RXO71" s="63"/>
      <c r="RXP71" s="63"/>
      <c r="RXQ71" s="63"/>
      <c r="RXR71" s="63"/>
      <c r="RXS71" s="63"/>
      <c r="RXT71" s="63"/>
      <c r="RXU71" s="63"/>
      <c r="RXV71" s="63"/>
      <c r="RXW71" s="63"/>
      <c r="RXX71" s="63"/>
      <c r="RXY71" s="63"/>
      <c r="RXZ71" s="63"/>
      <c r="RYA71" s="63"/>
      <c r="RYB71" s="63"/>
      <c r="RYC71" s="63"/>
      <c r="RYD71" s="63"/>
      <c r="RYE71" s="63"/>
      <c r="RYF71" s="63"/>
      <c r="RYG71" s="63"/>
      <c r="RYH71" s="63"/>
      <c r="RYI71" s="63"/>
      <c r="RYJ71" s="63"/>
      <c r="RYK71" s="63"/>
      <c r="RYL71" s="63"/>
      <c r="RYM71" s="63"/>
      <c r="RYN71" s="63"/>
      <c r="RYO71" s="63"/>
      <c r="RYP71" s="63"/>
      <c r="RYQ71" s="63"/>
      <c r="RYR71" s="63"/>
      <c r="RYS71" s="63"/>
      <c r="RYT71" s="63"/>
      <c r="RYU71" s="63"/>
      <c r="RYV71" s="63"/>
      <c r="RYW71" s="63"/>
      <c r="RYX71" s="63"/>
      <c r="RYY71" s="63"/>
      <c r="RYZ71" s="63"/>
      <c r="RZA71" s="63"/>
      <c r="RZB71" s="63"/>
      <c r="RZC71" s="63"/>
      <c r="RZD71" s="63"/>
      <c r="RZE71" s="63"/>
      <c r="RZF71" s="63"/>
      <c r="RZG71" s="63"/>
      <c r="RZH71" s="63"/>
      <c r="RZI71" s="63"/>
      <c r="RZJ71" s="63"/>
      <c r="RZK71" s="63"/>
      <c r="RZL71" s="63"/>
      <c r="RZM71" s="63"/>
      <c r="RZN71" s="63"/>
      <c r="RZO71" s="63"/>
      <c r="RZP71" s="63"/>
      <c r="RZQ71" s="63"/>
      <c r="RZR71" s="63"/>
      <c r="RZS71" s="63"/>
      <c r="RZT71" s="63"/>
      <c r="RZU71" s="63"/>
      <c r="RZV71" s="63"/>
      <c r="RZW71" s="63"/>
      <c r="RZX71" s="63"/>
      <c r="RZY71" s="63"/>
      <c r="RZZ71" s="63"/>
      <c r="SAA71" s="63"/>
      <c r="SAB71" s="63"/>
      <c r="SAC71" s="63"/>
      <c r="SAD71" s="63"/>
      <c r="SAE71" s="63"/>
      <c r="SAF71" s="63"/>
      <c r="SAG71" s="63"/>
      <c r="SAH71" s="63"/>
      <c r="SAI71" s="63"/>
      <c r="SAJ71" s="63"/>
      <c r="SAK71" s="63"/>
      <c r="SAL71" s="63"/>
      <c r="SAM71" s="63"/>
      <c r="SAN71" s="63"/>
      <c r="SAO71" s="63"/>
      <c r="SAP71" s="63"/>
      <c r="SAQ71" s="63"/>
      <c r="SAR71" s="63"/>
      <c r="SAS71" s="63"/>
      <c r="SAT71" s="63"/>
      <c r="SAU71" s="63"/>
      <c r="SAV71" s="63"/>
      <c r="SAW71" s="63"/>
      <c r="SAX71" s="63"/>
      <c r="SAY71" s="63"/>
      <c r="SAZ71" s="63"/>
      <c r="SBA71" s="63"/>
      <c r="SBB71" s="63"/>
      <c r="SBC71" s="63"/>
      <c r="SBD71" s="63"/>
      <c r="SBE71" s="63"/>
      <c r="SBF71" s="63"/>
      <c r="SBG71" s="63"/>
      <c r="SBH71" s="63"/>
      <c r="SBI71" s="63"/>
      <c r="SBJ71" s="63"/>
      <c r="SBK71" s="63"/>
      <c r="SBL71" s="63"/>
      <c r="SBM71" s="63"/>
      <c r="SBN71" s="63"/>
      <c r="SBO71" s="63"/>
      <c r="SBP71" s="63"/>
      <c r="SBQ71" s="63"/>
      <c r="SBR71" s="63"/>
      <c r="SBS71" s="63"/>
      <c r="SBT71" s="63"/>
      <c r="SBU71" s="63"/>
      <c r="SBV71" s="63"/>
      <c r="SBW71" s="63"/>
      <c r="SBX71" s="63"/>
      <c r="SBY71" s="63"/>
      <c r="SBZ71" s="63"/>
      <c r="SCA71" s="63"/>
      <c r="SCB71" s="63"/>
      <c r="SCC71" s="63"/>
      <c r="SCD71" s="63"/>
      <c r="SCE71" s="63"/>
      <c r="SCF71" s="63"/>
      <c r="SCG71" s="63"/>
      <c r="SCH71" s="63"/>
      <c r="SCI71" s="63"/>
      <c r="SCJ71" s="63"/>
      <c r="SCK71" s="63"/>
      <c r="SCL71" s="63"/>
      <c r="SCM71" s="63"/>
      <c r="SCN71" s="63"/>
      <c r="SCO71" s="63"/>
      <c r="SCP71" s="63"/>
      <c r="SCQ71" s="63"/>
      <c r="SCR71" s="63"/>
      <c r="SCS71" s="63"/>
      <c r="SCT71" s="63"/>
      <c r="SCU71" s="63"/>
      <c r="SCV71" s="63"/>
      <c r="SCW71" s="63"/>
      <c r="SCX71" s="63"/>
      <c r="SCY71" s="63"/>
      <c r="SCZ71" s="63"/>
      <c r="SDA71" s="63"/>
      <c r="SDB71" s="63"/>
      <c r="SDC71" s="63"/>
      <c r="SDD71" s="63"/>
      <c r="SDE71" s="63"/>
      <c r="SDF71" s="63"/>
      <c r="SDG71" s="63"/>
      <c r="SDH71" s="63"/>
      <c r="SDI71" s="63"/>
      <c r="SDJ71" s="63"/>
      <c r="SDK71" s="63"/>
      <c r="SDL71" s="63"/>
      <c r="SDM71" s="63"/>
      <c r="SDN71" s="63"/>
      <c r="SDO71" s="63"/>
      <c r="SDP71" s="63"/>
      <c r="SDQ71" s="63"/>
      <c r="SDR71" s="63"/>
      <c r="SDS71" s="63"/>
      <c r="SDT71" s="63"/>
      <c r="SDU71" s="63"/>
      <c r="SDV71" s="63"/>
      <c r="SDW71" s="63"/>
      <c r="SDX71" s="63"/>
      <c r="SDY71" s="63"/>
      <c r="SDZ71" s="63"/>
      <c r="SEA71" s="63"/>
      <c r="SEB71" s="63"/>
      <c r="SEC71" s="63"/>
      <c r="SED71" s="63"/>
      <c r="SEE71" s="63"/>
      <c r="SEF71" s="63"/>
      <c r="SEG71" s="63"/>
      <c r="SEH71" s="63"/>
      <c r="SEI71" s="63"/>
      <c r="SEJ71" s="63"/>
      <c r="SEK71" s="63"/>
      <c r="SEL71" s="63"/>
      <c r="SEM71" s="63"/>
      <c r="SEN71" s="63"/>
      <c r="SEO71" s="63"/>
      <c r="SEP71" s="63"/>
      <c r="SEQ71" s="63"/>
      <c r="SER71" s="63"/>
      <c r="SES71" s="63"/>
      <c r="SET71" s="63"/>
      <c r="SEU71" s="63"/>
      <c r="SEV71" s="63"/>
      <c r="SEW71" s="63"/>
      <c r="SEX71" s="63"/>
      <c r="SEY71" s="63"/>
      <c r="SEZ71" s="63"/>
      <c r="SFA71" s="63"/>
      <c r="SFB71" s="63"/>
      <c r="SFC71" s="63"/>
      <c r="SFD71" s="63"/>
      <c r="SFE71" s="63"/>
      <c r="SFF71" s="63"/>
      <c r="SFG71" s="63"/>
      <c r="SFH71" s="63"/>
      <c r="SFI71" s="63"/>
      <c r="SFJ71" s="63"/>
      <c r="SFK71" s="63"/>
      <c r="SFL71" s="63"/>
      <c r="SFM71" s="63"/>
      <c r="SFN71" s="63"/>
      <c r="SFO71" s="63"/>
      <c r="SFP71" s="63"/>
      <c r="SFQ71" s="63"/>
      <c r="SFR71" s="63"/>
      <c r="SFS71" s="63"/>
      <c r="SFT71" s="63"/>
      <c r="SFU71" s="63"/>
      <c r="SFV71" s="63"/>
      <c r="SFW71" s="63"/>
      <c r="SFX71" s="63"/>
      <c r="SFY71" s="63"/>
      <c r="SFZ71" s="63"/>
      <c r="SGA71" s="63"/>
      <c r="SGB71" s="63"/>
      <c r="SGC71" s="63"/>
      <c r="SGD71" s="63"/>
      <c r="SGE71" s="63"/>
      <c r="SGF71" s="63"/>
      <c r="SGG71" s="63"/>
      <c r="SGH71" s="63"/>
      <c r="SGI71" s="63"/>
      <c r="SGJ71" s="63"/>
      <c r="SGK71" s="63"/>
      <c r="SGL71" s="63"/>
      <c r="SGM71" s="63"/>
      <c r="SGN71" s="63"/>
      <c r="SGO71" s="63"/>
      <c r="SGP71" s="63"/>
      <c r="SGQ71" s="63"/>
      <c r="SGR71" s="63"/>
      <c r="SGS71" s="63"/>
      <c r="SGT71" s="63"/>
      <c r="SGU71" s="63"/>
      <c r="SGV71" s="63"/>
      <c r="SGW71" s="63"/>
      <c r="SGX71" s="63"/>
      <c r="SGY71" s="63"/>
      <c r="SGZ71" s="63"/>
      <c r="SHA71" s="63"/>
      <c r="SHB71" s="63"/>
      <c r="SHC71" s="63"/>
      <c r="SHD71" s="63"/>
      <c r="SHE71" s="63"/>
      <c r="SHF71" s="63"/>
      <c r="SHG71" s="63"/>
      <c r="SHH71" s="63"/>
      <c r="SHI71" s="63"/>
      <c r="SHJ71" s="63"/>
      <c r="SHK71" s="63"/>
      <c r="SHL71" s="63"/>
      <c r="SHM71" s="63"/>
      <c r="SHN71" s="63"/>
      <c r="SHO71" s="63"/>
      <c r="SHP71" s="63"/>
      <c r="SHQ71" s="63"/>
      <c r="SHR71" s="63"/>
      <c r="SHS71" s="63"/>
      <c r="SHT71" s="63"/>
      <c r="SHU71" s="63"/>
      <c r="SHV71" s="63"/>
      <c r="SHW71" s="63"/>
      <c r="SHX71" s="63"/>
      <c r="SHY71" s="63"/>
      <c r="SHZ71" s="63"/>
      <c r="SIA71" s="63"/>
      <c r="SIB71" s="63"/>
      <c r="SIC71" s="63"/>
      <c r="SID71" s="63"/>
      <c r="SIE71" s="63"/>
      <c r="SIF71" s="63"/>
      <c r="SIG71" s="63"/>
      <c r="SIH71" s="63"/>
      <c r="SII71" s="63"/>
      <c r="SIJ71" s="63"/>
      <c r="SIK71" s="63"/>
      <c r="SIL71" s="63"/>
      <c r="SIM71" s="63"/>
      <c r="SIN71" s="63"/>
      <c r="SIO71" s="63"/>
      <c r="SIP71" s="63"/>
      <c r="SIQ71" s="63"/>
      <c r="SIR71" s="63"/>
      <c r="SIS71" s="63"/>
      <c r="SIT71" s="63"/>
      <c r="SIU71" s="63"/>
      <c r="SIV71" s="63"/>
      <c r="SIW71" s="63"/>
      <c r="SIX71" s="63"/>
      <c r="SIY71" s="63"/>
      <c r="SIZ71" s="63"/>
      <c r="SJA71" s="63"/>
      <c r="SJB71" s="63"/>
      <c r="SJC71" s="63"/>
      <c r="SJD71" s="63"/>
      <c r="SJE71" s="63"/>
      <c r="SJF71" s="63"/>
      <c r="SJG71" s="63"/>
      <c r="SJH71" s="63"/>
      <c r="SJI71" s="63"/>
      <c r="SJJ71" s="63"/>
      <c r="SJK71" s="63"/>
      <c r="SJL71" s="63"/>
      <c r="SJM71" s="63"/>
      <c r="SJN71" s="63"/>
      <c r="SJO71" s="63"/>
      <c r="SJP71" s="63"/>
      <c r="SJQ71" s="63"/>
      <c r="SJR71" s="63"/>
      <c r="SJS71" s="63"/>
      <c r="SJT71" s="63"/>
      <c r="SJU71" s="63"/>
      <c r="SJV71" s="63"/>
      <c r="SJW71" s="63"/>
      <c r="SJX71" s="63"/>
      <c r="SJY71" s="63"/>
      <c r="SJZ71" s="63"/>
      <c r="SKA71" s="63"/>
      <c r="SKB71" s="63"/>
      <c r="SKC71" s="63"/>
      <c r="SKD71" s="63"/>
      <c r="SKE71" s="63"/>
      <c r="SKF71" s="63"/>
      <c r="SKG71" s="63"/>
      <c r="SKH71" s="63"/>
      <c r="SKI71" s="63"/>
      <c r="SKJ71" s="63"/>
      <c r="SKK71" s="63"/>
      <c r="SKL71" s="63"/>
      <c r="SKM71" s="63"/>
      <c r="SKN71" s="63"/>
      <c r="SKO71" s="63"/>
      <c r="SKP71" s="63"/>
      <c r="SKQ71" s="63"/>
      <c r="SKR71" s="63"/>
      <c r="SKS71" s="63"/>
      <c r="SKT71" s="63"/>
      <c r="SKU71" s="63"/>
      <c r="SKV71" s="63"/>
      <c r="SKW71" s="63"/>
      <c r="SKX71" s="63"/>
      <c r="SKY71" s="63"/>
      <c r="SKZ71" s="63"/>
      <c r="SLA71" s="63"/>
      <c r="SLB71" s="63"/>
      <c r="SLC71" s="63"/>
      <c r="SLD71" s="63"/>
      <c r="SLE71" s="63"/>
      <c r="SLF71" s="63"/>
      <c r="SLG71" s="63"/>
      <c r="SLH71" s="63"/>
      <c r="SLI71" s="63"/>
      <c r="SLJ71" s="63"/>
      <c r="SLK71" s="63"/>
      <c r="SLL71" s="63"/>
      <c r="SLM71" s="63"/>
      <c r="SLN71" s="63"/>
      <c r="SLO71" s="63"/>
      <c r="SLP71" s="63"/>
      <c r="SLQ71" s="63"/>
      <c r="SLR71" s="63"/>
      <c r="SLS71" s="63"/>
      <c r="SLT71" s="63"/>
      <c r="SLU71" s="63"/>
      <c r="SLV71" s="63"/>
      <c r="SLW71" s="63"/>
      <c r="SLX71" s="63"/>
      <c r="SLY71" s="63"/>
      <c r="SLZ71" s="63"/>
      <c r="SMA71" s="63"/>
      <c r="SMB71" s="63"/>
      <c r="SMC71" s="63"/>
      <c r="SMD71" s="63"/>
      <c r="SME71" s="63"/>
      <c r="SMF71" s="63"/>
      <c r="SMG71" s="63"/>
      <c r="SMH71" s="63"/>
      <c r="SMI71" s="63"/>
      <c r="SMJ71" s="63"/>
      <c r="SMK71" s="63"/>
      <c r="SML71" s="63"/>
      <c r="SMM71" s="63"/>
      <c r="SMN71" s="63"/>
      <c r="SMO71" s="63"/>
      <c r="SMP71" s="63"/>
      <c r="SMQ71" s="63"/>
      <c r="SMR71" s="63"/>
      <c r="SMS71" s="63"/>
      <c r="SMT71" s="63"/>
      <c r="SMU71" s="63"/>
      <c r="SMV71" s="63"/>
      <c r="SMW71" s="63"/>
      <c r="SMX71" s="63"/>
      <c r="SMY71" s="63"/>
      <c r="SMZ71" s="63"/>
      <c r="SNA71" s="63"/>
      <c r="SNB71" s="63"/>
      <c r="SNC71" s="63"/>
      <c r="SND71" s="63"/>
      <c r="SNE71" s="63"/>
      <c r="SNF71" s="63"/>
      <c r="SNG71" s="63"/>
      <c r="SNH71" s="63"/>
      <c r="SNI71" s="63"/>
      <c r="SNJ71" s="63"/>
      <c r="SNK71" s="63"/>
      <c r="SNL71" s="63"/>
      <c r="SNM71" s="63"/>
      <c r="SNN71" s="63"/>
      <c r="SNO71" s="63"/>
      <c r="SNP71" s="63"/>
      <c r="SNQ71" s="63"/>
      <c r="SNR71" s="63"/>
      <c r="SNS71" s="63"/>
      <c r="SNT71" s="63"/>
      <c r="SNU71" s="63"/>
      <c r="SNV71" s="63"/>
      <c r="SNW71" s="63"/>
      <c r="SNX71" s="63"/>
      <c r="SNY71" s="63"/>
      <c r="SNZ71" s="63"/>
      <c r="SOA71" s="63"/>
      <c r="SOB71" s="63"/>
      <c r="SOC71" s="63"/>
      <c r="SOD71" s="63"/>
      <c r="SOE71" s="63"/>
      <c r="SOF71" s="63"/>
      <c r="SOG71" s="63"/>
      <c r="SOH71" s="63"/>
      <c r="SOI71" s="63"/>
      <c r="SOJ71" s="63"/>
      <c r="SOK71" s="63"/>
      <c r="SOL71" s="63"/>
      <c r="SOM71" s="63"/>
      <c r="SON71" s="63"/>
      <c r="SOO71" s="63"/>
      <c r="SOP71" s="63"/>
      <c r="SOQ71" s="63"/>
      <c r="SOR71" s="63"/>
      <c r="SOS71" s="63"/>
      <c r="SOT71" s="63"/>
      <c r="SOU71" s="63"/>
      <c r="SOV71" s="63"/>
      <c r="SOW71" s="63"/>
      <c r="SOX71" s="63"/>
      <c r="SOY71" s="63"/>
      <c r="SOZ71" s="63"/>
      <c r="SPA71" s="63"/>
      <c r="SPB71" s="63"/>
      <c r="SPC71" s="63"/>
      <c r="SPD71" s="63"/>
      <c r="SPE71" s="63"/>
      <c r="SPF71" s="63"/>
      <c r="SPG71" s="63"/>
      <c r="SPH71" s="63"/>
      <c r="SPI71" s="63"/>
      <c r="SPJ71" s="63"/>
      <c r="SPK71" s="63"/>
      <c r="SPL71" s="63"/>
      <c r="SPM71" s="63"/>
      <c r="SPN71" s="63"/>
      <c r="SPO71" s="63"/>
      <c r="SPP71" s="63"/>
      <c r="SPQ71" s="63"/>
      <c r="SPR71" s="63"/>
      <c r="SPS71" s="63"/>
      <c r="SPT71" s="63"/>
      <c r="SPU71" s="63"/>
      <c r="SPV71" s="63"/>
      <c r="SPW71" s="63"/>
      <c r="SPX71" s="63"/>
      <c r="SPY71" s="63"/>
      <c r="SPZ71" s="63"/>
      <c r="SQA71" s="63"/>
      <c r="SQB71" s="63"/>
      <c r="SQC71" s="63"/>
      <c r="SQD71" s="63"/>
      <c r="SQE71" s="63"/>
      <c r="SQF71" s="63"/>
      <c r="SQG71" s="63"/>
      <c r="SQH71" s="63"/>
      <c r="SQI71" s="63"/>
      <c r="SQJ71" s="63"/>
      <c r="SQK71" s="63"/>
      <c r="SQL71" s="63"/>
      <c r="SQM71" s="63"/>
      <c r="SQN71" s="63"/>
      <c r="SQO71" s="63"/>
      <c r="SQP71" s="63"/>
      <c r="SQQ71" s="63"/>
      <c r="SQR71" s="63"/>
      <c r="SQS71" s="63"/>
      <c r="SQT71" s="63"/>
      <c r="SQU71" s="63"/>
      <c r="SQV71" s="63"/>
      <c r="SQW71" s="63"/>
      <c r="SQX71" s="63"/>
      <c r="SQY71" s="63"/>
      <c r="SQZ71" s="63"/>
      <c r="SRA71" s="63"/>
      <c r="SRB71" s="63"/>
      <c r="SRC71" s="63"/>
      <c r="SRD71" s="63"/>
      <c r="SRE71" s="63"/>
      <c r="SRF71" s="63"/>
      <c r="SRG71" s="63"/>
      <c r="SRH71" s="63"/>
      <c r="SRI71" s="63"/>
      <c r="SRJ71" s="63"/>
      <c r="SRK71" s="63"/>
      <c r="SRL71" s="63"/>
      <c r="SRM71" s="63"/>
      <c r="SRN71" s="63"/>
      <c r="SRO71" s="63"/>
      <c r="SRP71" s="63"/>
      <c r="SRQ71" s="63"/>
      <c r="SRR71" s="63"/>
      <c r="SRS71" s="63"/>
      <c r="SRT71" s="63"/>
      <c r="SRU71" s="63"/>
      <c r="SRV71" s="63"/>
      <c r="SRW71" s="63"/>
      <c r="SRX71" s="63"/>
      <c r="SRY71" s="63"/>
      <c r="SRZ71" s="63"/>
      <c r="SSA71" s="63"/>
      <c r="SSB71" s="63"/>
      <c r="SSC71" s="63"/>
      <c r="SSD71" s="63"/>
      <c r="SSE71" s="63"/>
      <c r="SSF71" s="63"/>
      <c r="SSG71" s="63"/>
      <c r="SSH71" s="63"/>
      <c r="SSI71" s="63"/>
      <c r="SSJ71" s="63"/>
      <c r="SSK71" s="63"/>
      <c r="SSL71" s="63"/>
      <c r="SSM71" s="63"/>
      <c r="SSN71" s="63"/>
      <c r="SSO71" s="63"/>
      <c r="SSP71" s="63"/>
      <c r="SSQ71" s="63"/>
      <c r="SSR71" s="63"/>
      <c r="SSS71" s="63"/>
      <c r="SST71" s="63"/>
      <c r="SSU71" s="63"/>
      <c r="SSV71" s="63"/>
      <c r="SSW71" s="63"/>
      <c r="SSX71" s="63"/>
      <c r="SSY71" s="63"/>
      <c r="SSZ71" s="63"/>
      <c r="STA71" s="63"/>
      <c r="STB71" s="63"/>
      <c r="STC71" s="63"/>
      <c r="STD71" s="63"/>
      <c r="STE71" s="63"/>
      <c r="STF71" s="63"/>
      <c r="STG71" s="63"/>
      <c r="STH71" s="63"/>
      <c r="STI71" s="63"/>
      <c r="STJ71" s="63"/>
      <c r="STK71" s="63"/>
      <c r="STL71" s="63"/>
      <c r="STM71" s="63"/>
      <c r="STN71" s="63"/>
      <c r="STO71" s="63"/>
      <c r="STP71" s="63"/>
      <c r="STQ71" s="63"/>
      <c r="STR71" s="63"/>
      <c r="STS71" s="63"/>
      <c r="STT71" s="63"/>
      <c r="STU71" s="63"/>
      <c r="STV71" s="63"/>
      <c r="STW71" s="63"/>
      <c r="STX71" s="63"/>
      <c r="STY71" s="63"/>
      <c r="STZ71" s="63"/>
      <c r="SUA71" s="63"/>
      <c r="SUB71" s="63"/>
      <c r="SUC71" s="63"/>
      <c r="SUD71" s="63"/>
      <c r="SUE71" s="63"/>
      <c r="SUF71" s="63"/>
      <c r="SUG71" s="63"/>
      <c r="SUH71" s="63"/>
      <c r="SUI71" s="63"/>
      <c r="SUJ71" s="63"/>
      <c r="SUK71" s="63"/>
      <c r="SUL71" s="63"/>
      <c r="SUM71" s="63"/>
      <c r="SUN71" s="63"/>
      <c r="SUO71" s="63"/>
      <c r="SUP71" s="63"/>
      <c r="SUQ71" s="63"/>
      <c r="SUR71" s="63"/>
      <c r="SUS71" s="63"/>
      <c r="SUT71" s="63"/>
      <c r="SUU71" s="63"/>
      <c r="SUV71" s="63"/>
      <c r="SUW71" s="63"/>
      <c r="SUX71" s="63"/>
      <c r="SUY71" s="63"/>
      <c r="SUZ71" s="63"/>
      <c r="SVA71" s="63"/>
      <c r="SVB71" s="63"/>
      <c r="SVC71" s="63"/>
      <c r="SVD71" s="63"/>
      <c r="SVE71" s="63"/>
      <c r="SVF71" s="63"/>
      <c r="SVG71" s="63"/>
      <c r="SVH71" s="63"/>
      <c r="SVI71" s="63"/>
      <c r="SVJ71" s="63"/>
      <c r="SVK71" s="63"/>
      <c r="SVL71" s="63"/>
      <c r="SVM71" s="63"/>
      <c r="SVN71" s="63"/>
      <c r="SVO71" s="63"/>
      <c r="SVP71" s="63"/>
      <c r="SVQ71" s="63"/>
      <c r="SVR71" s="63"/>
      <c r="SVS71" s="63"/>
      <c r="SVT71" s="63"/>
      <c r="SVU71" s="63"/>
      <c r="SVV71" s="63"/>
      <c r="SVW71" s="63"/>
      <c r="SVX71" s="63"/>
      <c r="SVY71" s="63"/>
      <c r="SVZ71" s="63"/>
      <c r="SWA71" s="63"/>
      <c r="SWB71" s="63"/>
      <c r="SWC71" s="63"/>
      <c r="SWD71" s="63"/>
      <c r="SWE71" s="63"/>
      <c r="SWF71" s="63"/>
      <c r="SWG71" s="63"/>
      <c r="SWH71" s="63"/>
      <c r="SWI71" s="63"/>
      <c r="SWJ71" s="63"/>
      <c r="SWK71" s="63"/>
      <c r="SWL71" s="63"/>
      <c r="SWM71" s="63"/>
      <c r="SWN71" s="63"/>
      <c r="SWO71" s="63"/>
      <c r="SWP71" s="63"/>
      <c r="SWQ71" s="63"/>
      <c r="SWR71" s="63"/>
      <c r="SWS71" s="63"/>
      <c r="SWT71" s="63"/>
      <c r="SWU71" s="63"/>
      <c r="SWV71" s="63"/>
      <c r="SWW71" s="63"/>
      <c r="SWX71" s="63"/>
      <c r="SWY71" s="63"/>
      <c r="SWZ71" s="63"/>
      <c r="SXA71" s="63"/>
      <c r="SXB71" s="63"/>
      <c r="SXC71" s="63"/>
      <c r="SXD71" s="63"/>
      <c r="SXE71" s="63"/>
      <c r="SXF71" s="63"/>
      <c r="SXG71" s="63"/>
      <c r="SXH71" s="63"/>
      <c r="SXI71" s="63"/>
      <c r="SXJ71" s="63"/>
      <c r="SXK71" s="63"/>
      <c r="SXL71" s="63"/>
      <c r="SXM71" s="63"/>
      <c r="SXN71" s="63"/>
      <c r="SXO71" s="63"/>
      <c r="SXP71" s="63"/>
      <c r="SXQ71" s="63"/>
      <c r="SXR71" s="63"/>
      <c r="SXS71" s="63"/>
      <c r="SXT71" s="63"/>
      <c r="SXU71" s="63"/>
      <c r="SXV71" s="63"/>
      <c r="SXW71" s="63"/>
      <c r="SXX71" s="63"/>
      <c r="SXY71" s="63"/>
      <c r="SXZ71" s="63"/>
      <c r="SYA71" s="63"/>
      <c r="SYB71" s="63"/>
      <c r="SYC71" s="63"/>
      <c r="SYD71" s="63"/>
      <c r="SYE71" s="63"/>
      <c r="SYF71" s="63"/>
      <c r="SYG71" s="63"/>
      <c r="SYH71" s="63"/>
      <c r="SYI71" s="63"/>
      <c r="SYJ71" s="63"/>
      <c r="SYK71" s="63"/>
      <c r="SYL71" s="63"/>
      <c r="SYM71" s="63"/>
      <c r="SYN71" s="63"/>
      <c r="SYO71" s="63"/>
      <c r="SYP71" s="63"/>
      <c r="SYQ71" s="63"/>
      <c r="SYR71" s="63"/>
      <c r="SYS71" s="63"/>
      <c r="SYT71" s="63"/>
      <c r="SYU71" s="63"/>
      <c r="SYV71" s="63"/>
      <c r="SYW71" s="63"/>
      <c r="SYX71" s="63"/>
      <c r="SYY71" s="63"/>
      <c r="SYZ71" s="63"/>
      <c r="SZA71" s="63"/>
      <c r="SZB71" s="63"/>
      <c r="SZC71" s="63"/>
      <c r="SZD71" s="63"/>
      <c r="SZE71" s="63"/>
      <c r="SZF71" s="63"/>
      <c r="SZG71" s="63"/>
      <c r="SZH71" s="63"/>
      <c r="SZI71" s="63"/>
      <c r="SZJ71" s="63"/>
      <c r="SZK71" s="63"/>
      <c r="SZL71" s="63"/>
      <c r="SZM71" s="63"/>
      <c r="SZN71" s="63"/>
      <c r="SZO71" s="63"/>
      <c r="SZP71" s="63"/>
      <c r="SZQ71" s="63"/>
      <c r="SZR71" s="63"/>
      <c r="SZS71" s="63"/>
      <c r="SZT71" s="63"/>
      <c r="SZU71" s="63"/>
      <c r="SZV71" s="63"/>
      <c r="SZW71" s="63"/>
      <c r="SZX71" s="63"/>
      <c r="SZY71" s="63"/>
      <c r="SZZ71" s="63"/>
      <c r="TAA71" s="63"/>
      <c r="TAB71" s="63"/>
      <c r="TAC71" s="63"/>
      <c r="TAD71" s="63"/>
      <c r="TAE71" s="63"/>
      <c r="TAF71" s="63"/>
      <c r="TAG71" s="63"/>
      <c r="TAH71" s="63"/>
      <c r="TAI71" s="63"/>
      <c r="TAJ71" s="63"/>
      <c r="TAK71" s="63"/>
      <c r="TAL71" s="63"/>
      <c r="TAM71" s="63"/>
      <c r="TAN71" s="63"/>
      <c r="TAO71" s="63"/>
      <c r="TAP71" s="63"/>
      <c r="TAQ71" s="63"/>
      <c r="TAR71" s="63"/>
      <c r="TAS71" s="63"/>
      <c r="TAT71" s="63"/>
      <c r="TAU71" s="63"/>
      <c r="TAV71" s="63"/>
      <c r="TAW71" s="63"/>
      <c r="TAX71" s="63"/>
      <c r="TAY71" s="63"/>
      <c r="TAZ71" s="63"/>
      <c r="TBA71" s="63"/>
      <c r="TBB71" s="63"/>
      <c r="TBC71" s="63"/>
      <c r="TBD71" s="63"/>
      <c r="TBE71" s="63"/>
      <c r="TBF71" s="63"/>
      <c r="TBG71" s="63"/>
      <c r="TBH71" s="63"/>
      <c r="TBI71" s="63"/>
      <c r="TBJ71" s="63"/>
      <c r="TBK71" s="63"/>
      <c r="TBL71" s="63"/>
      <c r="TBM71" s="63"/>
      <c r="TBN71" s="63"/>
      <c r="TBO71" s="63"/>
      <c r="TBP71" s="63"/>
      <c r="TBQ71" s="63"/>
      <c r="TBR71" s="63"/>
      <c r="TBS71" s="63"/>
      <c r="TBT71" s="63"/>
      <c r="TBU71" s="63"/>
      <c r="TBV71" s="63"/>
      <c r="TBW71" s="63"/>
      <c r="TBX71" s="63"/>
      <c r="TBY71" s="63"/>
      <c r="TBZ71" s="63"/>
      <c r="TCA71" s="63"/>
      <c r="TCB71" s="63"/>
      <c r="TCC71" s="63"/>
      <c r="TCD71" s="63"/>
      <c r="TCE71" s="63"/>
      <c r="TCF71" s="63"/>
      <c r="TCG71" s="63"/>
      <c r="TCH71" s="63"/>
      <c r="TCI71" s="63"/>
      <c r="TCJ71" s="63"/>
      <c r="TCK71" s="63"/>
      <c r="TCL71" s="63"/>
      <c r="TCM71" s="63"/>
      <c r="TCN71" s="63"/>
      <c r="TCO71" s="63"/>
      <c r="TCP71" s="63"/>
      <c r="TCQ71" s="63"/>
      <c r="TCR71" s="63"/>
      <c r="TCS71" s="63"/>
      <c r="TCT71" s="63"/>
      <c r="TCU71" s="63"/>
      <c r="TCV71" s="63"/>
      <c r="TCW71" s="63"/>
      <c r="TCX71" s="63"/>
      <c r="TCY71" s="63"/>
      <c r="TCZ71" s="63"/>
      <c r="TDA71" s="63"/>
      <c r="TDB71" s="63"/>
      <c r="TDC71" s="63"/>
      <c r="TDD71" s="63"/>
      <c r="TDE71" s="63"/>
      <c r="TDF71" s="63"/>
      <c r="TDG71" s="63"/>
      <c r="TDH71" s="63"/>
      <c r="TDI71" s="63"/>
      <c r="TDJ71" s="63"/>
      <c r="TDK71" s="63"/>
      <c r="TDL71" s="63"/>
      <c r="TDM71" s="63"/>
      <c r="TDN71" s="63"/>
      <c r="TDO71" s="63"/>
      <c r="TDP71" s="63"/>
      <c r="TDQ71" s="63"/>
      <c r="TDR71" s="63"/>
      <c r="TDS71" s="63"/>
      <c r="TDT71" s="63"/>
      <c r="TDU71" s="63"/>
      <c r="TDV71" s="63"/>
      <c r="TDW71" s="63"/>
      <c r="TDX71" s="63"/>
      <c r="TDY71" s="63"/>
      <c r="TDZ71" s="63"/>
      <c r="TEA71" s="63"/>
      <c r="TEB71" s="63"/>
      <c r="TEC71" s="63"/>
      <c r="TED71" s="63"/>
      <c r="TEE71" s="63"/>
      <c r="TEF71" s="63"/>
      <c r="TEG71" s="63"/>
      <c r="TEH71" s="63"/>
      <c r="TEI71" s="63"/>
      <c r="TEJ71" s="63"/>
      <c r="TEK71" s="63"/>
      <c r="TEL71" s="63"/>
      <c r="TEM71" s="63"/>
      <c r="TEN71" s="63"/>
      <c r="TEO71" s="63"/>
      <c r="TEP71" s="63"/>
      <c r="TEQ71" s="63"/>
      <c r="TER71" s="63"/>
      <c r="TES71" s="63"/>
      <c r="TET71" s="63"/>
      <c r="TEU71" s="63"/>
      <c r="TEV71" s="63"/>
      <c r="TEW71" s="63"/>
      <c r="TEX71" s="63"/>
      <c r="TEY71" s="63"/>
      <c r="TEZ71" s="63"/>
      <c r="TFA71" s="63"/>
      <c r="TFB71" s="63"/>
      <c r="TFC71" s="63"/>
      <c r="TFD71" s="63"/>
      <c r="TFE71" s="63"/>
      <c r="TFF71" s="63"/>
      <c r="TFG71" s="63"/>
      <c r="TFH71" s="63"/>
      <c r="TFI71" s="63"/>
      <c r="TFJ71" s="63"/>
      <c r="TFK71" s="63"/>
      <c r="TFL71" s="63"/>
      <c r="TFM71" s="63"/>
      <c r="TFN71" s="63"/>
      <c r="TFO71" s="63"/>
      <c r="TFP71" s="63"/>
      <c r="TFQ71" s="63"/>
      <c r="TFR71" s="63"/>
      <c r="TFS71" s="63"/>
      <c r="TFT71" s="63"/>
      <c r="TFU71" s="63"/>
      <c r="TFV71" s="63"/>
      <c r="TFW71" s="63"/>
      <c r="TFX71" s="63"/>
      <c r="TFY71" s="63"/>
      <c r="TFZ71" s="63"/>
      <c r="TGA71" s="63"/>
      <c r="TGB71" s="63"/>
      <c r="TGC71" s="63"/>
      <c r="TGD71" s="63"/>
      <c r="TGE71" s="63"/>
      <c r="TGF71" s="63"/>
      <c r="TGG71" s="63"/>
      <c r="TGH71" s="63"/>
      <c r="TGI71" s="63"/>
      <c r="TGJ71" s="63"/>
      <c r="TGK71" s="63"/>
      <c r="TGL71" s="63"/>
      <c r="TGM71" s="63"/>
      <c r="TGN71" s="63"/>
      <c r="TGO71" s="63"/>
      <c r="TGP71" s="63"/>
      <c r="TGQ71" s="63"/>
      <c r="TGR71" s="63"/>
      <c r="TGS71" s="63"/>
      <c r="TGT71" s="63"/>
      <c r="TGU71" s="63"/>
      <c r="TGV71" s="63"/>
      <c r="TGW71" s="63"/>
      <c r="TGX71" s="63"/>
      <c r="TGY71" s="63"/>
      <c r="TGZ71" s="63"/>
      <c r="THA71" s="63"/>
      <c r="THB71" s="63"/>
      <c r="THC71" s="63"/>
      <c r="THD71" s="63"/>
      <c r="THE71" s="63"/>
      <c r="THF71" s="63"/>
      <c r="THG71" s="63"/>
      <c r="THH71" s="63"/>
      <c r="THI71" s="63"/>
      <c r="THJ71" s="63"/>
      <c r="THK71" s="63"/>
      <c r="THL71" s="63"/>
      <c r="THM71" s="63"/>
      <c r="THN71" s="63"/>
      <c r="THO71" s="63"/>
      <c r="THP71" s="63"/>
      <c r="THQ71" s="63"/>
      <c r="THR71" s="63"/>
      <c r="THS71" s="63"/>
      <c r="THT71" s="63"/>
      <c r="THU71" s="63"/>
      <c r="THV71" s="63"/>
      <c r="THW71" s="63"/>
      <c r="THX71" s="63"/>
      <c r="THY71" s="63"/>
      <c r="THZ71" s="63"/>
      <c r="TIA71" s="63"/>
      <c r="TIB71" s="63"/>
      <c r="TIC71" s="63"/>
      <c r="TID71" s="63"/>
      <c r="TIE71" s="63"/>
      <c r="TIF71" s="63"/>
      <c r="TIG71" s="63"/>
      <c r="TIH71" s="63"/>
      <c r="TII71" s="63"/>
      <c r="TIJ71" s="63"/>
      <c r="TIK71" s="63"/>
      <c r="TIL71" s="63"/>
      <c r="TIM71" s="63"/>
      <c r="TIN71" s="63"/>
      <c r="TIO71" s="63"/>
      <c r="TIP71" s="63"/>
      <c r="TIQ71" s="63"/>
      <c r="TIR71" s="63"/>
      <c r="TIS71" s="63"/>
      <c r="TIT71" s="63"/>
      <c r="TIU71" s="63"/>
      <c r="TIV71" s="63"/>
      <c r="TIW71" s="63"/>
      <c r="TIX71" s="63"/>
      <c r="TIY71" s="63"/>
      <c r="TIZ71" s="63"/>
      <c r="TJA71" s="63"/>
      <c r="TJB71" s="63"/>
      <c r="TJC71" s="63"/>
      <c r="TJD71" s="63"/>
      <c r="TJE71" s="63"/>
      <c r="TJF71" s="63"/>
      <c r="TJG71" s="63"/>
      <c r="TJH71" s="63"/>
      <c r="TJI71" s="63"/>
      <c r="TJJ71" s="63"/>
      <c r="TJK71" s="63"/>
      <c r="TJL71" s="63"/>
      <c r="TJM71" s="63"/>
      <c r="TJN71" s="63"/>
      <c r="TJO71" s="63"/>
      <c r="TJP71" s="63"/>
      <c r="TJQ71" s="63"/>
      <c r="TJR71" s="63"/>
      <c r="TJS71" s="63"/>
      <c r="TJT71" s="63"/>
      <c r="TJU71" s="63"/>
      <c r="TJV71" s="63"/>
      <c r="TJW71" s="63"/>
      <c r="TJX71" s="63"/>
      <c r="TJY71" s="63"/>
      <c r="TJZ71" s="63"/>
      <c r="TKA71" s="63"/>
      <c r="TKB71" s="63"/>
      <c r="TKC71" s="63"/>
      <c r="TKD71" s="63"/>
      <c r="TKE71" s="63"/>
      <c r="TKF71" s="63"/>
      <c r="TKG71" s="63"/>
      <c r="TKH71" s="63"/>
      <c r="TKI71" s="63"/>
      <c r="TKJ71" s="63"/>
      <c r="TKK71" s="63"/>
      <c r="TKL71" s="63"/>
      <c r="TKM71" s="63"/>
      <c r="TKN71" s="63"/>
      <c r="TKO71" s="63"/>
      <c r="TKP71" s="63"/>
      <c r="TKQ71" s="63"/>
      <c r="TKR71" s="63"/>
      <c r="TKS71" s="63"/>
      <c r="TKT71" s="63"/>
      <c r="TKU71" s="63"/>
      <c r="TKV71" s="63"/>
      <c r="TKW71" s="63"/>
      <c r="TKX71" s="63"/>
      <c r="TKY71" s="63"/>
      <c r="TKZ71" s="63"/>
      <c r="TLA71" s="63"/>
      <c r="TLB71" s="63"/>
      <c r="TLC71" s="63"/>
      <c r="TLD71" s="63"/>
      <c r="TLE71" s="63"/>
      <c r="TLF71" s="63"/>
      <c r="TLG71" s="63"/>
      <c r="TLH71" s="63"/>
      <c r="TLI71" s="63"/>
      <c r="TLJ71" s="63"/>
      <c r="TLK71" s="63"/>
      <c r="TLL71" s="63"/>
      <c r="TLM71" s="63"/>
      <c r="TLN71" s="63"/>
      <c r="TLO71" s="63"/>
      <c r="TLP71" s="63"/>
      <c r="TLQ71" s="63"/>
      <c r="TLR71" s="63"/>
      <c r="TLS71" s="63"/>
      <c r="TLT71" s="63"/>
      <c r="TLU71" s="63"/>
      <c r="TLV71" s="63"/>
      <c r="TLW71" s="63"/>
      <c r="TLX71" s="63"/>
      <c r="TLY71" s="63"/>
      <c r="TLZ71" s="63"/>
      <c r="TMA71" s="63"/>
      <c r="TMB71" s="63"/>
      <c r="TMC71" s="63"/>
      <c r="TMD71" s="63"/>
      <c r="TME71" s="63"/>
      <c r="TMF71" s="63"/>
      <c r="TMG71" s="63"/>
      <c r="TMH71" s="63"/>
      <c r="TMI71" s="63"/>
      <c r="TMJ71" s="63"/>
      <c r="TMK71" s="63"/>
      <c r="TML71" s="63"/>
      <c r="TMM71" s="63"/>
      <c r="TMN71" s="63"/>
      <c r="TMO71" s="63"/>
      <c r="TMP71" s="63"/>
      <c r="TMQ71" s="63"/>
      <c r="TMR71" s="63"/>
      <c r="TMS71" s="63"/>
      <c r="TMT71" s="63"/>
      <c r="TMU71" s="63"/>
      <c r="TMV71" s="63"/>
      <c r="TMW71" s="63"/>
      <c r="TMX71" s="63"/>
      <c r="TMY71" s="63"/>
      <c r="TMZ71" s="63"/>
      <c r="TNA71" s="63"/>
      <c r="TNB71" s="63"/>
      <c r="TNC71" s="63"/>
      <c r="TND71" s="63"/>
      <c r="TNE71" s="63"/>
      <c r="TNF71" s="63"/>
      <c r="TNG71" s="63"/>
      <c r="TNH71" s="63"/>
      <c r="TNI71" s="63"/>
      <c r="TNJ71" s="63"/>
      <c r="TNK71" s="63"/>
      <c r="TNL71" s="63"/>
      <c r="TNM71" s="63"/>
      <c r="TNN71" s="63"/>
      <c r="TNO71" s="63"/>
      <c r="TNP71" s="63"/>
      <c r="TNQ71" s="63"/>
      <c r="TNR71" s="63"/>
      <c r="TNS71" s="63"/>
      <c r="TNT71" s="63"/>
      <c r="TNU71" s="63"/>
      <c r="TNV71" s="63"/>
      <c r="TNW71" s="63"/>
      <c r="TNX71" s="63"/>
      <c r="TNY71" s="63"/>
      <c r="TNZ71" s="63"/>
      <c r="TOA71" s="63"/>
      <c r="TOB71" s="63"/>
      <c r="TOC71" s="63"/>
      <c r="TOD71" s="63"/>
      <c r="TOE71" s="63"/>
      <c r="TOF71" s="63"/>
      <c r="TOG71" s="63"/>
      <c r="TOH71" s="63"/>
      <c r="TOI71" s="63"/>
      <c r="TOJ71" s="63"/>
      <c r="TOK71" s="63"/>
      <c r="TOL71" s="63"/>
      <c r="TOM71" s="63"/>
      <c r="TON71" s="63"/>
      <c r="TOO71" s="63"/>
      <c r="TOP71" s="63"/>
      <c r="TOQ71" s="63"/>
      <c r="TOR71" s="63"/>
      <c r="TOS71" s="63"/>
      <c r="TOT71" s="63"/>
      <c r="TOU71" s="63"/>
      <c r="TOV71" s="63"/>
      <c r="TOW71" s="63"/>
      <c r="TOX71" s="63"/>
      <c r="TOY71" s="63"/>
      <c r="TOZ71" s="63"/>
      <c r="TPA71" s="63"/>
      <c r="TPB71" s="63"/>
      <c r="TPC71" s="63"/>
      <c r="TPD71" s="63"/>
      <c r="TPE71" s="63"/>
      <c r="TPF71" s="63"/>
      <c r="TPG71" s="63"/>
      <c r="TPH71" s="63"/>
      <c r="TPI71" s="63"/>
      <c r="TPJ71" s="63"/>
      <c r="TPK71" s="63"/>
      <c r="TPL71" s="63"/>
      <c r="TPM71" s="63"/>
      <c r="TPN71" s="63"/>
      <c r="TPO71" s="63"/>
      <c r="TPP71" s="63"/>
      <c r="TPQ71" s="63"/>
      <c r="TPR71" s="63"/>
      <c r="TPS71" s="63"/>
      <c r="TPT71" s="63"/>
      <c r="TPU71" s="63"/>
      <c r="TPV71" s="63"/>
      <c r="TPW71" s="63"/>
      <c r="TPX71" s="63"/>
      <c r="TPY71" s="63"/>
      <c r="TPZ71" s="63"/>
      <c r="TQA71" s="63"/>
      <c r="TQB71" s="63"/>
      <c r="TQC71" s="63"/>
      <c r="TQD71" s="63"/>
      <c r="TQE71" s="63"/>
      <c r="TQF71" s="63"/>
      <c r="TQG71" s="63"/>
      <c r="TQH71" s="63"/>
      <c r="TQI71" s="63"/>
      <c r="TQJ71" s="63"/>
      <c r="TQK71" s="63"/>
      <c r="TQL71" s="63"/>
      <c r="TQM71" s="63"/>
      <c r="TQN71" s="63"/>
      <c r="TQO71" s="63"/>
      <c r="TQP71" s="63"/>
      <c r="TQQ71" s="63"/>
      <c r="TQR71" s="63"/>
      <c r="TQS71" s="63"/>
      <c r="TQT71" s="63"/>
      <c r="TQU71" s="63"/>
      <c r="TQV71" s="63"/>
      <c r="TQW71" s="63"/>
      <c r="TQX71" s="63"/>
      <c r="TQY71" s="63"/>
      <c r="TQZ71" s="63"/>
      <c r="TRA71" s="63"/>
      <c r="TRB71" s="63"/>
      <c r="TRC71" s="63"/>
      <c r="TRD71" s="63"/>
      <c r="TRE71" s="63"/>
      <c r="TRF71" s="63"/>
      <c r="TRG71" s="63"/>
      <c r="TRH71" s="63"/>
      <c r="TRI71" s="63"/>
      <c r="TRJ71" s="63"/>
      <c r="TRK71" s="63"/>
      <c r="TRL71" s="63"/>
      <c r="TRM71" s="63"/>
      <c r="TRN71" s="63"/>
      <c r="TRO71" s="63"/>
      <c r="TRP71" s="63"/>
      <c r="TRQ71" s="63"/>
      <c r="TRR71" s="63"/>
      <c r="TRS71" s="63"/>
      <c r="TRT71" s="63"/>
      <c r="TRU71" s="63"/>
      <c r="TRV71" s="63"/>
      <c r="TRW71" s="63"/>
      <c r="TRX71" s="63"/>
      <c r="TRY71" s="63"/>
      <c r="TRZ71" s="63"/>
      <c r="TSA71" s="63"/>
      <c r="TSB71" s="63"/>
      <c r="TSC71" s="63"/>
      <c r="TSD71" s="63"/>
      <c r="TSE71" s="63"/>
      <c r="TSF71" s="63"/>
      <c r="TSG71" s="63"/>
      <c r="TSH71" s="63"/>
      <c r="TSI71" s="63"/>
      <c r="TSJ71" s="63"/>
      <c r="TSK71" s="63"/>
      <c r="TSL71" s="63"/>
      <c r="TSM71" s="63"/>
      <c r="TSN71" s="63"/>
      <c r="TSO71" s="63"/>
      <c r="TSP71" s="63"/>
      <c r="TSQ71" s="63"/>
      <c r="TSR71" s="63"/>
      <c r="TSS71" s="63"/>
      <c r="TST71" s="63"/>
      <c r="TSU71" s="63"/>
      <c r="TSV71" s="63"/>
      <c r="TSW71" s="63"/>
      <c r="TSX71" s="63"/>
      <c r="TSY71" s="63"/>
      <c r="TSZ71" s="63"/>
      <c r="TTA71" s="63"/>
      <c r="TTB71" s="63"/>
      <c r="TTC71" s="63"/>
      <c r="TTD71" s="63"/>
      <c r="TTE71" s="63"/>
      <c r="TTF71" s="63"/>
      <c r="TTG71" s="63"/>
      <c r="TTH71" s="63"/>
      <c r="TTI71" s="63"/>
      <c r="TTJ71" s="63"/>
      <c r="TTK71" s="63"/>
      <c r="TTL71" s="63"/>
      <c r="TTM71" s="63"/>
      <c r="TTN71" s="63"/>
      <c r="TTO71" s="63"/>
      <c r="TTP71" s="63"/>
      <c r="TTQ71" s="63"/>
      <c r="TTR71" s="63"/>
      <c r="TTS71" s="63"/>
      <c r="TTT71" s="63"/>
      <c r="TTU71" s="63"/>
      <c r="TTV71" s="63"/>
      <c r="TTW71" s="63"/>
      <c r="TTX71" s="63"/>
      <c r="TTY71" s="63"/>
      <c r="TTZ71" s="63"/>
      <c r="TUA71" s="63"/>
      <c r="TUB71" s="63"/>
      <c r="TUC71" s="63"/>
      <c r="TUD71" s="63"/>
      <c r="TUE71" s="63"/>
      <c r="TUF71" s="63"/>
      <c r="TUG71" s="63"/>
      <c r="TUH71" s="63"/>
      <c r="TUI71" s="63"/>
      <c r="TUJ71" s="63"/>
      <c r="TUK71" s="63"/>
      <c r="TUL71" s="63"/>
      <c r="TUM71" s="63"/>
      <c r="TUN71" s="63"/>
      <c r="TUO71" s="63"/>
      <c r="TUP71" s="63"/>
      <c r="TUQ71" s="63"/>
      <c r="TUR71" s="63"/>
      <c r="TUS71" s="63"/>
      <c r="TUT71" s="63"/>
      <c r="TUU71" s="63"/>
      <c r="TUV71" s="63"/>
      <c r="TUW71" s="63"/>
      <c r="TUX71" s="63"/>
      <c r="TUY71" s="63"/>
      <c r="TUZ71" s="63"/>
      <c r="TVA71" s="63"/>
      <c r="TVB71" s="63"/>
      <c r="TVC71" s="63"/>
      <c r="TVD71" s="63"/>
      <c r="TVE71" s="63"/>
      <c r="TVF71" s="63"/>
      <c r="TVG71" s="63"/>
      <c r="TVH71" s="63"/>
      <c r="TVI71" s="63"/>
      <c r="TVJ71" s="63"/>
      <c r="TVK71" s="63"/>
      <c r="TVL71" s="63"/>
      <c r="TVM71" s="63"/>
      <c r="TVN71" s="63"/>
      <c r="TVO71" s="63"/>
      <c r="TVP71" s="63"/>
      <c r="TVQ71" s="63"/>
      <c r="TVR71" s="63"/>
      <c r="TVS71" s="63"/>
      <c r="TVT71" s="63"/>
      <c r="TVU71" s="63"/>
      <c r="TVV71" s="63"/>
      <c r="TVW71" s="63"/>
      <c r="TVX71" s="63"/>
      <c r="TVY71" s="63"/>
      <c r="TVZ71" s="63"/>
      <c r="TWA71" s="63"/>
      <c r="TWB71" s="63"/>
      <c r="TWC71" s="63"/>
      <c r="TWD71" s="63"/>
      <c r="TWE71" s="63"/>
      <c r="TWF71" s="63"/>
      <c r="TWG71" s="63"/>
      <c r="TWH71" s="63"/>
      <c r="TWI71" s="63"/>
      <c r="TWJ71" s="63"/>
      <c r="TWK71" s="63"/>
      <c r="TWL71" s="63"/>
      <c r="TWM71" s="63"/>
      <c r="TWN71" s="63"/>
      <c r="TWO71" s="63"/>
      <c r="TWP71" s="63"/>
      <c r="TWQ71" s="63"/>
      <c r="TWR71" s="63"/>
      <c r="TWS71" s="63"/>
      <c r="TWT71" s="63"/>
      <c r="TWU71" s="63"/>
      <c r="TWV71" s="63"/>
      <c r="TWW71" s="63"/>
      <c r="TWX71" s="63"/>
      <c r="TWY71" s="63"/>
      <c r="TWZ71" s="63"/>
      <c r="TXA71" s="63"/>
      <c r="TXB71" s="63"/>
      <c r="TXC71" s="63"/>
      <c r="TXD71" s="63"/>
      <c r="TXE71" s="63"/>
      <c r="TXF71" s="63"/>
      <c r="TXG71" s="63"/>
      <c r="TXH71" s="63"/>
      <c r="TXI71" s="63"/>
      <c r="TXJ71" s="63"/>
      <c r="TXK71" s="63"/>
      <c r="TXL71" s="63"/>
      <c r="TXM71" s="63"/>
      <c r="TXN71" s="63"/>
      <c r="TXO71" s="63"/>
      <c r="TXP71" s="63"/>
      <c r="TXQ71" s="63"/>
      <c r="TXR71" s="63"/>
      <c r="TXS71" s="63"/>
      <c r="TXT71" s="63"/>
      <c r="TXU71" s="63"/>
      <c r="TXV71" s="63"/>
      <c r="TXW71" s="63"/>
      <c r="TXX71" s="63"/>
      <c r="TXY71" s="63"/>
      <c r="TXZ71" s="63"/>
      <c r="TYA71" s="63"/>
      <c r="TYB71" s="63"/>
      <c r="TYC71" s="63"/>
      <c r="TYD71" s="63"/>
      <c r="TYE71" s="63"/>
      <c r="TYF71" s="63"/>
      <c r="TYG71" s="63"/>
      <c r="TYH71" s="63"/>
      <c r="TYI71" s="63"/>
      <c r="TYJ71" s="63"/>
      <c r="TYK71" s="63"/>
      <c r="TYL71" s="63"/>
      <c r="TYM71" s="63"/>
      <c r="TYN71" s="63"/>
      <c r="TYO71" s="63"/>
      <c r="TYP71" s="63"/>
      <c r="TYQ71" s="63"/>
      <c r="TYR71" s="63"/>
      <c r="TYS71" s="63"/>
      <c r="TYT71" s="63"/>
      <c r="TYU71" s="63"/>
      <c r="TYV71" s="63"/>
      <c r="TYW71" s="63"/>
      <c r="TYX71" s="63"/>
      <c r="TYY71" s="63"/>
      <c r="TYZ71" s="63"/>
      <c r="TZA71" s="63"/>
      <c r="TZB71" s="63"/>
      <c r="TZC71" s="63"/>
      <c r="TZD71" s="63"/>
      <c r="TZE71" s="63"/>
      <c r="TZF71" s="63"/>
      <c r="TZG71" s="63"/>
      <c r="TZH71" s="63"/>
      <c r="TZI71" s="63"/>
      <c r="TZJ71" s="63"/>
      <c r="TZK71" s="63"/>
      <c r="TZL71" s="63"/>
      <c r="TZM71" s="63"/>
      <c r="TZN71" s="63"/>
      <c r="TZO71" s="63"/>
      <c r="TZP71" s="63"/>
      <c r="TZQ71" s="63"/>
      <c r="TZR71" s="63"/>
      <c r="TZS71" s="63"/>
      <c r="TZT71" s="63"/>
      <c r="TZU71" s="63"/>
      <c r="TZV71" s="63"/>
      <c r="TZW71" s="63"/>
      <c r="TZX71" s="63"/>
      <c r="TZY71" s="63"/>
      <c r="TZZ71" s="63"/>
      <c r="UAA71" s="63"/>
      <c r="UAB71" s="63"/>
      <c r="UAC71" s="63"/>
      <c r="UAD71" s="63"/>
      <c r="UAE71" s="63"/>
      <c r="UAF71" s="63"/>
      <c r="UAG71" s="63"/>
      <c r="UAH71" s="63"/>
      <c r="UAI71" s="63"/>
      <c r="UAJ71" s="63"/>
      <c r="UAK71" s="63"/>
      <c r="UAL71" s="63"/>
      <c r="UAM71" s="63"/>
      <c r="UAN71" s="63"/>
      <c r="UAO71" s="63"/>
      <c r="UAP71" s="63"/>
      <c r="UAQ71" s="63"/>
      <c r="UAR71" s="63"/>
      <c r="UAS71" s="63"/>
      <c r="UAT71" s="63"/>
      <c r="UAU71" s="63"/>
      <c r="UAV71" s="63"/>
      <c r="UAW71" s="63"/>
      <c r="UAX71" s="63"/>
      <c r="UAY71" s="63"/>
      <c r="UAZ71" s="63"/>
      <c r="UBA71" s="63"/>
      <c r="UBB71" s="63"/>
      <c r="UBC71" s="63"/>
      <c r="UBD71" s="63"/>
      <c r="UBE71" s="63"/>
      <c r="UBF71" s="63"/>
      <c r="UBG71" s="63"/>
      <c r="UBH71" s="63"/>
      <c r="UBI71" s="63"/>
      <c r="UBJ71" s="63"/>
      <c r="UBK71" s="63"/>
      <c r="UBL71" s="63"/>
      <c r="UBM71" s="63"/>
      <c r="UBN71" s="63"/>
      <c r="UBO71" s="63"/>
      <c r="UBP71" s="63"/>
      <c r="UBQ71" s="63"/>
      <c r="UBR71" s="63"/>
      <c r="UBS71" s="63"/>
      <c r="UBT71" s="63"/>
      <c r="UBU71" s="63"/>
      <c r="UBV71" s="63"/>
      <c r="UBW71" s="63"/>
      <c r="UBX71" s="63"/>
      <c r="UBY71" s="63"/>
      <c r="UBZ71" s="63"/>
      <c r="UCA71" s="63"/>
      <c r="UCB71" s="63"/>
      <c r="UCC71" s="63"/>
      <c r="UCD71" s="63"/>
      <c r="UCE71" s="63"/>
      <c r="UCF71" s="63"/>
      <c r="UCG71" s="63"/>
      <c r="UCH71" s="63"/>
      <c r="UCI71" s="63"/>
      <c r="UCJ71" s="63"/>
      <c r="UCK71" s="63"/>
      <c r="UCL71" s="63"/>
      <c r="UCM71" s="63"/>
      <c r="UCN71" s="63"/>
      <c r="UCO71" s="63"/>
      <c r="UCP71" s="63"/>
      <c r="UCQ71" s="63"/>
      <c r="UCR71" s="63"/>
      <c r="UCS71" s="63"/>
      <c r="UCT71" s="63"/>
      <c r="UCU71" s="63"/>
      <c r="UCV71" s="63"/>
      <c r="UCW71" s="63"/>
      <c r="UCX71" s="63"/>
      <c r="UCY71" s="63"/>
      <c r="UCZ71" s="63"/>
      <c r="UDA71" s="63"/>
      <c r="UDB71" s="63"/>
      <c r="UDC71" s="63"/>
      <c r="UDD71" s="63"/>
      <c r="UDE71" s="63"/>
      <c r="UDF71" s="63"/>
      <c r="UDG71" s="63"/>
      <c r="UDH71" s="63"/>
      <c r="UDI71" s="63"/>
      <c r="UDJ71" s="63"/>
      <c r="UDK71" s="63"/>
      <c r="UDL71" s="63"/>
      <c r="UDM71" s="63"/>
      <c r="UDN71" s="63"/>
      <c r="UDO71" s="63"/>
      <c r="UDP71" s="63"/>
      <c r="UDQ71" s="63"/>
      <c r="UDR71" s="63"/>
      <c r="UDS71" s="63"/>
      <c r="UDT71" s="63"/>
      <c r="UDU71" s="63"/>
      <c r="UDV71" s="63"/>
      <c r="UDW71" s="63"/>
      <c r="UDX71" s="63"/>
      <c r="UDY71" s="63"/>
      <c r="UDZ71" s="63"/>
      <c r="UEA71" s="63"/>
      <c r="UEB71" s="63"/>
      <c r="UEC71" s="63"/>
      <c r="UED71" s="63"/>
      <c r="UEE71" s="63"/>
      <c r="UEF71" s="63"/>
      <c r="UEG71" s="63"/>
      <c r="UEH71" s="63"/>
      <c r="UEI71" s="63"/>
      <c r="UEJ71" s="63"/>
      <c r="UEK71" s="63"/>
      <c r="UEL71" s="63"/>
      <c r="UEM71" s="63"/>
      <c r="UEN71" s="63"/>
      <c r="UEO71" s="63"/>
      <c r="UEP71" s="63"/>
      <c r="UEQ71" s="63"/>
      <c r="UER71" s="63"/>
      <c r="UES71" s="63"/>
      <c r="UET71" s="63"/>
      <c r="UEU71" s="63"/>
      <c r="UEV71" s="63"/>
      <c r="UEW71" s="63"/>
      <c r="UEX71" s="63"/>
      <c r="UEY71" s="63"/>
      <c r="UEZ71" s="63"/>
      <c r="UFA71" s="63"/>
      <c r="UFB71" s="63"/>
      <c r="UFC71" s="63"/>
      <c r="UFD71" s="63"/>
      <c r="UFE71" s="63"/>
      <c r="UFF71" s="63"/>
      <c r="UFG71" s="63"/>
      <c r="UFH71" s="63"/>
      <c r="UFI71" s="63"/>
      <c r="UFJ71" s="63"/>
      <c r="UFK71" s="63"/>
      <c r="UFL71" s="63"/>
      <c r="UFM71" s="63"/>
      <c r="UFN71" s="63"/>
      <c r="UFO71" s="63"/>
      <c r="UFP71" s="63"/>
      <c r="UFQ71" s="63"/>
      <c r="UFR71" s="63"/>
      <c r="UFS71" s="63"/>
      <c r="UFT71" s="63"/>
      <c r="UFU71" s="63"/>
      <c r="UFV71" s="63"/>
      <c r="UFW71" s="63"/>
      <c r="UFX71" s="63"/>
      <c r="UFY71" s="63"/>
      <c r="UFZ71" s="63"/>
      <c r="UGA71" s="63"/>
      <c r="UGB71" s="63"/>
      <c r="UGC71" s="63"/>
      <c r="UGD71" s="63"/>
      <c r="UGE71" s="63"/>
      <c r="UGF71" s="63"/>
      <c r="UGG71" s="63"/>
      <c r="UGH71" s="63"/>
      <c r="UGI71" s="63"/>
      <c r="UGJ71" s="63"/>
      <c r="UGK71" s="63"/>
      <c r="UGL71" s="63"/>
      <c r="UGM71" s="63"/>
      <c r="UGN71" s="63"/>
      <c r="UGO71" s="63"/>
      <c r="UGP71" s="63"/>
      <c r="UGQ71" s="63"/>
      <c r="UGR71" s="63"/>
      <c r="UGS71" s="63"/>
      <c r="UGT71" s="63"/>
      <c r="UGU71" s="63"/>
      <c r="UGV71" s="63"/>
      <c r="UGW71" s="63"/>
      <c r="UGX71" s="63"/>
      <c r="UGY71" s="63"/>
      <c r="UGZ71" s="63"/>
      <c r="UHA71" s="63"/>
      <c r="UHB71" s="63"/>
      <c r="UHC71" s="63"/>
      <c r="UHD71" s="63"/>
      <c r="UHE71" s="63"/>
      <c r="UHF71" s="63"/>
      <c r="UHG71" s="63"/>
      <c r="UHH71" s="63"/>
      <c r="UHI71" s="63"/>
      <c r="UHJ71" s="63"/>
      <c r="UHK71" s="63"/>
      <c r="UHL71" s="63"/>
      <c r="UHM71" s="63"/>
      <c r="UHN71" s="63"/>
      <c r="UHO71" s="63"/>
      <c r="UHP71" s="63"/>
      <c r="UHQ71" s="63"/>
      <c r="UHR71" s="63"/>
      <c r="UHS71" s="63"/>
      <c r="UHT71" s="63"/>
      <c r="UHU71" s="63"/>
      <c r="UHV71" s="63"/>
      <c r="UHW71" s="63"/>
      <c r="UHX71" s="63"/>
      <c r="UHY71" s="63"/>
      <c r="UHZ71" s="63"/>
      <c r="UIA71" s="63"/>
      <c r="UIB71" s="63"/>
      <c r="UIC71" s="63"/>
      <c r="UID71" s="63"/>
      <c r="UIE71" s="63"/>
      <c r="UIF71" s="63"/>
      <c r="UIG71" s="63"/>
      <c r="UIH71" s="63"/>
      <c r="UII71" s="63"/>
      <c r="UIJ71" s="63"/>
      <c r="UIK71" s="63"/>
      <c r="UIL71" s="63"/>
      <c r="UIM71" s="63"/>
      <c r="UIN71" s="63"/>
      <c r="UIO71" s="63"/>
      <c r="UIP71" s="63"/>
      <c r="UIQ71" s="63"/>
      <c r="UIR71" s="63"/>
      <c r="UIS71" s="63"/>
      <c r="UIT71" s="63"/>
      <c r="UIU71" s="63"/>
      <c r="UIV71" s="63"/>
      <c r="UIW71" s="63"/>
      <c r="UIX71" s="63"/>
      <c r="UIY71" s="63"/>
      <c r="UIZ71" s="63"/>
      <c r="UJA71" s="63"/>
      <c r="UJB71" s="63"/>
      <c r="UJC71" s="63"/>
      <c r="UJD71" s="63"/>
      <c r="UJE71" s="63"/>
      <c r="UJF71" s="63"/>
      <c r="UJG71" s="63"/>
      <c r="UJH71" s="63"/>
      <c r="UJI71" s="63"/>
      <c r="UJJ71" s="63"/>
      <c r="UJK71" s="63"/>
      <c r="UJL71" s="63"/>
      <c r="UJM71" s="63"/>
      <c r="UJN71" s="63"/>
      <c r="UJO71" s="63"/>
      <c r="UJP71" s="63"/>
      <c r="UJQ71" s="63"/>
      <c r="UJR71" s="63"/>
      <c r="UJS71" s="63"/>
      <c r="UJT71" s="63"/>
      <c r="UJU71" s="63"/>
      <c r="UJV71" s="63"/>
      <c r="UJW71" s="63"/>
      <c r="UJX71" s="63"/>
      <c r="UJY71" s="63"/>
      <c r="UJZ71" s="63"/>
      <c r="UKA71" s="63"/>
      <c r="UKB71" s="63"/>
      <c r="UKC71" s="63"/>
      <c r="UKD71" s="63"/>
      <c r="UKE71" s="63"/>
      <c r="UKF71" s="63"/>
      <c r="UKG71" s="63"/>
      <c r="UKH71" s="63"/>
      <c r="UKI71" s="63"/>
      <c r="UKJ71" s="63"/>
      <c r="UKK71" s="63"/>
      <c r="UKL71" s="63"/>
      <c r="UKM71" s="63"/>
      <c r="UKN71" s="63"/>
      <c r="UKO71" s="63"/>
      <c r="UKP71" s="63"/>
      <c r="UKQ71" s="63"/>
      <c r="UKR71" s="63"/>
      <c r="UKS71" s="63"/>
      <c r="UKT71" s="63"/>
      <c r="UKU71" s="63"/>
      <c r="UKV71" s="63"/>
      <c r="UKW71" s="63"/>
      <c r="UKX71" s="63"/>
      <c r="UKY71" s="63"/>
      <c r="UKZ71" s="63"/>
      <c r="ULA71" s="63"/>
      <c r="ULB71" s="63"/>
      <c r="ULC71" s="63"/>
      <c r="ULD71" s="63"/>
      <c r="ULE71" s="63"/>
      <c r="ULF71" s="63"/>
      <c r="ULG71" s="63"/>
      <c r="ULH71" s="63"/>
      <c r="ULI71" s="63"/>
      <c r="ULJ71" s="63"/>
      <c r="ULK71" s="63"/>
      <c r="ULL71" s="63"/>
      <c r="ULM71" s="63"/>
      <c r="ULN71" s="63"/>
      <c r="ULO71" s="63"/>
      <c r="ULP71" s="63"/>
      <c r="ULQ71" s="63"/>
      <c r="ULR71" s="63"/>
      <c r="ULS71" s="63"/>
      <c r="ULT71" s="63"/>
      <c r="ULU71" s="63"/>
      <c r="ULV71" s="63"/>
      <c r="ULW71" s="63"/>
      <c r="ULX71" s="63"/>
      <c r="ULY71" s="63"/>
      <c r="ULZ71" s="63"/>
      <c r="UMA71" s="63"/>
      <c r="UMB71" s="63"/>
      <c r="UMC71" s="63"/>
      <c r="UMD71" s="63"/>
      <c r="UME71" s="63"/>
      <c r="UMF71" s="63"/>
      <c r="UMG71" s="63"/>
      <c r="UMH71" s="63"/>
      <c r="UMI71" s="63"/>
      <c r="UMJ71" s="63"/>
      <c r="UMK71" s="63"/>
      <c r="UML71" s="63"/>
      <c r="UMM71" s="63"/>
      <c r="UMN71" s="63"/>
      <c r="UMO71" s="63"/>
      <c r="UMP71" s="63"/>
      <c r="UMQ71" s="63"/>
      <c r="UMR71" s="63"/>
      <c r="UMS71" s="63"/>
      <c r="UMT71" s="63"/>
      <c r="UMU71" s="63"/>
      <c r="UMV71" s="63"/>
      <c r="UMW71" s="63"/>
      <c r="UMX71" s="63"/>
      <c r="UMY71" s="63"/>
      <c r="UMZ71" s="63"/>
      <c r="UNA71" s="63"/>
      <c r="UNB71" s="63"/>
      <c r="UNC71" s="63"/>
      <c r="UND71" s="63"/>
      <c r="UNE71" s="63"/>
      <c r="UNF71" s="63"/>
      <c r="UNG71" s="63"/>
      <c r="UNH71" s="63"/>
      <c r="UNI71" s="63"/>
      <c r="UNJ71" s="63"/>
      <c r="UNK71" s="63"/>
      <c r="UNL71" s="63"/>
      <c r="UNM71" s="63"/>
      <c r="UNN71" s="63"/>
      <c r="UNO71" s="63"/>
      <c r="UNP71" s="63"/>
      <c r="UNQ71" s="63"/>
      <c r="UNR71" s="63"/>
      <c r="UNS71" s="63"/>
      <c r="UNT71" s="63"/>
      <c r="UNU71" s="63"/>
      <c r="UNV71" s="63"/>
      <c r="UNW71" s="63"/>
      <c r="UNX71" s="63"/>
      <c r="UNY71" s="63"/>
      <c r="UNZ71" s="63"/>
      <c r="UOA71" s="63"/>
      <c r="UOB71" s="63"/>
      <c r="UOC71" s="63"/>
      <c r="UOD71" s="63"/>
      <c r="UOE71" s="63"/>
      <c r="UOF71" s="63"/>
      <c r="UOG71" s="63"/>
      <c r="UOH71" s="63"/>
      <c r="UOI71" s="63"/>
      <c r="UOJ71" s="63"/>
      <c r="UOK71" s="63"/>
      <c r="UOL71" s="63"/>
      <c r="UOM71" s="63"/>
      <c r="UON71" s="63"/>
      <c r="UOO71" s="63"/>
      <c r="UOP71" s="63"/>
      <c r="UOQ71" s="63"/>
      <c r="UOR71" s="63"/>
      <c r="UOS71" s="63"/>
      <c r="UOT71" s="63"/>
      <c r="UOU71" s="63"/>
      <c r="UOV71" s="63"/>
      <c r="UOW71" s="63"/>
      <c r="UOX71" s="63"/>
      <c r="UOY71" s="63"/>
      <c r="UOZ71" s="63"/>
      <c r="UPA71" s="63"/>
      <c r="UPB71" s="63"/>
      <c r="UPC71" s="63"/>
      <c r="UPD71" s="63"/>
      <c r="UPE71" s="63"/>
      <c r="UPF71" s="63"/>
      <c r="UPG71" s="63"/>
      <c r="UPH71" s="63"/>
      <c r="UPI71" s="63"/>
      <c r="UPJ71" s="63"/>
      <c r="UPK71" s="63"/>
      <c r="UPL71" s="63"/>
      <c r="UPM71" s="63"/>
      <c r="UPN71" s="63"/>
      <c r="UPO71" s="63"/>
      <c r="UPP71" s="63"/>
      <c r="UPQ71" s="63"/>
      <c r="UPR71" s="63"/>
      <c r="UPS71" s="63"/>
      <c r="UPT71" s="63"/>
      <c r="UPU71" s="63"/>
      <c r="UPV71" s="63"/>
      <c r="UPW71" s="63"/>
      <c r="UPX71" s="63"/>
      <c r="UPY71" s="63"/>
      <c r="UPZ71" s="63"/>
      <c r="UQA71" s="63"/>
      <c r="UQB71" s="63"/>
      <c r="UQC71" s="63"/>
      <c r="UQD71" s="63"/>
      <c r="UQE71" s="63"/>
      <c r="UQF71" s="63"/>
      <c r="UQG71" s="63"/>
      <c r="UQH71" s="63"/>
      <c r="UQI71" s="63"/>
      <c r="UQJ71" s="63"/>
      <c r="UQK71" s="63"/>
      <c r="UQL71" s="63"/>
      <c r="UQM71" s="63"/>
      <c r="UQN71" s="63"/>
      <c r="UQO71" s="63"/>
      <c r="UQP71" s="63"/>
      <c r="UQQ71" s="63"/>
      <c r="UQR71" s="63"/>
      <c r="UQS71" s="63"/>
      <c r="UQT71" s="63"/>
      <c r="UQU71" s="63"/>
      <c r="UQV71" s="63"/>
      <c r="UQW71" s="63"/>
      <c r="UQX71" s="63"/>
      <c r="UQY71" s="63"/>
      <c r="UQZ71" s="63"/>
      <c r="URA71" s="63"/>
      <c r="URB71" s="63"/>
      <c r="URC71" s="63"/>
      <c r="URD71" s="63"/>
      <c r="URE71" s="63"/>
      <c r="URF71" s="63"/>
      <c r="URG71" s="63"/>
      <c r="URH71" s="63"/>
      <c r="URI71" s="63"/>
      <c r="URJ71" s="63"/>
      <c r="URK71" s="63"/>
      <c r="URL71" s="63"/>
      <c r="URM71" s="63"/>
      <c r="URN71" s="63"/>
      <c r="URO71" s="63"/>
      <c r="URP71" s="63"/>
      <c r="URQ71" s="63"/>
      <c r="URR71" s="63"/>
      <c r="URS71" s="63"/>
      <c r="URT71" s="63"/>
      <c r="URU71" s="63"/>
      <c r="URV71" s="63"/>
      <c r="URW71" s="63"/>
      <c r="URX71" s="63"/>
      <c r="URY71" s="63"/>
      <c r="URZ71" s="63"/>
      <c r="USA71" s="63"/>
      <c r="USB71" s="63"/>
      <c r="USC71" s="63"/>
      <c r="USD71" s="63"/>
      <c r="USE71" s="63"/>
      <c r="USF71" s="63"/>
      <c r="USG71" s="63"/>
      <c r="USH71" s="63"/>
      <c r="USI71" s="63"/>
      <c r="USJ71" s="63"/>
      <c r="USK71" s="63"/>
      <c r="USL71" s="63"/>
      <c r="USM71" s="63"/>
      <c r="USN71" s="63"/>
      <c r="USO71" s="63"/>
      <c r="USP71" s="63"/>
      <c r="USQ71" s="63"/>
      <c r="USR71" s="63"/>
      <c r="USS71" s="63"/>
      <c r="UST71" s="63"/>
      <c r="USU71" s="63"/>
      <c r="USV71" s="63"/>
      <c r="USW71" s="63"/>
      <c r="USX71" s="63"/>
      <c r="USY71" s="63"/>
      <c r="USZ71" s="63"/>
      <c r="UTA71" s="63"/>
      <c r="UTB71" s="63"/>
      <c r="UTC71" s="63"/>
      <c r="UTD71" s="63"/>
      <c r="UTE71" s="63"/>
      <c r="UTF71" s="63"/>
      <c r="UTG71" s="63"/>
      <c r="UTH71" s="63"/>
      <c r="UTI71" s="63"/>
      <c r="UTJ71" s="63"/>
      <c r="UTK71" s="63"/>
      <c r="UTL71" s="63"/>
      <c r="UTM71" s="63"/>
      <c r="UTN71" s="63"/>
      <c r="UTO71" s="63"/>
      <c r="UTP71" s="63"/>
      <c r="UTQ71" s="63"/>
      <c r="UTR71" s="63"/>
      <c r="UTS71" s="63"/>
      <c r="UTT71" s="63"/>
      <c r="UTU71" s="63"/>
      <c r="UTV71" s="63"/>
      <c r="UTW71" s="63"/>
      <c r="UTX71" s="63"/>
      <c r="UTY71" s="63"/>
      <c r="UTZ71" s="63"/>
      <c r="UUA71" s="63"/>
      <c r="UUB71" s="63"/>
      <c r="UUC71" s="63"/>
      <c r="UUD71" s="63"/>
      <c r="UUE71" s="63"/>
      <c r="UUF71" s="63"/>
      <c r="UUG71" s="63"/>
      <c r="UUH71" s="63"/>
      <c r="UUI71" s="63"/>
      <c r="UUJ71" s="63"/>
      <c r="UUK71" s="63"/>
      <c r="UUL71" s="63"/>
      <c r="UUM71" s="63"/>
      <c r="UUN71" s="63"/>
      <c r="UUO71" s="63"/>
      <c r="UUP71" s="63"/>
      <c r="UUQ71" s="63"/>
      <c r="UUR71" s="63"/>
      <c r="UUS71" s="63"/>
      <c r="UUT71" s="63"/>
      <c r="UUU71" s="63"/>
      <c r="UUV71" s="63"/>
      <c r="UUW71" s="63"/>
      <c r="UUX71" s="63"/>
      <c r="UUY71" s="63"/>
      <c r="UUZ71" s="63"/>
      <c r="UVA71" s="63"/>
      <c r="UVB71" s="63"/>
      <c r="UVC71" s="63"/>
      <c r="UVD71" s="63"/>
      <c r="UVE71" s="63"/>
      <c r="UVF71" s="63"/>
      <c r="UVG71" s="63"/>
      <c r="UVH71" s="63"/>
      <c r="UVI71" s="63"/>
      <c r="UVJ71" s="63"/>
      <c r="UVK71" s="63"/>
      <c r="UVL71" s="63"/>
      <c r="UVM71" s="63"/>
      <c r="UVN71" s="63"/>
      <c r="UVO71" s="63"/>
      <c r="UVP71" s="63"/>
      <c r="UVQ71" s="63"/>
      <c r="UVR71" s="63"/>
      <c r="UVS71" s="63"/>
      <c r="UVT71" s="63"/>
      <c r="UVU71" s="63"/>
      <c r="UVV71" s="63"/>
      <c r="UVW71" s="63"/>
      <c r="UVX71" s="63"/>
      <c r="UVY71" s="63"/>
      <c r="UVZ71" s="63"/>
      <c r="UWA71" s="63"/>
      <c r="UWB71" s="63"/>
      <c r="UWC71" s="63"/>
      <c r="UWD71" s="63"/>
      <c r="UWE71" s="63"/>
      <c r="UWF71" s="63"/>
      <c r="UWG71" s="63"/>
      <c r="UWH71" s="63"/>
      <c r="UWI71" s="63"/>
      <c r="UWJ71" s="63"/>
      <c r="UWK71" s="63"/>
      <c r="UWL71" s="63"/>
      <c r="UWM71" s="63"/>
      <c r="UWN71" s="63"/>
      <c r="UWO71" s="63"/>
      <c r="UWP71" s="63"/>
      <c r="UWQ71" s="63"/>
      <c r="UWR71" s="63"/>
      <c r="UWS71" s="63"/>
      <c r="UWT71" s="63"/>
      <c r="UWU71" s="63"/>
      <c r="UWV71" s="63"/>
      <c r="UWW71" s="63"/>
      <c r="UWX71" s="63"/>
      <c r="UWY71" s="63"/>
      <c r="UWZ71" s="63"/>
      <c r="UXA71" s="63"/>
      <c r="UXB71" s="63"/>
      <c r="UXC71" s="63"/>
      <c r="UXD71" s="63"/>
      <c r="UXE71" s="63"/>
      <c r="UXF71" s="63"/>
      <c r="UXG71" s="63"/>
      <c r="UXH71" s="63"/>
      <c r="UXI71" s="63"/>
      <c r="UXJ71" s="63"/>
      <c r="UXK71" s="63"/>
      <c r="UXL71" s="63"/>
      <c r="UXM71" s="63"/>
      <c r="UXN71" s="63"/>
      <c r="UXO71" s="63"/>
      <c r="UXP71" s="63"/>
      <c r="UXQ71" s="63"/>
      <c r="UXR71" s="63"/>
      <c r="UXS71" s="63"/>
      <c r="UXT71" s="63"/>
      <c r="UXU71" s="63"/>
      <c r="UXV71" s="63"/>
      <c r="UXW71" s="63"/>
      <c r="UXX71" s="63"/>
      <c r="UXY71" s="63"/>
      <c r="UXZ71" s="63"/>
      <c r="UYA71" s="63"/>
      <c r="UYB71" s="63"/>
      <c r="UYC71" s="63"/>
      <c r="UYD71" s="63"/>
      <c r="UYE71" s="63"/>
      <c r="UYF71" s="63"/>
      <c r="UYG71" s="63"/>
      <c r="UYH71" s="63"/>
      <c r="UYI71" s="63"/>
      <c r="UYJ71" s="63"/>
      <c r="UYK71" s="63"/>
      <c r="UYL71" s="63"/>
      <c r="UYM71" s="63"/>
      <c r="UYN71" s="63"/>
      <c r="UYO71" s="63"/>
      <c r="UYP71" s="63"/>
      <c r="UYQ71" s="63"/>
      <c r="UYR71" s="63"/>
      <c r="UYS71" s="63"/>
      <c r="UYT71" s="63"/>
      <c r="UYU71" s="63"/>
      <c r="UYV71" s="63"/>
      <c r="UYW71" s="63"/>
      <c r="UYX71" s="63"/>
      <c r="UYY71" s="63"/>
      <c r="UYZ71" s="63"/>
      <c r="UZA71" s="63"/>
      <c r="UZB71" s="63"/>
      <c r="UZC71" s="63"/>
      <c r="UZD71" s="63"/>
      <c r="UZE71" s="63"/>
      <c r="UZF71" s="63"/>
      <c r="UZG71" s="63"/>
      <c r="UZH71" s="63"/>
      <c r="UZI71" s="63"/>
      <c r="UZJ71" s="63"/>
      <c r="UZK71" s="63"/>
      <c r="UZL71" s="63"/>
      <c r="UZM71" s="63"/>
      <c r="UZN71" s="63"/>
      <c r="UZO71" s="63"/>
      <c r="UZP71" s="63"/>
      <c r="UZQ71" s="63"/>
      <c r="UZR71" s="63"/>
      <c r="UZS71" s="63"/>
      <c r="UZT71" s="63"/>
      <c r="UZU71" s="63"/>
      <c r="UZV71" s="63"/>
      <c r="UZW71" s="63"/>
      <c r="UZX71" s="63"/>
      <c r="UZY71" s="63"/>
      <c r="UZZ71" s="63"/>
      <c r="VAA71" s="63"/>
      <c r="VAB71" s="63"/>
      <c r="VAC71" s="63"/>
      <c r="VAD71" s="63"/>
      <c r="VAE71" s="63"/>
      <c r="VAF71" s="63"/>
      <c r="VAG71" s="63"/>
      <c r="VAH71" s="63"/>
      <c r="VAI71" s="63"/>
      <c r="VAJ71" s="63"/>
      <c r="VAK71" s="63"/>
      <c r="VAL71" s="63"/>
      <c r="VAM71" s="63"/>
      <c r="VAN71" s="63"/>
      <c r="VAO71" s="63"/>
      <c r="VAP71" s="63"/>
      <c r="VAQ71" s="63"/>
      <c r="VAR71" s="63"/>
      <c r="VAS71" s="63"/>
      <c r="VAT71" s="63"/>
      <c r="VAU71" s="63"/>
      <c r="VAV71" s="63"/>
      <c r="VAW71" s="63"/>
      <c r="VAX71" s="63"/>
      <c r="VAY71" s="63"/>
      <c r="VAZ71" s="63"/>
      <c r="VBA71" s="63"/>
      <c r="VBB71" s="63"/>
      <c r="VBC71" s="63"/>
      <c r="VBD71" s="63"/>
      <c r="VBE71" s="63"/>
      <c r="VBF71" s="63"/>
      <c r="VBG71" s="63"/>
      <c r="VBH71" s="63"/>
      <c r="VBI71" s="63"/>
      <c r="VBJ71" s="63"/>
      <c r="VBK71" s="63"/>
      <c r="VBL71" s="63"/>
      <c r="VBM71" s="63"/>
      <c r="VBN71" s="63"/>
      <c r="VBO71" s="63"/>
      <c r="VBP71" s="63"/>
      <c r="VBQ71" s="63"/>
      <c r="VBR71" s="63"/>
      <c r="VBS71" s="63"/>
      <c r="VBT71" s="63"/>
      <c r="VBU71" s="63"/>
      <c r="VBV71" s="63"/>
      <c r="VBW71" s="63"/>
      <c r="VBX71" s="63"/>
      <c r="VBY71" s="63"/>
      <c r="VBZ71" s="63"/>
      <c r="VCA71" s="63"/>
      <c r="VCB71" s="63"/>
      <c r="VCC71" s="63"/>
      <c r="VCD71" s="63"/>
      <c r="VCE71" s="63"/>
      <c r="VCF71" s="63"/>
      <c r="VCG71" s="63"/>
      <c r="VCH71" s="63"/>
      <c r="VCI71" s="63"/>
      <c r="VCJ71" s="63"/>
      <c r="VCK71" s="63"/>
      <c r="VCL71" s="63"/>
      <c r="VCM71" s="63"/>
      <c r="VCN71" s="63"/>
      <c r="VCO71" s="63"/>
      <c r="VCP71" s="63"/>
      <c r="VCQ71" s="63"/>
      <c r="VCR71" s="63"/>
      <c r="VCS71" s="63"/>
      <c r="VCT71" s="63"/>
      <c r="VCU71" s="63"/>
      <c r="VCV71" s="63"/>
      <c r="VCW71" s="63"/>
      <c r="VCX71" s="63"/>
      <c r="VCY71" s="63"/>
      <c r="VCZ71" s="63"/>
      <c r="VDA71" s="63"/>
      <c r="VDB71" s="63"/>
      <c r="VDC71" s="63"/>
      <c r="VDD71" s="63"/>
      <c r="VDE71" s="63"/>
      <c r="VDF71" s="63"/>
      <c r="VDG71" s="63"/>
      <c r="VDH71" s="63"/>
      <c r="VDI71" s="63"/>
      <c r="VDJ71" s="63"/>
      <c r="VDK71" s="63"/>
      <c r="VDL71" s="63"/>
      <c r="VDM71" s="63"/>
      <c r="VDN71" s="63"/>
      <c r="VDO71" s="63"/>
      <c r="VDP71" s="63"/>
      <c r="VDQ71" s="63"/>
      <c r="VDR71" s="63"/>
      <c r="VDS71" s="63"/>
      <c r="VDT71" s="63"/>
      <c r="VDU71" s="63"/>
      <c r="VDV71" s="63"/>
      <c r="VDW71" s="63"/>
      <c r="VDX71" s="63"/>
      <c r="VDY71" s="63"/>
      <c r="VDZ71" s="63"/>
      <c r="VEA71" s="63"/>
      <c r="VEB71" s="63"/>
      <c r="VEC71" s="63"/>
      <c r="VED71" s="63"/>
      <c r="VEE71" s="63"/>
      <c r="VEF71" s="63"/>
      <c r="VEG71" s="63"/>
      <c r="VEH71" s="63"/>
      <c r="VEI71" s="63"/>
      <c r="VEJ71" s="63"/>
      <c r="VEK71" s="63"/>
      <c r="VEL71" s="63"/>
      <c r="VEM71" s="63"/>
      <c r="VEN71" s="63"/>
      <c r="VEO71" s="63"/>
      <c r="VEP71" s="63"/>
      <c r="VEQ71" s="63"/>
      <c r="VER71" s="63"/>
      <c r="VES71" s="63"/>
      <c r="VET71" s="63"/>
      <c r="VEU71" s="63"/>
      <c r="VEV71" s="63"/>
      <c r="VEW71" s="63"/>
      <c r="VEX71" s="63"/>
      <c r="VEY71" s="63"/>
      <c r="VEZ71" s="63"/>
      <c r="VFA71" s="63"/>
      <c r="VFB71" s="63"/>
      <c r="VFC71" s="63"/>
      <c r="VFD71" s="63"/>
      <c r="VFE71" s="63"/>
      <c r="VFF71" s="63"/>
      <c r="VFG71" s="63"/>
      <c r="VFH71" s="63"/>
      <c r="VFI71" s="63"/>
      <c r="VFJ71" s="63"/>
      <c r="VFK71" s="63"/>
      <c r="VFL71" s="63"/>
      <c r="VFM71" s="63"/>
      <c r="VFN71" s="63"/>
      <c r="VFO71" s="63"/>
      <c r="VFP71" s="63"/>
      <c r="VFQ71" s="63"/>
      <c r="VFR71" s="63"/>
      <c r="VFS71" s="63"/>
      <c r="VFT71" s="63"/>
      <c r="VFU71" s="63"/>
      <c r="VFV71" s="63"/>
      <c r="VFW71" s="63"/>
      <c r="VFX71" s="63"/>
      <c r="VFY71" s="63"/>
      <c r="VFZ71" s="63"/>
      <c r="VGA71" s="63"/>
      <c r="VGB71" s="63"/>
      <c r="VGC71" s="63"/>
      <c r="VGD71" s="63"/>
      <c r="VGE71" s="63"/>
      <c r="VGF71" s="63"/>
      <c r="VGG71" s="63"/>
      <c r="VGH71" s="63"/>
      <c r="VGI71" s="63"/>
      <c r="VGJ71" s="63"/>
      <c r="VGK71" s="63"/>
      <c r="VGL71" s="63"/>
      <c r="VGM71" s="63"/>
      <c r="VGN71" s="63"/>
      <c r="VGO71" s="63"/>
      <c r="VGP71" s="63"/>
      <c r="VGQ71" s="63"/>
      <c r="VGR71" s="63"/>
      <c r="VGS71" s="63"/>
      <c r="VGT71" s="63"/>
      <c r="VGU71" s="63"/>
      <c r="VGV71" s="63"/>
      <c r="VGW71" s="63"/>
      <c r="VGX71" s="63"/>
      <c r="VGY71" s="63"/>
      <c r="VGZ71" s="63"/>
      <c r="VHA71" s="63"/>
      <c r="VHB71" s="63"/>
      <c r="VHC71" s="63"/>
      <c r="VHD71" s="63"/>
      <c r="VHE71" s="63"/>
      <c r="VHF71" s="63"/>
      <c r="VHG71" s="63"/>
      <c r="VHH71" s="63"/>
      <c r="VHI71" s="63"/>
      <c r="VHJ71" s="63"/>
      <c r="VHK71" s="63"/>
      <c r="VHL71" s="63"/>
      <c r="VHM71" s="63"/>
      <c r="VHN71" s="63"/>
      <c r="VHO71" s="63"/>
      <c r="VHP71" s="63"/>
      <c r="VHQ71" s="63"/>
      <c r="VHR71" s="63"/>
      <c r="VHS71" s="63"/>
      <c r="VHT71" s="63"/>
      <c r="VHU71" s="63"/>
      <c r="VHV71" s="63"/>
      <c r="VHW71" s="63"/>
      <c r="VHX71" s="63"/>
      <c r="VHY71" s="63"/>
      <c r="VHZ71" s="63"/>
      <c r="VIA71" s="63"/>
      <c r="VIB71" s="63"/>
      <c r="VIC71" s="63"/>
      <c r="VID71" s="63"/>
      <c r="VIE71" s="63"/>
      <c r="VIF71" s="63"/>
      <c r="VIG71" s="63"/>
      <c r="VIH71" s="63"/>
      <c r="VII71" s="63"/>
      <c r="VIJ71" s="63"/>
      <c r="VIK71" s="63"/>
      <c r="VIL71" s="63"/>
      <c r="VIM71" s="63"/>
      <c r="VIN71" s="63"/>
      <c r="VIO71" s="63"/>
      <c r="VIP71" s="63"/>
      <c r="VIQ71" s="63"/>
      <c r="VIR71" s="63"/>
      <c r="VIS71" s="63"/>
      <c r="VIT71" s="63"/>
      <c r="VIU71" s="63"/>
      <c r="VIV71" s="63"/>
      <c r="VIW71" s="63"/>
      <c r="VIX71" s="63"/>
      <c r="VIY71" s="63"/>
      <c r="VIZ71" s="63"/>
      <c r="VJA71" s="63"/>
      <c r="VJB71" s="63"/>
      <c r="VJC71" s="63"/>
      <c r="VJD71" s="63"/>
      <c r="VJE71" s="63"/>
      <c r="VJF71" s="63"/>
      <c r="VJG71" s="63"/>
      <c r="VJH71" s="63"/>
      <c r="VJI71" s="63"/>
      <c r="VJJ71" s="63"/>
      <c r="VJK71" s="63"/>
      <c r="VJL71" s="63"/>
      <c r="VJM71" s="63"/>
      <c r="VJN71" s="63"/>
      <c r="VJO71" s="63"/>
      <c r="VJP71" s="63"/>
      <c r="VJQ71" s="63"/>
      <c r="VJR71" s="63"/>
      <c r="VJS71" s="63"/>
      <c r="VJT71" s="63"/>
      <c r="VJU71" s="63"/>
      <c r="VJV71" s="63"/>
      <c r="VJW71" s="63"/>
      <c r="VJX71" s="63"/>
      <c r="VJY71" s="63"/>
      <c r="VJZ71" s="63"/>
      <c r="VKA71" s="63"/>
      <c r="VKB71" s="63"/>
      <c r="VKC71" s="63"/>
      <c r="VKD71" s="63"/>
      <c r="VKE71" s="63"/>
      <c r="VKF71" s="63"/>
      <c r="VKG71" s="63"/>
      <c r="VKH71" s="63"/>
      <c r="VKI71" s="63"/>
      <c r="VKJ71" s="63"/>
      <c r="VKK71" s="63"/>
      <c r="VKL71" s="63"/>
      <c r="VKM71" s="63"/>
      <c r="VKN71" s="63"/>
      <c r="VKO71" s="63"/>
      <c r="VKP71" s="63"/>
      <c r="VKQ71" s="63"/>
      <c r="VKR71" s="63"/>
      <c r="VKS71" s="63"/>
      <c r="VKT71" s="63"/>
      <c r="VKU71" s="63"/>
      <c r="VKV71" s="63"/>
      <c r="VKW71" s="63"/>
      <c r="VKX71" s="63"/>
      <c r="VKY71" s="63"/>
      <c r="VKZ71" s="63"/>
      <c r="VLA71" s="63"/>
      <c r="VLB71" s="63"/>
      <c r="VLC71" s="63"/>
      <c r="VLD71" s="63"/>
      <c r="VLE71" s="63"/>
      <c r="VLF71" s="63"/>
      <c r="VLG71" s="63"/>
      <c r="VLH71" s="63"/>
      <c r="VLI71" s="63"/>
      <c r="VLJ71" s="63"/>
      <c r="VLK71" s="63"/>
      <c r="VLL71" s="63"/>
      <c r="VLM71" s="63"/>
      <c r="VLN71" s="63"/>
      <c r="VLO71" s="63"/>
      <c r="VLP71" s="63"/>
      <c r="VLQ71" s="63"/>
      <c r="VLR71" s="63"/>
      <c r="VLS71" s="63"/>
      <c r="VLT71" s="63"/>
      <c r="VLU71" s="63"/>
      <c r="VLV71" s="63"/>
      <c r="VLW71" s="63"/>
      <c r="VLX71" s="63"/>
      <c r="VLY71" s="63"/>
      <c r="VLZ71" s="63"/>
      <c r="VMA71" s="63"/>
      <c r="VMB71" s="63"/>
      <c r="VMC71" s="63"/>
      <c r="VMD71" s="63"/>
      <c r="VME71" s="63"/>
      <c r="VMF71" s="63"/>
      <c r="VMG71" s="63"/>
      <c r="VMH71" s="63"/>
      <c r="VMI71" s="63"/>
      <c r="VMJ71" s="63"/>
      <c r="VMK71" s="63"/>
      <c r="VML71" s="63"/>
      <c r="VMM71" s="63"/>
      <c r="VMN71" s="63"/>
      <c r="VMO71" s="63"/>
      <c r="VMP71" s="63"/>
      <c r="VMQ71" s="63"/>
      <c r="VMR71" s="63"/>
      <c r="VMS71" s="63"/>
      <c r="VMT71" s="63"/>
      <c r="VMU71" s="63"/>
      <c r="VMV71" s="63"/>
      <c r="VMW71" s="63"/>
      <c r="VMX71" s="63"/>
      <c r="VMY71" s="63"/>
      <c r="VMZ71" s="63"/>
      <c r="VNA71" s="63"/>
      <c r="VNB71" s="63"/>
      <c r="VNC71" s="63"/>
      <c r="VND71" s="63"/>
      <c r="VNE71" s="63"/>
      <c r="VNF71" s="63"/>
      <c r="VNG71" s="63"/>
      <c r="VNH71" s="63"/>
      <c r="VNI71" s="63"/>
      <c r="VNJ71" s="63"/>
      <c r="VNK71" s="63"/>
      <c r="VNL71" s="63"/>
      <c r="VNM71" s="63"/>
      <c r="VNN71" s="63"/>
      <c r="VNO71" s="63"/>
      <c r="VNP71" s="63"/>
      <c r="VNQ71" s="63"/>
      <c r="VNR71" s="63"/>
      <c r="VNS71" s="63"/>
      <c r="VNT71" s="63"/>
      <c r="VNU71" s="63"/>
      <c r="VNV71" s="63"/>
      <c r="VNW71" s="63"/>
      <c r="VNX71" s="63"/>
      <c r="VNY71" s="63"/>
      <c r="VNZ71" s="63"/>
      <c r="VOA71" s="63"/>
      <c r="VOB71" s="63"/>
      <c r="VOC71" s="63"/>
      <c r="VOD71" s="63"/>
      <c r="VOE71" s="63"/>
      <c r="VOF71" s="63"/>
      <c r="VOG71" s="63"/>
      <c r="VOH71" s="63"/>
      <c r="VOI71" s="63"/>
      <c r="VOJ71" s="63"/>
      <c r="VOK71" s="63"/>
      <c r="VOL71" s="63"/>
      <c r="VOM71" s="63"/>
      <c r="VON71" s="63"/>
      <c r="VOO71" s="63"/>
      <c r="VOP71" s="63"/>
      <c r="VOQ71" s="63"/>
      <c r="VOR71" s="63"/>
      <c r="VOS71" s="63"/>
      <c r="VOT71" s="63"/>
      <c r="VOU71" s="63"/>
      <c r="VOV71" s="63"/>
      <c r="VOW71" s="63"/>
      <c r="VOX71" s="63"/>
      <c r="VOY71" s="63"/>
      <c r="VOZ71" s="63"/>
      <c r="VPA71" s="63"/>
      <c r="VPB71" s="63"/>
      <c r="VPC71" s="63"/>
      <c r="VPD71" s="63"/>
      <c r="VPE71" s="63"/>
      <c r="VPF71" s="63"/>
      <c r="VPG71" s="63"/>
      <c r="VPH71" s="63"/>
      <c r="VPI71" s="63"/>
      <c r="VPJ71" s="63"/>
      <c r="VPK71" s="63"/>
      <c r="VPL71" s="63"/>
      <c r="VPM71" s="63"/>
      <c r="VPN71" s="63"/>
      <c r="VPO71" s="63"/>
      <c r="VPP71" s="63"/>
      <c r="VPQ71" s="63"/>
      <c r="VPR71" s="63"/>
      <c r="VPS71" s="63"/>
      <c r="VPT71" s="63"/>
      <c r="VPU71" s="63"/>
      <c r="VPV71" s="63"/>
      <c r="VPW71" s="63"/>
      <c r="VPX71" s="63"/>
      <c r="VPY71" s="63"/>
      <c r="VPZ71" s="63"/>
      <c r="VQA71" s="63"/>
      <c r="VQB71" s="63"/>
      <c r="VQC71" s="63"/>
      <c r="VQD71" s="63"/>
      <c r="VQE71" s="63"/>
      <c r="VQF71" s="63"/>
      <c r="VQG71" s="63"/>
      <c r="VQH71" s="63"/>
      <c r="VQI71" s="63"/>
      <c r="VQJ71" s="63"/>
      <c r="VQK71" s="63"/>
      <c r="VQL71" s="63"/>
      <c r="VQM71" s="63"/>
      <c r="VQN71" s="63"/>
      <c r="VQO71" s="63"/>
      <c r="VQP71" s="63"/>
      <c r="VQQ71" s="63"/>
      <c r="VQR71" s="63"/>
      <c r="VQS71" s="63"/>
      <c r="VQT71" s="63"/>
      <c r="VQU71" s="63"/>
      <c r="VQV71" s="63"/>
      <c r="VQW71" s="63"/>
      <c r="VQX71" s="63"/>
      <c r="VQY71" s="63"/>
      <c r="VQZ71" s="63"/>
      <c r="VRA71" s="63"/>
      <c r="VRB71" s="63"/>
      <c r="VRC71" s="63"/>
      <c r="VRD71" s="63"/>
      <c r="VRE71" s="63"/>
      <c r="VRF71" s="63"/>
      <c r="VRG71" s="63"/>
      <c r="VRH71" s="63"/>
      <c r="VRI71" s="63"/>
      <c r="VRJ71" s="63"/>
      <c r="VRK71" s="63"/>
      <c r="VRL71" s="63"/>
      <c r="VRM71" s="63"/>
      <c r="VRN71" s="63"/>
      <c r="VRO71" s="63"/>
      <c r="VRP71" s="63"/>
      <c r="VRQ71" s="63"/>
      <c r="VRR71" s="63"/>
      <c r="VRS71" s="63"/>
      <c r="VRT71" s="63"/>
      <c r="VRU71" s="63"/>
      <c r="VRV71" s="63"/>
      <c r="VRW71" s="63"/>
      <c r="VRX71" s="63"/>
      <c r="VRY71" s="63"/>
      <c r="VRZ71" s="63"/>
      <c r="VSA71" s="63"/>
      <c r="VSB71" s="63"/>
      <c r="VSC71" s="63"/>
      <c r="VSD71" s="63"/>
      <c r="VSE71" s="63"/>
      <c r="VSF71" s="63"/>
      <c r="VSG71" s="63"/>
      <c r="VSH71" s="63"/>
      <c r="VSI71" s="63"/>
      <c r="VSJ71" s="63"/>
      <c r="VSK71" s="63"/>
      <c r="VSL71" s="63"/>
      <c r="VSM71" s="63"/>
      <c r="VSN71" s="63"/>
      <c r="VSO71" s="63"/>
      <c r="VSP71" s="63"/>
      <c r="VSQ71" s="63"/>
      <c r="VSR71" s="63"/>
      <c r="VSS71" s="63"/>
      <c r="VST71" s="63"/>
      <c r="VSU71" s="63"/>
      <c r="VSV71" s="63"/>
      <c r="VSW71" s="63"/>
      <c r="VSX71" s="63"/>
      <c r="VSY71" s="63"/>
      <c r="VSZ71" s="63"/>
      <c r="VTA71" s="63"/>
      <c r="VTB71" s="63"/>
      <c r="VTC71" s="63"/>
      <c r="VTD71" s="63"/>
      <c r="VTE71" s="63"/>
      <c r="VTF71" s="63"/>
      <c r="VTG71" s="63"/>
      <c r="VTH71" s="63"/>
      <c r="VTI71" s="63"/>
      <c r="VTJ71" s="63"/>
      <c r="VTK71" s="63"/>
      <c r="VTL71" s="63"/>
      <c r="VTM71" s="63"/>
      <c r="VTN71" s="63"/>
      <c r="VTO71" s="63"/>
      <c r="VTP71" s="63"/>
      <c r="VTQ71" s="63"/>
      <c r="VTR71" s="63"/>
      <c r="VTS71" s="63"/>
      <c r="VTT71" s="63"/>
      <c r="VTU71" s="63"/>
      <c r="VTV71" s="63"/>
      <c r="VTW71" s="63"/>
      <c r="VTX71" s="63"/>
      <c r="VTY71" s="63"/>
      <c r="VTZ71" s="63"/>
      <c r="VUA71" s="63"/>
      <c r="VUB71" s="63"/>
      <c r="VUC71" s="63"/>
      <c r="VUD71" s="63"/>
      <c r="VUE71" s="63"/>
      <c r="VUF71" s="63"/>
      <c r="VUG71" s="63"/>
      <c r="VUH71" s="63"/>
      <c r="VUI71" s="63"/>
      <c r="VUJ71" s="63"/>
      <c r="VUK71" s="63"/>
      <c r="VUL71" s="63"/>
      <c r="VUM71" s="63"/>
      <c r="VUN71" s="63"/>
      <c r="VUO71" s="63"/>
      <c r="VUP71" s="63"/>
      <c r="VUQ71" s="63"/>
      <c r="VUR71" s="63"/>
      <c r="VUS71" s="63"/>
      <c r="VUT71" s="63"/>
      <c r="VUU71" s="63"/>
      <c r="VUV71" s="63"/>
      <c r="VUW71" s="63"/>
      <c r="VUX71" s="63"/>
      <c r="VUY71" s="63"/>
      <c r="VUZ71" s="63"/>
      <c r="VVA71" s="63"/>
      <c r="VVB71" s="63"/>
      <c r="VVC71" s="63"/>
      <c r="VVD71" s="63"/>
      <c r="VVE71" s="63"/>
      <c r="VVF71" s="63"/>
      <c r="VVG71" s="63"/>
      <c r="VVH71" s="63"/>
      <c r="VVI71" s="63"/>
      <c r="VVJ71" s="63"/>
      <c r="VVK71" s="63"/>
      <c r="VVL71" s="63"/>
      <c r="VVM71" s="63"/>
      <c r="VVN71" s="63"/>
      <c r="VVO71" s="63"/>
      <c r="VVP71" s="63"/>
      <c r="VVQ71" s="63"/>
      <c r="VVR71" s="63"/>
      <c r="VVS71" s="63"/>
      <c r="VVT71" s="63"/>
      <c r="VVU71" s="63"/>
      <c r="VVV71" s="63"/>
      <c r="VVW71" s="63"/>
      <c r="VVX71" s="63"/>
      <c r="VVY71" s="63"/>
      <c r="VVZ71" s="63"/>
      <c r="VWA71" s="63"/>
      <c r="VWB71" s="63"/>
      <c r="VWC71" s="63"/>
      <c r="VWD71" s="63"/>
      <c r="VWE71" s="63"/>
      <c r="VWF71" s="63"/>
      <c r="VWG71" s="63"/>
      <c r="VWH71" s="63"/>
      <c r="VWI71" s="63"/>
      <c r="VWJ71" s="63"/>
      <c r="VWK71" s="63"/>
      <c r="VWL71" s="63"/>
      <c r="VWM71" s="63"/>
      <c r="VWN71" s="63"/>
      <c r="VWO71" s="63"/>
      <c r="VWP71" s="63"/>
      <c r="VWQ71" s="63"/>
      <c r="VWR71" s="63"/>
      <c r="VWS71" s="63"/>
      <c r="VWT71" s="63"/>
      <c r="VWU71" s="63"/>
      <c r="VWV71" s="63"/>
      <c r="VWW71" s="63"/>
      <c r="VWX71" s="63"/>
      <c r="VWY71" s="63"/>
      <c r="VWZ71" s="63"/>
      <c r="VXA71" s="63"/>
      <c r="VXB71" s="63"/>
      <c r="VXC71" s="63"/>
      <c r="VXD71" s="63"/>
      <c r="VXE71" s="63"/>
      <c r="VXF71" s="63"/>
      <c r="VXG71" s="63"/>
      <c r="VXH71" s="63"/>
      <c r="VXI71" s="63"/>
      <c r="VXJ71" s="63"/>
      <c r="VXK71" s="63"/>
      <c r="VXL71" s="63"/>
      <c r="VXM71" s="63"/>
      <c r="VXN71" s="63"/>
      <c r="VXO71" s="63"/>
      <c r="VXP71" s="63"/>
      <c r="VXQ71" s="63"/>
      <c r="VXR71" s="63"/>
      <c r="VXS71" s="63"/>
      <c r="VXT71" s="63"/>
      <c r="VXU71" s="63"/>
      <c r="VXV71" s="63"/>
      <c r="VXW71" s="63"/>
      <c r="VXX71" s="63"/>
      <c r="VXY71" s="63"/>
      <c r="VXZ71" s="63"/>
      <c r="VYA71" s="63"/>
      <c r="VYB71" s="63"/>
      <c r="VYC71" s="63"/>
      <c r="VYD71" s="63"/>
      <c r="VYE71" s="63"/>
      <c r="VYF71" s="63"/>
      <c r="VYG71" s="63"/>
      <c r="VYH71" s="63"/>
      <c r="VYI71" s="63"/>
      <c r="VYJ71" s="63"/>
      <c r="VYK71" s="63"/>
      <c r="VYL71" s="63"/>
      <c r="VYM71" s="63"/>
      <c r="VYN71" s="63"/>
      <c r="VYO71" s="63"/>
      <c r="VYP71" s="63"/>
      <c r="VYQ71" s="63"/>
      <c r="VYR71" s="63"/>
      <c r="VYS71" s="63"/>
      <c r="VYT71" s="63"/>
      <c r="VYU71" s="63"/>
      <c r="VYV71" s="63"/>
      <c r="VYW71" s="63"/>
      <c r="VYX71" s="63"/>
      <c r="VYY71" s="63"/>
      <c r="VYZ71" s="63"/>
      <c r="VZA71" s="63"/>
      <c r="VZB71" s="63"/>
      <c r="VZC71" s="63"/>
      <c r="VZD71" s="63"/>
      <c r="VZE71" s="63"/>
      <c r="VZF71" s="63"/>
      <c r="VZG71" s="63"/>
      <c r="VZH71" s="63"/>
      <c r="VZI71" s="63"/>
      <c r="VZJ71" s="63"/>
      <c r="VZK71" s="63"/>
      <c r="VZL71" s="63"/>
      <c r="VZM71" s="63"/>
      <c r="VZN71" s="63"/>
      <c r="VZO71" s="63"/>
      <c r="VZP71" s="63"/>
      <c r="VZQ71" s="63"/>
      <c r="VZR71" s="63"/>
      <c r="VZS71" s="63"/>
      <c r="VZT71" s="63"/>
      <c r="VZU71" s="63"/>
      <c r="VZV71" s="63"/>
      <c r="VZW71" s="63"/>
      <c r="VZX71" s="63"/>
      <c r="VZY71" s="63"/>
      <c r="VZZ71" s="63"/>
      <c r="WAA71" s="63"/>
      <c r="WAB71" s="63"/>
      <c r="WAC71" s="63"/>
      <c r="WAD71" s="63"/>
      <c r="WAE71" s="63"/>
      <c r="WAF71" s="63"/>
      <c r="WAG71" s="63"/>
      <c r="WAH71" s="63"/>
      <c r="WAI71" s="63"/>
      <c r="WAJ71" s="63"/>
      <c r="WAK71" s="63"/>
      <c r="WAL71" s="63"/>
      <c r="WAM71" s="63"/>
      <c r="WAN71" s="63"/>
      <c r="WAO71" s="63"/>
      <c r="WAP71" s="63"/>
      <c r="WAQ71" s="63"/>
      <c r="WAR71" s="63"/>
      <c r="WAS71" s="63"/>
      <c r="WAT71" s="63"/>
      <c r="WAU71" s="63"/>
      <c r="WAV71" s="63"/>
      <c r="WAW71" s="63"/>
      <c r="WAX71" s="63"/>
      <c r="WAY71" s="63"/>
      <c r="WAZ71" s="63"/>
      <c r="WBA71" s="63"/>
      <c r="WBB71" s="63"/>
      <c r="WBC71" s="63"/>
      <c r="WBD71" s="63"/>
      <c r="WBE71" s="63"/>
      <c r="WBF71" s="63"/>
      <c r="WBG71" s="63"/>
      <c r="WBH71" s="63"/>
      <c r="WBI71" s="63"/>
      <c r="WBJ71" s="63"/>
      <c r="WBK71" s="63"/>
      <c r="WBL71" s="63"/>
      <c r="WBM71" s="63"/>
      <c r="WBN71" s="63"/>
      <c r="WBO71" s="63"/>
      <c r="WBP71" s="63"/>
      <c r="WBQ71" s="63"/>
      <c r="WBR71" s="63"/>
      <c r="WBS71" s="63"/>
      <c r="WBT71" s="63"/>
      <c r="WBU71" s="63"/>
      <c r="WBV71" s="63"/>
      <c r="WBW71" s="63"/>
      <c r="WBX71" s="63"/>
      <c r="WBY71" s="63"/>
      <c r="WBZ71" s="63"/>
      <c r="WCA71" s="63"/>
      <c r="WCB71" s="63"/>
      <c r="WCC71" s="63"/>
      <c r="WCD71" s="63"/>
      <c r="WCE71" s="63"/>
      <c r="WCF71" s="63"/>
      <c r="WCG71" s="63"/>
      <c r="WCH71" s="63"/>
      <c r="WCI71" s="63"/>
      <c r="WCJ71" s="63"/>
      <c r="WCK71" s="63"/>
      <c r="WCL71" s="63"/>
      <c r="WCM71" s="63"/>
      <c r="WCN71" s="63"/>
      <c r="WCO71" s="63"/>
      <c r="WCP71" s="63"/>
      <c r="WCQ71" s="63"/>
      <c r="WCR71" s="63"/>
      <c r="WCS71" s="63"/>
      <c r="WCT71" s="63"/>
      <c r="WCU71" s="63"/>
      <c r="WCV71" s="63"/>
      <c r="WCW71" s="63"/>
      <c r="WCX71" s="63"/>
      <c r="WCY71" s="63"/>
      <c r="WCZ71" s="63"/>
      <c r="WDA71" s="63"/>
      <c r="WDB71" s="63"/>
      <c r="WDC71" s="63"/>
      <c r="WDD71" s="63"/>
      <c r="WDE71" s="63"/>
      <c r="WDF71" s="63"/>
      <c r="WDG71" s="63"/>
      <c r="WDH71" s="63"/>
      <c r="WDI71" s="63"/>
      <c r="WDJ71" s="63"/>
      <c r="WDK71" s="63"/>
      <c r="WDL71" s="63"/>
      <c r="WDM71" s="63"/>
      <c r="WDN71" s="63"/>
      <c r="WDO71" s="63"/>
      <c r="WDP71" s="63"/>
      <c r="WDQ71" s="63"/>
      <c r="WDR71" s="63"/>
      <c r="WDS71" s="63"/>
      <c r="WDT71" s="63"/>
      <c r="WDU71" s="63"/>
      <c r="WDV71" s="63"/>
      <c r="WDW71" s="63"/>
      <c r="WDX71" s="63"/>
      <c r="WDY71" s="63"/>
      <c r="WDZ71" s="63"/>
      <c r="WEA71" s="63"/>
      <c r="WEB71" s="63"/>
      <c r="WEC71" s="63"/>
      <c r="WED71" s="63"/>
      <c r="WEE71" s="63"/>
      <c r="WEF71" s="63"/>
      <c r="WEG71" s="63"/>
      <c r="WEH71" s="63"/>
      <c r="WEI71" s="63"/>
      <c r="WEJ71" s="63"/>
      <c r="WEK71" s="63"/>
      <c r="WEL71" s="63"/>
      <c r="WEM71" s="63"/>
      <c r="WEN71" s="63"/>
      <c r="WEO71" s="63"/>
      <c r="WEP71" s="63"/>
      <c r="WEQ71" s="63"/>
      <c r="WER71" s="63"/>
      <c r="WES71" s="63"/>
      <c r="WET71" s="63"/>
      <c r="WEU71" s="63"/>
      <c r="WEV71" s="63"/>
      <c r="WEW71" s="63"/>
      <c r="WEX71" s="63"/>
      <c r="WEY71" s="63"/>
      <c r="WEZ71" s="63"/>
      <c r="WFA71" s="63"/>
      <c r="WFB71" s="63"/>
      <c r="WFC71" s="63"/>
      <c r="WFD71" s="63"/>
      <c r="WFE71" s="63"/>
      <c r="WFF71" s="63"/>
      <c r="WFG71" s="63"/>
      <c r="WFH71" s="63"/>
      <c r="WFI71" s="63"/>
      <c r="WFJ71" s="63"/>
      <c r="WFK71" s="63"/>
      <c r="WFL71" s="63"/>
      <c r="WFM71" s="63"/>
      <c r="WFN71" s="63"/>
      <c r="WFO71" s="63"/>
      <c r="WFP71" s="63"/>
      <c r="WFQ71" s="63"/>
      <c r="WFR71" s="63"/>
      <c r="WFS71" s="63"/>
      <c r="WFT71" s="63"/>
      <c r="WFU71" s="63"/>
      <c r="WFV71" s="63"/>
      <c r="WFW71" s="63"/>
      <c r="WFX71" s="63"/>
      <c r="WFY71" s="63"/>
      <c r="WFZ71" s="63"/>
      <c r="WGA71" s="63"/>
      <c r="WGB71" s="63"/>
      <c r="WGC71" s="63"/>
      <c r="WGD71" s="63"/>
      <c r="WGE71" s="63"/>
      <c r="WGF71" s="63"/>
      <c r="WGG71" s="63"/>
      <c r="WGH71" s="63"/>
      <c r="WGI71" s="63"/>
      <c r="WGJ71" s="63"/>
      <c r="WGK71" s="63"/>
      <c r="WGL71" s="63"/>
      <c r="WGM71" s="63"/>
      <c r="WGN71" s="63"/>
      <c r="WGO71" s="63"/>
      <c r="WGP71" s="63"/>
      <c r="WGQ71" s="63"/>
      <c r="WGR71" s="63"/>
      <c r="WGS71" s="63"/>
      <c r="WGT71" s="63"/>
      <c r="WGU71" s="63"/>
      <c r="WGV71" s="63"/>
      <c r="WGW71" s="63"/>
      <c r="WGX71" s="63"/>
      <c r="WGY71" s="63"/>
      <c r="WGZ71" s="63"/>
      <c r="WHA71" s="63"/>
      <c r="WHB71" s="63"/>
      <c r="WHC71" s="63"/>
      <c r="WHD71" s="63"/>
      <c r="WHE71" s="63"/>
      <c r="WHF71" s="63"/>
      <c r="WHG71" s="63"/>
      <c r="WHH71" s="63"/>
      <c r="WHI71" s="63"/>
      <c r="WHJ71" s="63"/>
      <c r="WHK71" s="63"/>
      <c r="WHL71" s="63"/>
      <c r="WHM71" s="63"/>
      <c r="WHN71" s="63"/>
      <c r="WHO71" s="63"/>
      <c r="WHP71" s="63"/>
      <c r="WHQ71" s="63"/>
      <c r="WHR71" s="63"/>
      <c r="WHS71" s="63"/>
      <c r="WHT71" s="63"/>
      <c r="WHU71" s="63"/>
      <c r="WHV71" s="63"/>
      <c r="WHW71" s="63"/>
      <c r="WHX71" s="63"/>
      <c r="WHY71" s="63"/>
      <c r="WHZ71" s="63"/>
      <c r="WIA71" s="63"/>
      <c r="WIB71" s="63"/>
      <c r="WIC71" s="63"/>
      <c r="WID71" s="63"/>
      <c r="WIE71" s="63"/>
      <c r="WIF71" s="63"/>
      <c r="WIG71" s="63"/>
      <c r="WIH71" s="63"/>
      <c r="WII71" s="63"/>
      <c r="WIJ71" s="63"/>
      <c r="WIK71" s="63"/>
      <c r="WIL71" s="63"/>
      <c r="WIM71" s="63"/>
      <c r="WIN71" s="63"/>
      <c r="WIO71" s="63"/>
      <c r="WIP71" s="63"/>
      <c r="WIQ71" s="63"/>
      <c r="WIR71" s="63"/>
      <c r="WIS71" s="63"/>
      <c r="WIT71" s="63"/>
      <c r="WIU71" s="63"/>
      <c r="WIV71" s="63"/>
      <c r="WIW71" s="63"/>
      <c r="WIX71" s="63"/>
      <c r="WIY71" s="63"/>
      <c r="WIZ71" s="63"/>
      <c r="WJA71" s="63"/>
      <c r="WJB71" s="63"/>
      <c r="WJC71" s="63"/>
      <c r="WJD71" s="63"/>
      <c r="WJE71" s="63"/>
      <c r="WJF71" s="63"/>
      <c r="WJG71" s="63"/>
      <c r="WJH71" s="63"/>
      <c r="WJI71" s="63"/>
      <c r="WJJ71" s="63"/>
      <c r="WJK71" s="63"/>
      <c r="WJL71" s="63"/>
      <c r="WJM71" s="63"/>
      <c r="WJN71" s="63"/>
      <c r="WJO71" s="63"/>
      <c r="WJP71" s="63"/>
      <c r="WJQ71" s="63"/>
      <c r="WJR71" s="63"/>
      <c r="WJS71" s="63"/>
      <c r="WJT71" s="63"/>
      <c r="WJU71" s="63"/>
      <c r="WJV71" s="63"/>
      <c r="WJW71" s="63"/>
      <c r="WJX71" s="63"/>
      <c r="WJY71" s="63"/>
      <c r="WJZ71" s="63"/>
      <c r="WKA71" s="63"/>
      <c r="WKB71" s="63"/>
      <c r="WKC71" s="63"/>
      <c r="WKD71" s="63"/>
      <c r="WKE71" s="63"/>
      <c r="WKF71" s="63"/>
      <c r="WKG71" s="63"/>
      <c r="WKH71" s="63"/>
      <c r="WKI71" s="63"/>
      <c r="WKJ71" s="63"/>
      <c r="WKK71" s="63"/>
      <c r="WKL71" s="63"/>
      <c r="WKM71" s="63"/>
      <c r="WKN71" s="63"/>
      <c r="WKO71" s="63"/>
      <c r="WKP71" s="63"/>
      <c r="WKQ71" s="63"/>
      <c r="WKR71" s="63"/>
      <c r="WKS71" s="63"/>
      <c r="WKT71" s="63"/>
      <c r="WKU71" s="63"/>
      <c r="WKV71" s="63"/>
      <c r="WKW71" s="63"/>
      <c r="WKX71" s="63"/>
      <c r="WKY71" s="63"/>
      <c r="WKZ71" s="63"/>
      <c r="WLA71" s="63"/>
      <c r="WLB71" s="63"/>
      <c r="WLC71" s="63"/>
      <c r="WLD71" s="63"/>
      <c r="WLE71" s="63"/>
      <c r="WLF71" s="63"/>
      <c r="WLG71" s="63"/>
      <c r="WLH71" s="63"/>
      <c r="WLI71" s="63"/>
      <c r="WLJ71" s="63"/>
      <c r="WLK71" s="63"/>
      <c r="WLL71" s="63"/>
      <c r="WLM71" s="63"/>
      <c r="WLN71" s="63"/>
      <c r="WLO71" s="63"/>
      <c r="WLP71" s="63"/>
      <c r="WLQ71" s="63"/>
      <c r="WLR71" s="63"/>
      <c r="WLS71" s="63"/>
      <c r="WLT71" s="63"/>
      <c r="WLU71" s="63"/>
      <c r="WLV71" s="63"/>
      <c r="WLW71" s="63"/>
      <c r="WLX71" s="63"/>
      <c r="WLY71" s="63"/>
      <c r="WLZ71" s="63"/>
      <c r="WMA71" s="63"/>
      <c r="WMB71" s="63"/>
      <c r="WMC71" s="63"/>
      <c r="WMD71" s="63"/>
      <c r="WME71" s="63"/>
      <c r="WMF71" s="63"/>
      <c r="WMG71" s="63"/>
      <c r="WMH71" s="63"/>
      <c r="WMI71" s="63"/>
      <c r="WMJ71" s="63"/>
      <c r="WMK71" s="63"/>
      <c r="WML71" s="63"/>
      <c r="WMM71" s="63"/>
      <c r="WMN71" s="63"/>
      <c r="WMO71" s="63"/>
      <c r="WMP71" s="63"/>
      <c r="WMQ71" s="63"/>
      <c r="WMR71" s="63"/>
      <c r="WMS71" s="63"/>
      <c r="WMT71" s="63"/>
      <c r="WMU71" s="63"/>
      <c r="WMV71" s="63"/>
      <c r="WMW71" s="63"/>
      <c r="WMX71" s="63"/>
      <c r="WMY71" s="63"/>
      <c r="WMZ71" s="63"/>
      <c r="WNA71" s="63"/>
      <c r="WNB71" s="63"/>
      <c r="WNC71" s="63"/>
      <c r="WND71" s="63"/>
      <c r="WNE71" s="63"/>
      <c r="WNF71" s="63"/>
      <c r="WNG71" s="63"/>
      <c r="WNH71" s="63"/>
      <c r="WNI71" s="63"/>
      <c r="WNJ71" s="63"/>
      <c r="WNK71" s="63"/>
      <c r="WNL71" s="63"/>
      <c r="WNM71" s="63"/>
      <c r="WNN71" s="63"/>
      <c r="WNO71" s="63"/>
      <c r="WNP71" s="63"/>
      <c r="WNQ71" s="63"/>
      <c r="WNR71" s="63"/>
      <c r="WNS71" s="63"/>
      <c r="WNT71" s="63"/>
      <c r="WNU71" s="63"/>
      <c r="WNV71" s="63"/>
      <c r="WNW71" s="63"/>
      <c r="WNX71" s="63"/>
      <c r="WNY71" s="63"/>
      <c r="WNZ71" s="63"/>
      <c r="WOA71" s="63"/>
      <c r="WOB71" s="63"/>
      <c r="WOC71" s="63"/>
      <c r="WOD71" s="63"/>
      <c r="WOE71" s="63"/>
      <c r="WOF71" s="63"/>
      <c r="WOG71" s="63"/>
      <c r="WOH71" s="63"/>
      <c r="WOI71" s="63"/>
      <c r="WOJ71" s="63"/>
      <c r="WOK71" s="63"/>
      <c r="WOL71" s="63"/>
      <c r="WOM71" s="63"/>
      <c r="WON71" s="63"/>
      <c r="WOO71" s="63"/>
      <c r="WOP71" s="63"/>
      <c r="WOQ71" s="63"/>
      <c r="WOR71" s="63"/>
      <c r="WOS71" s="63"/>
      <c r="WOT71" s="63"/>
      <c r="WOU71" s="63"/>
      <c r="WOV71" s="63"/>
      <c r="WOW71" s="63"/>
      <c r="WOX71" s="63"/>
      <c r="WOY71" s="63"/>
      <c r="WOZ71" s="63"/>
      <c r="WPA71" s="63"/>
      <c r="WPB71" s="63"/>
      <c r="WPC71" s="63"/>
      <c r="WPD71" s="63"/>
      <c r="WPE71" s="63"/>
      <c r="WPF71" s="63"/>
      <c r="WPG71" s="63"/>
      <c r="WPH71" s="63"/>
      <c r="WPI71" s="63"/>
      <c r="WPJ71" s="63"/>
      <c r="WPK71" s="63"/>
      <c r="WPL71" s="63"/>
      <c r="WPM71" s="63"/>
      <c r="WPN71" s="63"/>
      <c r="WPO71" s="63"/>
      <c r="WPP71" s="63"/>
      <c r="WPQ71" s="63"/>
      <c r="WPR71" s="63"/>
      <c r="WPS71" s="63"/>
      <c r="WPT71" s="63"/>
      <c r="WPU71" s="63"/>
      <c r="WPV71" s="63"/>
      <c r="WPW71" s="63"/>
      <c r="WPX71" s="63"/>
      <c r="WPY71" s="63"/>
      <c r="WPZ71" s="63"/>
      <c r="WQA71" s="63"/>
      <c r="WQB71" s="63"/>
      <c r="WQC71" s="63"/>
      <c r="WQD71" s="63"/>
      <c r="WQE71" s="63"/>
      <c r="WQF71" s="63"/>
      <c r="WQG71" s="63"/>
      <c r="WQH71" s="63"/>
      <c r="WQI71" s="63"/>
      <c r="WQJ71" s="63"/>
      <c r="WQK71" s="63"/>
      <c r="WQL71" s="63"/>
      <c r="WQM71" s="63"/>
      <c r="WQN71" s="63"/>
      <c r="WQO71" s="63"/>
    </row>
    <row r="72" spans="1:16005" ht="13.5" hidden="1" customHeight="1" x14ac:dyDescent="0.2">
      <c r="A72" s="297"/>
      <c r="B72" s="281"/>
      <c r="C72" s="281"/>
      <c r="D72" s="281"/>
      <c r="E72" s="281"/>
      <c r="F72" s="57"/>
      <c r="G72" s="298"/>
      <c r="H72" s="298"/>
      <c r="I72" s="298"/>
      <c r="J72" s="298"/>
      <c r="K72" s="298"/>
      <c r="L72" s="298"/>
      <c r="M72" s="299"/>
      <c r="N72" s="299"/>
      <c r="O72" s="67"/>
      <c r="P72" s="60"/>
    </row>
    <row r="73" spans="1:16005" ht="15.75" hidden="1" x14ac:dyDescent="0.2">
      <c r="A73" s="1009" t="s">
        <v>436</v>
      </c>
      <c r="B73" s="1009"/>
      <c r="C73" s="1009"/>
      <c r="D73" s="1009"/>
      <c r="E73" s="1009"/>
      <c r="F73" s="1009"/>
      <c r="G73" s="1009"/>
      <c r="H73" s="1009"/>
      <c r="I73" s="1009"/>
      <c r="J73" s="1009"/>
      <c r="K73" s="1009"/>
      <c r="L73" s="1009"/>
      <c r="M73" s="1009"/>
      <c r="N73" s="1009"/>
      <c r="O73" s="1009"/>
      <c r="P73" s="1009"/>
    </row>
    <row r="74" spans="1:16005" ht="15.75" hidden="1" x14ac:dyDescent="0.2">
      <c r="A74" s="1009" t="s">
        <v>735</v>
      </c>
      <c r="B74" s="1009"/>
      <c r="C74" s="1009"/>
      <c r="D74" s="1009"/>
      <c r="E74" s="1009"/>
      <c r="F74" s="1009"/>
      <c r="G74" s="1009"/>
      <c r="H74" s="1009"/>
      <c r="I74" s="1009"/>
      <c r="J74" s="1009"/>
      <c r="K74" s="1009"/>
      <c r="L74" s="1009"/>
      <c r="M74" s="1009"/>
      <c r="N74" s="1009"/>
      <c r="O74" s="1009"/>
      <c r="P74" s="1009"/>
    </row>
    <row r="75" spans="1:16005" ht="16.5" hidden="1" thickBot="1" x14ac:dyDescent="0.25">
      <c r="A75" s="271" t="s">
        <v>442</v>
      </c>
      <c r="B75" s="47"/>
      <c r="C75" s="47"/>
      <c r="D75" s="47"/>
      <c r="E75" s="47"/>
      <c r="F75" s="47"/>
      <c r="G75" s="47"/>
      <c r="H75" s="47"/>
      <c r="I75" s="47"/>
      <c r="J75" s="47"/>
      <c r="K75" s="47"/>
      <c r="L75" s="47"/>
      <c r="M75" s="47"/>
      <c r="N75" s="47"/>
      <c r="O75" s="47"/>
      <c r="P75" s="47"/>
    </row>
    <row r="76" spans="1:16005" ht="15.6" hidden="1" customHeight="1" x14ac:dyDescent="0.2">
      <c r="A76" s="986" t="s">
        <v>29</v>
      </c>
      <c r="B76" s="987"/>
      <c r="C76" s="988" t="s">
        <v>437</v>
      </c>
      <c r="D76" s="988"/>
      <c r="E76" s="988"/>
      <c r="F76" s="988"/>
      <c r="G76" s="988"/>
      <c r="H76" s="988"/>
      <c r="I76" s="988"/>
      <c r="J76" s="988"/>
      <c r="K76" s="988"/>
      <c r="L76" s="988"/>
      <c r="M76" s="988"/>
      <c r="N76" s="988"/>
      <c r="O76" s="988"/>
      <c r="P76" s="274" t="s">
        <v>435</v>
      </c>
    </row>
    <row r="77" spans="1:16005" ht="14.25" hidden="1" customHeight="1" x14ac:dyDescent="0.2">
      <c r="A77" s="1011" t="s">
        <v>438</v>
      </c>
      <c r="B77" s="1012"/>
      <c r="C77" s="1024"/>
      <c r="D77" s="1024"/>
      <c r="E77" s="1024"/>
      <c r="F77" s="1024"/>
      <c r="G77" s="1024"/>
      <c r="H77" s="1024"/>
      <c r="I77" s="1024"/>
      <c r="J77" s="1024"/>
      <c r="K77" s="1024"/>
      <c r="L77" s="1024"/>
      <c r="M77" s="1024"/>
      <c r="N77" s="1024"/>
      <c r="O77" s="1024"/>
      <c r="P77" s="275">
        <v>50</v>
      </c>
    </row>
    <row r="78" spans="1:16005" ht="15.75" hidden="1" x14ac:dyDescent="0.2">
      <c r="A78" s="1033" t="s">
        <v>30</v>
      </c>
      <c r="B78" s="1030" t="s">
        <v>31</v>
      </c>
      <c r="C78" s="1030"/>
      <c r="D78" s="1030"/>
      <c r="E78" s="1030"/>
      <c r="F78" s="1030"/>
      <c r="G78" s="1030" t="s">
        <v>32</v>
      </c>
      <c r="H78" s="1030"/>
      <c r="I78" s="1030"/>
      <c r="J78" s="1030"/>
      <c r="K78" s="1030"/>
      <c r="L78" s="1030" t="s">
        <v>33</v>
      </c>
      <c r="M78" s="1030"/>
      <c r="N78" s="1030"/>
      <c r="O78" s="1030"/>
      <c r="P78" s="1031"/>
    </row>
    <row r="79" spans="1:16005" ht="15.75" hidden="1" x14ac:dyDescent="0.2">
      <c r="A79" s="1002"/>
      <c r="B79" s="79" t="s">
        <v>8</v>
      </c>
      <c r="C79" s="79" t="s">
        <v>7</v>
      </c>
      <c r="D79" s="79" t="s">
        <v>9</v>
      </c>
      <c r="E79" s="79" t="s">
        <v>19</v>
      </c>
      <c r="F79" s="79" t="s">
        <v>20</v>
      </c>
      <c r="G79" s="79" t="s">
        <v>8</v>
      </c>
      <c r="H79" s="79" t="s">
        <v>7</v>
      </c>
      <c r="I79" s="79" t="s">
        <v>9</v>
      </c>
      <c r="J79" s="79" t="s">
        <v>19</v>
      </c>
      <c r="K79" s="79" t="s">
        <v>20</v>
      </c>
      <c r="L79" s="79" t="s">
        <v>8</v>
      </c>
      <c r="M79" s="79" t="s">
        <v>7</v>
      </c>
      <c r="N79" s="79" t="s">
        <v>9</v>
      </c>
      <c r="O79" s="79" t="s">
        <v>19</v>
      </c>
      <c r="P79" s="24" t="s">
        <v>20</v>
      </c>
    </row>
    <row r="80" spans="1:16005" ht="15.75" hidden="1" x14ac:dyDescent="0.2">
      <c r="A80" s="72" t="s">
        <v>439</v>
      </c>
      <c r="B80" s="32" t="s">
        <v>16</v>
      </c>
      <c r="C80" s="73" t="s">
        <v>11</v>
      </c>
      <c r="D80" s="73">
        <v>3</v>
      </c>
      <c r="E80" s="73">
        <f>skilled</f>
        <v>1100</v>
      </c>
      <c r="F80" s="73">
        <f>D80*E80</f>
        <v>3300</v>
      </c>
      <c r="G80" s="32" t="s">
        <v>440</v>
      </c>
      <c r="H80" s="73" t="s">
        <v>17</v>
      </c>
      <c r="I80" s="73">
        <v>50</v>
      </c>
      <c r="J80" s="73">
        <f>HDPEpipe100mm</f>
        <v>445.62</v>
      </c>
      <c r="K80" s="73">
        <f>I80*J80</f>
        <v>22281</v>
      </c>
      <c r="L80" s="64" t="s">
        <v>3</v>
      </c>
      <c r="M80" s="36" t="s">
        <v>13</v>
      </c>
      <c r="N80" s="36">
        <v>6</v>
      </c>
      <c r="O80" s="64">
        <f>electricgenerator</f>
        <v>785</v>
      </c>
      <c r="P80" s="61">
        <f>N80*O80</f>
        <v>4710</v>
      </c>
    </row>
    <row r="81" spans="1:16005" ht="12.75" hidden="1" customHeight="1" x14ac:dyDescent="0.2">
      <c r="A81" s="72"/>
      <c r="B81" s="32" t="s">
        <v>28</v>
      </c>
      <c r="C81" s="73" t="s">
        <v>11</v>
      </c>
      <c r="D81" s="73">
        <v>3</v>
      </c>
      <c r="E81" s="73">
        <f>unskilled</f>
        <v>780</v>
      </c>
      <c r="F81" s="73">
        <f>D81*E81</f>
        <v>2340</v>
      </c>
      <c r="G81" s="73"/>
      <c r="H81" s="73"/>
      <c r="I81" s="73"/>
      <c r="J81" s="73"/>
      <c r="K81" s="73"/>
      <c r="L81" s="64" t="s">
        <v>393</v>
      </c>
      <c r="M81" s="36" t="s">
        <v>13</v>
      </c>
      <c r="N81" s="36">
        <v>6</v>
      </c>
      <c r="O81" s="64">
        <f>screwjack</f>
        <v>53</v>
      </c>
      <c r="P81" s="61">
        <f>N81*O81</f>
        <v>318</v>
      </c>
    </row>
    <row r="82" spans="1:16005" ht="12.75" hidden="1" customHeight="1" x14ac:dyDescent="0.2">
      <c r="A82" s="72"/>
      <c r="B82" s="73"/>
      <c r="C82" s="73"/>
      <c r="D82" s="73"/>
      <c r="E82" s="73"/>
      <c r="F82" s="73"/>
      <c r="G82" s="73"/>
      <c r="H82" s="73"/>
      <c r="I82" s="73"/>
      <c r="J82" s="73"/>
      <c r="K82" s="73"/>
      <c r="L82" s="64" t="s">
        <v>368</v>
      </c>
      <c r="M82" s="36" t="s">
        <v>13</v>
      </c>
      <c r="N82" s="36">
        <v>6</v>
      </c>
      <c r="O82" s="64">
        <f>heatingplate</f>
        <v>92.5</v>
      </c>
      <c r="P82" s="61">
        <f>N82*O82</f>
        <v>555</v>
      </c>
    </row>
    <row r="83" spans="1:16005" ht="12.75" hidden="1" customHeight="1" x14ac:dyDescent="0.2">
      <c r="A83" s="72"/>
      <c r="B83" s="73"/>
      <c r="C83" s="73"/>
      <c r="D83" s="73"/>
      <c r="E83" s="73"/>
      <c r="F83" s="73"/>
      <c r="G83" s="73"/>
      <c r="H83" s="73"/>
      <c r="I83" s="73"/>
      <c r="J83" s="73"/>
      <c r="K83" s="73"/>
      <c r="L83" s="64" t="s">
        <v>441</v>
      </c>
      <c r="M83" s="1069" t="s">
        <v>263</v>
      </c>
      <c r="N83" s="1070"/>
      <c r="O83" s="1071"/>
      <c r="P83" s="61">
        <f>3%*F84</f>
        <v>169.2</v>
      </c>
    </row>
    <row r="84" spans="1:16005" ht="15.75" hidden="1" x14ac:dyDescent="0.2">
      <c r="A84" s="1005" t="s">
        <v>34</v>
      </c>
      <c r="B84" s="1006"/>
      <c r="C84" s="1006"/>
      <c r="D84" s="1006"/>
      <c r="E84" s="1006"/>
      <c r="F84" s="73">
        <f>SUM(F81+F80)</f>
        <v>5640</v>
      </c>
      <c r="G84" s="1006" t="s">
        <v>35</v>
      </c>
      <c r="H84" s="1006"/>
      <c r="I84" s="1006"/>
      <c r="J84" s="1006"/>
      <c r="K84" s="73">
        <f>SUM(K80:K81)</f>
        <v>22281</v>
      </c>
      <c r="L84" s="1006" t="s">
        <v>36</v>
      </c>
      <c r="M84" s="1006"/>
      <c r="N84" s="1006"/>
      <c r="O84" s="1006"/>
      <c r="P84" s="61">
        <f>SUM(P80:P83)</f>
        <v>5752.2</v>
      </c>
    </row>
    <row r="85" spans="1:16005" ht="15.75" hidden="1" x14ac:dyDescent="0.2">
      <c r="A85" s="1005" t="s">
        <v>487</v>
      </c>
      <c r="B85" s="1006"/>
      <c r="C85" s="1006"/>
      <c r="D85" s="1006"/>
      <c r="E85" s="1006"/>
      <c r="F85" s="74">
        <f>SUM(F84+K84+P84)</f>
        <v>33673.199999999997</v>
      </c>
      <c r="G85" s="1006"/>
      <c r="H85" s="1006"/>
      <c r="I85" s="1006"/>
      <c r="J85" s="1006"/>
      <c r="K85" s="1006"/>
      <c r="L85" s="74"/>
      <c r="M85" s="90"/>
      <c r="N85" s="292"/>
      <c r="O85" s="292"/>
      <c r="P85" s="16"/>
    </row>
    <row r="86" spans="1:16005" s="296" customFormat="1" ht="13.5" hidden="1" customHeight="1" thickBot="1" x14ac:dyDescent="0.25">
      <c r="A86" s="293"/>
      <c r="B86" s="999" t="s">
        <v>110</v>
      </c>
      <c r="C86" s="999"/>
      <c r="D86" s="999"/>
      <c r="E86" s="999"/>
      <c r="F86" s="17">
        <f>15%*F85</f>
        <v>5050.9799999999996</v>
      </c>
      <c r="G86" s="294"/>
      <c r="H86" s="294"/>
      <c r="I86" s="294"/>
      <c r="J86" s="294"/>
      <c r="K86" s="294"/>
      <c r="L86" s="294"/>
      <c r="M86" s="295"/>
      <c r="N86" s="1041" t="s">
        <v>53</v>
      </c>
      <c r="O86" s="1042"/>
      <c r="P86" s="18">
        <f>(F86+F85)/P77</f>
        <v>774.48</v>
      </c>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3"/>
      <c r="BG86" s="63"/>
      <c r="BH86" s="63"/>
      <c r="BI86" s="63"/>
      <c r="BJ86" s="63"/>
      <c r="BK86" s="63"/>
      <c r="BL86" s="63"/>
      <c r="BM86" s="63"/>
      <c r="BN86" s="63"/>
      <c r="BO86" s="63"/>
      <c r="BP86" s="63"/>
      <c r="BQ86" s="63"/>
      <c r="BR86" s="63"/>
      <c r="BS86" s="63"/>
      <c r="BT86" s="63"/>
      <c r="BU86" s="63"/>
      <c r="BV86" s="63"/>
      <c r="BW86" s="63"/>
      <c r="BX86" s="63"/>
      <c r="BY86" s="63"/>
      <c r="BZ86" s="63"/>
      <c r="CA86" s="63"/>
      <c r="CB86" s="63"/>
      <c r="CC86" s="63"/>
      <c r="CD86" s="63"/>
      <c r="CE86" s="63"/>
      <c r="CF86" s="63"/>
      <c r="CG86" s="63"/>
      <c r="CH86" s="63"/>
      <c r="CI86" s="63"/>
      <c r="CJ86" s="63"/>
      <c r="CK86" s="63"/>
      <c r="CL86" s="63"/>
      <c r="CM86" s="63"/>
      <c r="CN86" s="63"/>
      <c r="CO86" s="63"/>
      <c r="CP86" s="63"/>
      <c r="CQ86" s="63"/>
      <c r="CR86" s="63"/>
      <c r="CS86" s="63"/>
      <c r="CT86" s="63"/>
      <c r="CU86" s="63"/>
      <c r="CV86" s="63"/>
      <c r="CW86" s="63"/>
      <c r="CX86" s="63"/>
      <c r="CY86" s="63"/>
      <c r="CZ86" s="63"/>
      <c r="DA86" s="63"/>
      <c r="DB86" s="63"/>
      <c r="DC86" s="63"/>
      <c r="DD86" s="63"/>
      <c r="DE86" s="63"/>
      <c r="DF86" s="63"/>
      <c r="DG86" s="63"/>
      <c r="DH86" s="63"/>
      <c r="DI86" s="63"/>
      <c r="DJ86" s="63"/>
      <c r="DK86" s="63"/>
      <c r="DL86" s="63"/>
      <c r="DM86" s="63"/>
      <c r="DN86" s="63"/>
      <c r="DO86" s="63"/>
      <c r="DP86" s="63"/>
      <c r="DQ86" s="63"/>
      <c r="DR86" s="63"/>
      <c r="DS86" s="63"/>
      <c r="DT86" s="63"/>
      <c r="DU86" s="63"/>
      <c r="DV86" s="63"/>
      <c r="DW86" s="63"/>
      <c r="DX86" s="63"/>
      <c r="DY86" s="63"/>
      <c r="DZ86" s="63"/>
      <c r="EA86" s="63"/>
      <c r="EB86" s="63"/>
      <c r="EC86" s="63"/>
      <c r="ED86" s="63"/>
      <c r="EE86" s="63"/>
      <c r="EF86" s="63"/>
      <c r="EG86" s="63"/>
      <c r="EH86" s="63"/>
      <c r="EI86" s="63"/>
      <c r="EJ86" s="63"/>
      <c r="EK86" s="63"/>
      <c r="EL86" s="63"/>
      <c r="EM86" s="63"/>
      <c r="EN86" s="63"/>
      <c r="EO86" s="63"/>
      <c r="EP86" s="63"/>
      <c r="EQ86" s="63"/>
      <c r="ER86" s="63"/>
      <c r="ES86" s="63"/>
      <c r="ET86" s="63"/>
      <c r="EU86" s="63"/>
      <c r="EV86" s="63"/>
      <c r="EW86" s="63"/>
      <c r="EX86" s="63"/>
      <c r="EY86" s="63"/>
      <c r="EZ86" s="63"/>
      <c r="FA86" s="63"/>
      <c r="FB86" s="63"/>
      <c r="FC86" s="63"/>
      <c r="FD86" s="63"/>
      <c r="FE86" s="63"/>
      <c r="FF86" s="63"/>
      <c r="FG86" s="63"/>
      <c r="FH86" s="63"/>
      <c r="FI86" s="63"/>
      <c r="FJ86" s="63"/>
      <c r="FK86" s="63"/>
      <c r="FL86" s="63"/>
      <c r="FM86" s="63"/>
      <c r="FN86" s="63"/>
      <c r="FO86" s="63"/>
      <c r="FP86" s="63"/>
      <c r="FQ86" s="63"/>
      <c r="FR86" s="63"/>
      <c r="FS86" s="63"/>
      <c r="FT86" s="63"/>
      <c r="FU86" s="63"/>
      <c r="FV86" s="63"/>
      <c r="FW86" s="63"/>
      <c r="FX86" s="63"/>
      <c r="FY86" s="63"/>
      <c r="FZ86" s="63"/>
      <c r="GA86" s="63"/>
      <c r="GB86" s="63"/>
      <c r="GC86" s="63"/>
      <c r="GD86" s="63"/>
      <c r="GE86" s="63"/>
      <c r="GF86" s="63"/>
      <c r="GG86" s="63"/>
      <c r="GH86" s="63"/>
      <c r="GI86" s="63"/>
      <c r="GJ86" s="63"/>
      <c r="GK86" s="63"/>
      <c r="GL86" s="63"/>
      <c r="GM86" s="63"/>
      <c r="GN86" s="63"/>
      <c r="GO86" s="63"/>
      <c r="GP86" s="63"/>
      <c r="GQ86" s="63"/>
      <c r="GR86" s="63"/>
      <c r="GS86" s="63"/>
      <c r="GT86" s="63"/>
      <c r="GU86" s="63"/>
      <c r="GV86" s="63"/>
      <c r="GW86" s="63"/>
      <c r="GX86" s="63"/>
      <c r="GY86" s="63"/>
      <c r="GZ86" s="63"/>
      <c r="HA86" s="63"/>
      <c r="HB86" s="63"/>
      <c r="HC86" s="63"/>
      <c r="HD86" s="63"/>
      <c r="HE86" s="63"/>
      <c r="HF86" s="63"/>
      <c r="HG86" s="63"/>
      <c r="HH86" s="63"/>
      <c r="HI86" s="63"/>
      <c r="HJ86" s="63"/>
      <c r="HK86" s="63"/>
      <c r="HL86" s="63"/>
      <c r="HM86" s="63"/>
      <c r="HN86" s="63"/>
      <c r="HO86" s="63"/>
      <c r="HP86" s="63"/>
      <c r="HQ86" s="63"/>
      <c r="HR86" s="63"/>
      <c r="HS86" s="63"/>
      <c r="HT86" s="63"/>
      <c r="HU86" s="63"/>
      <c r="HV86" s="63"/>
      <c r="HW86" s="63"/>
      <c r="HX86" s="63"/>
      <c r="HY86" s="63"/>
      <c r="HZ86" s="63"/>
      <c r="IA86" s="63"/>
      <c r="IB86" s="63"/>
      <c r="IC86" s="63"/>
      <c r="ID86" s="63"/>
      <c r="IE86" s="63"/>
      <c r="IF86" s="63"/>
      <c r="IG86" s="63"/>
      <c r="IH86" s="63"/>
      <c r="II86" s="63"/>
      <c r="IJ86" s="63"/>
      <c r="IK86" s="63"/>
      <c r="IL86" s="63"/>
      <c r="IM86" s="63"/>
      <c r="IN86" s="63"/>
      <c r="IO86" s="63"/>
      <c r="IP86" s="63"/>
      <c r="IQ86" s="63"/>
      <c r="IR86" s="63"/>
      <c r="IS86" s="63"/>
      <c r="IT86" s="63"/>
      <c r="IU86" s="63"/>
      <c r="IV86" s="63"/>
      <c r="IW86" s="63"/>
      <c r="IX86" s="63"/>
      <c r="IY86" s="63"/>
      <c r="IZ86" s="63"/>
      <c r="JA86" s="63"/>
      <c r="JB86" s="63"/>
      <c r="JC86" s="63"/>
      <c r="JD86" s="63"/>
      <c r="JE86" s="63"/>
      <c r="JF86" s="63"/>
      <c r="JG86" s="63"/>
      <c r="JH86" s="63"/>
      <c r="JI86" s="63"/>
      <c r="JJ86" s="63"/>
      <c r="JK86" s="63"/>
      <c r="JL86" s="63"/>
      <c r="JM86" s="63"/>
      <c r="JN86" s="63"/>
      <c r="JO86" s="63"/>
      <c r="JP86" s="63"/>
      <c r="JQ86" s="63"/>
      <c r="JR86" s="63"/>
      <c r="JS86" s="63"/>
      <c r="JT86" s="63"/>
      <c r="JU86" s="63"/>
      <c r="JV86" s="63"/>
      <c r="JW86" s="63"/>
      <c r="JX86" s="63"/>
      <c r="JY86" s="63"/>
      <c r="JZ86" s="63"/>
      <c r="KA86" s="63"/>
      <c r="KB86" s="63"/>
      <c r="KC86" s="63"/>
      <c r="KD86" s="63"/>
      <c r="KE86" s="63"/>
      <c r="KF86" s="63"/>
      <c r="KG86" s="63"/>
      <c r="KH86" s="63"/>
      <c r="KI86" s="63"/>
      <c r="KJ86" s="63"/>
      <c r="KK86" s="63"/>
      <c r="KL86" s="63"/>
      <c r="KM86" s="63"/>
      <c r="KN86" s="63"/>
      <c r="KO86" s="63"/>
      <c r="KP86" s="63"/>
      <c r="KQ86" s="63"/>
      <c r="KR86" s="63"/>
      <c r="KS86" s="63"/>
      <c r="KT86" s="63"/>
      <c r="KU86" s="63"/>
      <c r="KV86" s="63"/>
      <c r="KW86" s="63"/>
      <c r="KX86" s="63"/>
      <c r="KY86" s="63"/>
      <c r="KZ86" s="63"/>
      <c r="LA86" s="63"/>
      <c r="LB86" s="63"/>
      <c r="LC86" s="63"/>
      <c r="LD86" s="63"/>
      <c r="LE86" s="63"/>
      <c r="LF86" s="63"/>
      <c r="LG86" s="63"/>
      <c r="LH86" s="63"/>
      <c r="LI86" s="63"/>
      <c r="LJ86" s="63"/>
      <c r="LK86" s="63"/>
      <c r="LL86" s="63"/>
      <c r="LM86" s="63"/>
      <c r="LN86" s="63"/>
      <c r="LO86" s="63"/>
      <c r="LP86" s="63"/>
      <c r="LQ86" s="63"/>
      <c r="LR86" s="63"/>
      <c r="LS86" s="63"/>
      <c r="LT86" s="63"/>
      <c r="LU86" s="63"/>
      <c r="LV86" s="63"/>
      <c r="LW86" s="63"/>
      <c r="LX86" s="63"/>
      <c r="LY86" s="63"/>
      <c r="LZ86" s="63"/>
      <c r="MA86" s="63"/>
      <c r="MB86" s="63"/>
      <c r="MC86" s="63"/>
      <c r="MD86" s="63"/>
      <c r="ME86" s="63"/>
      <c r="MF86" s="63"/>
      <c r="MG86" s="63"/>
      <c r="MH86" s="63"/>
      <c r="MI86" s="63"/>
      <c r="MJ86" s="63"/>
      <c r="MK86" s="63"/>
      <c r="ML86" s="63"/>
      <c r="MM86" s="63"/>
      <c r="MN86" s="63"/>
      <c r="MO86" s="63"/>
      <c r="MP86" s="63"/>
      <c r="MQ86" s="63"/>
      <c r="MR86" s="63"/>
      <c r="MS86" s="63"/>
      <c r="MT86" s="63"/>
      <c r="MU86" s="63"/>
      <c r="MV86" s="63"/>
      <c r="MW86" s="63"/>
      <c r="MX86" s="63"/>
      <c r="MY86" s="63"/>
      <c r="MZ86" s="63"/>
      <c r="NA86" s="63"/>
      <c r="NB86" s="63"/>
      <c r="NC86" s="63"/>
      <c r="ND86" s="63"/>
      <c r="NE86" s="63"/>
      <c r="NF86" s="63"/>
      <c r="NG86" s="63"/>
      <c r="NH86" s="63"/>
      <c r="NI86" s="63"/>
      <c r="NJ86" s="63"/>
      <c r="NK86" s="63"/>
      <c r="NL86" s="63"/>
      <c r="NM86" s="63"/>
      <c r="NN86" s="63"/>
      <c r="NO86" s="63"/>
      <c r="NP86" s="63"/>
      <c r="NQ86" s="63"/>
      <c r="NR86" s="63"/>
      <c r="NS86" s="63"/>
      <c r="NT86" s="63"/>
      <c r="NU86" s="63"/>
      <c r="NV86" s="63"/>
      <c r="NW86" s="63"/>
      <c r="NX86" s="63"/>
      <c r="NY86" s="63"/>
      <c r="NZ86" s="63"/>
      <c r="OA86" s="63"/>
      <c r="OB86" s="63"/>
      <c r="OC86" s="63"/>
      <c r="OD86" s="63"/>
      <c r="OE86" s="63"/>
      <c r="OF86" s="63"/>
      <c r="OG86" s="63"/>
      <c r="OH86" s="63"/>
      <c r="OI86" s="63"/>
      <c r="OJ86" s="63"/>
      <c r="OK86" s="63"/>
      <c r="OL86" s="63"/>
      <c r="OM86" s="63"/>
      <c r="ON86" s="63"/>
      <c r="OO86" s="63"/>
      <c r="OP86" s="63"/>
      <c r="OQ86" s="63"/>
      <c r="OR86" s="63"/>
      <c r="OS86" s="63"/>
      <c r="OT86" s="63"/>
      <c r="OU86" s="63"/>
      <c r="OV86" s="63"/>
      <c r="OW86" s="63"/>
      <c r="OX86" s="63"/>
      <c r="OY86" s="63"/>
      <c r="OZ86" s="63"/>
      <c r="PA86" s="63"/>
      <c r="PB86" s="63"/>
      <c r="PC86" s="63"/>
      <c r="PD86" s="63"/>
      <c r="PE86" s="63"/>
      <c r="PF86" s="63"/>
      <c r="PG86" s="63"/>
      <c r="PH86" s="63"/>
      <c r="PI86" s="63"/>
      <c r="PJ86" s="63"/>
      <c r="PK86" s="63"/>
      <c r="PL86" s="63"/>
      <c r="PM86" s="63"/>
      <c r="PN86" s="63"/>
      <c r="PO86" s="63"/>
      <c r="PP86" s="63"/>
      <c r="PQ86" s="63"/>
      <c r="PR86" s="63"/>
      <c r="PS86" s="63"/>
      <c r="PT86" s="63"/>
      <c r="PU86" s="63"/>
      <c r="PV86" s="63"/>
      <c r="PW86" s="63"/>
      <c r="PX86" s="63"/>
      <c r="PY86" s="63"/>
      <c r="PZ86" s="63"/>
      <c r="QA86" s="63"/>
      <c r="QB86" s="63"/>
      <c r="QC86" s="63"/>
      <c r="QD86" s="63"/>
      <c r="QE86" s="63"/>
      <c r="QF86" s="63"/>
      <c r="QG86" s="63"/>
      <c r="QH86" s="63"/>
      <c r="QI86" s="63"/>
      <c r="QJ86" s="63"/>
      <c r="QK86" s="63"/>
      <c r="QL86" s="63"/>
      <c r="QM86" s="63"/>
      <c r="QN86" s="63"/>
      <c r="QO86" s="63"/>
      <c r="QP86" s="63"/>
      <c r="QQ86" s="63"/>
      <c r="QR86" s="63"/>
      <c r="QS86" s="63"/>
      <c r="QT86" s="63"/>
      <c r="QU86" s="63"/>
      <c r="QV86" s="63"/>
      <c r="QW86" s="63"/>
      <c r="QX86" s="63"/>
      <c r="QY86" s="63"/>
      <c r="QZ86" s="63"/>
      <c r="RA86" s="63"/>
      <c r="RB86" s="63"/>
      <c r="RC86" s="63"/>
      <c r="RD86" s="63"/>
      <c r="RE86" s="63"/>
      <c r="RF86" s="63"/>
      <c r="RG86" s="63"/>
      <c r="RH86" s="63"/>
      <c r="RI86" s="63"/>
      <c r="RJ86" s="63"/>
      <c r="RK86" s="63"/>
      <c r="RL86" s="63"/>
      <c r="RM86" s="63"/>
      <c r="RN86" s="63"/>
      <c r="RO86" s="63"/>
      <c r="RP86" s="63"/>
      <c r="RQ86" s="63"/>
      <c r="RR86" s="63"/>
      <c r="RS86" s="63"/>
      <c r="RT86" s="63"/>
      <c r="RU86" s="63"/>
      <c r="RV86" s="63"/>
      <c r="RW86" s="63"/>
      <c r="RX86" s="63"/>
      <c r="RY86" s="63"/>
      <c r="RZ86" s="63"/>
      <c r="SA86" s="63"/>
      <c r="SB86" s="63"/>
      <c r="SC86" s="63"/>
      <c r="SD86" s="63"/>
      <c r="SE86" s="63"/>
      <c r="SF86" s="63"/>
      <c r="SG86" s="63"/>
      <c r="SH86" s="63"/>
      <c r="SI86" s="63"/>
      <c r="SJ86" s="63"/>
      <c r="SK86" s="63"/>
      <c r="SL86" s="63"/>
      <c r="SM86" s="63"/>
      <c r="SN86" s="63"/>
      <c r="SO86" s="63"/>
      <c r="SP86" s="63"/>
      <c r="SQ86" s="63"/>
      <c r="SR86" s="63"/>
      <c r="SS86" s="63"/>
      <c r="ST86" s="63"/>
      <c r="SU86" s="63"/>
      <c r="SV86" s="63"/>
      <c r="SW86" s="63"/>
      <c r="SX86" s="63"/>
      <c r="SY86" s="63"/>
      <c r="SZ86" s="63"/>
      <c r="TA86" s="63"/>
      <c r="TB86" s="63"/>
      <c r="TC86" s="63"/>
      <c r="TD86" s="63"/>
      <c r="TE86" s="63"/>
      <c r="TF86" s="63"/>
      <c r="TG86" s="63"/>
      <c r="TH86" s="63"/>
      <c r="TI86" s="63"/>
      <c r="TJ86" s="63"/>
      <c r="TK86" s="63"/>
      <c r="TL86" s="63"/>
      <c r="TM86" s="63"/>
      <c r="TN86" s="63"/>
      <c r="TO86" s="63"/>
      <c r="TP86" s="63"/>
      <c r="TQ86" s="63"/>
      <c r="TR86" s="63"/>
      <c r="TS86" s="63"/>
      <c r="TT86" s="63"/>
      <c r="TU86" s="63"/>
      <c r="TV86" s="63"/>
      <c r="TW86" s="63"/>
      <c r="TX86" s="63"/>
      <c r="TY86" s="63"/>
      <c r="TZ86" s="63"/>
      <c r="UA86" s="63"/>
      <c r="UB86" s="63"/>
      <c r="UC86" s="63"/>
      <c r="UD86" s="63"/>
      <c r="UE86" s="63"/>
      <c r="UF86" s="63"/>
      <c r="UG86" s="63"/>
      <c r="UH86" s="63"/>
      <c r="UI86" s="63"/>
      <c r="UJ86" s="63"/>
      <c r="UK86" s="63"/>
      <c r="UL86" s="63"/>
      <c r="UM86" s="63"/>
      <c r="UN86" s="63"/>
      <c r="UO86" s="63"/>
      <c r="UP86" s="63"/>
      <c r="UQ86" s="63"/>
      <c r="UR86" s="63"/>
      <c r="US86" s="63"/>
      <c r="UT86" s="63"/>
      <c r="UU86" s="63"/>
      <c r="UV86" s="63"/>
      <c r="UW86" s="63"/>
      <c r="UX86" s="63"/>
      <c r="UY86" s="63"/>
      <c r="UZ86" s="63"/>
      <c r="VA86" s="63"/>
      <c r="VB86" s="63"/>
      <c r="VC86" s="63"/>
      <c r="VD86" s="63"/>
      <c r="VE86" s="63"/>
      <c r="VF86" s="63"/>
      <c r="VG86" s="63"/>
      <c r="VH86" s="63"/>
      <c r="VI86" s="63"/>
      <c r="VJ86" s="63"/>
      <c r="VK86" s="63"/>
      <c r="VL86" s="63"/>
      <c r="VM86" s="63"/>
      <c r="VN86" s="63"/>
      <c r="VO86" s="63"/>
      <c r="VP86" s="63"/>
      <c r="VQ86" s="63"/>
      <c r="VR86" s="63"/>
      <c r="VS86" s="63"/>
      <c r="VT86" s="63"/>
      <c r="VU86" s="63"/>
      <c r="VV86" s="63"/>
      <c r="VW86" s="63"/>
      <c r="VX86" s="63"/>
      <c r="VY86" s="63"/>
      <c r="VZ86" s="63"/>
      <c r="WA86" s="63"/>
      <c r="WB86" s="63"/>
      <c r="WC86" s="63"/>
      <c r="WD86" s="63"/>
      <c r="WE86" s="63"/>
      <c r="WF86" s="63"/>
      <c r="WG86" s="63"/>
      <c r="WH86" s="63"/>
      <c r="WI86" s="63"/>
      <c r="WJ86" s="63"/>
      <c r="WK86" s="63"/>
      <c r="WL86" s="63"/>
      <c r="WM86" s="63"/>
      <c r="WN86" s="63"/>
      <c r="WO86" s="63"/>
      <c r="WP86" s="63"/>
      <c r="WQ86" s="63"/>
      <c r="WR86" s="63"/>
      <c r="WS86" s="63"/>
      <c r="WT86" s="63"/>
      <c r="WU86" s="63"/>
      <c r="WV86" s="63"/>
      <c r="WW86" s="63"/>
      <c r="WX86" s="63"/>
      <c r="WY86" s="63"/>
      <c r="WZ86" s="63"/>
      <c r="XA86" s="63"/>
      <c r="XB86" s="63"/>
      <c r="XC86" s="63"/>
      <c r="XD86" s="63"/>
      <c r="XE86" s="63"/>
      <c r="XF86" s="63"/>
      <c r="XG86" s="63"/>
      <c r="XH86" s="63"/>
      <c r="XI86" s="63"/>
      <c r="XJ86" s="63"/>
      <c r="XK86" s="63"/>
      <c r="XL86" s="63"/>
      <c r="XM86" s="63"/>
      <c r="XN86" s="63"/>
      <c r="XO86" s="63"/>
      <c r="XP86" s="63"/>
      <c r="XQ86" s="63"/>
      <c r="XR86" s="63"/>
      <c r="XS86" s="63"/>
      <c r="XT86" s="63"/>
      <c r="XU86" s="63"/>
      <c r="XV86" s="63"/>
      <c r="XW86" s="63"/>
      <c r="XX86" s="63"/>
      <c r="XY86" s="63"/>
      <c r="XZ86" s="63"/>
      <c r="YA86" s="63"/>
      <c r="YB86" s="63"/>
      <c r="YC86" s="63"/>
      <c r="YD86" s="63"/>
      <c r="YE86" s="63"/>
      <c r="YF86" s="63"/>
      <c r="YG86" s="63"/>
      <c r="YH86" s="63"/>
      <c r="YI86" s="63"/>
      <c r="YJ86" s="63"/>
      <c r="YK86" s="63"/>
      <c r="YL86" s="63"/>
      <c r="YM86" s="63"/>
      <c r="YN86" s="63"/>
      <c r="YO86" s="63"/>
      <c r="YP86" s="63"/>
      <c r="YQ86" s="63"/>
      <c r="YR86" s="63"/>
      <c r="YS86" s="63"/>
      <c r="YT86" s="63"/>
      <c r="YU86" s="63"/>
      <c r="YV86" s="63"/>
      <c r="YW86" s="63"/>
      <c r="YX86" s="63"/>
      <c r="YY86" s="63"/>
      <c r="YZ86" s="63"/>
      <c r="ZA86" s="63"/>
      <c r="ZB86" s="63"/>
      <c r="ZC86" s="63"/>
      <c r="ZD86" s="63"/>
      <c r="ZE86" s="63"/>
      <c r="ZF86" s="63"/>
      <c r="ZG86" s="63"/>
      <c r="ZH86" s="63"/>
      <c r="ZI86" s="63"/>
      <c r="ZJ86" s="63"/>
      <c r="ZK86" s="63"/>
      <c r="ZL86" s="63"/>
      <c r="ZM86" s="63"/>
      <c r="ZN86" s="63"/>
      <c r="ZO86" s="63"/>
      <c r="ZP86" s="63"/>
      <c r="ZQ86" s="63"/>
      <c r="ZR86" s="63"/>
      <c r="ZS86" s="63"/>
      <c r="ZT86" s="63"/>
      <c r="ZU86" s="63"/>
      <c r="ZV86" s="63"/>
      <c r="ZW86" s="63"/>
      <c r="ZX86" s="63"/>
      <c r="ZY86" s="63"/>
      <c r="ZZ86" s="63"/>
      <c r="AAA86" s="63"/>
      <c r="AAB86" s="63"/>
      <c r="AAC86" s="63"/>
      <c r="AAD86" s="63"/>
      <c r="AAE86" s="63"/>
      <c r="AAF86" s="63"/>
      <c r="AAG86" s="63"/>
      <c r="AAH86" s="63"/>
      <c r="AAI86" s="63"/>
      <c r="AAJ86" s="63"/>
      <c r="AAK86" s="63"/>
      <c r="AAL86" s="63"/>
      <c r="AAM86" s="63"/>
      <c r="AAN86" s="63"/>
      <c r="AAO86" s="63"/>
      <c r="AAP86" s="63"/>
      <c r="AAQ86" s="63"/>
      <c r="AAR86" s="63"/>
      <c r="AAS86" s="63"/>
      <c r="AAT86" s="63"/>
      <c r="AAU86" s="63"/>
      <c r="AAV86" s="63"/>
      <c r="AAW86" s="63"/>
      <c r="AAX86" s="63"/>
      <c r="AAY86" s="63"/>
      <c r="AAZ86" s="63"/>
      <c r="ABA86" s="63"/>
      <c r="ABB86" s="63"/>
      <c r="ABC86" s="63"/>
      <c r="ABD86" s="63"/>
      <c r="ABE86" s="63"/>
      <c r="ABF86" s="63"/>
      <c r="ABG86" s="63"/>
      <c r="ABH86" s="63"/>
      <c r="ABI86" s="63"/>
      <c r="ABJ86" s="63"/>
      <c r="ABK86" s="63"/>
      <c r="ABL86" s="63"/>
      <c r="ABM86" s="63"/>
      <c r="ABN86" s="63"/>
      <c r="ABO86" s="63"/>
      <c r="ABP86" s="63"/>
      <c r="ABQ86" s="63"/>
      <c r="ABR86" s="63"/>
      <c r="ABS86" s="63"/>
      <c r="ABT86" s="63"/>
      <c r="ABU86" s="63"/>
      <c r="ABV86" s="63"/>
      <c r="ABW86" s="63"/>
      <c r="ABX86" s="63"/>
      <c r="ABY86" s="63"/>
      <c r="ABZ86" s="63"/>
      <c r="ACA86" s="63"/>
      <c r="ACB86" s="63"/>
      <c r="ACC86" s="63"/>
      <c r="ACD86" s="63"/>
      <c r="ACE86" s="63"/>
      <c r="ACF86" s="63"/>
      <c r="ACG86" s="63"/>
      <c r="ACH86" s="63"/>
      <c r="ACI86" s="63"/>
      <c r="ACJ86" s="63"/>
      <c r="ACK86" s="63"/>
      <c r="ACL86" s="63"/>
      <c r="ACM86" s="63"/>
      <c r="ACN86" s="63"/>
      <c r="ACO86" s="63"/>
      <c r="ACP86" s="63"/>
      <c r="ACQ86" s="63"/>
      <c r="ACR86" s="63"/>
      <c r="ACS86" s="63"/>
      <c r="ACT86" s="63"/>
      <c r="ACU86" s="63"/>
      <c r="ACV86" s="63"/>
      <c r="ACW86" s="63"/>
      <c r="ACX86" s="63"/>
      <c r="ACY86" s="63"/>
      <c r="ACZ86" s="63"/>
      <c r="ADA86" s="63"/>
      <c r="ADB86" s="63"/>
      <c r="ADC86" s="63"/>
      <c r="ADD86" s="63"/>
      <c r="ADE86" s="63"/>
      <c r="ADF86" s="63"/>
      <c r="ADG86" s="63"/>
      <c r="ADH86" s="63"/>
      <c r="ADI86" s="63"/>
      <c r="ADJ86" s="63"/>
      <c r="ADK86" s="63"/>
      <c r="ADL86" s="63"/>
      <c r="ADM86" s="63"/>
      <c r="ADN86" s="63"/>
      <c r="ADO86" s="63"/>
      <c r="ADP86" s="63"/>
      <c r="ADQ86" s="63"/>
      <c r="ADR86" s="63"/>
      <c r="ADS86" s="63"/>
      <c r="ADT86" s="63"/>
      <c r="ADU86" s="63"/>
      <c r="ADV86" s="63"/>
      <c r="ADW86" s="63"/>
      <c r="ADX86" s="63"/>
      <c r="ADY86" s="63"/>
      <c r="ADZ86" s="63"/>
      <c r="AEA86" s="63"/>
      <c r="AEB86" s="63"/>
      <c r="AEC86" s="63"/>
      <c r="AED86" s="63"/>
      <c r="AEE86" s="63"/>
      <c r="AEF86" s="63"/>
      <c r="AEG86" s="63"/>
      <c r="AEH86" s="63"/>
      <c r="AEI86" s="63"/>
      <c r="AEJ86" s="63"/>
      <c r="AEK86" s="63"/>
      <c r="AEL86" s="63"/>
      <c r="AEM86" s="63"/>
      <c r="AEN86" s="63"/>
      <c r="AEO86" s="63"/>
      <c r="AEP86" s="63"/>
      <c r="AEQ86" s="63"/>
      <c r="AER86" s="63"/>
      <c r="AES86" s="63"/>
      <c r="AET86" s="63"/>
      <c r="AEU86" s="63"/>
      <c r="AEV86" s="63"/>
      <c r="AEW86" s="63"/>
      <c r="AEX86" s="63"/>
      <c r="AEY86" s="63"/>
      <c r="AEZ86" s="63"/>
      <c r="AFA86" s="63"/>
      <c r="AFB86" s="63"/>
      <c r="AFC86" s="63"/>
      <c r="AFD86" s="63"/>
      <c r="AFE86" s="63"/>
      <c r="AFF86" s="63"/>
      <c r="AFG86" s="63"/>
      <c r="AFH86" s="63"/>
      <c r="AFI86" s="63"/>
      <c r="AFJ86" s="63"/>
      <c r="AFK86" s="63"/>
      <c r="AFL86" s="63"/>
      <c r="AFM86" s="63"/>
      <c r="AFN86" s="63"/>
      <c r="AFO86" s="63"/>
      <c r="AFP86" s="63"/>
      <c r="AFQ86" s="63"/>
      <c r="AFR86" s="63"/>
      <c r="AFS86" s="63"/>
      <c r="AFT86" s="63"/>
      <c r="AFU86" s="63"/>
      <c r="AFV86" s="63"/>
      <c r="AFW86" s="63"/>
      <c r="AFX86" s="63"/>
      <c r="AFY86" s="63"/>
      <c r="AFZ86" s="63"/>
      <c r="AGA86" s="63"/>
      <c r="AGB86" s="63"/>
      <c r="AGC86" s="63"/>
      <c r="AGD86" s="63"/>
      <c r="AGE86" s="63"/>
      <c r="AGF86" s="63"/>
      <c r="AGG86" s="63"/>
      <c r="AGH86" s="63"/>
      <c r="AGI86" s="63"/>
      <c r="AGJ86" s="63"/>
      <c r="AGK86" s="63"/>
      <c r="AGL86" s="63"/>
      <c r="AGM86" s="63"/>
      <c r="AGN86" s="63"/>
      <c r="AGO86" s="63"/>
      <c r="AGP86" s="63"/>
      <c r="AGQ86" s="63"/>
      <c r="AGR86" s="63"/>
      <c r="AGS86" s="63"/>
      <c r="AGT86" s="63"/>
      <c r="AGU86" s="63"/>
      <c r="AGV86" s="63"/>
      <c r="AGW86" s="63"/>
      <c r="AGX86" s="63"/>
      <c r="AGY86" s="63"/>
      <c r="AGZ86" s="63"/>
      <c r="AHA86" s="63"/>
      <c r="AHB86" s="63"/>
      <c r="AHC86" s="63"/>
      <c r="AHD86" s="63"/>
      <c r="AHE86" s="63"/>
      <c r="AHF86" s="63"/>
      <c r="AHG86" s="63"/>
      <c r="AHH86" s="63"/>
      <c r="AHI86" s="63"/>
      <c r="AHJ86" s="63"/>
      <c r="AHK86" s="63"/>
      <c r="AHL86" s="63"/>
      <c r="AHM86" s="63"/>
      <c r="AHN86" s="63"/>
      <c r="AHO86" s="63"/>
      <c r="AHP86" s="63"/>
      <c r="AHQ86" s="63"/>
      <c r="AHR86" s="63"/>
      <c r="AHS86" s="63"/>
      <c r="AHT86" s="63"/>
      <c r="AHU86" s="63"/>
      <c r="AHV86" s="63"/>
      <c r="AHW86" s="63"/>
      <c r="AHX86" s="63"/>
      <c r="AHY86" s="63"/>
      <c r="AHZ86" s="63"/>
      <c r="AIA86" s="63"/>
      <c r="AIB86" s="63"/>
      <c r="AIC86" s="63"/>
      <c r="AID86" s="63"/>
      <c r="AIE86" s="63"/>
      <c r="AIF86" s="63"/>
      <c r="AIG86" s="63"/>
      <c r="AIH86" s="63"/>
      <c r="AII86" s="63"/>
      <c r="AIJ86" s="63"/>
      <c r="AIK86" s="63"/>
      <c r="AIL86" s="63"/>
      <c r="AIM86" s="63"/>
      <c r="AIN86" s="63"/>
      <c r="AIO86" s="63"/>
      <c r="AIP86" s="63"/>
      <c r="AIQ86" s="63"/>
      <c r="AIR86" s="63"/>
      <c r="AIS86" s="63"/>
      <c r="AIT86" s="63"/>
      <c r="AIU86" s="63"/>
      <c r="AIV86" s="63"/>
      <c r="AIW86" s="63"/>
      <c r="AIX86" s="63"/>
      <c r="AIY86" s="63"/>
      <c r="AIZ86" s="63"/>
      <c r="AJA86" s="63"/>
      <c r="AJB86" s="63"/>
      <c r="AJC86" s="63"/>
      <c r="AJD86" s="63"/>
      <c r="AJE86" s="63"/>
      <c r="AJF86" s="63"/>
      <c r="AJG86" s="63"/>
      <c r="AJH86" s="63"/>
      <c r="AJI86" s="63"/>
      <c r="AJJ86" s="63"/>
      <c r="AJK86" s="63"/>
      <c r="AJL86" s="63"/>
      <c r="AJM86" s="63"/>
      <c r="AJN86" s="63"/>
      <c r="AJO86" s="63"/>
      <c r="AJP86" s="63"/>
      <c r="AJQ86" s="63"/>
      <c r="AJR86" s="63"/>
      <c r="AJS86" s="63"/>
      <c r="AJT86" s="63"/>
      <c r="AJU86" s="63"/>
      <c r="AJV86" s="63"/>
      <c r="AJW86" s="63"/>
      <c r="AJX86" s="63"/>
      <c r="AJY86" s="63"/>
      <c r="AJZ86" s="63"/>
      <c r="AKA86" s="63"/>
      <c r="AKB86" s="63"/>
      <c r="AKC86" s="63"/>
      <c r="AKD86" s="63"/>
      <c r="AKE86" s="63"/>
      <c r="AKF86" s="63"/>
      <c r="AKG86" s="63"/>
      <c r="AKH86" s="63"/>
      <c r="AKI86" s="63"/>
      <c r="AKJ86" s="63"/>
      <c r="AKK86" s="63"/>
      <c r="AKL86" s="63"/>
      <c r="AKM86" s="63"/>
      <c r="AKN86" s="63"/>
      <c r="AKO86" s="63"/>
      <c r="AKP86" s="63"/>
      <c r="AKQ86" s="63"/>
      <c r="AKR86" s="63"/>
      <c r="AKS86" s="63"/>
      <c r="AKT86" s="63"/>
      <c r="AKU86" s="63"/>
      <c r="AKV86" s="63"/>
      <c r="AKW86" s="63"/>
      <c r="AKX86" s="63"/>
      <c r="AKY86" s="63"/>
      <c r="AKZ86" s="63"/>
      <c r="ALA86" s="63"/>
      <c r="ALB86" s="63"/>
      <c r="ALC86" s="63"/>
      <c r="ALD86" s="63"/>
      <c r="ALE86" s="63"/>
      <c r="ALF86" s="63"/>
      <c r="ALG86" s="63"/>
      <c r="ALH86" s="63"/>
      <c r="ALI86" s="63"/>
      <c r="ALJ86" s="63"/>
      <c r="ALK86" s="63"/>
      <c r="ALL86" s="63"/>
      <c r="ALM86" s="63"/>
      <c r="ALN86" s="63"/>
      <c r="ALO86" s="63"/>
      <c r="ALP86" s="63"/>
      <c r="ALQ86" s="63"/>
      <c r="ALR86" s="63"/>
      <c r="ALS86" s="63"/>
      <c r="ALT86" s="63"/>
      <c r="ALU86" s="63"/>
      <c r="ALV86" s="63"/>
      <c r="ALW86" s="63"/>
      <c r="ALX86" s="63"/>
      <c r="ALY86" s="63"/>
      <c r="ALZ86" s="63"/>
      <c r="AMA86" s="63"/>
      <c r="AMB86" s="63"/>
      <c r="AMC86" s="63"/>
      <c r="AMD86" s="63"/>
      <c r="AME86" s="63"/>
      <c r="AMF86" s="63"/>
      <c r="AMG86" s="63"/>
      <c r="AMH86" s="63"/>
      <c r="AMI86" s="63"/>
      <c r="AMJ86" s="63"/>
      <c r="AMK86" s="63"/>
      <c r="AML86" s="63"/>
      <c r="AMM86" s="63"/>
      <c r="AMN86" s="63"/>
      <c r="AMO86" s="63"/>
      <c r="AMP86" s="63"/>
      <c r="AMQ86" s="63"/>
      <c r="AMR86" s="63"/>
      <c r="AMS86" s="63"/>
      <c r="AMT86" s="63"/>
      <c r="AMU86" s="63"/>
      <c r="AMV86" s="63"/>
      <c r="AMW86" s="63"/>
      <c r="AMX86" s="63"/>
      <c r="AMY86" s="63"/>
      <c r="AMZ86" s="63"/>
      <c r="ANA86" s="63"/>
      <c r="ANB86" s="63"/>
      <c r="ANC86" s="63"/>
      <c r="AND86" s="63"/>
      <c r="ANE86" s="63"/>
      <c r="ANF86" s="63"/>
      <c r="ANG86" s="63"/>
      <c r="ANH86" s="63"/>
      <c r="ANI86" s="63"/>
      <c r="ANJ86" s="63"/>
      <c r="ANK86" s="63"/>
      <c r="ANL86" s="63"/>
      <c r="ANM86" s="63"/>
      <c r="ANN86" s="63"/>
      <c r="ANO86" s="63"/>
      <c r="ANP86" s="63"/>
      <c r="ANQ86" s="63"/>
      <c r="ANR86" s="63"/>
      <c r="ANS86" s="63"/>
      <c r="ANT86" s="63"/>
      <c r="ANU86" s="63"/>
      <c r="ANV86" s="63"/>
      <c r="ANW86" s="63"/>
      <c r="ANX86" s="63"/>
      <c r="ANY86" s="63"/>
      <c r="ANZ86" s="63"/>
      <c r="AOA86" s="63"/>
      <c r="AOB86" s="63"/>
      <c r="AOC86" s="63"/>
      <c r="AOD86" s="63"/>
      <c r="AOE86" s="63"/>
      <c r="AOF86" s="63"/>
      <c r="AOG86" s="63"/>
      <c r="AOH86" s="63"/>
      <c r="AOI86" s="63"/>
      <c r="AOJ86" s="63"/>
      <c r="AOK86" s="63"/>
      <c r="AOL86" s="63"/>
      <c r="AOM86" s="63"/>
      <c r="AON86" s="63"/>
      <c r="AOO86" s="63"/>
      <c r="AOP86" s="63"/>
      <c r="AOQ86" s="63"/>
      <c r="AOR86" s="63"/>
      <c r="AOS86" s="63"/>
      <c r="AOT86" s="63"/>
      <c r="AOU86" s="63"/>
      <c r="AOV86" s="63"/>
      <c r="AOW86" s="63"/>
      <c r="AOX86" s="63"/>
      <c r="AOY86" s="63"/>
      <c r="AOZ86" s="63"/>
      <c r="APA86" s="63"/>
      <c r="APB86" s="63"/>
      <c r="APC86" s="63"/>
      <c r="APD86" s="63"/>
      <c r="APE86" s="63"/>
      <c r="APF86" s="63"/>
      <c r="APG86" s="63"/>
      <c r="APH86" s="63"/>
      <c r="API86" s="63"/>
      <c r="APJ86" s="63"/>
      <c r="APK86" s="63"/>
      <c r="APL86" s="63"/>
      <c r="APM86" s="63"/>
      <c r="APN86" s="63"/>
      <c r="APO86" s="63"/>
      <c r="APP86" s="63"/>
      <c r="APQ86" s="63"/>
      <c r="APR86" s="63"/>
      <c r="APS86" s="63"/>
      <c r="APT86" s="63"/>
      <c r="APU86" s="63"/>
      <c r="APV86" s="63"/>
      <c r="APW86" s="63"/>
      <c r="APX86" s="63"/>
      <c r="APY86" s="63"/>
      <c r="APZ86" s="63"/>
      <c r="AQA86" s="63"/>
      <c r="AQB86" s="63"/>
      <c r="AQC86" s="63"/>
      <c r="AQD86" s="63"/>
      <c r="AQE86" s="63"/>
      <c r="AQF86" s="63"/>
      <c r="AQG86" s="63"/>
      <c r="AQH86" s="63"/>
      <c r="AQI86" s="63"/>
      <c r="AQJ86" s="63"/>
      <c r="AQK86" s="63"/>
      <c r="AQL86" s="63"/>
      <c r="AQM86" s="63"/>
      <c r="AQN86" s="63"/>
      <c r="AQO86" s="63"/>
      <c r="AQP86" s="63"/>
      <c r="AQQ86" s="63"/>
      <c r="AQR86" s="63"/>
      <c r="AQS86" s="63"/>
      <c r="AQT86" s="63"/>
      <c r="AQU86" s="63"/>
      <c r="AQV86" s="63"/>
      <c r="AQW86" s="63"/>
      <c r="AQX86" s="63"/>
      <c r="AQY86" s="63"/>
      <c r="AQZ86" s="63"/>
      <c r="ARA86" s="63"/>
      <c r="ARB86" s="63"/>
      <c r="ARC86" s="63"/>
      <c r="ARD86" s="63"/>
      <c r="ARE86" s="63"/>
      <c r="ARF86" s="63"/>
      <c r="ARG86" s="63"/>
      <c r="ARH86" s="63"/>
      <c r="ARI86" s="63"/>
      <c r="ARJ86" s="63"/>
      <c r="ARK86" s="63"/>
      <c r="ARL86" s="63"/>
      <c r="ARM86" s="63"/>
      <c r="ARN86" s="63"/>
      <c r="ARO86" s="63"/>
      <c r="ARP86" s="63"/>
      <c r="ARQ86" s="63"/>
      <c r="ARR86" s="63"/>
      <c r="ARS86" s="63"/>
      <c r="ART86" s="63"/>
      <c r="ARU86" s="63"/>
      <c r="ARV86" s="63"/>
      <c r="ARW86" s="63"/>
      <c r="ARX86" s="63"/>
      <c r="ARY86" s="63"/>
      <c r="ARZ86" s="63"/>
      <c r="ASA86" s="63"/>
      <c r="ASB86" s="63"/>
      <c r="ASC86" s="63"/>
      <c r="ASD86" s="63"/>
      <c r="ASE86" s="63"/>
      <c r="ASF86" s="63"/>
      <c r="ASG86" s="63"/>
      <c r="ASH86" s="63"/>
      <c r="ASI86" s="63"/>
      <c r="ASJ86" s="63"/>
      <c r="ASK86" s="63"/>
      <c r="ASL86" s="63"/>
      <c r="ASM86" s="63"/>
      <c r="ASN86" s="63"/>
      <c r="ASO86" s="63"/>
      <c r="ASP86" s="63"/>
      <c r="ASQ86" s="63"/>
      <c r="ASR86" s="63"/>
      <c r="ASS86" s="63"/>
      <c r="AST86" s="63"/>
      <c r="ASU86" s="63"/>
      <c r="ASV86" s="63"/>
      <c r="ASW86" s="63"/>
      <c r="ASX86" s="63"/>
      <c r="ASY86" s="63"/>
      <c r="ASZ86" s="63"/>
      <c r="ATA86" s="63"/>
      <c r="ATB86" s="63"/>
      <c r="ATC86" s="63"/>
      <c r="ATD86" s="63"/>
      <c r="ATE86" s="63"/>
      <c r="ATF86" s="63"/>
      <c r="ATG86" s="63"/>
      <c r="ATH86" s="63"/>
      <c r="ATI86" s="63"/>
      <c r="ATJ86" s="63"/>
      <c r="ATK86" s="63"/>
      <c r="ATL86" s="63"/>
      <c r="ATM86" s="63"/>
      <c r="ATN86" s="63"/>
      <c r="ATO86" s="63"/>
      <c r="ATP86" s="63"/>
      <c r="ATQ86" s="63"/>
      <c r="ATR86" s="63"/>
      <c r="ATS86" s="63"/>
      <c r="ATT86" s="63"/>
      <c r="ATU86" s="63"/>
      <c r="ATV86" s="63"/>
      <c r="ATW86" s="63"/>
      <c r="ATX86" s="63"/>
      <c r="ATY86" s="63"/>
      <c r="ATZ86" s="63"/>
      <c r="AUA86" s="63"/>
      <c r="AUB86" s="63"/>
      <c r="AUC86" s="63"/>
      <c r="AUD86" s="63"/>
      <c r="AUE86" s="63"/>
      <c r="AUF86" s="63"/>
      <c r="AUG86" s="63"/>
      <c r="AUH86" s="63"/>
      <c r="AUI86" s="63"/>
      <c r="AUJ86" s="63"/>
      <c r="AUK86" s="63"/>
      <c r="AUL86" s="63"/>
      <c r="AUM86" s="63"/>
      <c r="AUN86" s="63"/>
      <c r="AUO86" s="63"/>
      <c r="AUP86" s="63"/>
      <c r="AUQ86" s="63"/>
      <c r="AUR86" s="63"/>
      <c r="AUS86" s="63"/>
      <c r="AUT86" s="63"/>
      <c r="AUU86" s="63"/>
      <c r="AUV86" s="63"/>
      <c r="AUW86" s="63"/>
      <c r="AUX86" s="63"/>
      <c r="AUY86" s="63"/>
      <c r="AUZ86" s="63"/>
      <c r="AVA86" s="63"/>
      <c r="AVB86" s="63"/>
      <c r="AVC86" s="63"/>
      <c r="AVD86" s="63"/>
      <c r="AVE86" s="63"/>
      <c r="AVF86" s="63"/>
      <c r="AVG86" s="63"/>
      <c r="AVH86" s="63"/>
      <c r="AVI86" s="63"/>
      <c r="AVJ86" s="63"/>
      <c r="AVK86" s="63"/>
      <c r="AVL86" s="63"/>
      <c r="AVM86" s="63"/>
      <c r="AVN86" s="63"/>
      <c r="AVO86" s="63"/>
      <c r="AVP86" s="63"/>
      <c r="AVQ86" s="63"/>
      <c r="AVR86" s="63"/>
      <c r="AVS86" s="63"/>
      <c r="AVT86" s="63"/>
      <c r="AVU86" s="63"/>
      <c r="AVV86" s="63"/>
      <c r="AVW86" s="63"/>
      <c r="AVX86" s="63"/>
      <c r="AVY86" s="63"/>
      <c r="AVZ86" s="63"/>
      <c r="AWA86" s="63"/>
      <c r="AWB86" s="63"/>
      <c r="AWC86" s="63"/>
      <c r="AWD86" s="63"/>
      <c r="AWE86" s="63"/>
      <c r="AWF86" s="63"/>
      <c r="AWG86" s="63"/>
      <c r="AWH86" s="63"/>
      <c r="AWI86" s="63"/>
      <c r="AWJ86" s="63"/>
      <c r="AWK86" s="63"/>
      <c r="AWL86" s="63"/>
      <c r="AWM86" s="63"/>
      <c r="AWN86" s="63"/>
      <c r="AWO86" s="63"/>
      <c r="AWP86" s="63"/>
      <c r="AWQ86" s="63"/>
      <c r="AWR86" s="63"/>
      <c r="AWS86" s="63"/>
      <c r="AWT86" s="63"/>
      <c r="AWU86" s="63"/>
      <c r="AWV86" s="63"/>
      <c r="AWW86" s="63"/>
      <c r="AWX86" s="63"/>
      <c r="AWY86" s="63"/>
      <c r="AWZ86" s="63"/>
      <c r="AXA86" s="63"/>
      <c r="AXB86" s="63"/>
      <c r="AXC86" s="63"/>
      <c r="AXD86" s="63"/>
      <c r="AXE86" s="63"/>
      <c r="AXF86" s="63"/>
      <c r="AXG86" s="63"/>
      <c r="AXH86" s="63"/>
      <c r="AXI86" s="63"/>
      <c r="AXJ86" s="63"/>
      <c r="AXK86" s="63"/>
      <c r="AXL86" s="63"/>
      <c r="AXM86" s="63"/>
      <c r="AXN86" s="63"/>
      <c r="AXO86" s="63"/>
      <c r="AXP86" s="63"/>
      <c r="AXQ86" s="63"/>
      <c r="AXR86" s="63"/>
      <c r="AXS86" s="63"/>
      <c r="AXT86" s="63"/>
      <c r="AXU86" s="63"/>
      <c r="AXV86" s="63"/>
      <c r="AXW86" s="63"/>
      <c r="AXX86" s="63"/>
      <c r="AXY86" s="63"/>
      <c r="AXZ86" s="63"/>
      <c r="AYA86" s="63"/>
      <c r="AYB86" s="63"/>
      <c r="AYC86" s="63"/>
      <c r="AYD86" s="63"/>
      <c r="AYE86" s="63"/>
      <c r="AYF86" s="63"/>
      <c r="AYG86" s="63"/>
      <c r="AYH86" s="63"/>
      <c r="AYI86" s="63"/>
      <c r="AYJ86" s="63"/>
      <c r="AYK86" s="63"/>
      <c r="AYL86" s="63"/>
      <c r="AYM86" s="63"/>
      <c r="AYN86" s="63"/>
      <c r="AYO86" s="63"/>
      <c r="AYP86" s="63"/>
      <c r="AYQ86" s="63"/>
      <c r="AYR86" s="63"/>
      <c r="AYS86" s="63"/>
      <c r="AYT86" s="63"/>
      <c r="AYU86" s="63"/>
      <c r="AYV86" s="63"/>
      <c r="AYW86" s="63"/>
      <c r="AYX86" s="63"/>
      <c r="AYY86" s="63"/>
      <c r="AYZ86" s="63"/>
      <c r="AZA86" s="63"/>
      <c r="AZB86" s="63"/>
      <c r="AZC86" s="63"/>
      <c r="AZD86" s="63"/>
      <c r="AZE86" s="63"/>
      <c r="AZF86" s="63"/>
      <c r="AZG86" s="63"/>
      <c r="AZH86" s="63"/>
      <c r="AZI86" s="63"/>
      <c r="AZJ86" s="63"/>
      <c r="AZK86" s="63"/>
      <c r="AZL86" s="63"/>
      <c r="AZM86" s="63"/>
      <c r="AZN86" s="63"/>
      <c r="AZO86" s="63"/>
      <c r="AZP86" s="63"/>
      <c r="AZQ86" s="63"/>
      <c r="AZR86" s="63"/>
      <c r="AZS86" s="63"/>
      <c r="AZT86" s="63"/>
      <c r="AZU86" s="63"/>
      <c r="AZV86" s="63"/>
      <c r="AZW86" s="63"/>
      <c r="AZX86" s="63"/>
      <c r="AZY86" s="63"/>
      <c r="AZZ86" s="63"/>
      <c r="BAA86" s="63"/>
      <c r="BAB86" s="63"/>
      <c r="BAC86" s="63"/>
      <c r="BAD86" s="63"/>
      <c r="BAE86" s="63"/>
      <c r="BAF86" s="63"/>
      <c r="BAG86" s="63"/>
      <c r="BAH86" s="63"/>
      <c r="BAI86" s="63"/>
      <c r="BAJ86" s="63"/>
      <c r="BAK86" s="63"/>
      <c r="BAL86" s="63"/>
      <c r="BAM86" s="63"/>
      <c r="BAN86" s="63"/>
      <c r="BAO86" s="63"/>
      <c r="BAP86" s="63"/>
      <c r="BAQ86" s="63"/>
      <c r="BAR86" s="63"/>
      <c r="BAS86" s="63"/>
      <c r="BAT86" s="63"/>
      <c r="BAU86" s="63"/>
      <c r="BAV86" s="63"/>
      <c r="BAW86" s="63"/>
      <c r="BAX86" s="63"/>
      <c r="BAY86" s="63"/>
      <c r="BAZ86" s="63"/>
      <c r="BBA86" s="63"/>
      <c r="BBB86" s="63"/>
      <c r="BBC86" s="63"/>
      <c r="BBD86" s="63"/>
      <c r="BBE86" s="63"/>
      <c r="BBF86" s="63"/>
      <c r="BBG86" s="63"/>
      <c r="BBH86" s="63"/>
      <c r="BBI86" s="63"/>
      <c r="BBJ86" s="63"/>
      <c r="BBK86" s="63"/>
      <c r="BBL86" s="63"/>
      <c r="BBM86" s="63"/>
      <c r="BBN86" s="63"/>
      <c r="BBO86" s="63"/>
      <c r="BBP86" s="63"/>
      <c r="BBQ86" s="63"/>
      <c r="BBR86" s="63"/>
      <c r="BBS86" s="63"/>
      <c r="BBT86" s="63"/>
      <c r="BBU86" s="63"/>
      <c r="BBV86" s="63"/>
      <c r="BBW86" s="63"/>
      <c r="BBX86" s="63"/>
      <c r="BBY86" s="63"/>
      <c r="BBZ86" s="63"/>
      <c r="BCA86" s="63"/>
      <c r="BCB86" s="63"/>
      <c r="BCC86" s="63"/>
      <c r="BCD86" s="63"/>
      <c r="BCE86" s="63"/>
      <c r="BCF86" s="63"/>
      <c r="BCG86" s="63"/>
      <c r="BCH86" s="63"/>
      <c r="BCI86" s="63"/>
      <c r="BCJ86" s="63"/>
      <c r="BCK86" s="63"/>
      <c r="BCL86" s="63"/>
      <c r="BCM86" s="63"/>
      <c r="BCN86" s="63"/>
      <c r="BCO86" s="63"/>
      <c r="BCP86" s="63"/>
      <c r="BCQ86" s="63"/>
      <c r="BCR86" s="63"/>
      <c r="BCS86" s="63"/>
      <c r="BCT86" s="63"/>
      <c r="BCU86" s="63"/>
      <c r="BCV86" s="63"/>
      <c r="BCW86" s="63"/>
      <c r="BCX86" s="63"/>
      <c r="BCY86" s="63"/>
      <c r="BCZ86" s="63"/>
      <c r="BDA86" s="63"/>
      <c r="BDB86" s="63"/>
      <c r="BDC86" s="63"/>
      <c r="BDD86" s="63"/>
      <c r="BDE86" s="63"/>
      <c r="BDF86" s="63"/>
      <c r="BDG86" s="63"/>
      <c r="BDH86" s="63"/>
      <c r="BDI86" s="63"/>
      <c r="BDJ86" s="63"/>
      <c r="BDK86" s="63"/>
      <c r="BDL86" s="63"/>
      <c r="BDM86" s="63"/>
      <c r="BDN86" s="63"/>
      <c r="BDO86" s="63"/>
      <c r="BDP86" s="63"/>
      <c r="BDQ86" s="63"/>
      <c r="BDR86" s="63"/>
      <c r="BDS86" s="63"/>
      <c r="BDT86" s="63"/>
      <c r="BDU86" s="63"/>
      <c r="BDV86" s="63"/>
      <c r="BDW86" s="63"/>
      <c r="BDX86" s="63"/>
      <c r="BDY86" s="63"/>
      <c r="BDZ86" s="63"/>
      <c r="BEA86" s="63"/>
      <c r="BEB86" s="63"/>
      <c r="BEC86" s="63"/>
      <c r="BED86" s="63"/>
      <c r="BEE86" s="63"/>
      <c r="BEF86" s="63"/>
      <c r="BEG86" s="63"/>
      <c r="BEH86" s="63"/>
      <c r="BEI86" s="63"/>
      <c r="BEJ86" s="63"/>
      <c r="BEK86" s="63"/>
      <c r="BEL86" s="63"/>
      <c r="BEM86" s="63"/>
      <c r="BEN86" s="63"/>
      <c r="BEO86" s="63"/>
      <c r="BEP86" s="63"/>
      <c r="BEQ86" s="63"/>
      <c r="BER86" s="63"/>
      <c r="BES86" s="63"/>
      <c r="BET86" s="63"/>
      <c r="BEU86" s="63"/>
      <c r="BEV86" s="63"/>
      <c r="BEW86" s="63"/>
      <c r="BEX86" s="63"/>
      <c r="BEY86" s="63"/>
      <c r="BEZ86" s="63"/>
      <c r="BFA86" s="63"/>
      <c r="BFB86" s="63"/>
      <c r="BFC86" s="63"/>
      <c r="BFD86" s="63"/>
      <c r="BFE86" s="63"/>
      <c r="BFF86" s="63"/>
      <c r="BFG86" s="63"/>
      <c r="BFH86" s="63"/>
      <c r="BFI86" s="63"/>
      <c r="BFJ86" s="63"/>
      <c r="BFK86" s="63"/>
      <c r="BFL86" s="63"/>
      <c r="BFM86" s="63"/>
      <c r="BFN86" s="63"/>
      <c r="BFO86" s="63"/>
      <c r="BFP86" s="63"/>
      <c r="BFQ86" s="63"/>
      <c r="BFR86" s="63"/>
      <c r="BFS86" s="63"/>
      <c r="BFT86" s="63"/>
      <c r="BFU86" s="63"/>
      <c r="BFV86" s="63"/>
      <c r="BFW86" s="63"/>
      <c r="BFX86" s="63"/>
      <c r="BFY86" s="63"/>
      <c r="BFZ86" s="63"/>
      <c r="BGA86" s="63"/>
      <c r="BGB86" s="63"/>
      <c r="BGC86" s="63"/>
      <c r="BGD86" s="63"/>
      <c r="BGE86" s="63"/>
      <c r="BGF86" s="63"/>
      <c r="BGG86" s="63"/>
      <c r="BGH86" s="63"/>
      <c r="BGI86" s="63"/>
      <c r="BGJ86" s="63"/>
      <c r="BGK86" s="63"/>
      <c r="BGL86" s="63"/>
      <c r="BGM86" s="63"/>
      <c r="BGN86" s="63"/>
      <c r="BGO86" s="63"/>
      <c r="BGP86" s="63"/>
      <c r="BGQ86" s="63"/>
      <c r="BGR86" s="63"/>
      <c r="BGS86" s="63"/>
      <c r="BGT86" s="63"/>
      <c r="BGU86" s="63"/>
      <c r="BGV86" s="63"/>
      <c r="BGW86" s="63"/>
      <c r="BGX86" s="63"/>
      <c r="BGY86" s="63"/>
      <c r="BGZ86" s="63"/>
      <c r="BHA86" s="63"/>
      <c r="BHB86" s="63"/>
      <c r="BHC86" s="63"/>
      <c r="BHD86" s="63"/>
      <c r="BHE86" s="63"/>
      <c r="BHF86" s="63"/>
      <c r="BHG86" s="63"/>
      <c r="BHH86" s="63"/>
      <c r="BHI86" s="63"/>
      <c r="BHJ86" s="63"/>
      <c r="BHK86" s="63"/>
      <c r="BHL86" s="63"/>
      <c r="BHM86" s="63"/>
      <c r="BHN86" s="63"/>
      <c r="BHO86" s="63"/>
      <c r="BHP86" s="63"/>
      <c r="BHQ86" s="63"/>
      <c r="BHR86" s="63"/>
      <c r="BHS86" s="63"/>
      <c r="BHT86" s="63"/>
      <c r="BHU86" s="63"/>
      <c r="BHV86" s="63"/>
      <c r="BHW86" s="63"/>
      <c r="BHX86" s="63"/>
      <c r="BHY86" s="63"/>
      <c r="BHZ86" s="63"/>
      <c r="BIA86" s="63"/>
      <c r="BIB86" s="63"/>
      <c r="BIC86" s="63"/>
      <c r="BID86" s="63"/>
      <c r="BIE86" s="63"/>
      <c r="BIF86" s="63"/>
      <c r="BIG86" s="63"/>
      <c r="BIH86" s="63"/>
      <c r="BII86" s="63"/>
      <c r="BIJ86" s="63"/>
      <c r="BIK86" s="63"/>
      <c r="BIL86" s="63"/>
      <c r="BIM86" s="63"/>
      <c r="BIN86" s="63"/>
      <c r="BIO86" s="63"/>
      <c r="BIP86" s="63"/>
      <c r="BIQ86" s="63"/>
      <c r="BIR86" s="63"/>
      <c r="BIS86" s="63"/>
      <c r="BIT86" s="63"/>
      <c r="BIU86" s="63"/>
      <c r="BIV86" s="63"/>
      <c r="BIW86" s="63"/>
      <c r="BIX86" s="63"/>
      <c r="BIY86" s="63"/>
      <c r="BIZ86" s="63"/>
      <c r="BJA86" s="63"/>
      <c r="BJB86" s="63"/>
      <c r="BJC86" s="63"/>
      <c r="BJD86" s="63"/>
      <c r="BJE86" s="63"/>
      <c r="BJF86" s="63"/>
      <c r="BJG86" s="63"/>
      <c r="BJH86" s="63"/>
      <c r="BJI86" s="63"/>
      <c r="BJJ86" s="63"/>
      <c r="BJK86" s="63"/>
      <c r="BJL86" s="63"/>
      <c r="BJM86" s="63"/>
      <c r="BJN86" s="63"/>
      <c r="BJO86" s="63"/>
      <c r="BJP86" s="63"/>
      <c r="BJQ86" s="63"/>
      <c r="BJR86" s="63"/>
      <c r="BJS86" s="63"/>
      <c r="BJT86" s="63"/>
      <c r="BJU86" s="63"/>
      <c r="BJV86" s="63"/>
      <c r="BJW86" s="63"/>
      <c r="BJX86" s="63"/>
      <c r="BJY86" s="63"/>
      <c r="BJZ86" s="63"/>
      <c r="BKA86" s="63"/>
      <c r="BKB86" s="63"/>
      <c r="BKC86" s="63"/>
      <c r="BKD86" s="63"/>
      <c r="BKE86" s="63"/>
      <c r="BKF86" s="63"/>
      <c r="BKG86" s="63"/>
      <c r="BKH86" s="63"/>
      <c r="BKI86" s="63"/>
      <c r="BKJ86" s="63"/>
      <c r="BKK86" s="63"/>
      <c r="BKL86" s="63"/>
      <c r="BKM86" s="63"/>
      <c r="BKN86" s="63"/>
      <c r="BKO86" s="63"/>
      <c r="BKP86" s="63"/>
      <c r="BKQ86" s="63"/>
      <c r="BKR86" s="63"/>
      <c r="BKS86" s="63"/>
      <c r="BKT86" s="63"/>
      <c r="BKU86" s="63"/>
      <c r="BKV86" s="63"/>
      <c r="BKW86" s="63"/>
      <c r="BKX86" s="63"/>
      <c r="BKY86" s="63"/>
      <c r="BKZ86" s="63"/>
      <c r="BLA86" s="63"/>
      <c r="BLB86" s="63"/>
      <c r="BLC86" s="63"/>
      <c r="BLD86" s="63"/>
      <c r="BLE86" s="63"/>
      <c r="BLF86" s="63"/>
      <c r="BLG86" s="63"/>
      <c r="BLH86" s="63"/>
      <c r="BLI86" s="63"/>
      <c r="BLJ86" s="63"/>
      <c r="BLK86" s="63"/>
      <c r="BLL86" s="63"/>
      <c r="BLM86" s="63"/>
      <c r="BLN86" s="63"/>
      <c r="BLO86" s="63"/>
      <c r="BLP86" s="63"/>
      <c r="BLQ86" s="63"/>
      <c r="BLR86" s="63"/>
      <c r="BLS86" s="63"/>
      <c r="BLT86" s="63"/>
      <c r="BLU86" s="63"/>
      <c r="BLV86" s="63"/>
      <c r="BLW86" s="63"/>
      <c r="BLX86" s="63"/>
      <c r="BLY86" s="63"/>
      <c r="BLZ86" s="63"/>
      <c r="BMA86" s="63"/>
      <c r="BMB86" s="63"/>
      <c r="BMC86" s="63"/>
      <c r="BMD86" s="63"/>
      <c r="BME86" s="63"/>
      <c r="BMF86" s="63"/>
      <c r="BMG86" s="63"/>
      <c r="BMH86" s="63"/>
      <c r="BMI86" s="63"/>
      <c r="BMJ86" s="63"/>
      <c r="BMK86" s="63"/>
      <c r="BML86" s="63"/>
      <c r="BMM86" s="63"/>
      <c r="BMN86" s="63"/>
      <c r="BMO86" s="63"/>
      <c r="BMP86" s="63"/>
      <c r="BMQ86" s="63"/>
      <c r="BMR86" s="63"/>
      <c r="BMS86" s="63"/>
      <c r="BMT86" s="63"/>
      <c r="BMU86" s="63"/>
      <c r="BMV86" s="63"/>
      <c r="BMW86" s="63"/>
      <c r="BMX86" s="63"/>
      <c r="BMY86" s="63"/>
      <c r="BMZ86" s="63"/>
      <c r="BNA86" s="63"/>
      <c r="BNB86" s="63"/>
      <c r="BNC86" s="63"/>
      <c r="BND86" s="63"/>
      <c r="BNE86" s="63"/>
      <c r="BNF86" s="63"/>
      <c r="BNG86" s="63"/>
      <c r="BNH86" s="63"/>
      <c r="BNI86" s="63"/>
      <c r="BNJ86" s="63"/>
      <c r="BNK86" s="63"/>
      <c r="BNL86" s="63"/>
      <c r="BNM86" s="63"/>
      <c r="BNN86" s="63"/>
      <c r="BNO86" s="63"/>
      <c r="BNP86" s="63"/>
      <c r="BNQ86" s="63"/>
      <c r="BNR86" s="63"/>
      <c r="BNS86" s="63"/>
      <c r="BNT86" s="63"/>
      <c r="BNU86" s="63"/>
      <c r="BNV86" s="63"/>
      <c r="BNW86" s="63"/>
      <c r="BNX86" s="63"/>
      <c r="BNY86" s="63"/>
      <c r="BNZ86" s="63"/>
      <c r="BOA86" s="63"/>
      <c r="BOB86" s="63"/>
      <c r="BOC86" s="63"/>
      <c r="BOD86" s="63"/>
      <c r="BOE86" s="63"/>
      <c r="BOF86" s="63"/>
      <c r="BOG86" s="63"/>
      <c r="BOH86" s="63"/>
      <c r="BOI86" s="63"/>
      <c r="BOJ86" s="63"/>
      <c r="BOK86" s="63"/>
      <c r="BOL86" s="63"/>
      <c r="BOM86" s="63"/>
      <c r="BON86" s="63"/>
      <c r="BOO86" s="63"/>
      <c r="BOP86" s="63"/>
      <c r="BOQ86" s="63"/>
      <c r="BOR86" s="63"/>
      <c r="BOS86" s="63"/>
      <c r="BOT86" s="63"/>
      <c r="BOU86" s="63"/>
      <c r="BOV86" s="63"/>
      <c r="BOW86" s="63"/>
      <c r="BOX86" s="63"/>
      <c r="BOY86" s="63"/>
      <c r="BOZ86" s="63"/>
      <c r="BPA86" s="63"/>
      <c r="BPB86" s="63"/>
      <c r="BPC86" s="63"/>
      <c r="BPD86" s="63"/>
      <c r="BPE86" s="63"/>
      <c r="BPF86" s="63"/>
      <c r="BPG86" s="63"/>
      <c r="BPH86" s="63"/>
      <c r="BPI86" s="63"/>
      <c r="BPJ86" s="63"/>
      <c r="BPK86" s="63"/>
      <c r="BPL86" s="63"/>
      <c r="BPM86" s="63"/>
      <c r="BPN86" s="63"/>
      <c r="BPO86" s="63"/>
      <c r="BPP86" s="63"/>
      <c r="BPQ86" s="63"/>
      <c r="BPR86" s="63"/>
      <c r="BPS86" s="63"/>
      <c r="BPT86" s="63"/>
      <c r="BPU86" s="63"/>
      <c r="BPV86" s="63"/>
      <c r="BPW86" s="63"/>
      <c r="BPX86" s="63"/>
      <c r="BPY86" s="63"/>
      <c r="BPZ86" s="63"/>
      <c r="BQA86" s="63"/>
      <c r="BQB86" s="63"/>
      <c r="BQC86" s="63"/>
      <c r="BQD86" s="63"/>
      <c r="BQE86" s="63"/>
      <c r="BQF86" s="63"/>
      <c r="BQG86" s="63"/>
      <c r="BQH86" s="63"/>
      <c r="BQI86" s="63"/>
      <c r="BQJ86" s="63"/>
      <c r="BQK86" s="63"/>
      <c r="BQL86" s="63"/>
      <c r="BQM86" s="63"/>
      <c r="BQN86" s="63"/>
      <c r="BQO86" s="63"/>
      <c r="BQP86" s="63"/>
      <c r="BQQ86" s="63"/>
      <c r="BQR86" s="63"/>
      <c r="BQS86" s="63"/>
      <c r="BQT86" s="63"/>
      <c r="BQU86" s="63"/>
      <c r="BQV86" s="63"/>
      <c r="BQW86" s="63"/>
      <c r="BQX86" s="63"/>
      <c r="BQY86" s="63"/>
      <c r="BQZ86" s="63"/>
      <c r="BRA86" s="63"/>
      <c r="BRB86" s="63"/>
      <c r="BRC86" s="63"/>
      <c r="BRD86" s="63"/>
      <c r="BRE86" s="63"/>
      <c r="BRF86" s="63"/>
      <c r="BRG86" s="63"/>
      <c r="BRH86" s="63"/>
      <c r="BRI86" s="63"/>
      <c r="BRJ86" s="63"/>
      <c r="BRK86" s="63"/>
      <c r="BRL86" s="63"/>
      <c r="BRM86" s="63"/>
      <c r="BRN86" s="63"/>
      <c r="BRO86" s="63"/>
      <c r="BRP86" s="63"/>
      <c r="BRQ86" s="63"/>
      <c r="BRR86" s="63"/>
      <c r="BRS86" s="63"/>
      <c r="BRT86" s="63"/>
      <c r="BRU86" s="63"/>
      <c r="BRV86" s="63"/>
      <c r="BRW86" s="63"/>
      <c r="BRX86" s="63"/>
      <c r="BRY86" s="63"/>
      <c r="BRZ86" s="63"/>
      <c r="BSA86" s="63"/>
      <c r="BSB86" s="63"/>
      <c r="BSC86" s="63"/>
      <c r="BSD86" s="63"/>
      <c r="BSE86" s="63"/>
      <c r="BSF86" s="63"/>
      <c r="BSG86" s="63"/>
      <c r="BSH86" s="63"/>
      <c r="BSI86" s="63"/>
      <c r="BSJ86" s="63"/>
      <c r="BSK86" s="63"/>
      <c r="BSL86" s="63"/>
      <c r="BSM86" s="63"/>
      <c r="BSN86" s="63"/>
      <c r="BSO86" s="63"/>
      <c r="BSP86" s="63"/>
      <c r="BSQ86" s="63"/>
      <c r="BSR86" s="63"/>
      <c r="BSS86" s="63"/>
      <c r="BST86" s="63"/>
      <c r="BSU86" s="63"/>
      <c r="BSV86" s="63"/>
      <c r="BSW86" s="63"/>
      <c r="BSX86" s="63"/>
      <c r="BSY86" s="63"/>
      <c r="BSZ86" s="63"/>
      <c r="BTA86" s="63"/>
      <c r="BTB86" s="63"/>
      <c r="BTC86" s="63"/>
      <c r="BTD86" s="63"/>
      <c r="BTE86" s="63"/>
      <c r="BTF86" s="63"/>
      <c r="BTG86" s="63"/>
      <c r="BTH86" s="63"/>
      <c r="BTI86" s="63"/>
      <c r="BTJ86" s="63"/>
      <c r="BTK86" s="63"/>
      <c r="BTL86" s="63"/>
      <c r="BTM86" s="63"/>
      <c r="BTN86" s="63"/>
      <c r="BTO86" s="63"/>
      <c r="BTP86" s="63"/>
      <c r="BTQ86" s="63"/>
      <c r="BTR86" s="63"/>
      <c r="BTS86" s="63"/>
      <c r="BTT86" s="63"/>
      <c r="BTU86" s="63"/>
      <c r="BTV86" s="63"/>
      <c r="BTW86" s="63"/>
      <c r="BTX86" s="63"/>
      <c r="BTY86" s="63"/>
      <c r="BTZ86" s="63"/>
      <c r="BUA86" s="63"/>
      <c r="BUB86" s="63"/>
      <c r="BUC86" s="63"/>
      <c r="BUD86" s="63"/>
      <c r="BUE86" s="63"/>
      <c r="BUF86" s="63"/>
      <c r="BUG86" s="63"/>
      <c r="BUH86" s="63"/>
      <c r="BUI86" s="63"/>
      <c r="BUJ86" s="63"/>
      <c r="BUK86" s="63"/>
      <c r="BUL86" s="63"/>
      <c r="BUM86" s="63"/>
      <c r="BUN86" s="63"/>
      <c r="BUO86" s="63"/>
      <c r="BUP86" s="63"/>
      <c r="BUQ86" s="63"/>
      <c r="BUR86" s="63"/>
      <c r="BUS86" s="63"/>
      <c r="BUT86" s="63"/>
      <c r="BUU86" s="63"/>
      <c r="BUV86" s="63"/>
      <c r="BUW86" s="63"/>
      <c r="BUX86" s="63"/>
      <c r="BUY86" s="63"/>
      <c r="BUZ86" s="63"/>
      <c r="BVA86" s="63"/>
      <c r="BVB86" s="63"/>
      <c r="BVC86" s="63"/>
      <c r="BVD86" s="63"/>
      <c r="BVE86" s="63"/>
      <c r="BVF86" s="63"/>
      <c r="BVG86" s="63"/>
      <c r="BVH86" s="63"/>
      <c r="BVI86" s="63"/>
      <c r="BVJ86" s="63"/>
      <c r="BVK86" s="63"/>
      <c r="BVL86" s="63"/>
      <c r="BVM86" s="63"/>
      <c r="BVN86" s="63"/>
      <c r="BVO86" s="63"/>
      <c r="BVP86" s="63"/>
      <c r="BVQ86" s="63"/>
      <c r="BVR86" s="63"/>
      <c r="BVS86" s="63"/>
      <c r="BVT86" s="63"/>
      <c r="BVU86" s="63"/>
      <c r="BVV86" s="63"/>
      <c r="BVW86" s="63"/>
      <c r="BVX86" s="63"/>
      <c r="BVY86" s="63"/>
      <c r="BVZ86" s="63"/>
      <c r="BWA86" s="63"/>
      <c r="BWB86" s="63"/>
      <c r="BWC86" s="63"/>
      <c r="BWD86" s="63"/>
      <c r="BWE86" s="63"/>
      <c r="BWF86" s="63"/>
      <c r="BWG86" s="63"/>
      <c r="BWH86" s="63"/>
      <c r="BWI86" s="63"/>
      <c r="BWJ86" s="63"/>
      <c r="BWK86" s="63"/>
      <c r="BWL86" s="63"/>
      <c r="BWM86" s="63"/>
      <c r="BWN86" s="63"/>
      <c r="BWO86" s="63"/>
      <c r="BWP86" s="63"/>
      <c r="BWQ86" s="63"/>
      <c r="BWR86" s="63"/>
      <c r="BWS86" s="63"/>
      <c r="BWT86" s="63"/>
      <c r="BWU86" s="63"/>
      <c r="BWV86" s="63"/>
      <c r="BWW86" s="63"/>
      <c r="BWX86" s="63"/>
      <c r="BWY86" s="63"/>
      <c r="BWZ86" s="63"/>
      <c r="BXA86" s="63"/>
      <c r="BXB86" s="63"/>
      <c r="BXC86" s="63"/>
      <c r="BXD86" s="63"/>
      <c r="BXE86" s="63"/>
      <c r="BXF86" s="63"/>
      <c r="BXG86" s="63"/>
      <c r="BXH86" s="63"/>
      <c r="BXI86" s="63"/>
      <c r="BXJ86" s="63"/>
      <c r="BXK86" s="63"/>
      <c r="BXL86" s="63"/>
      <c r="BXM86" s="63"/>
      <c r="BXN86" s="63"/>
      <c r="BXO86" s="63"/>
      <c r="BXP86" s="63"/>
      <c r="BXQ86" s="63"/>
      <c r="BXR86" s="63"/>
      <c r="BXS86" s="63"/>
      <c r="BXT86" s="63"/>
      <c r="BXU86" s="63"/>
      <c r="BXV86" s="63"/>
      <c r="BXW86" s="63"/>
      <c r="BXX86" s="63"/>
      <c r="BXY86" s="63"/>
      <c r="BXZ86" s="63"/>
      <c r="BYA86" s="63"/>
      <c r="BYB86" s="63"/>
      <c r="BYC86" s="63"/>
      <c r="BYD86" s="63"/>
      <c r="BYE86" s="63"/>
      <c r="BYF86" s="63"/>
      <c r="BYG86" s="63"/>
      <c r="BYH86" s="63"/>
      <c r="BYI86" s="63"/>
      <c r="BYJ86" s="63"/>
      <c r="BYK86" s="63"/>
      <c r="BYL86" s="63"/>
      <c r="BYM86" s="63"/>
      <c r="BYN86" s="63"/>
      <c r="BYO86" s="63"/>
      <c r="BYP86" s="63"/>
      <c r="BYQ86" s="63"/>
      <c r="BYR86" s="63"/>
      <c r="BYS86" s="63"/>
      <c r="BYT86" s="63"/>
      <c r="BYU86" s="63"/>
      <c r="BYV86" s="63"/>
      <c r="BYW86" s="63"/>
      <c r="BYX86" s="63"/>
      <c r="BYY86" s="63"/>
      <c r="BYZ86" s="63"/>
      <c r="BZA86" s="63"/>
      <c r="BZB86" s="63"/>
      <c r="BZC86" s="63"/>
      <c r="BZD86" s="63"/>
      <c r="BZE86" s="63"/>
      <c r="BZF86" s="63"/>
      <c r="BZG86" s="63"/>
      <c r="BZH86" s="63"/>
      <c r="BZI86" s="63"/>
      <c r="BZJ86" s="63"/>
      <c r="BZK86" s="63"/>
      <c r="BZL86" s="63"/>
      <c r="BZM86" s="63"/>
      <c r="BZN86" s="63"/>
      <c r="BZO86" s="63"/>
      <c r="BZP86" s="63"/>
      <c r="BZQ86" s="63"/>
      <c r="BZR86" s="63"/>
      <c r="BZS86" s="63"/>
      <c r="BZT86" s="63"/>
      <c r="BZU86" s="63"/>
      <c r="BZV86" s="63"/>
      <c r="BZW86" s="63"/>
      <c r="BZX86" s="63"/>
      <c r="BZY86" s="63"/>
      <c r="BZZ86" s="63"/>
      <c r="CAA86" s="63"/>
      <c r="CAB86" s="63"/>
      <c r="CAC86" s="63"/>
      <c r="CAD86" s="63"/>
      <c r="CAE86" s="63"/>
      <c r="CAF86" s="63"/>
      <c r="CAG86" s="63"/>
      <c r="CAH86" s="63"/>
      <c r="CAI86" s="63"/>
      <c r="CAJ86" s="63"/>
      <c r="CAK86" s="63"/>
      <c r="CAL86" s="63"/>
      <c r="CAM86" s="63"/>
      <c r="CAN86" s="63"/>
      <c r="CAO86" s="63"/>
      <c r="CAP86" s="63"/>
      <c r="CAQ86" s="63"/>
      <c r="CAR86" s="63"/>
      <c r="CAS86" s="63"/>
      <c r="CAT86" s="63"/>
      <c r="CAU86" s="63"/>
      <c r="CAV86" s="63"/>
      <c r="CAW86" s="63"/>
      <c r="CAX86" s="63"/>
      <c r="CAY86" s="63"/>
      <c r="CAZ86" s="63"/>
      <c r="CBA86" s="63"/>
      <c r="CBB86" s="63"/>
      <c r="CBC86" s="63"/>
      <c r="CBD86" s="63"/>
      <c r="CBE86" s="63"/>
      <c r="CBF86" s="63"/>
      <c r="CBG86" s="63"/>
      <c r="CBH86" s="63"/>
      <c r="CBI86" s="63"/>
      <c r="CBJ86" s="63"/>
      <c r="CBK86" s="63"/>
      <c r="CBL86" s="63"/>
      <c r="CBM86" s="63"/>
      <c r="CBN86" s="63"/>
      <c r="CBO86" s="63"/>
      <c r="CBP86" s="63"/>
      <c r="CBQ86" s="63"/>
      <c r="CBR86" s="63"/>
      <c r="CBS86" s="63"/>
      <c r="CBT86" s="63"/>
      <c r="CBU86" s="63"/>
      <c r="CBV86" s="63"/>
      <c r="CBW86" s="63"/>
      <c r="CBX86" s="63"/>
      <c r="CBY86" s="63"/>
      <c r="CBZ86" s="63"/>
      <c r="CCA86" s="63"/>
      <c r="CCB86" s="63"/>
      <c r="CCC86" s="63"/>
      <c r="CCD86" s="63"/>
      <c r="CCE86" s="63"/>
      <c r="CCF86" s="63"/>
      <c r="CCG86" s="63"/>
      <c r="CCH86" s="63"/>
      <c r="CCI86" s="63"/>
      <c r="CCJ86" s="63"/>
      <c r="CCK86" s="63"/>
      <c r="CCL86" s="63"/>
      <c r="CCM86" s="63"/>
      <c r="CCN86" s="63"/>
      <c r="CCO86" s="63"/>
      <c r="CCP86" s="63"/>
      <c r="CCQ86" s="63"/>
      <c r="CCR86" s="63"/>
      <c r="CCS86" s="63"/>
      <c r="CCT86" s="63"/>
      <c r="CCU86" s="63"/>
      <c r="CCV86" s="63"/>
      <c r="CCW86" s="63"/>
      <c r="CCX86" s="63"/>
      <c r="CCY86" s="63"/>
      <c r="CCZ86" s="63"/>
      <c r="CDA86" s="63"/>
      <c r="CDB86" s="63"/>
      <c r="CDC86" s="63"/>
      <c r="CDD86" s="63"/>
      <c r="CDE86" s="63"/>
      <c r="CDF86" s="63"/>
      <c r="CDG86" s="63"/>
      <c r="CDH86" s="63"/>
      <c r="CDI86" s="63"/>
      <c r="CDJ86" s="63"/>
      <c r="CDK86" s="63"/>
      <c r="CDL86" s="63"/>
      <c r="CDM86" s="63"/>
      <c r="CDN86" s="63"/>
      <c r="CDO86" s="63"/>
      <c r="CDP86" s="63"/>
      <c r="CDQ86" s="63"/>
      <c r="CDR86" s="63"/>
      <c r="CDS86" s="63"/>
      <c r="CDT86" s="63"/>
      <c r="CDU86" s="63"/>
      <c r="CDV86" s="63"/>
      <c r="CDW86" s="63"/>
      <c r="CDX86" s="63"/>
      <c r="CDY86" s="63"/>
      <c r="CDZ86" s="63"/>
      <c r="CEA86" s="63"/>
      <c r="CEB86" s="63"/>
      <c r="CEC86" s="63"/>
      <c r="CED86" s="63"/>
      <c r="CEE86" s="63"/>
      <c r="CEF86" s="63"/>
      <c r="CEG86" s="63"/>
      <c r="CEH86" s="63"/>
      <c r="CEI86" s="63"/>
      <c r="CEJ86" s="63"/>
      <c r="CEK86" s="63"/>
      <c r="CEL86" s="63"/>
      <c r="CEM86" s="63"/>
      <c r="CEN86" s="63"/>
      <c r="CEO86" s="63"/>
      <c r="CEP86" s="63"/>
      <c r="CEQ86" s="63"/>
      <c r="CER86" s="63"/>
      <c r="CES86" s="63"/>
      <c r="CET86" s="63"/>
      <c r="CEU86" s="63"/>
      <c r="CEV86" s="63"/>
      <c r="CEW86" s="63"/>
      <c r="CEX86" s="63"/>
      <c r="CEY86" s="63"/>
      <c r="CEZ86" s="63"/>
      <c r="CFA86" s="63"/>
      <c r="CFB86" s="63"/>
      <c r="CFC86" s="63"/>
      <c r="CFD86" s="63"/>
      <c r="CFE86" s="63"/>
      <c r="CFF86" s="63"/>
      <c r="CFG86" s="63"/>
      <c r="CFH86" s="63"/>
      <c r="CFI86" s="63"/>
      <c r="CFJ86" s="63"/>
      <c r="CFK86" s="63"/>
      <c r="CFL86" s="63"/>
      <c r="CFM86" s="63"/>
      <c r="CFN86" s="63"/>
      <c r="CFO86" s="63"/>
      <c r="CFP86" s="63"/>
      <c r="CFQ86" s="63"/>
      <c r="CFR86" s="63"/>
      <c r="CFS86" s="63"/>
      <c r="CFT86" s="63"/>
      <c r="CFU86" s="63"/>
      <c r="CFV86" s="63"/>
      <c r="CFW86" s="63"/>
      <c r="CFX86" s="63"/>
      <c r="CFY86" s="63"/>
      <c r="CFZ86" s="63"/>
      <c r="CGA86" s="63"/>
      <c r="CGB86" s="63"/>
      <c r="CGC86" s="63"/>
      <c r="CGD86" s="63"/>
      <c r="CGE86" s="63"/>
      <c r="CGF86" s="63"/>
      <c r="CGG86" s="63"/>
      <c r="CGH86" s="63"/>
      <c r="CGI86" s="63"/>
      <c r="CGJ86" s="63"/>
      <c r="CGK86" s="63"/>
      <c r="CGL86" s="63"/>
      <c r="CGM86" s="63"/>
      <c r="CGN86" s="63"/>
      <c r="CGO86" s="63"/>
      <c r="CGP86" s="63"/>
      <c r="CGQ86" s="63"/>
      <c r="CGR86" s="63"/>
      <c r="CGS86" s="63"/>
      <c r="CGT86" s="63"/>
      <c r="CGU86" s="63"/>
      <c r="CGV86" s="63"/>
      <c r="CGW86" s="63"/>
      <c r="CGX86" s="63"/>
      <c r="CGY86" s="63"/>
      <c r="CGZ86" s="63"/>
      <c r="CHA86" s="63"/>
      <c r="CHB86" s="63"/>
      <c r="CHC86" s="63"/>
      <c r="CHD86" s="63"/>
      <c r="CHE86" s="63"/>
      <c r="CHF86" s="63"/>
      <c r="CHG86" s="63"/>
      <c r="CHH86" s="63"/>
      <c r="CHI86" s="63"/>
      <c r="CHJ86" s="63"/>
      <c r="CHK86" s="63"/>
      <c r="CHL86" s="63"/>
      <c r="CHM86" s="63"/>
      <c r="CHN86" s="63"/>
      <c r="CHO86" s="63"/>
      <c r="CHP86" s="63"/>
      <c r="CHQ86" s="63"/>
      <c r="CHR86" s="63"/>
      <c r="CHS86" s="63"/>
      <c r="CHT86" s="63"/>
      <c r="CHU86" s="63"/>
      <c r="CHV86" s="63"/>
      <c r="CHW86" s="63"/>
      <c r="CHX86" s="63"/>
      <c r="CHY86" s="63"/>
      <c r="CHZ86" s="63"/>
      <c r="CIA86" s="63"/>
      <c r="CIB86" s="63"/>
      <c r="CIC86" s="63"/>
      <c r="CID86" s="63"/>
      <c r="CIE86" s="63"/>
      <c r="CIF86" s="63"/>
      <c r="CIG86" s="63"/>
      <c r="CIH86" s="63"/>
      <c r="CII86" s="63"/>
      <c r="CIJ86" s="63"/>
      <c r="CIK86" s="63"/>
      <c r="CIL86" s="63"/>
      <c r="CIM86" s="63"/>
      <c r="CIN86" s="63"/>
      <c r="CIO86" s="63"/>
      <c r="CIP86" s="63"/>
      <c r="CIQ86" s="63"/>
      <c r="CIR86" s="63"/>
      <c r="CIS86" s="63"/>
      <c r="CIT86" s="63"/>
      <c r="CIU86" s="63"/>
      <c r="CIV86" s="63"/>
      <c r="CIW86" s="63"/>
      <c r="CIX86" s="63"/>
      <c r="CIY86" s="63"/>
      <c r="CIZ86" s="63"/>
      <c r="CJA86" s="63"/>
      <c r="CJB86" s="63"/>
      <c r="CJC86" s="63"/>
      <c r="CJD86" s="63"/>
      <c r="CJE86" s="63"/>
      <c r="CJF86" s="63"/>
      <c r="CJG86" s="63"/>
      <c r="CJH86" s="63"/>
      <c r="CJI86" s="63"/>
      <c r="CJJ86" s="63"/>
      <c r="CJK86" s="63"/>
      <c r="CJL86" s="63"/>
      <c r="CJM86" s="63"/>
      <c r="CJN86" s="63"/>
      <c r="CJO86" s="63"/>
      <c r="CJP86" s="63"/>
      <c r="CJQ86" s="63"/>
      <c r="CJR86" s="63"/>
      <c r="CJS86" s="63"/>
      <c r="CJT86" s="63"/>
      <c r="CJU86" s="63"/>
      <c r="CJV86" s="63"/>
      <c r="CJW86" s="63"/>
      <c r="CJX86" s="63"/>
      <c r="CJY86" s="63"/>
      <c r="CJZ86" s="63"/>
      <c r="CKA86" s="63"/>
      <c r="CKB86" s="63"/>
      <c r="CKC86" s="63"/>
      <c r="CKD86" s="63"/>
      <c r="CKE86" s="63"/>
      <c r="CKF86" s="63"/>
      <c r="CKG86" s="63"/>
      <c r="CKH86" s="63"/>
      <c r="CKI86" s="63"/>
      <c r="CKJ86" s="63"/>
      <c r="CKK86" s="63"/>
      <c r="CKL86" s="63"/>
      <c r="CKM86" s="63"/>
      <c r="CKN86" s="63"/>
      <c r="CKO86" s="63"/>
      <c r="CKP86" s="63"/>
      <c r="CKQ86" s="63"/>
      <c r="CKR86" s="63"/>
      <c r="CKS86" s="63"/>
      <c r="CKT86" s="63"/>
      <c r="CKU86" s="63"/>
      <c r="CKV86" s="63"/>
      <c r="CKW86" s="63"/>
      <c r="CKX86" s="63"/>
      <c r="CKY86" s="63"/>
      <c r="CKZ86" s="63"/>
      <c r="CLA86" s="63"/>
      <c r="CLB86" s="63"/>
      <c r="CLC86" s="63"/>
      <c r="CLD86" s="63"/>
      <c r="CLE86" s="63"/>
      <c r="CLF86" s="63"/>
      <c r="CLG86" s="63"/>
      <c r="CLH86" s="63"/>
      <c r="CLI86" s="63"/>
      <c r="CLJ86" s="63"/>
      <c r="CLK86" s="63"/>
      <c r="CLL86" s="63"/>
      <c r="CLM86" s="63"/>
      <c r="CLN86" s="63"/>
      <c r="CLO86" s="63"/>
      <c r="CLP86" s="63"/>
      <c r="CLQ86" s="63"/>
      <c r="CLR86" s="63"/>
      <c r="CLS86" s="63"/>
      <c r="CLT86" s="63"/>
      <c r="CLU86" s="63"/>
      <c r="CLV86" s="63"/>
      <c r="CLW86" s="63"/>
      <c r="CLX86" s="63"/>
      <c r="CLY86" s="63"/>
      <c r="CLZ86" s="63"/>
      <c r="CMA86" s="63"/>
      <c r="CMB86" s="63"/>
      <c r="CMC86" s="63"/>
      <c r="CMD86" s="63"/>
      <c r="CME86" s="63"/>
      <c r="CMF86" s="63"/>
      <c r="CMG86" s="63"/>
      <c r="CMH86" s="63"/>
      <c r="CMI86" s="63"/>
      <c r="CMJ86" s="63"/>
      <c r="CMK86" s="63"/>
      <c r="CML86" s="63"/>
      <c r="CMM86" s="63"/>
      <c r="CMN86" s="63"/>
      <c r="CMO86" s="63"/>
      <c r="CMP86" s="63"/>
      <c r="CMQ86" s="63"/>
      <c r="CMR86" s="63"/>
      <c r="CMS86" s="63"/>
      <c r="CMT86" s="63"/>
      <c r="CMU86" s="63"/>
      <c r="CMV86" s="63"/>
      <c r="CMW86" s="63"/>
      <c r="CMX86" s="63"/>
      <c r="CMY86" s="63"/>
      <c r="CMZ86" s="63"/>
      <c r="CNA86" s="63"/>
      <c r="CNB86" s="63"/>
      <c r="CNC86" s="63"/>
      <c r="CND86" s="63"/>
      <c r="CNE86" s="63"/>
      <c r="CNF86" s="63"/>
      <c r="CNG86" s="63"/>
      <c r="CNH86" s="63"/>
      <c r="CNI86" s="63"/>
      <c r="CNJ86" s="63"/>
      <c r="CNK86" s="63"/>
      <c r="CNL86" s="63"/>
      <c r="CNM86" s="63"/>
      <c r="CNN86" s="63"/>
      <c r="CNO86" s="63"/>
      <c r="CNP86" s="63"/>
      <c r="CNQ86" s="63"/>
      <c r="CNR86" s="63"/>
      <c r="CNS86" s="63"/>
      <c r="CNT86" s="63"/>
      <c r="CNU86" s="63"/>
      <c r="CNV86" s="63"/>
      <c r="CNW86" s="63"/>
      <c r="CNX86" s="63"/>
      <c r="CNY86" s="63"/>
      <c r="CNZ86" s="63"/>
      <c r="COA86" s="63"/>
      <c r="COB86" s="63"/>
      <c r="COC86" s="63"/>
      <c r="COD86" s="63"/>
      <c r="COE86" s="63"/>
      <c r="COF86" s="63"/>
      <c r="COG86" s="63"/>
      <c r="COH86" s="63"/>
      <c r="COI86" s="63"/>
      <c r="COJ86" s="63"/>
      <c r="COK86" s="63"/>
      <c r="COL86" s="63"/>
      <c r="COM86" s="63"/>
      <c r="CON86" s="63"/>
      <c r="COO86" s="63"/>
      <c r="COP86" s="63"/>
      <c r="COQ86" s="63"/>
      <c r="COR86" s="63"/>
      <c r="COS86" s="63"/>
      <c r="COT86" s="63"/>
      <c r="COU86" s="63"/>
      <c r="COV86" s="63"/>
      <c r="COW86" s="63"/>
      <c r="COX86" s="63"/>
      <c r="COY86" s="63"/>
      <c r="COZ86" s="63"/>
      <c r="CPA86" s="63"/>
      <c r="CPB86" s="63"/>
      <c r="CPC86" s="63"/>
      <c r="CPD86" s="63"/>
      <c r="CPE86" s="63"/>
      <c r="CPF86" s="63"/>
      <c r="CPG86" s="63"/>
      <c r="CPH86" s="63"/>
      <c r="CPI86" s="63"/>
      <c r="CPJ86" s="63"/>
      <c r="CPK86" s="63"/>
      <c r="CPL86" s="63"/>
      <c r="CPM86" s="63"/>
      <c r="CPN86" s="63"/>
      <c r="CPO86" s="63"/>
      <c r="CPP86" s="63"/>
      <c r="CPQ86" s="63"/>
      <c r="CPR86" s="63"/>
      <c r="CPS86" s="63"/>
      <c r="CPT86" s="63"/>
      <c r="CPU86" s="63"/>
      <c r="CPV86" s="63"/>
      <c r="CPW86" s="63"/>
      <c r="CPX86" s="63"/>
      <c r="CPY86" s="63"/>
      <c r="CPZ86" s="63"/>
      <c r="CQA86" s="63"/>
      <c r="CQB86" s="63"/>
      <c r="CQC86" s="63"/>
      <c r="CQD86" s="63"/>
      <c r="CQE86" s="63"/>
      <c r="CQF86" s="63"/>
      <c r="CQG86" s="63"/>
      <c r="CQH86" s="63"/>
      <c r="CQI86" s="63"/>
      <c r="CQJ86" s="63"/>
      <c r="CQK86" s="63"/>
      <c r="CQL86" s="63"/>
      <c r="CQM86" s="63"/>
      <c r="CQN86" s="63"/>
      <c r="CQO86" s="63"/>
      <c r="CQP86" s="63"/>
      <c r="CQQ86" s="63"/>
      <c r="CQR86" s="63"/>
      <c r="CQS86" s="63"/>
      <c r="CQT86" s="63"/>
      <c r="CQU86" s="63"/>
      <c r="CQV86" s="63"/>
      <c r="CQW86" s="63"/>
      <c r="CQX86" s="63"/>
      <c r="CQY86" s="63"/>
      <c r="CQZ86" s="63"/>
      <c r="CRA86" s="63"/>
      <c r="CRB86" s="63"/>
      <c r="CRC86" s="63"/>
      <c r="CRD86" s="63"/>
      <c r="CRE86" s="63"/>
      <c r="CRF86" s="63"/>
      <c r="CRG86" s="63"/>
      <c r="CRH86" s="63"/>
      <c r="CRI86" s="63"/>
      <c r="CRJ86" s="63"/>
      <c r="CRK86" s="63"/>
      <c r="CRL86" s="63"/>
      <c r="CRM86" s="63"/>
      <c r="CRN86" s="63"/>
      <c r="CRO86" s="63"/>
      <c r="CRP86" s="63"/>
      <c r="CRQ86" s="63"/>
      <c r="CRR86" s="63"/>
      <c r="CRS86" s="63"/>
      <c r="CRT86" s="63"/>
      <c r="CRU86" s="63"/>
      <c r="CRV86" s="63"/>
      <c r="CRW86" s="63"/>
      <c r="CRX86" s="63"/>
      <c r="CRY86" s="63"/>
      <c r="CRZ86" s="63"/>
      <c r="CSA86" s="63"/>
      <c r="CSB86" s="63"/>
      <c r="CSC86" s="63"/>
      <c r="CSD86" s="63"/>
      <c r="CSE86" s="63"/>
      <c r="CSF86" s="63"/>
      <c r="CSG86" s="63"/>
      <c r="CSH86" s="63"/>
      <c r="CSI86" s="63"/>
      <c r="CSJ86" s="63"/>
      <c r="CSK86" s="63"/>
      <c r="CSL86" s="63"/>
      <c r="CSM86" s="63"/>
      <c r="CSN86" s="63"/>
      <c r="CSO86" s="63"/>
      <c r="CSP86" s="63"/>
      <c r="CSQ86" s="63"/>
      <c r="CSR86" s="63"/>
      <c r="CSS86" s="63"/>
      <c r="CST86" s="63"/>
      <c r="CSU86" s="63"/>
      <c r="CSV86" s="63"/>
      <c r="CSW86" s="63"/>
      <c r="CSX86" s="63"/>
      <c r="CSY86" s="63"/>
      <c r="CSZ86" s="63"/>
      <c r="CTA86" s="63"/>
      <c r="CTB86" s="63"/>
      <c r="CTC86" s="63"/>
      <c r="CTD86" s="63"/>
      <c r="CTE86" s="63"/>
      <c r="CTF86" s="63"/>
      <c r="CTG86" s="63"/>
      <c r="CTH86" s="63"/>
      <c r="CTI86" s="63"/>
      <c r="CTJ86" s="63"/>
      <c r="CTK86" s="63"/>
      <c r="CTL86" s="63"/>
      <c r="CTM86" s="63"/>
      <c r="CTN86" s="63"/>
      <c r="CTO86" s="63"/>
      <c r="CTP86" s="63"/>
      <c r="CTQ86" s="63"/>
      <c r="CTR86" s="63"/>
      <c r="CTS86" s="63"/>
      <c r="CTT86" s="63"/>
      <c r="CTU86" s="63"/>
      <c r="CTV86" s="63"/>
      <c r="CTW86" s="63"/>
      <c r="CTX86" s="63"/>
      <c r="CTY86" s="63"/>
      <c r="CTZ86" s="63"/>
      <c r="CUA86" s="63"/>
      <c r="CUB86" s="63"/>
      <c r="CUC86" s="63"/>
      <c r="CUD86" s="63"/>
      <c r="CUE86" s="63"/>
      <c r="CUF86" s="63"/>
      <c r="CUG86" s="63"/>
      <c r="CUH86" s="63"/>
      <c r="CUI86" s="63"/>
      <c r="CUJ86" s="63"/>
      <c r="CUK86" s="63"/>
      <c r="CUL86" s="63"/>
      <c r="CUM86" s="63"/>
      <c r="CUN86" s="63"/>
      <c r="CUO86" s="63"/>
      <c r="CUP86" s="63"/>
      <c r="CUQ86" s="63"/>
      <c r="CUR86" s="63"/>
      <c r="CUS86" s="63"/>
      <c r="CUT86" s="63"/>
      <c r="CUU86" s="63"/>
      <c r="CUV86" s="63"/>
      <c r="CUW86" s="63"/>
      <c r="CUX86" s="63"/>
      <c r="CUY86" s="63"/>
      <c r="CUZ86" s="63"/>
      <c r="CVA86" s="63"/>
      <c r="CVB86" s="63"/>
      <c r="CVC86" s="63"/>
      <c r="CVD86" s="63"/>
      <c r="CVE86" s="63"/>
      <c r="CVF86" s="63"/>
      <c r="CVG86" s="63"/>
      <c r="CVH86" s="63"/>
      <c r="CVI86" s="63"/>
      <c r="CVJ86" s="63"/>
      <c r="CVK86" s="63"/>
      <c r="CVL86" s="63"/>
      <c r="CVM86" s="63"/>
      <c r="CVN86" s="63"/>
      <c r="CVO86" s="63"/>
      <c r="CVP86" s="63"/>
      <c r="CVQ86" s="63"/>
      <c r="CVR86" s="63"/>
      <c r="CVS86" s="63"/>
      <c r="CVT86" s="63"/>
      <c r="CVU86" s="63"/>
      <c r="CVV86" s="63"/>
      <c r="CVW86" s="63"/>
      <c r="CVX86" s="63"/>
      <c r="CVY86" s="63"/>
      <c r="CVZ86" s="63"/>
      <c r="CWA86" s="63"/>
      <c r="CWB86" s="63"/>
      <c r="CWC86" s="63"/>
      <c r="CWD86" s="63"/>
      <c r="CWE86" s="63"/>
      <c r="CWF86" s="63"/>
      <c r="CWG86" s="63"/>
      <c r="CWH86" s="63"/>
      <c r="CWI86" s="63"/>
      <c r="CWJ86" s="63"/>
      <c r="CWK86" s="63"/>
      <c r="CWL86" s="63"/>
      <c r="CWM86" s="63"/>
      <c r="CWN86" s="63"/>
      <c r="CWO86" s="63"/>
      <c r="CWP86" s="63"/>
      <c r="CWQ86" s="63"/>
      <c r="CWR86" s="63"/>
      <c r="CWS86" s="63"/>
      <c r="CWT86" s="63"/>
      <c r="CWU86" s="63"/>
      <c r="CWV86" s="63"/>
      <c r="CWW86" s="63"/>
      <c r="CWX86" s="63"/>
      <c r="CWY86" s="63"/>
      <c r="CWZ86" s="63"/>
      <c r="CXA86" s="63"/>
      <c r="CXB86" s="63"/>
      <c r="CXC86" s="63"/>
      <c r="CXD86" s="63"/>
      <c r="CXE86" s="63"/>
      <c r="CXF86" s="63"/>
      <c r="CXG86" s="63"/>
      <c r="CXH86" s="63"/>
      <c r="CXI86" s="63"/>
      <c r="CXJ86" s="63"/>
      <c r="CXK86" s="63"/>
      <c r="CXL86" s="63"/>
      <c r="CXM86" s="63"/>
      <c r="CXN86" s="63"/>
      <c r="CXO86" s="63"/>
      <c r="CXP86" s="63"/>
      <c r="CXQ86" s="63"/>
      <c r="CXR86" s="63"/>
      <c r="CXS86" s="63"/>
      <c r="CXT86" s="63"/>
      <c r="CXU86" s="63"/>
      <c r="CXV86" s="63"/>
      <c r="CXW86" s="63"/>
      <c r="CXX86" s="63"/>
      <c r="CXY86" s="63"/>
      <c r="CXZ86" s="63"/>
      <c r="CYA86" s="63"/>
      <c r="CYB86" s="63"/>
      <c r="CYC86" s="63"/>
      <c r="CYD86" s="63"/>
      <c r="CYE86" s="63"/>
      <c r="CYF86" s="63"/>
      <c r="CYG86" s="63"/>
      <c r="CYH86" s="63"/>
      <c r="CYI86" s="63"/>
      <c r="CYJ86" s="63"/>
      <c r="CYK86" s="63"/>
      <c r="CYL86" s="63"/>
      <c r="CYM86" s="63"/>
      <c r="CYN86" s="63"/>
      <c r="CYO86" s="63"/>
      <c r="CYP86" s="63"/>
      <c r="CYQ86" s="63"/>
      <c r="CYR86" s="63"/>
      <c r="CYS86" s="63"/>
      <c r="CYT86" s="63"/>
      <c r="CYU86" s="63"/>
      <c r="CYV86" s="63"/>
      <c r="CYW86" s="63"/>
      <c r="CYX86" s="63"/>
      <c r="CYY86" s="63"/>
      <c r="CYZ86" s="63"/>
      <c r="CZA86" s="63"/>
      <c r="CZB86" s="63"/>
      <c r="CZC86" s="63"/>
      <c r="CZD86" s="63"/>
      <c r="CZE86" s="63"/>
      <c r="CZF86" s="63"/>
      <c r="CZG86" s="63"/>
      <c r="CZH86" s="63"/>
      <c r="CZI86" s="63"/>
      <c r="CZJ86" s="63"/>
      <c r="CZK86" s="63"/>
      <c r="CZL86" s="63"/>
      <c r="CZM86" s="63"/>
      <c r="CZN86" s="63"/>
      <c r="CZO86" s="63"/>
      <c r="CZP86" s="63"/>
      <c r="CZQ86" s="63"/>
      <c r="CZR86" s="63"/>
      <c r="CZS86" s="63"/>
      <c r="CZT86" s="63"/>
      <c r="CZU86" s="63"/>
      <c r="CZV86" s="63"/>
      <c r="CZW86" s="63"/>
      <c r="CZX86" s="63"/>
      <c r="CZY86" s="63"/>
      <c r="CZZ86" s="63"/>
      <c r="DAA86" s="63"/>
      <c r="DAB86" s="63"/>
      <c r="DAC86" s="63"/>
      <c r="DAD86" s="63"/>
      <c r="DAE86" s="63"/>
      <c r="DAF86" s="63"/>
      <c r="DAG86" s="63"/>
      <c r="DAH86" s="63"/>
      <c r="DAI86" s="63"/>
      <c r="DAJ86" s="63"/>
      <c r="DAK86" s="63"/>
      <c r="DAL86" s="63"/>
      <c r="DAM86" s="63"/>
      <c r="DAN86" s="63"/>
      <c r="DAO86" s="63"/>
      <c r="DAP86" s="63"/>
      <c r="DAQ86" s="63"/>
      <c r="DAR86" s="63"/>
      <c r="DAS86" s="63"/>
      <c r="DAT86" s="63"/>
      <c r="DAU86" s="63"/>
      <c r="DAV86" s="63"/>
      <c r="DAW86" s="63"/>
      <c r="DAX86" s="63"/>
      <c r="DAY86" s="63"/>
      <c r="DAZ86" s="63"/>
      <c r="DBA86" s="63"/>
      <c r="DBB86" s="63"/>
      <c r="DBC86" s="63"/>
      <c r="DBD86" s="63"/>
      <c r="DBE86" s="63"/>
      <c r="DBF86" s="63"/>
      <c r="DBG86" s="63"/>
      <c r="DBH86" s="63"/>
      <c r="DBI86" s="63"/>
      <c r="DBJ86" s="63"/>
      <c r="DBK86" s="63"/>
      <c r="DBL86" s="63"/>
      <c r="DBM86" s="63"/>
      <c r="DBN86" s="63"/>
      <c r="DBO86" s="63"/>
      <c r="DBP86" s="63"/>
      <c r="DBQ86" s="63"/>
      <c r="DBR86" s="63"/>
      <c r="DBS86" s="63"/>
      <c r="DBT86" s="63"/>
      <c r="DBU86" s="63"/>
      <c r="DBV86" s="63"/>
      <c r="DBW86" s="63"/>
      <c r="DBX86" s="63"/>
      <c r="DBY86" s="63"/>
      <c r="DBZ86" s="63"/>
      <c r="DCA86" s="63"/>
      <c r="DCB86" s="63"/>
      <c r="DCC86" s="63"/>
      <c r="DCD86" s="63"/>
      <c r="DCE86" s="63"/>
      <c r="DCF86" s="63"/>
      <c r="DCG86" s="63"/>
      <c r="DCH86" s="63"/>
      <c r="DCI86" s="63"/>
      <c r="DCJ86" s="63"/>
      <c r="DCK86" s="63"/>
      <c r="DCL86" s="63"/>
      <c r="DCM86" s="63"/>
      <c r="DCN86" s="63"/>
      <c r="DCO86" s="63"/>
      <c r="DCP86" s="63"/>
      <c r="DCQ86" s="63"/>
      <c r="DCR86" s="63"/>
      <c r="DCS86" s="63"/>
      <c r="DCT86" s="63"/>
      <c r="DCU86" s="63"/>
      <c r="DCV86" s="63"/>
      <c r="DCW86" s="63"/>
      <c r="DCX86" s="63"/>
      <c r="DCY86" s="63"/>
      <c r="DCZ86" s="63"/>
      <c r="DDA86" s="63"/>
      <c r="DDB86" s="63"/>
      <c r="DDC86" s="63"/>
      <c r="DDD86" s="63"/>
      <c r="DDE86" s="63"/>
      <c r="DDF86" s="63"/>
      <c r="DDG86" s="63"/>
      <c r="DDH86" s="63"/>
      <c r="DDI86" s="63"/>
      <c r="DDJ86" s="63"/>
      <c r="DDK86" s="63"/>
      <c r="DDL86" s="63"/>
      <c r="DDM86" s="63"/>
      <c r="DDN86" s="63"/>
      <c r="DDO86" s="63"/>
      <c r="DDP86" s="63"/>
      <c r="DDQ86" s="63"/>
      <c r="DDR86" s="63"/>
      <c r="DDS86" s="63"/>
      <c r="DDT86" s="63"/>
      <c r="DDU86" s="63"/>
      <c r="DDV86" s="63"/>
      <c r="DDW86" s="63"/>
      <c r="DDX86" s="63"/>
      <c r="DDY86" s="63"/>
      <c r="DDZ86" s="63"/>
      <c r="DEA86" s="63"/>
      <c r="DEB86" s="63"/>
      <c r="DEC86" s="63"/>
      <c r="DED86" s="63"/>
      <c r="DEE86" s="63"/>
      <c r="DEF86" s="63"/>
      <c r="DEG86" s="63"/>
      <c r="DEH86" s="63"/>
      <c r="DEI86" s="63"/>
      <c r="DEJ86" s="63"/>
      <c r="DEK86" s="63"/>
      <c r="DEL86" s="63"/>
      <c r="DEM86" s="63"/>
      <c r="DEN86" s="63"/>
      <c r="DEO86" s="63"/>
      <c r="DEP86" s="63"/>
      <c r="DEQ86" s="63"/>
      <c r="DER86" s="63"/>
      <c r="DES86" s="63"/>
      <c r="DET86" s="63"/>
      <c r="DEU86" s="63"/>
      <c r="DEV86" s="63"/>
      <c r="DEW86" s="63"/>
      <c r="DEX86" s="63"/>
      <c r="DEY86" s="63"/>
      <c r="DEZ86" s="63"/>
      <c r="DFA86" s="63"/>
      <c r="DFB86" s="63"/>
      <c r="DFC86" s="63"/>
      <c r="DFD86" s="63"/>
      <c r="DFE86" s="63"/>
      <c r="DFF86" s="63"/>
      <c r="DFG86" s="63"/>
      <c r="DFH86" s="63"/>
      <c r="DFI86" s="63"/>
      <c r="DFJ86" s="63"/>
      <c r="DFK86" s="63"/>
      <c r="DFL86" s="63"/>
      <c r="DFM86" s="63"/>
      <c r="DFN86" s="63"/>
      <c r="DFO86" s="63"/>
      <c r="DFP86" s="63"/>
      <c r="DFQ86" s="63"/>
      <c r="DFR86" s="63"/>
      <c r="DFS86" s="63"/>
      <c r="DFT86" s="63"/>
      <c r="DFU86" s="63"/>
      <c r="DFV86" s="63"/>
      <c r="DFW86" s="63"/>
      <c r="DFX86" s="63"/>
      <c r="DFY86" s="63"/>
      <c r="DFZ86" s="63"/>
      <c r="DGA86" s="63"/>
      <c r="DGB86" s="63"/>
      <c r="DGC86" s="63"/>
      <c r="DGD86" s="63"/>
      <c r="DGE86" s="63"/>
      <c r="DGF86" s="63"/>
      <c r="DGG86" s="63"/>
      <c r="DGH86" s="63"/>
      <c r="DGI86" s="63"/>
      <c r="DGJ86" s="63"/>
      <c r="DGK86" s="63"/>
      <c r="DGL86" s="63"/>
      <c r="DGM86" s="63"/>
      <c r="DGN86" s="63"/>
      <c r="DGO86" s="63"/>
      <c r="DGP86" s="63"/>
      <c r="DGQ86" s="63"/>
      <c r="DGR86" s="63"/>
      <c r="DGS86" s="63"/>
      <c r="DGT86" s="63"/>
      <c r="DGU86" s="63"/>
      <c r="DGV86" s="63"/>
      <c r="DGW86" s="63"/>
      <c r="DGX86" s="63"/>
      <c r="DGY86" s="63"/>
      <c r="DGZ86" s="63"/>
      <c r="DHA86" s="63"/>
      <c r="DHB86" s="63"/>
      <c r="DHC86" s="63"/>
      <c r="DHD86" s="63"/>
      <c r="DHE86" s="63"/>
      <c r="DHF86" s="63"/>
      <c r="DHG86" s="63"/>
      <c r="DHH86" s="63"/>
      <c r="DHI86" s="63"/>
      <c r="DHJ86" s="63"/>
      <c r="DHK86" s="63"/>
      <c r="DHL86" s="63"/>
      <c r="DHM86" s="63"/>
      <c r="DHN86" s="63"/>
      <c r="DHO86" s="63"/>
      <c r="DHP86" s="63"/>
      <c r="DHQ86" s="63"/>
      <c r="DHR86" s="63"/>
      <c r="DHS86" s="63"/>
      <c r="DHT86" s="63"/>
      <c r="DHU86" s="63"/>
      <c r="DHV86" s="63"/>
      <c r="DHW86" s="63"/>
      <c r="DHX86" s="63"/>
      <c r="DHY86" s="63"/>
      <c r="DHZ86" s="63"/>
      <c r="DIA86" s="63"/>
      <c r="DIB86" s="63"/>
      <c r="DIC86" s="63"/>
      <c r="DID86" s="63"/>
      <c r="DIE86" s="63"/>
      <c r="DIF86" s="63"/>
      <c r="DIG86" s="63"/>
      <c r="DIH86" s="63"/>
      <c r="DII86" s="63"/>
      <c r="DIJ86" s="63"/>
      <c r="DIK86" s="63"/>
      <c r="DIL86" s="63"/>
      <c r="DIM86" s="63"/>
      <c r="DIN86" s="63"/>
      <c r="DIO86" s="63"/>
      <c r="DIP86" s="63"/>
      <c r="DIQ86" s="63"/>
      <c r="DIR86" s="63"/>
      <c r="DIS86" s="63"/>
      <c r="DIT86" s="63"/>
      <c r="DIU86" s="63"/>
      <c r="DIV86" s="63"/>
      <c r="DIW86" s="63"/>
      <c r="DIX86" s="63"/>
      <c r="DIY86" s="63"/>
      <c r="DIZ86" s="63"/>
      <c r="DJA86" s="63"/>
      <c r="DJB86" s="63"/>
      <c r="DJC86" s="63"/>
      <c r="DJD86" s="63"/>
      <c r="DJE86" s="63"/>
      <c r="DJF86" s="63"/>
      <c r="DJG86" s="63"/>
      <c r="DJH86" s="63"/>
      <c r="DJI86" s="63"/>
      <c r="DJJ86" s="63"/>
      <c r="DJK86" s="63"/>
      <c r="DJL86" s="63"/>
      <c r="DJM86" s="63"/>
      <c r="DJN86" s="63"/>
      <c r="DJO86" s="63"/>
      <c r="DJP86" s="63"/>
      <c r="DJQ86" s="63"/>
      <c r="DJR86" s="63"/>
      <c r="DJS86" s="63"/>
      <c r="DJT86" s="63"/>
      <c r="DJU86" s="63"/>
      <c r="DJV86" s="63"/>
      <c r="DJW86" s="63"/>
      <c r="DJX86" s="63"/>
      <c r="DJY86" s="63"/>
      <c r="DJZ86" s="63"/>
      <c r="DKA86" s="63"/>
      <c r="DKB86" s="63"/>
      <c r="DKC86" s="63"/>
      <c r="DKD86" s="63"/>
      <c r="DKE86" s="63"/>
      <c r="DKF86" s="63"/>
      <c r="DKG86" s="63"/>
      <c r="DKH86" s="63"/>
      <c r="DKI86" s="63"/>
      <c r="DKJ86" s="63"/>
      <c r="DKK86" s="63"/>
      <c r="DKL86" s="63"/>
      <c r="DKM86" s="63"/>
      <c r="DKN86" s="63"/>
      <c r="DKO86" s="63"/>
      <c r="DKP86" s="63"/>
      <c r="DKQ86" s="63"/>
      <c r="DKR86" s="63"/>
      <c r="DKS86" s="63"/>
      <c r="DKT86" s="63"/>
      <c r="DKU86" s="63"/>
      <c r="DKV86" s="63"/>
      <c r="DKW86" s="63"/>
      <c r="DKX86" s="63"/>
      <c r="DKY86" s="63"/>
      <c r="DKZ86" s="63"/>
      <c r="DLA86" s="63"/>
      <c r="DLB86" s="63"/>
      <c r="DLC86" s="63"/>
      <c r="DLD86" s="63"/>
      <c r="DLE86" s="63"/>
      <c r="DLF86" s="63"/>
      <c r="DLG86" s="63"/>
      <c r="DLH86" s="63"/>
      <c r="DLI86" s="63"/>
      <c r="DLJ86" s="63"/>
      <c r="DLK86" s="63"/>
      <c r="DLL86" s="63"/>
      <c r="DLM86" s="63"/>
      <c r="DLN86" s="63"/>
      <c r="DLO86" s="63"/>
      <c r="DLP86" s="63"/>
      <c r="DLQ86" s="63"/>
      <c r="DLR86" s="63"/>
      <c r="DLS86" s="63"/>
      <c r="DLT86" s="63"/>
      <c r="DLU86" s="63"/>
      <c r="DLV86" s="63"/>
      <c r="DLW86" s="63"/>
      <c r="DLX86" s="63"/>
      <c r="DLY86" s="63"/>
      <c r="DLZ86" s="63"/>
      <c r="DMA86" s="63"/>
      <c r="DMB86" s="63"/>
      <c r="DMC86" s="63"/>
      <c r="DMD86" s="63"/>
      <c r="DME86" s="63"/>
      <c r="DMF86" s="63"/>
      <c r="DMG86" s="63"/>
      <c r="DMH86" s="63"/>
      <c r="DMI86" s="63"/>
      <c r="DMJ86" s="63"/>
      <c r="DMK86" s="63"/>
      <c r="DML86" s="63"/>
      <c r="DMM86" s="63"/>
      <c r="DMN86" s="63"/>
      <c r="DMO86" s="63"/>
      <c r="DMP86" s="63"/>
      <c r="DMQ86" s="63"/>
      <c r="DMR86" s="63"/>
      <c r="DMS86" s="63"/>
      <c r="DMT86" s="63"/>
      <c r="DMU86" s="63"/>
      <c r="DMV86" s="63"/>
      <c r="DMW86" s="63"/>
      <c r="DMX86" s="63"/>
      <c r="DMY86" s="63"/>
      <c r="DMZ86" s="63"/>
      <c r="DNA86" s="63"/>
      <c r="DNB86" s="63"/>
      <c r="DNC86" s="63"/>
      <c r="DND86" s="63"/>
      <c r="DNE86" s="63"/>
      <c r="DNF86" s="63"/>
      <c r="DNG86" s="63"/>
      <c r="DNH86" s="63"/>
      <c r="DNI86" s="63"/>
      <c r="DNJ86" s="63"/>
      <c r="DNK86" s="63"/>
      <c r="DNL86" s="63"/>
      <c r="DNM86" s="63"/>
      <c r="DNN86" s="63"/>
      <c r="DNO86" s="63"/>
      <c r="DNP86" s="63"/>
      <c r="DNQ86" s="63"/>
      <c r="DNR86" s="63"/>
      <c r="DNS86" s="63"/>
      <c r="DNT86" s="63"/>
      <c r="DNU86" s="63"/>
      <c r="DNV86" s="63"/>
      <c r="DNW86" s="63"/>
      <c r="DNX86" s="63"/>
      <c r="DNY86" s="63"/>
      <c r="DNZ86" s="63"/>
      <c r="DOA86" s="63"/>
      <c r="DOB86" s="63"/>
      <c r="DOC86" s="63"/>
      <c r="DOD86" s="63"/>
      <c r="DOE86" s="63"/>
      <c r="DOF86" s="63"/>
      <c r="DOG86" s="63"/>
      <c r="DOH86" s="63"/>
      <c r="DOI86" s="63"/>
      <c r="DOJ86" s="63"/>
      <c r="DOK86" s="63"/>
      <c r="DOL86" s="63"/>
      <c r="DOM86" s="63"/>
      <c r="DON86" s="63"/>
      <c r="DOO86" s="63"/>
      <c r="DOP86" s="63"/>
      <c r="DOQ86" s="63"/>
      <c r="DOR86" s="63"/>
      <c r="DOS86" s="63"/>
      <c r="DOT86" s="63"/>
      <c r="DOU86" s="63"/>
      <c r="DOV86" s="63"/>
      <c r="DOW86" s="63"/>
      <c r="DOX86" s="63"/>
      <c r="DOY86" s="63"/>
      <c r="DOZ86" s="63"/>
      <c r="DPA86" s="63"/>
      <c r="DPB86" s="63"/>
      <c r="DPC86" s="63"/>
      <c r="DPD86" s="63"/>
      <c r="DPE86" s="63"/>
      <c r="DPF86" s="63"/>
      <c r="DPG86" s="63"/>
      <c r="DPH86" s="63"/>
      <c r="DPI86" s="63"/>
      <c r="DPJ86" s="63"/>
      <c r="DPK86" s="63"/>
      <c r="DPL86" s="63"/>
      <c r="DPM86" s="63"/>
      <c r="DPN86" s="63"/>
      <c r="DPO86" s="63"/>
      <c r="DPP86" s="63"/>
      <c r="DPQ86" s="63"/>
      <c r="DPR86" s="63"/>
      <c r="DPS86" s="63"/>
      <c r="DPT86" s="63"/>
      <c r="DPU86" s="63"/>
      <c r="DPV86" s="63"/>
      <c r="DPW86" s="63"/>
      <c r="DPX86" s="63"/>
      <c r="DPY86" s="63"/>
      <c r="DPZ86" s="63"/>
      <c r="DQA86" s="63"/>
      <c r="DQB86" s="63"/>
      <c r="DQC86" s="63"/>
      <c r="DQD86" s="63"/>
      <c r="DQE86" s="63"/>
      <c r="DQF86" s="63"/>
      <c r="DQG86" s="63"/>
      <c r="DQH86" s="63"/>
      <c r="DQI86" s="63"/>
      <c r="DQJ86" s="63"/>
      <c r="DQK86" s="63"/>
      <c r="DQL86" s="63"/>
      <c r="DQM86" s="63"/>
      <c r="DQN86" s="63"/>
      <c r="DQO86" s="63"/>
      <c r="DQP86" s="63"/>
      <c r="DQQ86" s="63"/>
      <c r="DQR86" s="63"/>
      <c r="DQS86" s="63"/>
      <c r="DQT86" s="63"/>
      <c r="DQU86" s="63"/>
      <c r="DQV86" s="63"/>
      <c r="DQW86" s="63"/>
      <c r="DQX86" s="63"/>
      <c r="DQY86" s="63"/>
      <c r="DQZ86" s="63"/>
      <c r="DRA86" s="63"/>
      <c r="DRB86" s="63"/>
      <c r="DRC86" s="63"/>
      <c r="DRD86" s="63"/>
      <c r="DRE86" s="63"/>
      <c r="DRF86" s="63"/>
      <c r="DRG86" s="63"/>
      <c r="DRH86" s="63"/>
      <c r="DRI86" s="63"/>
      <c r="DRJ86" s="63"/>
      <c r="DRK86" s="63"/>
      <c r="DRL86" s="63"/>
      <c r="DRM86" s="63"/>
      <c r="DRN86" s="63"/>
      <c r="DRO86" s="63"/>
      <c r="DRP86" s="63"/>
      <c r="DRQ86" s="63"/>
      <c r="DRR86" s="63"/>
      <c r="DRS86" s="63"/>
      <c r="DRT86" s="63"/>
      <c r="DRU86" s="63"/>
      <c r="DRV86" s="63"/>
      <c r="DRW86" s="63"/>
      <c r="DRX86" s="63"/>
      <c r="DRY86" s="63"/>
      <c r="DRZ86" s="63"/>
      <c r="DSA86" s="63"/>
      <c r="DSB86" s="63"/>
      <c r="DSC86" s="63"/>
      <c r="DSD86" s="63"/>
      <c r="DSE86" s="63"/>
      <c r="DSF86" s="63"/>
      <c r="DSG86" s="63"/>
      <c r="DSH86" s="63"/>
      <c r="DSI86" s="63"/>
      <c r="DSJ86" s="63"/>
      <c r="DSK86" s="63"/>
      <c r="DSL86" s="63"/>
      <c r="DSM86" s="63"/>
      <c r="DSN86" s="63"/>
      <c r="DSO86" s="63"/>
      <c r="DSP86" s="63"/>
      <c r="DSQ86" s="63"/>
      <c r="DSR86" s="63"/>
      <c r="DSS86" s="63"/>
      <c r="DST86" s="63"/>
      <c r="DSU86" s="63"/>
      <c r="DSV86" s="63"/>
      <c r="DSW86" s="63"/>
      <c r="DSX86" s="63"/>
      <c r="DSY86" s="63"/>
      <c r="DSZ86" s="63"/>
      <c r="DTA86" s="63"/>
      <c r="DTB86" s="63"/>
      <c r="DTC86" s="63"/>
      <c r="DTD86" s="63"/>
      <c r="DTE86" s="63"/>
      <c r="DTF86" s="63"/>
      <c r="DTG86" s="63"/>
      <c r="DTH86" s="63"/>
      <c r="DTI86" s="63"/>
      <c r="DTJ86" s="63"/>
      <c r="DTK86" s="63"/>
      <c r="DTL86" s="63"/>
      <c r="DTM86" s="63"/>
      <c r="DTN86" s="63"/>
      <c r="DTO86" s="63"/>
      <c r="DTP86" s="63"/>
      <c r="DTQ86" s="63"/>
      <c r="DTR86" s="63"/>
      <c r="DTS86" s="63"/>
      <c r="DTT86" s="63"/>
      <c r="DTU86" s="63"/>
      <c r="DTV86" s="63"/>
      <c r="DTW86" s="63"/>
      <c r="DTX86" s="63"/>
      <c r="DTY86" s="63"/>
      <c r="DTZ86" s="63"/>
      <c r="DUA86" s="63"/>
      <c r="DUB86" s="63"/>
      <c r="DUC86" s="63"/>
      <c r="DUD86" s="63"/>
      <c r="DUE86" s="63"/>
      <c r="DUF86" s="63"/>
      <c r="DUG86" s="63"/>
      <c r="DUH86" s="63"/>
      <c r="DUI86" s="63"/>
      <c r="DUJ86" s="63"/>
      <c r="DUK86" s="63"/>
      <c r="DUL86" s="63"/>
      <c r="DUM86" s="63"/>
      <c r="DUN86" s="63"/>
      <c r="DUO86" s="63"/>
      <c r="DUP86" s="63"/>
      <c r="DUQ86" s="63"/>
      <c r="DUR86" s="63"/>
      <c r="DUS86" s="63"/>
      <c r="DUT86" s="63"/>
      <c r="DUU86" s="63"/>
      <c r="DUV86" s="63"/>
      <c r="DUW86" s="63"/>
      <c r="DUX86" s="63"/>
      <c r="DUY86" s="63"/>
      <c r="DUZ86" s="63"/>
      <c r="DVA86" s="63"/>
      <c r="DVB86" s="63"/>
      <c r="DVC86" s="63"/>
      <c r="DVD86" s="63"/>
      <c r="DVE86" s="63"/>
      <c r="DVF86" s="63"/>
      <c r="DVG86" s="63"/>
      <c r="DVH86" s="63"/>
      <c r="DVI86" s="63"/>
      <c r="DVJ86" s="63"/>
      <c r="DVK86" s="63"/>
      <c r="DVL86" s="63"/>
      <c r="DVM86" s="63"/>
      <c r="DVN86" s="63"/>
      <c r="DVO86" s="63"/>
      <c r="DVP86" s="63"/>
      <c r="DVQ86" s="63"/>
      <c r="DVR86" s="63"/>
      <c r="DVS86" s="63"/>
      <c r="DVT86" s="63"/>
      <c r="DVU86" s="63"/>
      <c r="DVV86" s="63"/>
      <c r="DVW86" s="63"/>
      <c r="DVX86" s="63"/>
      <c r="DVY86" s="63"/>
      <c r="DVZ86" s="63"/>
      <c r="DWA86" s="63"/>
      <c r="DWB86" s="63"/>
      <c r="DWC86" s="63"/>
      <c r="DWD86" s="63"/>
      <c r="DWE86" s="63"/>
      <c r="DWF86" s="63"/>
      <c r="DWG86" s="63"/>
      <c r="DWH86" s="63"/>
      <c r="DWI86" s="63"/>
      <c r="DWJ86" s="63"/>
      <c r="DWK86" s="63"/>
      <c r="DWL86" s="63"/>
      <c r="DWM86" s="63"/>
      <c r="DWN86" s="63"/>
      <c r="DWO86" s="63"/>
      <c r="DWP86" s="63"/>
      <c r="DWQ86" s="63"/>
      <c r="DWR86" s="63"/>
      <c r="DWS86" s="63"/>
      <c r="DWT86" s="63"/>
      <c r="DWU86" s="63"/>
      <c r="DWV86" s="63"/>
      <c r="DWW86" s="63"/>
      <c r="DWX86" s="63"/>
      <c r="DWY86" s="63"/>
      <c r="DWZ86" s="63"/>
      <c r="DXA86" s="63"/>
      <c r="DXB86" s="63"/>
      <c r="DXC86" s="63"/>
      <c r="DXD86" s="63"/>
      <c r="DXE86" s="63"/>
      <c r="DXF86" s="63"/>
      <c r="DXG86" s="63"/>
      <c r="DXH86" s="63"/>
      <c r="DXI86" s="63"/>
      <c r="DXJ86" s="63"/>
      <c r="DXK86" s="63"/>
      <c r="DXL86" s="63"/>
      <c r="DXM86" s="63"/>
      <c r="DXN86" s="63"/>
      <c r="DXO86" s="63"/>
      <c r="DXP86" s="63"/>
      <c r="DXQ86" s="63"/>
      <c r="DXR86" s="63"/>
      <c r="DXS86" s="63"/>
      <c r="DXT86" s="63"/>
      <c r="DXU86" s="63"/>
      <c r="DXV86" s="63"/>
      <c r="DXW86" s="63"/>
      <c r="DXX86" s="63"/>
      <c r="DXY86" s="63"/>
      <c r="DXZ86" s="63"/>
      <c r="DYA86" s="63"/>
      <c r="DYB86" s="63"/>
      <c r="DYC86" s="63"/>
      <c r="DYD86" s="63"/>
      <c r="DYE86" s="63"/>
      <c r="DYF86" s="63"/>
      <c r="DYG86" s="63"/>
      <c r="DYH86" s="63"/>
      <c r="DYI86" s="63"/>
      <c r="DYJ86" s="63"/>
      <c r="DYK86" s="63"/>
      <c r="DYL86" s="63"/>
      <c r="DYM86" s="63"/>
      <c r="DYN86" s="63"/>
      <c r="DYO86" s="63"/>
      <c r="DYP86" s="63"/>
      <c r="DYQ86" s="63"/>
      <c r="DYR86" s="63"/>
      <c r="DYS86" s="63"/>
      <c r="DYT86" s="63"/>
      <c r="DYU86" s="63"/>
      <c r="DYV86" s="63"/>
      <c r="DYW86" s="63"/>
      <c r="DYX86" s="63"/>
      <c r="DYY86" s="63"/>
      <c r="DYZ86" s="63"/>
      <c r="DZA86" s="63"/>
      <c r="DZB86" s="63"/>
      <c r="DZC86" s="63"/>
      <c r="DZD86" s="63"/>
      <c r="DZE86" s="63"/>
      <c r="DZF86" s="63"/>
      <c r="DZG86" s="63"/>
      <c r="DZH86" s="63"/>
      <c r="DZI86" s="63"/>
      <c r="DZJ86" s="63"/>
      <c r="DZK86" s="63"/>
      <c r="DZL86" s="63"/>
      <c r="DZM86" s="63"/>
      <c r="DZN86" s="63"/>
      <c r="DZO86" s="63"/>
      <c r="DZP86" s="63"/>
      <c r="DZQ86" s="63"/>
      <c r="DZR86" s="63"/>
      <c r="DZS86" s="63"/>
      <c r="DZT86" s="63"/>
      <c r="DZU86" s="63"/>
      <c r="DZV86" s="63"/>
      <c r="DZW86" s="63"/>
      <c r="DZX86" s="63"/>
      <c r="DZY86" s="63"/>
      <c r="DZZ86" s="63"/>
      <c r="EAA86" s="63"/>
      <c r="EAB86" s="63"/>
      <c r="EAC86" s="63"/>
      <c r="EAD86" s="63"/>
      <c r="EAE86" s="63"/>
      <c r="EAF86" s="63"/>
      <c r="EAG86" s="63"/>
      <c r="EAH86" s="63"/>
      <c r="EAI86" s="63"/>
      <c r="EAJ86" s="63"/>
      <c r="EAK86" s="63"/>
      <c r="EAL86" s="63"/>
      <c r="EAM86" s="63"/>
      <c r="EAN86" s="63"/>
      <c r="EAO86" s="63"/>
      <c r="EAP86" s="63"/>
      <c r="EAQ86" s="63"/>
      <c r="EAR86" s="63"/>
      <c r="EAS86" s="63"/>
      <c r="EAT86" s="63"/>
      <c r="EAU86" s="63"/>
      <c r="EAV86" s="63"/>
      <c r="EAW86" s="63"/>
      <c r="EAX86" s="63"/>
      <c r="EAY86" s="63"/>
      <c r="EAZ86" s="63"/>
      <c r="EBA86" s="63"/>
      <c r="EBB86" s="63"/>
      <c r="EBC86" s="63"/>
      <c r="EBD86" s="63"/>
      <c r="EBE86" s="63"/>
      <c r="EBF86" s="63"/>
      <c r="EBG86" s="63"/>
      <c r="EBH86" s="63"/>
      <c r="EBI86" s="63"/>
      <c r="EBJ86" s="63"/>
      <c r="EBK86" s="63"/>
      <c r="EBL86" s="63"/>
      <c r="EBM86" s="63"/>
      <c r="EBN86" s="63"/>
      <c r="EBO86" s="63"/>
      <c r="EBP86" s="63"/>
      <c r="EBQ86" s="63"/>
      <c r="EBR86" s="63"/>
      <c r="EBS86" s="63"/>
      <c r="EBT86" s="63"/>
      <c r="EBU86" s="63"/>
      <c r="EBV86" s="63"/>
      <c r="EBW86" s="63"/>
      <c r="EBX86" s="63"/>
      <c r="EBY86" s="63"/>
      <c r="EBZ86" s="63"/>
      <c r="ECA86" s="63"/>
      <c r="ECB86" s="63"/>
      <c r="ECC86" s="63"/>
      <c r="ECD86" s="63"/>
      <c r="ECE86" s="63"/>
      <c r="ECF86" s="63"/>
      <c r="ECG86" s="63"/>
      <c r="ECH86" s="63"/>
      <c r="ECI86" s="63"/>
      <c r="ECJ86" s="63"/>
      <c r="ECK86" s="63"/>
      <c r="ECL86" s="63"/>
      <c r="ECM86" s="63"/>
      <c r="ECN86" s="63"/>
      <c r="ECO86" s="63"/>
      <c r="ECP86" s="63"/>
      <c r="ECQ86" s="63"/>
      <c r="ECR86" s="63"/>
      <c r="ECS86" s="63"/>
      <c r="ECT86" s="63"/>
      <c r="ECU86" s="63"/>
      <c r="ECV86" s="63"/>
      <c r="ECW86" s="63"/>
      <c r="ECX86" s="63"/>
      <c r="ECY86" s="63"/>
      <c r="ECZ86" s="63"/>
      <c r="EDA86" s="63"/>
      <c r="EDB86" s="63"/>
      <c r="EDC86" s="63"/>
      <c r="EDD86" s="63"/>
      <c r="EDE86" s="63"/>
      <c r="EDF86" s="63"/>
      <c r="EDG86" s="63"/>
      <c r="EDH86" s="63"/>
      <c r="EDI86" s="63"/>
      <c r="EDJ86" s="63"/>
      <c r="EDK86" s="63"/>
      <c r="EDL86" s="63"/>
      <c r="EDM86" s="63"/>
      <c r="EDN86" s="63"/>
      <c r="EDO86" s="63"/>
      <c r="EDP86" s="63"/>
      <c r="EDQ86" s="63"/>
      <c r="EDR86" s="63"/>
      <c r="EDS86" s="63"/>
      <c r="EDT86" s="63"/>
      <c r="EDU86" s="63"/>
      <c r="EDV86" s="63"/>
      <c r="EDW86" s="63"/>
      <c r="EDX86" s="63"/>
      <c r="EDY86" s="63"/>
      <c r="EDZ86" s="63"/>
      <c r="EEA86" s="63"/>
      <c r="EEB86" s="63"/>
      <c r="EEC86" s="63"/>
      <c r="EED86" s="63"/>
      <c r="EEE86" s="63"/>
      <c r="EEF86" s="63"/>
      <c r="EEG86" s="63"/>
      <c r="EEH86" s="63"/>
      <c r="EEI86" s="63"/>
      <c r="EEJ86" s="63"/>
      <c r="EEK86" s="63"/>
      <c r="EEL86" s="63"/>
      <c r="EEM86" s="63"/>
      <c r="EEN86" s="63"/>
      <c r="EEO86" s="63"/>
      <c r="EEP86" s="63"/>
      <c r="EEQ86" s="63"/>
      <c r="EER86" s="63"/>
      <c r="EES86" s="63"/>
      <c r="EET86" s="63"/>
      <c r="EEU86" s="63"/>
      <c r="EEV86" s="63"/>
      <c r="EEW86" s="63"/>
      <c r="EEX86" s="63"/>
      <c r="EEY86" s="63"/>
      <c r="EEZ86" s="63"/>
      <c r="EFA86" s="63"/>
      <c r="EFB86" s="63"/>
      <c r="EFC86" s="63"/>
      <c r="EFD86" s="63"/>
      <c r="EFE86" s="63"/>
      <c r="EFF86" s="63"/>
      <c r="EFG86" s="63"/>
      <c r="EFH86" s="63"/>
      <c r="EFI86" s="63"/>
      <c r="EFJ86" s="63"/>
      <c r="EFK86" s="63"/>
      <c r="EFL86" s="63"/>
      <c r="EFM86" s="63"/>
      <c r="EFN86" s="63"/>
      <c r="EFO86" s="63"/>
      <c r="EFP86" s="63"/>
      <c r="EFQ86" s="63"/>
      <c r="EFR86" s="63"/>
      <c r="EFS86" s="63"/>
      <c r="EFT86" s="63"/>
      <c r="EFU86" s="63"/>
      <c r="EFV86" s="63"/>
      <c r="EFW86" s="63"/>
      <c r="EFX86" s="63"/>
      <c r="EFY86" s="63"/>
      <c r="EFZ86" s="63"/>
      <c r="EGA86" s="63"/>
      <c r="EGB86" s="63"/>
      <c r="EGC86" s="63"/>
      <c r="EGD86" s="63"/>
      <c r="EGE86" s="63"/>
      <c r="EGF86" s="63"/>
      <c r="EGG86" s="63"/>
      <c r="EGH86" s="63"/>
      <c r="EGI86" s="63"/>
      <c r="EGJ86" s="63"/>
      <c r="EGK86" s="63"/>
      <c r="EGL86" s="63"/>
      <c r="EGM86" s="63"/>
      <c r="EGN86" s="63"/>
      <c r="EGO86" s="63"/>
      <c r="EGP86" s="63"/>
      <c r="EGQ86" s="63"/>
      <c r="EGR86" s="63"/>
      <c r="EGS86" s="63"/>
      <c r="EGT86" s="63"/>
      <c r="EGU86" s="63"/>
      <c r="EGV86" s="63"/>
      <c r="EGW86" s="63"/>
      <c r="EGX86" s="63"/>
      <c r="EGY86" s="63"/>
      <c r="EGZ86" s="63"/>
      <c r="EHA86" s="63"/>
      <c r="EHB86" s="63"/>
      <c r="EHC86" s="63"/>
      <c r="EHD86" s="63"/>
      <c r="EHE86" s="63"/>
      <c r="EHF86" s="63"/>
      <c r="EHG86" s="63"/>
      <c r="EHH86" s="63"/>
      <c r="EHI86" s="63"/>
      <c r="EHJ86" s="63"/>
      <c r="EHK86" s="63"/>
      <c r="EHL86" s="63"/>
      <c r="EHM86" s="63"/>
      <c r="EHN86" s="63"/>
      <c r="EHO86" s="63"/>
      <c r="EHP86" s="63"/>
      <c r="EHQ86" s="63"/>
      <c r="EHR86" s="63"/>
      <c r="EHS86" s="63"/>
      <c r="EHT86" s="63"/>
      <c r="EHU86" s="63"/>
      <c r="EHV86" s="63"/>
      <c r="EHW86" s="63"/>
      <c r="EHX86" s="63"/>
      <c r="EHY86" s="63"/>
      <c r="EHZ86" s="63"/>
      <c r="EIA86" s="63"/>
      <c r="EIB86" s="63"/>
      <c r="EIC86" s="63"/>
      <c r="EID86" s="63"/>
      <c r="EIE86" s="63"/>
      <c r="EIF86" s="63"/>
      <c r="EIG86" s="63"/>
      <c r="EIH86" s="63"/>
      <c r="EII86" s="63"/>
      <c r="EIJ86" s="63"/>
      <c r="EIK86" s="63"/>
      <c r="EIL86" s="63"/>
      <c r="EIM86" s="63"/>
      <c r="EIN86" s="63"/>
      <c r="EIO86" s="63"/>
      <c r="EIP86" s="63"/>
      <c r="EIQ86" s="63"/>
      <c r="EIR86" s="63"/>
      <c r="EIS86" s="63"/>
      <c r="EIT86" s="63"/>
      <c r="EIU86" s="63"/>
      <c r="EIV86" s="63"/>
      <c r="EIW86" s="63"/>
      <c r="EIX86" s="63"/>
      <c r="EIY86" s="63"/>
      <c r="EIZ86" s="63"/>
      <c r="EJA86" s="63"/>
      <c r="EJB86" s="63"/>
      <c r="EJC86" s="63"/>
      <c r="EJD86" s="63"/>
      <c r="EJE86" s="63"/>
      <c r="EJF86" s="63"/>
      <c r="EJG86" s="63"/>
      <c r="EJH86" s="63"/>
      <c r="EJI86" s="63"/>
      <c r="EJJ86" s="63"/>
      <c r="EJK86" s="63"/>
      <c r="EJL86" s="63"/>
      <c r="EJM86" s="63"/>
      <c r="EJN86" s="63"/>
      <c r="EJO86" s="63"/>
      <c r="EJP86" s="63"/>
      <c r="EJQ86" s="63"/>
      <c r="EJR86" s="63"/>
      <c r="EJS86" s="63"/>
      <c r="EJT86" s="63"/>
      <c r="EJU86" s="63"/>
      <c r="EJV86" s="63"/>
      <c r="EJW86" s="63"/>
      <c r="EJX86" s="63"/>
      <c r="EJY86" s="63"/>
      <c r="EJZ86" s="63"/>
      <c r="EKA86" s="63"/>
      <c r="EKB86" s="63"/>
      <c r="EKC86" s="63"/>
      <c r="EKD86" s="63"/>
      <c r="EKE86" s="63"/>
      <c r="EKF86" s="63"/>
      <c r="EKG86" s="63"/>
      <c r="EKH86" s="63"/>
      <c r="EKI86" s="63"/>
      <c r="EKJ86" s="63"/>
      <c r="EKK86" s="63"/>
      <c r="EKL86" s="63"/>
      <c r="EKM86" s="63"/>
      <c r="EKN86" s="63"/>
      <c r="EKO86" s="63"/>
      <c r="EKP86" s="63"/>
      <c r="EKQ86" s="63"/>
      <c r="EKR86" s="63"/>
      <c r="EKS86" s="63"/>
      <c r="EKT86" s="63"/>
      <c r="EKU86" s="63"/>
      <c r="EKV86" s="63"/>
      <c r="EKW86" s="63"/>
      <c r="EKX86" s="63"/>
      <c r="EKY86" s="63"/>
      <c r="EKZ86" s="63"/>
      <c r="ELA86" s="63"/>
      <c r="ELB86" s="63"/>
      <c r="ELC86" s="63"/>
      <c r="ELD86" s="63"/>
      <c r="ELE86" s="63"/>
      <c r="ELF86" s="63"/>
      <c r="ELG86" s="63"/>
      <c r="ELH86" s="63"/>
      <c r="ELI86" s="63"/>
      <c r="ELJ86" s="63"/>
      <c r="ELK86" s="63"/>
      <c r="ELL86" s="63"/>
      <c r="ELM86" s="63"/>
      <c r="ELN86" s="63"/>
      <c r="ELO86" s="63"/>
      <c r="ELP86" s="63"/>
      <c r="ELQ86" s="63"/>
      <c r="ELR86" s="63"/>
      <c r="ELS86" s="63"/>
      <c r="ELT86" s="63"/>
      <c r="ELU86" s="63"/>
      <c r="ELV86" s="63"/>
      <c r="ELW86" s="63"/>
      <c r="ELX86" s="63"/>
      <c r="ELY86" s="63"/>
      <c r="ELZ86" s="63"/>
      <c r="EMA86" s="63"/>
      <c r="EMB86" s="63"/>
      <c r="EMC86" s="63"/>
      <c r="EMD86" s="63"/>
      <c r="EME86" s="63"/>
      <c r="EMF86" s="63"/>
      <c r="EMG86" s="63"/>
      <c r="EMH86" s="63"/>
      <c r="EMI86" s="63"/>
      <c r="EMJ86" s="63"/>
      <c r="EMK86" s="63"/>
      <c r="EML86" s="63"/>
      <c r="EMM86" s="63"/>
      <c r="EMN86" s="63"/>
      <c r="EMO86" s="63"/>
      <c r="EMP86" s="63"/>
      <c r="EMQ86" s="63"/>
      <c r="EMR86" s="63"/>
      <c r="EMS86" s="63"/>
      <c r="EMT86" s="63"/>
      <c r="EMU86" s="63"/>
      <c r="EMV86" s="63"/>
      <c r="EMW86" s="63"/>
      <c r="EMX86" s="63"/>
      <c r="EMY86" s="63"/>
      <c r="EMZ86" s="63"/>
      <c r="ENA86" s="63"/>
      <c r="ENB86" s="63"/>
      <c r="ENC86" s="63"/>
      <c r="END86" s="63"/>
      <c r="ENE86" s="63"/>
      <c r="ENF86" s="63"/>
      <c r="ENG86" s="63"/>
      <c r="ENH86" s="63"/>
      <c r="ENI86" s="63"/>
      <c r="ENJ86" s="63"/>
      <c r="ENK86" s="63"/>
      <c r="ENL86" s="63"/>
      <c r="ENM86" s="63"/>
      <c r="ENN86" s="63"/>
      <c r="ENO86" s="63"/>
      <c r="ENP86" s="63"/>
      <c r="ENQ86" s="63"/>
      <c r="ENR86" s="63"/>
      <c r="ENS86" s="63"/>
      <c r="ENT86" s="63"/>
      <c r="ENU86" s="63"/>
      <c r="ENV86" s="63"/>
      <c r="ENW86" s="63"/>
      <c r="ENX86" s="63"/>
      <c r="ENY86" s="63"/>
      <c r="ENZ86" s="63"/>
      <c r="EOA86" s="63"/>
      <c r="EOB86" s="63"/>
      <c r="EOC86" s="63"/>
      <c r="EOD86" s="63"/>
      <c r="EOE86" s="63"/>
      <c r="EOF86" s="63"/>
      <c r="EOG86" s="63"/>
      <c r="EOH86" s="63"/>
      <c r="EOI86" s="63"/>
      <c r="EOJ86" s="63"/>
      <c r="EOK86" s="63"/>
      <c r="EOL86" s="63"/>
      <c r="EOM86" s="63"/>
      <c r="EON86" s="63"/>
      <c r="EOO86" s="63"/>
      <c r="EOP86" s="63"/>
      <c r="EOQ86" s="63"/>
      <c r="EOR86" s="63"/>
      <c r="EOS86" s="63"/>
      <c r="EOT86" s="63"/>
      <c r="EOU86" s="63"/>
      <c r="EOV86" s="63"/>
      <c r="EOW86" s="63"/>
      <c r="EOX86" s="63"/>
      <c r="EOY86" s="63"/>
      <c r="EOZ86" s="63"/>
      <c r="EPA86" s="63"/>
      <c r="EPB86" s="63"/>
      <c r="EPC86" s="63"/>
      <c r="EPD86" s="63"/>
      <c r="EPE86" s="63"/>
      <c r="EPF86" s="63"/>
      <c r="EPG86" s="63"/>
      <c r="EPH86" s="63"/>
      <c r="EPI86" s="63"/>
      <c r="EPJ86" s="63"/>
      <c r="EPK86" s="63"/>
      <c r="EPL86" s="63"/>
      <c r="EPM86" s="63"/>
      <c r="EPN86" s="63"/>
      <c r="EPO86" s="63"/>
      <c r="EPP86" s="63"/>
      <c r="EPQ86" s="63"/>
      <c r="EPR86" s="63"/>
      <c r="EPS86" s="63"/>
      <c r="EPT86" s="63"/>
      <c r="EPU86" s="63"/>
      <c r="EPV86" s="63"/>
      <c r="EPW86" s="63"/>
      <c r="EPX86" s="63"/>
      <c r="EPY86" s="63"/>
      <c r="EPZ86" s="63"/>
      <c r="EQA86" s="63"/>
      <c r="EQB86" s="63"/>
      <c r="EQC86" s="63"/>
      <c r="EQD86" s="63"/>
      <c r="EQE86" s="63"/>
      <c r="EQF86" s="63"/>
      <c r="EQG86" s="63"/>
      <c r="EQH86" s="63"/>
      <c r="EQI86" s="63"/>
      <c r="EQJ86" s="63"/>
      <c r="EQK86" s="63"/>
      <c r="EQL86" s="63"/>
      <c r="EQM86" s="63"/>
      <c r="EQN86" s="63"/>
      <c r="EQO86" s="63"/>
      <c r="EQP86" s="63"/>
      <c r="EQQ86" s="63"/>
      <c r="EQR86" s="63"/>
      <c r="EQS86" s="63"/>
      <c r="EQT86" s="63"/>
      <c r="EQU86" s="63"/>
      <c r="EQV86" s="63"/>
      <c r="EQW86" s="63"/>
      <c r="EQX86" s="63"/>
      <c r="EQY86" s="63"/>
      <c r="EQZ86" s="63"/>
      <c r="ERA86" s="63"/>
      <c r="ERB86" s="63"/>
      <c r="ERC86" s="63"/>
      <c r="ERD86" s="63"/>
      <c r="ERE86" s="63"/>
      <c r="ERF86" s="63"/>
      <c r="ERG86" s="63"/>
      <c r="ERH86" s="63"/>
      <c r="ERI86" s="63"/>
      <c r="ERJ86" s="63"/>
      <c r="ERK86" s="63"/>
      <c r="ERL86" s="63"/>
      <c r="ERM86" s="63"/>
      <c r="ERN86" s="63"/>
      <c r="ERO86" s="63"/>
      <c r="ERP86" s="63"/>
      <c r="ERQ86" s="63"/>
      <c r="ERR86" s="63"/>
      <c r="ERS86" s="63"/>
      <c r="ERT86" s="63"/>
      <c r="ERU86" s="63"/>
      <c r="ERV86" s="63"/>
      <c r="ERW86" s="63"/>
      <c r="ERX86" s="63"/>
      <c r="ERY86" s="63"/>
      <c r="ERZ86" s="63"/>
      <c r="ESA86" s="63"/>
      <c r="ESB86" s="63"/>
      <c r="ESC86" s="63"/>
      <c r="ESD86" s="63"/>
      <c r="ESE86" s="63"/>
      <c r="ESF86" s="63"/>
      <c r="ESG86" s="63"/>
      <c r="ESH86" s="63"/>
      <c r="ESI86" s="63"/>
      <c r="ESJ86" s="63"/>
      <c r="ESK86" s="63"/>
      <c r="ESL86" s="63"/>
      <c r="ESM86" s="63"/>
      <c r="ESN86" s="63"/>
      <c r="ESO86" s="63"/>
      <c r="ESP86" s="63"/>
      <c r="ESQ86" s="63"/>
      <c r="ESR86" s="63"/>
      <c r="ESS86" s="63"/>
      <c r="EST86" s="63"/>
      <c r="ESU86" s="63"/>
      <c r="ESV86" s="63"/>
      <c r="ESW86" s="63"/>
      <c r="ESX86" s="63"/>
      <c r="ESY86" s="63"/>
      <c r="ESZ86" s="63"/>
      <c r="ETA86" s="63"/>
      <c r="ETB86" s="63"/>
      <c r="ETC86" s="63"/>
      <c r="ETD86" s="63"/>
      <c r="ETE86" s="63"/>
      <c r="ETF86" s="63"/>
      <c r="ETG86" s="63"/>
      <c r="ETH86" s="63"/>
      <c r="ETI86" s="63"/>
      <c r="ETJ86" s="63"/>
      <c r="ETK86" s="63"/>
      <c r="ETL86" s="63"/>
      <c r="ETM86" s="63"/>
      <c r="ETN86" s="63"/>
      <c r="ETO86" s="63"/>
      <c r="ETP86" s="63"/>
      <c r="ETQ86" s="63"/>
      <c r="ETR86" s="63"/>
      <c r="ETS86" s="63"/>
      <c r="ETT86" s="63"/>
      <c r="ETU86" s="63"/>
      <c r="ETV86" s="63"/>
      <c r="ETW86" s="63"/>
      <c r="ETX86" s="63"/>
      <c r="ETY86" s="63"/>
      <c r="ETZ86" s="63"/>
      <c r="EUA86" s="63"/>
      <c r="EUB86" s="63"/>
      <c r="EUC86" s="63"/>
      <c r="EUD86" s="63"/>
      <c r="EUE86" s="63"/>
      <c r="EUF86" s="63"/>
      <c r="EUG86" s="63"/>
      <c r="EUH86" s="63"/>
      <c r="EUI86" s="63"/>
      <c r="EUJ86" s="63"/>
      <c r="EUK86" s="63"/>
      <c r="EUL86" s="63"/>
      <c r="EUM86" s="63"/>
      <c r="EUN86" s="63"/>
      <c r="EUO86" s="63"/>
      <c r="EUP86" s="63"/>
      <c r="EUQ86" s="63"/>
      <c r="EUR86" s="63"/>
      <c r="EUS86" s="63"/>
      <c r="EUT86" s="63"/>
      <c r="EUU86" s="63"/>
      <c r="EUV86" s="63"/>
      <c r="EUW86" s="63"/>
      <c r="EUX86" s="63"/>
      <c r="EUY86" s="63"/>
      <c r="EUZ86" s="63"/>
      <c r="EVA86" s="63"/>
      <c r="EVB86" s="63"/>
      <c r="EVC86" s="63"/>
      <c r="EVD86" s="63"/>
      <c r="EVE86" s="63"/>
      <c r="EVF86" s="63"/>
      <c r="EVG86" s="63"/>
      <c r="EVH86" s="63"/>
      <c r="EVI86" s="63"/>
      <c r="EVJ86" s="63"/>
      <c r="EVK86" s="63"/>
      <c r="EVL86" s="63"/>
      <c r="EVM86" s="63"/>
      <c r="EVN86" s="63"/>
      <c r="EVO86" s="63"/>
      <c r="EVP86" s="63"/>
      <c r="EVQ86" s="63"/>
      <c r="EVR86" s="63"/>
      <c r="EVS86" s="63"/>
      <c r="EVT86" s="63"/>
      <c r="EVU86" s="63"/>
      <c r="EVV86" s="63"/>
      <c r="EVW86" s="63"/>
      <c r="EVX86" s="63"/>
      <c r="EVY86" s="63"/>
      <c r="EVZ86" s="63"/>
      <c r="EWA86" s="63"/>
      <c r="EWB86" s="63"/>
      <c r="EWC86" s="63"/>
      <c r="EWD86" s="63"/>
      <c r="EWE86" s="63"/>
      <c r="EWF86" s="63"/>
      <c r="EWG86" s="63"/>
      <c r="EWH86" s="63"/>
      <c r="EWI86" s="63"/>
      <c r="EWJ86" s="63"/>
      <c r="EWK86" s="63"/>
      <c r="EWL86" s="63"/>
      <c r="EWM86" s="63"/>
      <c r="EWN86" s="63"/>
      <c r="EWO86" s="63"/>
      <c r="EWP86" s="63"/>
      <c r="EWQ86" s="63"/>
      <c r="EWR86" s="63"/>
      <c r="EWS86" s="63"/>
      <c r="EWT86" s="63"/>
      <c r="EWU86" s="63"/>
      <c r="EWV86" s="63"/>
      <c r="EWW86" s="63"/>
      <c r="EWX86" s="63"/>
      <c r="EWY86" s="63"/>
      <c r="EWZ86" s="63"/>
      <c r="EXA86" s="63"/>
      <c r="EXB86" s="63"/>
      <c r="EXC86" s="63"/>
      <c r="EXD86" s="63"/>
      <c r="EXE86" s="63"/>
      <c r="EXF86" s="63"/>
      <c r="EXG86" s="63"/>
      <c r="EXH86" s="63"/>
      <c r="EXI86" s="63"/>
      <c r="EXJ86" s="63"/>
      <c r="EXK86" s="63"/>
      <c r="EXL86" s="63"/>
      <c r="EXM86" s="63"/>
      <c r="EXN86" s="63"/>
      <c r="EXO86" s="63"/>
      <c r="EXP86" s="63"/>
      <c r="EXQ86" s="63"/>
      <c r="EXR86" s="63"/>
      <c r="EXS86" s="63"/>
      <c r="EXT86" s="63"/>
      <c r="EXU86" s="63"/>
      <c r="EXV86" s="63"/>
      <c r="EXW86" s="63"/>
      <c r="EXX86" s="63"/>
      <c r="EXY86" s="63"/>
      <c r="EXZ86" s="63"/>
      <c r="EYA86" s="63"/>
      <c r="EYB86" s="63"/>
      <c r="EYC86" s="63"/>
      <c r="EYD86" s="63"/>
      <c r="EYE86" s="63"/>
      <c r="EYF86" s="63"/>
      <c r="EYG86" s="63"/>
      <c r="EYH86" s="63"/>
      <c r="EYI86" s="63"/>
      <c r="EYJ86" s="63"/>
      <c r="EYK86" s="63"/>
      <c r="EYL86" s="63"/>
      <c r="EYM86" s="63"/>
      <c r="EYN86" s="63"/>
      <c r="EYO86" s="63"/>
      <c r="EYP86" s="63"/>
      <c r="EYQ86" s="63"/>
      <c r="EYR86" s="63"/>
      <c r="EYS86" s="63"/>
      <c r="EYT86" s="63"/>
      <c r="EYU86" s="63"/>
      <c r="EYV86" s="63"/>
      <c r="EYW86" s="63"/>
      <c r="EYX86" s="63"/>
      <c r="EYY86" s="63"/>
      <c r="EYZ86" s="63"/>
      <c r="EZA86" s="63"/>
      <c r="EZB86" s="63"/>
      <c r="EZC86" s="63"/>
      <c r="EZD86" s="63"/>
      <c r="EZE86" s="63"/>
      <c r="EZF86" s="63"/>
      <c r="EZG86" s="63"/>
      <c r="EZH86" s="63"/>
      <c r="EZI86" s="63"/>
      <c r="EZJ86" s="63"/>
      <c r="EZK86" s="63"/>
      <c r="EZL86" s="63"/>
      <c r="EZM86" s="63"/>
      <c r="EZN86" s="63"/>
      <c r="EZO86" s="63"/>
      <c r="EZP86" s="63"/>
      <c r="EZQ86" s="63"/>
      <c r="EZR86" s="63"/>
      <c r="EZS86" s="63"/>
      <c r="EZT86" s="63"/>
      <c r="EZU86" s="63"/>
      <c r="EZV86" s="63"/>
      <c r="EZW86" s="63"/>
      <c r="EZX86" s="63"/>
      <c r="EZY86" s="63"/>
      <c r="EZZ86" s="63"/>
      <c r="FAA86" s="63"/>
      <c r="FAB86" s="63"/>
      <c r="FAC86" s="63"/>
      <c r="FAD86" s="63"/>
      <c r="FAE86" s="63"/>
      <c r="FAF86" s="63"/>
      <c r="FAG86" s="63"/>
      <c r="FAH86" s="63"/>
      <c r="FAI86" s="63"/>
      <c r="FAJ86" s="63"/>
      <c r="FAK86" s="63"/>
      <c r="FAL86" s="63"/>
      <c r="FAM86" s="63"/>
      <c r="FAN86" s="63"/>
      <c r="FAO86" s="63"/>
      <c r="FAP86" s="63"/>
      <c r="FAQ86" s="63"/>
      <c r="FAR86" s="63"/>
      <c r="FAS86" s="63"/>
      <c r="FAT86" s="63"/>
      <c r="FAU86" s="63"/>
      <c r="FAV86" s="63"/>
      <c r="FAW86" s="63"/>
      <c r="FAX86" s="63"/>
      <c r="FAY86" s="63"/>
      <c r="FAZ86" s="63"/>
      <c r="FBA86" s="63"/>
      <c r="FBB86" s="63"/>
      <c r="FBC86" s="63"/>
      <c r="FBD86" s="63"/>
      <c r="FBE86" s="63"/>
      <c r="FBF86" s="63"/>
      <c r="FBG86" s="63"/>
      <c r="FBH86" s="63"/>
      <c r="FBI86" s="63"/>
      <c r="FBJ86" s="63"/>
      <c r="FBK86" s="63"/>
      <c r="FBL86" s="63"/>
      <c r="FBM86" s="63"/>
      <c r="FBN86" s="63"/>
      <c r="FBO86" s="63"/>
      <c r="FBP86" s="63"/>
      <c r="FBQ86" s="63"/>
      <c r="FBR86" s="63"/>
      <c r="FBS86" s="63"/>
      <c r="FBT86" s="63"/>
      <c r="FBU86" s="63"/>
      <c r="FBV86" s="63"/>
      <c r="FBW86" s="63"/>
      <c r="FBX86" s="63"/>
      <c r="FBY86" s="63"/>
      <c r="FBZ86" s="63"/>
      <c r="FCA86" s="63"/>
      <c r="FCB86" s="63"/>
      <c r="FCC86" s="63"/>
      <c r="FCD86" s="63"/>
      <c r="FCE86" s="63"/>
      <c r="FCF86" s="63"/>
      <c r="FCG86" s="63"/>
      <c r="FCH86" s="63"/>
      <c r="FCI86" s="63"/>
      <c r="FCJ86" s="63"/>
      <c r="FCK86" s="63"/>
      <c r="FCL86" s="63"/>
      <c r="FCM86" s="63"/>
      <c r="FCN86" s="63"/>
      <c r="FCO86" s="63"/>
      <c r="FCP86" s="63"/>
      <c r="FCQ86" s="63"/>
      <c r="FCR86" s="63"/>
      <c r="FCS86" s="63"/>
      <c r="FCT86" s="63"/>
      <c r="FCU86" s="63"/>
      <c r="FCV86" s="63"/>
      <c r="FCW86" s="63"/>
      <c r="FCX86" s="63"/>
      <c r="FCY86" s="63"/>
      <c r="FCZ86" s="63"/>
      <c r="FDA86" s="63"/>
      <c r="FDB86" s="63"/>
      <c r="FDC86" s="63"/>
      <c r="FDD86" s="63"/>
      <c r="FDE86" s="63"/>
      <c r="FDF86" s="63"/>
      <c r="FDG86" s="63"/>
      <c r="FDH86" s="63"/>
      <c r="FDI86" s="63"/>
      <c r="FDJ86" s="63"/>
      <c r="FDK86" s="63"/>
      <c r="FDL86" s="63"/>
      <c r="FDM86" s="63"/>
      <c r="FDN86" s="63"/>
      <c r="FDO86" s="63"/>
      <c r="FDP86" s="63"/>
      <c r="FDQ86" s="63"/>
      <c r="FDR86" s="63"/>
      <c r="FDS86" s="63"/>
      <c r="FDT86" s="63"/>
      <c r="FDU86" s="63"/>
      <c r="FDV86" s="63"/>
      <c r="FDW86" s="63"/>
      <c r="FDX86" s="63"/>
      <c r="FDY86" s="63"/>
      <c r="FDZ86" s="63"/>
      <c r="FEA86" s="63"/>
      <c r="FEB86" s="63"/>
      <c r="FEC86" s="63"/>
      <c r="FED86" s="63"/>
      <c r="FEE86" s="63"/>
      <c r="FEF86" s="63"/>
      <c r="FEG86" s="63"/>
      <c r="FEH86" s="63"/>
      <c r="FEI86" s="63"/>
      <c r="FEJ86" s="63"/>
      <c r="FEK86" s="63"/>
      <c r="FEL86" s="63"/>
      <c r="FEM86" s="63"/>
      <c r="FEN86" s="63"/>
      <c r="FEO86" s="63"/>
      <c r="FEP86" s="63"/>
      <c r="FEQ86" s="63"/>
      <c r="FER86" s="63"/>
      <c r="FES86" s="63"/>
      <c r="FET86" s="63"/>
      <c r="FEU86" s="63"/>
      <c r="FEV86" s="63"/>
      <c r="FEW86" s="63"/>
      <c r="FEX86" s="63"/>
      <c r="FEY86" s="63"/>
      <c r="FEZ86" s="63"/>
      <c r="FFA86" s="63"/>
      <c r="FFB86" s="63"/>
      <c r="FFC86" s="63"/>
      <c r="FFD86" s="63"/>
      <c r="FFE86" s="63"/>
      <c r="FFF86" s="63"/>
      <c r="FFG86" s="63"/>
      <c r="FFH86" s="63"/>
      <c r="FFI86" s="63"/>
      <c r="FFJ86" s="63"/>
      <c r="FFK86" s="63"/>
      <c r="FFL86" s="63"/>
      <c r="FFM86" s="63"/>
      <c r="FFN86" s="63"/>
      <c r="FFO86" s="63"/>
      <c r="FFP86" s="63"/>
      <c r="FFQ86" s="63"/>
      <c r="FFR86" s="63"/>
      <c r="FFS86" s="63"/>
      <c r="FFT86" s="63"/>
      <c r="FFU86" s="63"/>
      <c r="FFV86" s="63"/>
      <c r="FFW86" s="63"/>
      <c r="FFX86" s="63"/>
      <c r="FFY86" s="63"/>
      <c r="FFZ86" s="63"/>
      <c r="FGA86" s="63"/>
      <c r="FGB86" s="63"/>
      <c r="FGC86" s="63"/>
      <c r="FGD86" s="63"/>
      <c r="FGE86" s="63"/>
      <c r="FGF86" s="63"/>
      <c r="FGG86" s="63"/>
      <c r="FGH86" s="63"/>
      <c r="FGI86" s="63"/>
      <c r="FGJ86" s="63"/>
      <c r="FGK86" s="63"/>
      <c r="FGL86" s="63"/>
      <c r="FGM86" s="63"/>
      <c r="FGN86" s="63"/>
      <c r="FGO86" s="63"/>
      <c r="FGP86" s="63"/>
      <c r="FGQ86" s="63"/>
      <c r="FGR86" s="63"/>
      <c r="FGS86" s="63"/>
      <c r="FGT86" s="63"/>
      <c r="FGU86" s="63"/>
      <c r="FGV86" s="63"/>
      <c r="FGW86" s="63"/>
      <c r="FGX86" s="63"/>
      <c r="FGY86" s="63"/>
      <c r="FGZ86" s="63"/>
      <c r="FHA86" s="63"/>
      <c r="FHB86" s="63"/>
      <c r="FHC86" s="63"/>
      <c r="FHD86" s="63"/>
      <c r="FHE86" s="63"/>
      <c r="FHF86" s="63"/>
      <c r="FHG86" s="63"/>
      <c r="FHH86" s="63"/>
      <c r="FHI86" s="63"/>
      <c r="FHJ86" s="63"/>
      <c r="FHK86" s="63"/>
      <c r="FHL86" s="63"/>
      <c r="FHM86" s="63"/>
      <c r="FHN86" s="63"/>
      <c r="FHO86" s="63"/>
      <c r="FHP86" s="63"/>
      <c r="FHQ86" s="63"/>
      <c r="FHR86" s="63"/>
      <c r="FHS86" s="63"/>
      <c r="FHT86" s="63"/>
      <c r="FHU86" s="63"/>
      <c r="FHV86" s="63"/>
      <c r="FHW86" s="63"/>
      <c r="FHX86" s="63"/>
      <c r="FHY86" s="63"/>
      <c r="FHZ86" s="63"/>
      <c r="FIA86" s="63"/>
      <c r="FIB86" s="63"/>
      <c r="FIC86" s="63"/>
      <c r="FID86" s="63"/>
      <c r="FIE86" s="63"/>
      <c r="FIF86" s="63"/>
      <c r="FIG86" s="63"/>
      <c r="FIH86" s="63"/>
      <c r="FII86" s="63"/>
      <c r="FIJ86" s="63"/>
      <c r="FIK86" s="63"/>
      <c r="FIL86" s="63"/>
      <c r="FIM86" s="63"/>
      <c r="FIN86" s="63"/>
      <c r="FIO86" s="63"/>
      <c r="FIP86" s="63"/>
      <c r="FIQ86" s="63"/>
      <c r="FIR86" s="63"/>
      <c r="FIS86" s="63"/>
      <c r="FIT86" s="63"/>
      <c r="FIU86" s="63"/>
      <c r="FIV86" s="63"/>
      <c r="FIW86" s="63"/>
      <c r="FIX86" s="63"/>
      <c r="FIY86" s="63"/>
      <c r="FIZ86" s="63"/>
      <c r="FJA86" s="63"/>
      <c r="FJB86" s="63"/>
      <c r="FJC86" s="63"/>
      <c r="FJD86" s="63"/>
      <c r="FJE86" s="63"/>
      <c r="FJF86" s="63"/>
      <c r="FJG86" s="63"/>
      <c r="FJH86" s="63"/>
      <c r="FJI86" s="63"/>
      <c r="FJJ86" s="63"/>
      <c r="FJK86" s="63"/>
      <c r="FJL86" s="63"/>
      <c r="FJM86" s="63"/>
      <c r="FJN86" s="63"/>
      <c r="FJO86" s="63"/>
      <c r="FJP86" s="63"/>
      <c r="FJQ86" s="63"/>
      <c r="FJR86" s="63"/>
      <c r="FJS86" s="63"/>
      <c r="FJT86" s="63"/>
      <c r="FJU86" s="63"/>
      <c r="FJV86" s="63"/>
      <c r="FJW86" s="63"/>
      <c r="FJX86" s="63"/>
      <c r="FJY86" s="63"/>
      <c r="FJZ86" s="63"/>
      <c r="FKA86" s="63"/>
      <c r="FKB86" s="63"/>
      <c r="FKC86" s="63"/>
      <c r="FKD86" s="63"/>
      <c r="FKE86" s="63"/>
      <c r="FKF86" s="63"/>
      <c r="FKG86" s="63"/>
      <c r="FKH86" s="63"/>
      <c r="FKI86" s="63"/>
      <c r="FKJ86" s="63"/>
      <c r="FKK86" s="63"/>
      <c r="FKL86" s="63"/>
      <c r="FKM86" s="63"/>
      <c r="FKN86" s="63"/>
      <c r="FKO86" s="63"/>
      <c r="FKP86" s="63"/>
      <c r="FKQ86" s="63"/>
      <c r="FKR86" s="63"/>
      <c r="FKS86" s="63"/>
      <c r="FKT86" s="63"/>
      <c r="FKU86" s="63"/>
      <c r="FKV86" s="63"/>
      <c r="FKW86" s="63"/>
      <c r="FKX86" s="63"/>
      <c r="FKY86" s="63"/>
      <c r="FKZ86" s="63"/>
      <c r="FLA86" s="63"/>
      <c r="FLB86" s="63"/>
      <c r="FLC86" s="63"/>
      <c r="FLD86" s="63"/>
      <c r="FLE86" s="63"/>
      <c r="FLF86" s="63"/>
      <c r="FLG86" s="63"/>
      <c r="FLH86" s="63"/>
      <c r="FLI86" s="63"/>
      <c r="FLJ86" s="63"/>
      <c r="FLK86" s="63"/>
      <c r="FLL86" s="63"/>
      <c r="FLM86" s="63"/>
      <c r="FLN86" s="63"/>
      <c r="FLO86" s="63"/>
      <c r="FLP86" s="63"/>
      <c r="FLQ86" s="63"/>
      <c r="FLR86" s="63"/>
      <c r="FLS86" s="63"/>
      <c r="FLT86" s="63"/>
      <c r="FLU86" s="63"/>
      <c r="FLV86" s="63"/>
      <c r="FLW86" s="63"/>
      <c r="FLX86" s="63"/>
      <c r="FLY86" s="63"/>
      <c r="FLZ86" s="63"/>
      <c r="FMA86" s="63"/>
      <c r="FMB86" s="63"/>
      <c r="FMC86" s="63"/>
      <c r="FMD86" s="63"/>
      <c r="FME86" s="63"/>
      <c r="FMF86" s="63"/>
      <c r="FMG86" s="63"/>
      <c r="FMH86" s="63"/>
      <c r="FMI86" s="63"/>
      <c r="FMJ86" s="63"/>
      <c r="FMK86" s="63"/>
      <c r="FML86" s="63"/>
      <c r="FMM86" s="63"/>
      <c r="FMN86" s="63"/>
      <c r="FMO86" s="63"/>
      <c r="FMP86" s="63"/>
      <c r="FMQ86" s="63"/>
      <c r="FMR86" s="63"/>
      <c r="FMS86" s="63"/>
      <c r="FMT86" s="63"/>
      <c r="FMU86" s="63"/>
      <c r="FMV86" s="63"/>
      <c r="FMW86" s="63"/>
      <c r="FMX86" s="63"/>
      <c r="FMY86" s="63"/>
      <c r="FMZ86" s="63"/>
      <c r="FNA86" s="63"/>
      <c r="FNB86" s="63"/>
      <c r="FNC86" s="63"/>
      <c r="FND86" s="63"/>
      <c r="FNE86" s="63"/>
      <c r="FNF86" s="63"/>
      <c r="FNG86" s="63"/>
      <c r="FNH86" s="63"/>
      <c r="FNI86" s="63"/>
      <c r="FNJ86" s="63"/>
      <c r="FNK86" s="63"/>
      <c r="FNL86" s="63"/>
      <c r="FNM86" s="63"/>
      <c r="FNN86" s="63"/>
      <c r="FNO86" s="63"/>
      <c r="FNP86" s="63"/>
      <c r="FNQ86" s="63"/>
      <c r="FNR86" s="63"/>
      <c r="FNS86" s="63"/>
      <c r="FNT86" s="63"/>
      <c r="FNU86" s="63"/>
      <c r="FNV86" s="63"/>
      <c r="FNW86" s="63"/>
      <c r="FNX86" s="63"/>
      <c r="FNY86" s="63"/>
      <c r="FNZ86" s="63"/>
      <c r="FOA86" s="63"/>
      <c r="FOB86" s="63"/>
      <c r="FOC86" s="63"/>
      <c r="FOD86" s="63"/>
      <c r="FOE86" s="63"/>
      <c r="FOF86" s="63"/>
      <c r="FOG86" s="63"/>
      <c r="FOH86" s="63"/>
      <c r="FOI86" s="63"/>
      <c r="FOJ86" s="63"/>
      <c r="FOK86" s="63"/>
      <c r="FOL86" s="63"/>
      <c r="FOM86" s="63"/>
      <c r="FON86" s="63"/>
      <c r="FOO86" s="63"/>
      <c r="FOP86" s="63"/>
      <c r="FOQ86" s="63"/>
      <c r="FOR86" s="63"/>
      <c r="FOS86" s="63"/>
      <c r="FOT86" s="63"/>
      <c r="FOU86" s="63"/>
      <c r="FOV86" s="63"/>
      <c r="FOW86" s="63"/>
      <c r="FOX86" s="63"/>
      <c r="FOY86" s="63"/>
      <c r="FOZ86" s="63"/>
      <c r="FPA86" s="63"/>
      <c r="FPB86" s="63"/>
      <c r="FPC86" s="63"/>
      <c r="FPD86" s="63"/>
      <c r="FPE86" s="63"/>
      <c r="FPF86" s="63"/>
      <c r="FPG86" s="63"/>
      <c r="FPH86" s="63"/>
      <c r="FPI86" s="63"/>
      <c r="FPJ86" s="63"/>
      <c r="FPK86" s="63"/>
      <c r="FPL86" s="63"/>
      <c r="FPM86" s="63"/>
      <c r="FPN86" s="63"/>
      <c r="FPO86" s="63"/>
      <c r="FPP86" s="63"/>
      <c r="FPQ86" s="63"/>
      <c r="FPR86" s="63"/>
      <c r="FPS86" s="63"/>
      <c r="FPT86" s="63"/>
      <c r="FPU86" s="63"/>
      <c r="FPV86" s="63"/>
      <c r="FPW86" s="63"/>
      <c r="FPX86" s="63"/>
      <c r="FPY86" s="63"/>
      <c r="FPZ86" s="63"/>
      <c r="FQA86" s="63"/>
      <c r="FQB86" s="63"/>
      <c r="FQC86" s="63"/>
      <c r="FQD86" s="63"/>
      <c r="FQE86" s="63"/>
      <c r="FQF86" s="63"/>
      <c r="FQG86" s="63"/>
      <c r="FQH86" s="63"/>
      <c r="FQI86" s="63"/>
      <c r="FQJ86" s="63"/>
      <c r="FQK86" s="63"/>
      <c r="FQL86" s="63"/>
      <c r="FQM86" s="63"/>
      <c r="FQN86" s="63"/>
      <c r="FQO86" s="63"/>
      <c r="FQP86" s="63"/>
      <c r="FQQ86" s="63"/>
      <c r="FQR86" s="63"/>
      <c r="FQS86" s="63"/>
      <c r="FQT86" s="63"/>
      <c r="FQU86" s="63"/>
      <c r="FQV86" s="63"/>
      <c r="FQW86" s="63"/>
      <c r="FQX86" s="63"/>
      <c r="FQY86" s="63"/>
      <c r="FQZ86" s="63"/>
      <c r="FRA86" s="63"/>
      <c r="FRB86" s="63"/>
      <c r="FRC86" s="63"/>
      <c r="FRD86" s="63"/>
      <c r="FRE86" s="63"/>
      <c r="FRF86" s="63"/>
      <c r="FRG86" s="63"/>
      <c r="FRH86" s="63"/>
      <c r="FRI86" s="63"/>
      <c r="FRJ86" s="63"/>
      <c r="FRK86" s="63"/>
      <c r="FRL86" s="63"/>
      <c r="FRM86" s="63"/>
      <c r="FRN86" s="63"/>
      <c r="FRO86" s="63"/>
      <c r="FRP86" s="63"/>
      <c r="FRQ86" s="63"/>
      <c r="FRR86" s="63"/>
      <c r="FRS86" s="63"/>
      <c r="FRT86" s="63"/>
      <c r="FRU86" s="63"/>
      <c r="FRV86" s="63"/>
      <c r="FRW86" s="63"/>
      <c r="FRX86" s="63"/>
      <c r="FRY86" s="63"/>
      <c r="FRZ86" s="63"/>
      <c r="FSA86" s="63"/>
      <c r="FSB86" s="63"/>
      <c r="FSC86" s="63"/>
      <c r="FSD86" s="63"/>
      <c r="FSE86" s="63"/>
      <c r="FSF86" s="63"/>
      <c r="FSG86" s="63"/>
      <c r="FSH86" s="63"/>
      <c r="FSI86" s="63"/>
      <c r="FSJ86" s="63"/>
      <c r="FSK86" s="63"/>
      <c r="FSL86" s="63"/>
      <c r="FSM86" s="63"/>
      <c r="FSN86" s="63"/>
      <c r="FSO86" s="63"/>
      <c r="FSP86" s="63"/>
      <c r="FSQ86" s="63"/>
      <c r="FSR86" s="63"/>
      <c r="FSS86" s="63"/>
      <c r="FST86" s="63"/>
      <c r="FSU86" s="63"/>
      <c r="FSV86" s="63"/>
      <c r="FSW86" s="63"/>
      <c r="FSX86" s="63"/>
      <c r="FSY86" s="63"/>
      <c r="FSZ86" s="63"/>
      <c r="FTA86" s="63"/>
      <c r="FTB86" s="63"/>
      <c r="FTC86" s="63"/>
      <c r="FTD86" s="63"/>
      <c r="FTE86" s="63"/>
      <c r="FTF86" s="63"/>
      <c r="FTG86" s="63"/>
      <c r="FTH86" s="63"/>
      <c r="FTI86" s="63"/>
      <c r="FTJ86" s="63"/>
      <c r="FTK86" s="63"/>
      <c r="FTL86" s="63"/>
      <c r="FTM86" s="63"/>
      <c r="FTN86" s="63"/>
      <c r="FTO86" s="63"/>
      <c r="FTP86" s="63"/>
      <c r="FTQ86" s="63"/>
      <c r="FTR86" s="63"/>
      <c r="FTS86" s="63"/>
      <c r="FTT86" s="63"/>
      <c r="FTU86" s="63"/>
      <c r="FTV86" s="63"/>
      <c r="FTW86" s="63"/>
      <c r="FTX86" s="63"/>
      <c r="FTY86" s="63"/>
      <c r="FTZ86" s="63"/>
      <c r="FUA86" s="63"/>
      <c r="FUB86" s="63"/>
      <c r="FUC86" s="63"/>
      <c r="FUD86" s="63"/>
      <c r="FUE86" s="63"/>
      <c r="FUF86" s="63"/>
      <c r="FUG86" s="63"/>
      <c r="FUH86" s="63"/>
      <c r="FUI86" s="63"/>
      <c r="FUJ86" s="63"/>
      <c r="FUK86" s="63"/>
      <c r="FUL86" s="63"/>
      <c r="FUM86" s="63"/>
      <c r="FUN86" s="63"/>
      <c r="FUO86" s="63"/>
      <c r="FUP86" s="63"/>
      <c r="FUQ86" s="63"/>
      <c r="FUR86" s="63"/>
      <c r="FUS86" s="63"/>
      <c r="FUT86" s="63"/>
      <c r="FUU86" s="63"/>
      <c r="FUV86" s="63"/>
      <c r="FUW86" s="63"/>
      <c r="FUX86" s="63"/>
      <c r="FUY86" s="63"/>
      <c r="FUZ86" s="63"/>
      <c r="FVA86" s="63"/>
      <c r="FVB86" s="63"/>
      <c r="FVC86" s="63"/>
      <c r="FVD86" s="63"/>
      <c r="FVE86" s="63"/>
      <c r="FVF86" s="63"/>
      <c r="FVG86" s="63"/>
      <c r="FVH86" s="63"/>
      <c r="FVI86" s="63"/>
      <c r="FVJ86" s="63"/>
      <c r="FVK86" s="63"/>
      <c r="FVL86" s="63"/>
      <c r="FVM86" s="63"/>
      <c r="FVN86" s="63"/>
      <c r="FVO86" s="63"/>
      <c r="FVP86" s="63"/>
      <c r="FVQ86" s="63"/>
      <c r="FVR86" s="63"/>
      <c r="FVS86" s="63"/>
      <c r="FVT86" s="63"/>
      <c r="FVU86" s="63"/>
      <c r="FVV86" s="63"/>
      <c r="FVW86" s="63"/>
      <c r="FVX86" s="63"/>
      <c r="FVY86" s="63"/>
      <c r="FVZ86" s="63"/>
      <c r="FWA86" s="63"/>
      <c r="FWB86" s="63"/>
      <c r="FWC86" s="63"/>
      <c r="FWD86" s="63"/>
      <c r="FWE86" s="63"/>
      <c r="FWF86" s="63"/>
      <c r="FWG86" s="63"/>
      <c r="FWH86" s="63"/>
      <c r="FWI86" s="63"/>
      <c r="FWJ86" s="63"/>
      <c r="FWK86" s="63"/>
      <c r="FWL86" s="63"/>
      <c r="FWM86" s="63"/>
      <c r="FWN86" s="63"/>
      <c r="FWO86" s="63"/>
      <c r="FWP86" s="63"/>
      <c r="FWQ86" s="63"/>
      <c r="FWR86" s="63"/>
      <c r="FWS86" s="63"/>
      <c r="FWT86" s="63"/>
      <c r="FWU86" s="63"/>
      <c r="FWV86" s="63"/>
      <c r="FWW86" s="63"/>
      <c r="FWX86" s="63"/>
      <c r="FWY86" s="63"/>
      <c r="FWZ86" s="63"/>
      <c r="FXA86" s="63"/>
      <c r="FXB86" s="63"/>
      <c r="FXC86" s="63"/>
      <c r="FXD86" s="63"/>
      <c r="FXE86" s="63"/>
      <c r="FXF86" s="63"/>
      <c r="FXG86" s="63"/>
      <c r="FXH86" s="63"/>
      <c r="FXI86" s="63"/>
      <c r="FXJ86" s="63"/>
      <c r="FXK86" s="63"/>
      <c r="FXL86" s="63"/>
      <c r="FXM86" s="63"/>
      <c r="FXN86" s="63"/>
      <c r="FXO86" s="63"/>
      <c r="FXP86" s="63"/>
      <c r="FXQ86" s="63"/>
      <c r="FXR86" s="63"/>
      <c r="FXS86" s="63"/>
      <c r="FXT86" s="63"/>
      <c r="FXU86" s="63"/>
      <c r="FXV86" s="63"/>
      <c r="FXW86" s="63"/>
      <c r="FXX86" s="63"/>
      <c r="FXY86" s="63"/>
      <c r="FXZ86" s="63"/>
      <c r="FYA86" s="63"/>
      <c r="FYB86" s="63"/>
      <c r="FYC86" s="63"/>
      <c r="FYD86" s="63"/>
      <c r="FYE86" s="63"/>
      <c r="FYF86" s="63"/>
      <c r="FYG86" s="63"/>
      <c r="FYH86" s="63"/>
      <c r="FYI86" s="63"/>
      <c r="FYJ86" s="63"/>
      <c r="FYK86" s="63"/>
      <c r="FYL86" s="63"/>
      <c r="FYM86" s="63"/>
      <c r="FYN86" s="63"/>
      <c r="FYO86" s="63"/>
      <c r="FYP86" s="63"/>
      <c r="FYQ86" s="63"/>
      <c r="FYR86" s="63"/>
      <c r="FYS86" s="63"/>
      <c r="FYT86" s="63"/>
      <c r="FYU86" s="63"/>
      <c r="FYV86" s="63"/>
      <c r="FYW86" s="63"/>
      <c r="FYX86" s="63"/>
      <c r="FYY86" s="63"/>
      <c r="FYZ86" s="63"/>
      <c r="FZA86" s="63"/>
      <c r="FZB86" s="63"/>
      <c r="FZC86" s="63"/>
      <c r="FZD86" s="63"/>
      <c r="FZE86" s="63"/>
      <c r="FZF86" s="63"/>
      <c r="FZG86" s="63"/>
      <c r="FZH86" s="63"/>
      <c r="FZI86" s="63"/>
      <c r="FZJ86" s="63"/>
      <c r="FZK86" s="63"/>
      <c r="FZL86" s="63"/>
      <c r="FZM86" s="63"/>
      <c r="FZN86" s="63"/>
      <c r="FZO86" s="63"/>
      <c r="FZP86" s="63"/>
      <c r="FZQ86" s="63"/>
      <c r="FZR86" s="63"/>
      <c r="FZS86" s="63"/>
      <c r="FZT86" s="63"/>
      <c r="FZU86" s="63"/>
      <c r="FZV86" s="63"/>
      <c r="FZW86" s="63"/>
      <c r="FZX86" s="63"/>
      <c r="FZY86" s="63"/>
      <c r="FZZ86" s="63"/>
      <c r="GAA86" s="63"/>
      <c r="GAB86" s="63"/>
      <c r="GAC86" s="63"/>
      <c r="GAD86" s="63"/>
      <c r="GAE86" s="63"/>
      <c r="GAF86" s="63"/>
      <c r="GAG86" s="63"/>
      <c r="GAH86" s="63"/>
      <c r="GAI86" s="63"/>
      <c r="GAJ86" s="63"/>
      <c r="GAK86" s="63"/>
      <c r="GAL86" s="63"/>
      <c r="GAM86" s="63"/>
      <c r="GAN86" s="63"/>
      <c r="GAO86" s="63"/>
      <c r="GAP86" s="63"/>
      <c r="GAQ86" s="63"/>
      <c r="GAR86" s="63"/>
      <c r="GAS86" s="63"/>
      <c r="GAT86" s="63"/>
      <c r="GAU86" s="63"/>
      <c r="GAV86" s="63"/>
      <c r="GAW86" s="63"/>
      <c r="GAX86" s="63"/>
      <c r="GAY86" s="63"/>
      <c r="GAZ86" s="63"/>
      <c r="GBA86" s="63"/>
      <c r="GBB86" s="63"/>
      <c r="GBC86" s="63"/>
      <c r="GBD86" s="63"/>
      <c r="GBE86" s="63"/>
      <c r="GBF86" s="63"/>
      <c r="GBG86" s="63"/>
      <c r="GBH86" s="63"/>
      <c r="GBI86" s="63"/>
      <c r="GBJ86" s="63"/>
      <c r="GBK86" s="63"/>
      <c r="GBL86" s="63"/>
      <c r="GBM86" s="63"/>
      <c r="GBN86" s="63"/>
      <c r="GBO86" s="63"/>
      <c r="GBP86" s="63"/>
      <c r="GBQ86" s="63"/>
      <c r="GBR86" s="63"/>
      <c r="GBS86" s="63"/>
      <c r="GBT86" s="63"/>
      <c r="GBU86" s="63"/>
      <c r="GBV86" s="63"/>
      <c r="GBW86" s="63"/>
      <c r="GBX86" s="63"/>
      <c r="GBY86" s="63"/>
      <c r="GBZ86" s="63"/>
      <c r="GCA86" s="63"/>
      <c r="GCB86" s="63"/>
      <c r="GCC86" s="63"/>
      <c r="GCD86" s="63"/>
      <c r="GCE86" s="63"/>
      <c r="GCF86" s="63"/>
      <c r="GCG86" s="63"/>
      <c r="GCH86" s="63"/>
      <c r="GCI86" s="63"/>
      <c r="GCJ86" s="63"/>
      <c r="GCK86" s="63"/>
      <c r="GCL86" s="63"/>
      <c r="GCM86" s="63"/>
      <c r="GCN86" s="63"/>
      <c r="GCO86" s="63"/>
      <c r="GCP86" s="63"/>
      <c r="GCQ86" s="63"/>
      <c r="GCR86" s="63"/>
      <c r="GCS86" s="63"/>
      <c r="GCT86" s="63"/>
      <c r="GCU86" s="63"/>
      <c r="GCV86" s="63"/>
      <c r="GCW86" s="63"/>
      <c r="GCX86" s="63"/>
      <c r="GCY86" s="63"/>
      <c r="GCZ86" s="63"/>
      <c r="GDA86" s="63"/>
      <c r="GDB86" s="63"/>
      <c r="GDC86" s="63"/>
      <c r="GDD86" s="63"/>
      <c r="GDE86" s="63"/>
      <c r="GDF86" s="63"/>
      <c r="GDG86" s="63"/>
      <c r="GDH86" s="63"/>
      <c r="GDI86" s="63"/>
      <c r="GDJ86" s="63"/>
      <c r="GDK86" s="63"/>
      <c r="GDL86" s="63"/>
      <c r="GDM86" s="63"/>
      <c r="GDN86" s="63"/>
      <c r="GDO86" s="63"/>
      <c r="GDP86" s="63"/>
      <c r="GDQ86" s="63"/>
      <c r="GDR86" s="63"/>
      <c r="GDS86" s="63"/>
      <c r="GDT86" s="63"/>
      <c r="GDU86" s="63"/>
      <c r="GDV86" s="63"/>
      <c r="GDW86" s="63"/>
      <c r="GDX86" s="63"/>
      <c r="GDY86" s="63"/>
      <c r="GDZ86" s="63"/>
      <c r="GEA86" s="63"/>
      <c r="GEB86" s="63"/>
      <c r="GEC86" s="63"/>
      <c r="GED86" s="63"/>
      <c r="GEE86" s="63"/>
      <c r="GEF86" s="63"/>
      <c r="GEG86" s="63"/>
      <c r="GEH86" s="63"/>
      <c r="GEI86" s="63"/>
      <c r="GEJ86" s="63"/>
      <c r="GEK86" s="63"/>
      <c r="GEL86" s="63"/>
      <c r="GEM86" s="63"/>
      <c r="GEN86" s="63"/>
      <c r="GEO86" s="63"/>
      <c r="GEP86" s="63"/>
      <c r="GEQ86" s="63"/>
      <c r="GER86" s="63"/>
      <c r="GES86" s="63"/>
      <c r="GET86" s="63"/>
      <c r="GEU86" s="63"/>
      <c r="GEV86" s="63"/>
      <c r="GEW86" s="63"/>
      <c r="GEX86" s="63"/>
      <c r="GEY86" s="63"/>
      <c r="GEZ86" s="63"/>
      <c r="GFA86" s="63"/>
      <c r="GFB86" s="63"/>
      <c r="GFC86" s="63"/>
      <c r="GFD86" s="63"/>
      <c r="GFE86" s="63"/>
      <c r="GFF86" s="63"/>
      <c r="GFG86" s="63"/>
      <c r="GFH86" s="63"/>
      <c r="GFI86" s="63"/>
      <c r="GFJ86" s="63"/>
      <c r="GFK86" s="63"/>
      <c r="GFL86" s="63"/>
      <c r="GFM86" s="63"/>
      <c r="GFN86" s="63"/>
      <c r="GFO86" s="63"/>
      <c r="GFP86" s="63"/>
      <c r="GFQ86" s="63"/>
      <c r="GFR86" s="63"/>
      <c r="GFS86" s="63"/>
      <c r="GFT86" s="63"/>
      <c r="GFU86" s="63"/>
      <c r="GFV86" s="63"/>
      <c r="GFW86" s="63"/>
      <c r="GFX86" s="63"/>
      <c r="GFY86" s="63"/>
      <c r="GFZ86" s="63"/>
      <c r="GGA86" s="63"/>
      <c r="GGB86" s="63"/>
      <c r="GGC86" s="63"/>
      <c r="GGD86" s="63"/>
      <c r="GGE86" s="63"/>
      <c r="GGF86" s="63"/>
      <c r="GGG86" s="63"/>
      <c r="GGH86" s="63"/>
      <c r="GGI86" s="63"/>
      <c r="GGJ86" s="63"/>
      <c r="GGK86" s="63"/>
      <c r="GGL86" s="63"/>
      <c r="GGM86" s="63"/>
      <c r="GGN86" s="63"/>
      <c r="GGO86" s="63"/>
      <c r="GGP86" s="63"/>
      <c r="GGQ86" s="63"/>
      <c r="GGR86" s="63"/>
      <c r="GGS86" s="63"/>
      <c r="GGT86" s="63"/>
      <c r="GGU86" s="63"/>
      <c r="GGV86" s="63"/>
      <c r="GGW86" s="63"/>
      <c r="GGX86" s="63"/>
      <c r="GGY86" s="63"/>
      <c r="GGZ86" s="63"/>
      <c r="GHA86" s="63"/>
      <c r="GHB86" s="63"/>
      <c r="GHC86" s="63"/>
      <c r="GHD86" s="63"/>
      <c r="GHE86" s="63"/>
      <c r="GHF86" s="63"/>
      <c r="GHG86" s="63"/>
      <c r="GHH86" s="63"/>
      <c r="GHI86" s="63"/>
      <c r="GHJ86" s="63"/>
      <c r="GHK86" s="63"/>
      <c r="GHL86" s="63"/>
      <c r="GHM86" s="63"/>
      <c r="GHN86" s="63"/>
      <c r="GHO86" s="63"/>
      <c r="GHP86" s="63"/>
      <c r="GHQ86" s="63"/>
      <c r="GHR86" s="63"/>
      <c r="GHS86" s="63"/>
      <c r="GHT86" s="63"/>
      <c r="GHU86" s="63"/>
      <c r="GHV86" s="63"/>
      <c r="GHW86" s="63"/>
      <c r="GHX86" s="63"/>
      <c r="GHY86" s="63"/>
      <c r="GHZ86" s="63"/>
      <c r="GIA86" s="63"/>
      <c r="GIB86" s="63"/>
      <c r="GIC86" s="63"/>
      <c r="GID86" s="63"/>
      <c r="GIE86" s="63"/>
      <c r="GIF86" s="63"/>
      <c r="GIG86" s="63"/>
      <c r="GIH86" s="63"/>
      <c r="GII86" s="63"/>
      <c r="GIJ86" s="63"/>
      <c r="GIK86" s="63"/>
      <c r="GIL86" s="63"/>
      <c r="GIM86" s="63"/>
      <c r="GIN86" s="63"/>
      <c r="GIO86" s="63"/>
      <c r="GIP86" s="63"/>
      <c r="GIQ86" s="63"/>
      <c r="GIR86" s="63"/>
      <c r="GIS86" s="63"/>
      <c r="GIT86" s="63"/>
      <c r="GIU86" s="63"/>
      <c r="GIV86" s="63"/>
      <c r="GIW86" s="63"/>
      <c r="GIX86" s="63"/>
      <c r="GIY86" s="63"/>
      <c r="GIZ86" s="63"/>
      <c r="GJA86" s="63"/>
      <c r="GJB86" s="63"/>
      <c r="GJC86" s="63"/>
      <c r="GJD86" s="63"/>
      <c r="GJE86" s="63"/>
      <c r="GJF86" s="63"/>
      <c r="GJG86" s="63"/>
      <c r="GJH86" s="63"/>
      <c r="GJI86" s="63"/>
      <c r="GJJ86" s="63"/>
      <c r="GJK86" s="63"/>
      <c r="GJL86" s="63"/>
      <c r="GJM86" s="63"/>
      <c r="GJN86" s="63"/>
      <c r="GJO86" s="63"/>
      <c r="GJP86" s="63"/>
      <c r="GJQ86" s="63"/>
      <c r="GJR86" s="63"/>
      <c r="GJS86" s="63"/>
      <c r="GJT86" s="63"/>
      <c r="GJU86" s="63"/>
      <c r="GJV86" s="63"/>
      <c r="GJW86" s="63"/>
      <c r="GJX86" s="63"/>
      <c r="GJY86" s="63"/>
      <c r="GJZ86" s="63"/>
      <c r="GKA86" s="63"/>
      <c r="GKB86" s="63"/>
      <c r="GKC86" s="63"/>
      <c r="GKD86" s="63"/>
      <c r="GKE86" s="63"/>
      <c r="GKF86" s="63"/>
      <c r="GKG86" s="63"/>
      <c r="GKH86" s="63"/>
      <c r="GKI86" s="63"/>
      <c r="GKJ86" s="63"/>
      <c r="GKK86" s="63"/>
      <c r="GKL86" s="63"/>
      <c r="GKM86" s="63"/>
      <c r="GKN86" s="63"/>
      <c r="GKO86" s="63"/>
      <c r="GKP86" s="63"/>
      <c r="GKQ86" s="63"/>
      <c r="GKR86" s="63"/>
      <c r="GKS86" s="63"/>
      <c r="GKT86" s="63"/>
      <c r="GKU86" s="63"/>
      <c r="GKV86" s="63"/>
      <c r="GKW86" s="63"/>
      <c r="GKX86" s="63"/>
      <c r="GKY86" s="63"/>
      <c r="GKZ86" s="63"/>
      <c r="GLA86" s="63"/>
      <c r="GLB86" s="63"/>
      <c r="GLC86" s="63"/>
      <c r="GLD86" s="63"/>
      <c r="GLE86" s="63"/>
      <c r="GLF86" s="63"/>
      <c r="GLG86" s="63"/>
      <c r="GLH86" s="63"/>
      <c r="GLI86" s="63"/>
      <c r="GLJ86" s="63"/>
      <c r="GLK86" s="63"/>
      <c r="GLL86" s="63"/>
      <c r="GLM86" s="63"/>
      <c r="GLN86" s="63"/>
      <c r="GLO86" s="63"/>
      <c r="GLP86" s="63"/>
      <c r="GLQ86" s="63"/>
      <c r="GLR86" s="63"/>
      <c r="GLS86" s="63"/>
      <c r="GLT86" s="63"/>
      <c r="GLU86" s="63"/>
      <c r="GLV86" s="63"/>
      <c r="GLW86" s="63"/>
      <c r="GLX86" s="63"/>
      <c r="GLY86" s="63"/>
      <c r="GLZ86" s="63"/>
      <c r="GMA86" s="63"/>
      <c r="GMB86" s="63"/>
      <c r="GMC86" s="63"/>
      <c r="GMD86" s="63"/>
      <c r="GME86" s="63"/>
      <c r="GMF86" s="63"/>
      <c r="GMG86" s="63"/>
      <c r="GMH86" s="63"/>
      <c r="GMI86" s="63"/>
      <c r="GMJ86" s="63"/>
      <c r="GMK86" s="63"/>
      <c r="GML86" s="63"/>
      <c r="GMM86" s="63"/>
      <c r="GMN86" s="63"/>
      <c r="GMO86" s="63"/>
      <c r="GMP86" s="63"/>
      <c r="GMQ86" s="63"/>
      <c r="GMR86" s="63"/>
      <c r="GMS86" s="63"/>
      <c r="GMT86" s="63"/>
      <c r="GMU86" s="63"/>
      <c r="GMV86" s="63"/>
      <c r="GMW86" s="63"/>
      <c r="GMX86" s="63"/>
      <c r="GMY86" s="63"/>
      <c r="GMZ86" s="63"/>
      <c r="GNA86" s="63"/>
      <c r="GNB86" s="63"/>
      <c r="GNC86" s="63"/>
      <c r="GND86" s="63"/>
      <c r="GNE86" s="63"/>
      <c r="GNF86" s="63"/>
      <c r="GNG86" s="63"/>
      <c r="GNH86" s="63"/>
      <c r="GNI86" s="63"/>
      <c r="GNJ86" s="63"/>
      <c r="GNK86" s="63"/>
      <c r="GNL86" s="63"/>
      <c r="GNM86" s="63"/>
      <c r="GNN86" s="63"/>
      <c r="GNO86" s="63"/>
      <c r="GNP86" s="63"/>
      <c r="GNQ86" s="63"/>
      <c r="GNR86" s="63"/>
      <c r="GNS86" s="63"/>
      <c r="GNT86" s="63"/>
      <c r="GNU86" s="63"/>
      <c r="GNV86" s="63"/>
      <c r="GNW86" s="63"/>
      <c r="GNX86" s="63"/>
      <c r="GNY86" s="63"/>
      <c r="GNZ86" s="63"/>
      <c r="GOA86" s="63"/>
      <c r="GOB86" s="63"/>
      <c r="GOC86" s="63"/>
      <c r="GOD86" s="63"/>
      <c r="GOE86" s="63"/>
      <c r="GOF86" s="63"/>
      <c r="GOG86" s="63"/>
      <c r="GOH86" s="63"/>
      <c r="GOI86" s="63"/>
      <c r="GOJ86" s="63"/>
      <c r="GOK86" s="63"/>
      <c r="GOL86" s="63"/>
      <c r="GOM86" s="63"/>
      <c r="GON86" s="63"/>
      <c r="GOO86" s="63"/>
      <c r="GOP86" s="63"/>
      <c r="GOQ86" s="63"/>
      <c r="GOR86" s="63"/>
      <c r="GOS86" s="63"/>
      <c r="GOT86" s="63"/>
      <c r="GOU86" s="63"/>
      <c r="GOV86" s="63"/>
      <c r="GOW86" s="63"/>
      <c r="GOX86" s="63"/>
      <c r="GOY86" s="63"/>
      <c r="GOZ86" s="63"/>
      <c r="GPA86" s="63"/>
      <c r="GPB86" s="63"/>
      <c r="GPC86" s="63"/>
      <c r="GPD86" s="63"/>
      <c r="GPE86" s="63"/>
      <c r="GPF86" s="63"/>
      <c r="GPG86" s="63"/>
      <c r="GPH86" s="63"/>
      <c r="GPI86" s="63"/>
      <c r="GPJ86" s="63"/>
      <c r="GPK86" s="63"/>
      <c r="GPL86" s="63"/>
      <c r="GPM86" s="63"/>
      <c r="GPN86" s="63"/>
      <c r="GPO86" s="63"/>
      <c r="GPP86" s="63"/>
      <c r="GPQ86" s="63"/>
      <c r="GPR86" s="63"/>
      <c r="GPS86" s="63"/>
      <c r="GPT86" s="63"/>
      <c r="GPU86" s="63"/>
      <c r="GPV86" s="63"/>
      <c r="GPW86" s="63"/>
      <c r="GPX86" s="63"/>
      <c r="GPY86" s="63"/>
      <c r="GPZ86" s="63"/>
      <c r="GQA86" s="63"/>
      <c r="GQB86" s="63"/>
      <c r="GQC86" s="63"/>
      <c r="GQD86" s="63"/>
      <c r="GQE86" s="63"/>
      <c r="GQF86" s="63"/>
      <c r="GQG86" s="63"/>
      <c r="GQH86" s="63"/>
      <c r="GQI86" s="63"/>
      <c r="GQJ86" s="63"/>
      <c r="GQK86" s="63"/>
      <c r="GQL86" s="63"/>
      <c r="GQM86" s="63"/>
      <c r="GQN86" s="63"/>
      <c r="GQO86" s="63"/>
      <c r="GQP86" s="63"/>
      <c r="GQQ86" s="63"/>
      <c r="GQR86" s="63"/>
      <c r="GQS86" s="63"/>
      <c r="GQT86" s="63"/>
      <c r="GQU86" s="63"/>
      <c r="GQV86" s="63"/>
      <c r="GQW86" s="63"/>
      <c r="GQX86" s="63"/>
      <c r="GQY86" s="63"/>
      <c r="GQZ86" s="63"/>
      <c r="GRA86" s="63"/>
      <c r="GRB86" s="63"/>
      <c r="GRC86" s="63"/>
      <c r="GRD86" s="63"/>
      <c r="GRE86" s="63"/>
      <c r="GRF86" s="63"/>
      <c r="GRG86" s="63"/>
      <c r="GRH86" s="63"/>
      <c r="GRI86" s="63"/>
      <c r="GRJ86" s="63"/>
      <c r="GRK86" s="63"/>
      <c r="GRL86" s="63"/>
      <c r="GRM86" s="63"/>
      <c r="GRN86" s="63"/>
      <c r="GRO86" s="63"/>
      <c r="GRP86" s="63"/>
      <c r="GRQ86" s="63"/>
      <c r="GRR86" s="63"/>
      <c r="GRS86" s="63"/>
      <c r="GRT86" s="63"/>
      <c r="GRU86" s="63"/>
      <c r="GRV86" s="63"/>
      <c r="GRW86" s="63"/>
      <c r="GRX86" s="63"/>
      <c r="GRY86" s="63"/>
      <c r="GRZ86" s="63"/>
      <c r="GSA86" s="63"/>
      <c r="GSB86" s="63"/>
      <c r="GSC86" s="63"/>
      <c r="GSD86" s="63"/>
      <c r="GSE86" s="63"/>
      <c r="GSF86" s="63"/>
      <c r="GSG86" s="63"/>
      <c r="GSH86" s="63"/>
      <c r="GSI86" s="63"/>
      <c r="GSJ86" s="63"/>
      <c r="GSK86" s="63"/>
      <c r="GSL86" s="63"/>
      <c r="GSM86" s="63"/>
      <c r="GSN86" s="63"/>
      <c r="GSO86" s="63"/>
      <c r="GSP86" s="63"/>
      <c r="GSQ86" s="63"/>
      <c r="GSR86" s="63"/>
      <c r="GSS86" s="63"/>
      <c r="GST86" s="63"/>
      <c r="GSU86" s="63"/>
      <c r="GSV86" s="63"/>
      <c r="GSW86" s="63"/>
      <c r="GSX86" s="63"/>
      <c r="GSY86" s="63"/>
      <c r="GSZ86" s="63"/>
      <c r="GTA86" s="63"/>
      <c r="GTB86" s="63"/>
      <c r="GTC86" s="63"/>
      <c r="GTD86" s="63"/>
      <c r="GTE86" s="63"/>
      <c r="GTF86" s="63"/>
      <c r="GTG86" s="63"/>
      <c r="GTH86" s="63"/>
      <c r="GTI86" s="63"/>
      <c r="GTJ86" s="63"/>
      <c r="GTK86" s="63"/>
      <c r="GTL86" s="63"/>
      <c r="GTM86" s="63"/>
      <c r="GTN86" s="63"/>
      <c r="GTO86" s="63"/>
      <c r="GTP86" s="63"/>
      <c r="GTQ86" s="63"/>
      <c r="GTR86" s="63"/>
      <c r="GTS86" s="63"/>
      <c r="GTT86" s="63"/>
      <c r="GTU86" s="63"/>
      <c r="GTV86" s="63"/>
      <c r="GTW86" s="63"/>
      <c r="GTX86" s="63"/>
      <c r="GTY86" s="63"/>
      <c r="GTZ86" s="63"/>
      <c r="GUA86" s="63"/>
      <c r="GUB86" s="63"/>
      <c r="GUC86" s="63"/>
      <c r="GUD86" s="63"/>
      <c r="GUE86" s="63"/>
      <c r="GUF86" s="63"/>
      <c r="GUG86" s="63"/>
      <c r="GUH86" s="63"/>
      <c r="GUI86" s="63"/>
      <c r="GUJ86" s="63"/>
      <c r="GUK86" s="63"/>
      <c r="GUL86" s="63"/>
      <c r="GUM86" s="63"/>
      <c r="GUN86" s="63"/>
      <c r="GUO86" s="63"/>
      <c r="GUP86" s="63"/>
      <c r="GUQ86" s="63"/>
      <c r="GUR86" s="63"/>
      <c r="GUS86" s="63"/>
      <c r="GUT86" s="63"/>
      <c r="GUU86" s="63"/>
      <c r="GUV86" s="63"/>
      <c r="GUW86" s="63"/>
      <c r="GUX86" s="63"/>
      <c r="GUY86" s="63"/>
      <c r="GUZ86" s="63"/>
      <c r="GVA86" s="63"/>
      <c r="GVB86" s="63"/>
      <c r="GVC86" s="63"/>
      <c r="GVD86" s="63"/>
      <c r="GVE86" s="63"/>
      <c r="GVF86" s="63"/>
      <c r="GVG86" s="63"/>
      <c r="GVH86" s="63"/>
      <c r="GVI86" s="63"/>
      <c r="GVJ86" s="63"/>
      <c r="GVK86" s="63"/>
      <c r="GVL86" s="63"/>
      <c r="GVM86" s="63"/>
      <c r="GVN86" s="63"/>
      <c r="GVO86" s="63"/>
      <c r="GVP86" s="63"/>
      <c r="GVQ86" s="63"/>
      <c r="GVR86" s="63"/>
      <c r="GVS86" s="63"/>
      <c r="GVT86" s="63"/>
      <c r="GVU86" s="63"/>
      <c r="GVV86" s="63"/>
      <c r="GVW86" s="63"/>
      <c r="GVX86" s="63"/>
      <c r="GVY86" s="63"/>
      <c r="GVZ86" s="63"/>
      <c r="GWA86" s="63"/>
      <c r="GWB86" s="63"/>
      <c r="GWC86" s="63"/>
      <c r="GWD86" s="63"/>
      <c r="GWE86" s="63"/>
      <c r="GWF86" s="63"/>
      <c r="GWG86" s="63"/>
      <c r="GWH86" s="63"/>
      <c r="GWI86" s="63"/>
      <c r="GWJ86" s="63"/>
      <c r="GWK86" s="63"/>
      <c r="GWL86" s="63"/>
      <c r="GWM86" s="63"/>
      <c r="GWN86" s="63"/>
      <c r="GWO86" s="63"/>
      <c r="GWP86" s="63"/>
      <c r="GWQ86" s="63"/>
      <c r="GWR86" s="63"/>
      <c r="GWS86" s="63"/>
      <c r="GWT86" s="63"/>
      <c r="GWU86" s="63"/>
      <c r="GWV86" s="63"/>
      <c r="GWW86" s="63"/>
      <c r="GWX86" s="63"/>
      <c r="GWY86" s="63"/>
      <c r="GWZ86" s="63"/>
      <c r="GXA86" s="63"/>
      <c r="GXB86" s="63"/>
      <c r="GXC86" s="63"/>
      <c r="GXD86" s="63"/>
      <c r="GXE86" s="63"/>
      <c r="GXF86" s="63"/>
      <c r="GXG86" s="63"/>
      <c r="GXH86" s="63"/>
      <c r="GXI86" s="63"/>
      <c r="GXJ86" s="63"/>
      <c r="GXK86" s="63"/>
      <c r="GXL86" s="63"/>
      <c r="GXM86" s="63"/>
      <c r="GXN86" s="63"/>
      <c r="GXO86" s="63"/>
      <c r="GXP86" s="63"/>
      <c r="GXQ86" s="63"/>
      <c r="GXR86" s="63"/>
      <c r="GXS86" s="63"/>
      <c r="GXT86" s="63"/>
      <c r="GXU86" s="63"/>
      <c r="GXV86" s="63"/>
      <c r="GXW86" s="63"/>
      <c r="GXX86" s="63"/>
      <c r="GXY86" s="63"/>
      <c r="GXZ86" s="63"/>
      <c r="GYA86" s="63"/>
      <c r="GYB86" s="63"/>
      <c r="GYC86" s="63"/>
      <c r="GYD86" s="63"/>
      <c r="GYE86" s="63"/>
      <c r="GYF86" s="63"/>
      <c r="GYG86" s="63"/>
      <c r="GYH86" s="63"/>
      <c r="GYI86" s="63"/>
      <c r="GYJ86" s="63"/>
      <c r="GYK86" s="63"/>
      <c r="GYL86" s="63"/>
      <c r="GYM86" s="63"/>
      <c r="GYN86" s="63"/>
      <c r="GYO86" s="63"/>
      <c r="GYP86" s="63"/>
      <c r="GYQ86" s="63"/>
      <c r="GYR86" s="63"/>
      <c r="GYS86" s="63"/>
      <c r="GYT86" s="63"/>
      <c r="GYU86" s="63"/>
      <c r="GYV86" s="63"/>
      <c r="GYW86" s="63"/>
      <c r="GYX86" s="63"/>
      <c r="GYY86" s="63"/>
      <c r="GYZ86" s="63"/>
      <c r="GZA86" s="63"/>
      <c r="GZB86" s="63"/>
      <c r="GZC86" s="63"/>
      <c r="GZD86" s="63"/>
      <c r="GZE86" s="63"/>
      <c r="GZF86" s="63"/>
      <c r="GZG86" s="63"/>
      <c r="GZH86" s="63"/>
      <c r="GZI86" s="63"/>
      <c r="GZJ86" s="63"/>
      <c r="GZK86" s="63"/>
      <c r="GZL86" s="63"/>
      <c r="GZM86" s="63"/>
      <c r="GZN86" s="63"/>
      <c r="GZO86" s="63"/>
      <c r="GZP86" s="63"/>
      <c r="GZQ86" s="63"/>
      <c r="GZR86" s="63"/>
      <c r="GZS86" s="63"/>
      <c r="GZT86" s="63"/>
      <c r="GZU86" s="63"/>
      <c r="GZV86" s="63"/>
      <c r="GZW86" s="63"/>
      <c r="GZX86" s="63"/>
      <c r="GZY86" s="63"/>
      <c r="GZZ86" s="63"/>
      <c r="HAA86" s="63"/>
      <c r="HAB86" s="63"/>
      <c r="HAC86" s="63"/>
      <c r="HAD86" s="63"/>
      <c r="HAE86" s="63"/>
      <c r="HAF86" s="63"/>
      <c r="HAG86" s="63"/>
      <c r="HAH86" s="63"/>
      <c r="HAI86" s="63"/>
      <c r="HAJ86" s="63"/>
      <c r="HAK86" s="63"/>
      <c r="HAL86" s="63"/>
      <c r="HAM86" s="63"/>
      <c r="HAN86" s="63"/>
      <c r="HAO86" s="63"/>
      <c r="HAP86" s="63"/>
      <c r="HAQ86" s="63"/>
      <c r="HAR86" s="63"/>
      <c r="HAS86" s="63"/>
      <c r="HAT86" s="63"/>
      <c r="HAU86" s="63"/>
      <c r="HAV86" s="63"/>
      <c r="HAW86" s="63"/>
      <c r="HAX86" s="63"/>
      <c r="HAY86" s="63"/>
      <c r="HAZ86" s="63"/>
      <c r="HBA86" s="63"/>
      <c r="HBB86" s="63"/>
      <c r="HBC86" s="63"/>
      <c r="HBD86" s="63"/>
      <c r="HBE86" s="63"/>
      <c r="HBF86" s="63"/>
      <c r="HBG86" s="63"/>
      <c r="HBH86" s="63"/>
      <c r="HBI86" s="63"/>
      <c r="HBJ86" s="63"/>
      <c r="HBK86" s="63"/>
      <c r="HBL86" s="63"/>
      <c r="HBM86" s="63"/>
      <c r="HBN86" s="63"/>
      <c r="HBO86" s="63"/>
      <c r="HBP86" s="63"/>
      <c r="HBQ86" s="63"/>
      <c r="HBR86" s="63"/>
      <c r="HBS86" s="63"/>
      <c r="HBT86" s="63"/>
      <c r="HBU86" s="63"/>
      <c r="HBV86" s="63"/>
      <c r="HBW86" s="63"/>
      <c r="HBX86" s="63"/>
      <c r="HBY86" s="63"/>
      <c r="HBZ86" s="63"/>
      <c r="HCA86" s="63"/>
      <c r="HCB86" s="63"/>
      <c r="HCC86" s="63"/>
      <c r="HCD86" s="63"/>
      <c r="HCE86" s="63"/>
      <c r="HCF86" s="63"/>
      <c r="HCG86" s="63"/>
      <c r="HCH86" s="63"/>
      <c r="HCI86" s="63"/>
      <c r="HCJ86" s="63"/>
      <c r="HCK86" s="63"/>
      <c r="HCL86" s="63"/>
      <c r="HCM86" s="63"/>
      <c r="HCN86" s="63"/>
      <c r="HCO86" s="63"/>
      <c r="HCP86" s="63"/>
      <c r="HCQ86" s="63"/>
      <c r="HCR86" s="63"/>
      <c r="HCS86" s="63"/>
      <c r="HCT86" s="63"/>
      <c r="HCU86" s="63"/>
      <c r="HCV86" s="63"/>
      <c r="HCW86" s="63"/>
      <c r="HCX86" s="63"/>
      <c r="HCY86" s="63"/>
      <c r="HCZ86" s="63"/>
      <c r="HDA86" s="63"/>
      <c r="HDB86" s="63"/>
      <c r="HDC86" s="63"/>
      <c r="HDD86" s="63"/>
      <c r="HDE86" s="63"/>
      <c r="HDF86" s="63"/>
      <c r="HDG86" s="63"/>
      <c r="HDH86" s="63"/>
      <c r="HDI86" s="63"/>
      <c r="HDJ86" s="63"/>
      <c r="HDK86" s="63"/>
      <c r="HDL86" s="63"/>
      <c r="HDM86" s="63"/>
      <c r="HDN86" s="63"/>
      <c r="HDO86" s="63"/>
      <c r="HDP86" s="63"/>
      <c r="HDQ86" s="63"/>
      <c r="HDR86" s="63"/>
      <c r="HDS86" s="63"/>
      <c r="HDT86" s="63"/>
      <c r="HDU86" s="63"/>
      <c r="HDV86" s="63"/>
      <c r="HDW86" s="63"/>
      <c r="HDX86" s="63"/>
      <c r="HDY86" s="63"/>
      <c r="HDZ86" s="63"/>
      <c r="HEA86" s="63"/>
      <c r="HEB86" s="63"/>
      <c r="HEC86" s="63"/>
      <c r="HED86" s="63"/>
      <c r="HEE86" s="63"/>
      <c r="HEF86" s="63"/>
      <c r="HEG86" s="63"/>
      <c r="HEH86" s="63"/>
      <c r="HEI86" s="63"/>
      <c r="HEJ86" s="63"/>
      <c r="HEK86" s="63"/>
      <c r="HEL86" s="63"/>
      <c r="HEM86" s="63"/>
      <c r="HEN86" s="63"/>
      <c r="HEO86" s="63"/>
      <c r="HEP86" s="63"/>
      <c r="HEQ86" s="63"/>
      <c r="HER86" s="63"/>
      <c r="HES86" s="63"/>
      <c r="HET86" s="63"/>
      <c r="HEU86" s="63"/>
      <c r="HEV86" s="63"/>
      <c r="HEW86" s="63"/>
      <c r="HEX86" s="63"/>
      <c r="HEY86" s="63"/>
      <c r="HEZ86" s="63"/>
      <c r="HFA86" s="63"/>
      <c r="HFB86" s="63"/>
      <c r="HFC86" s="63"/>
      <c r="HFD86" s="63"/>
      <c r="HFE86" s="63"/>
      <c r="HFF86" s="63"/>
      <c r="HFG86" s="63"/>
      <c r="HFH86" s="63"/>
      <c r="HFI86" s="63"/>
      <c r="HFJ86" s="63"/>
      <c r="HFK86" s="63"/>
      <c r="HFL86" s="63"/>
      <c r="HFM86" s="63"/>
      <c r="HFN86" s="63"/>
      <c r="HFO86" s="63"/>
      <c r="HFP86" s="63"/>
      <c r="HFQ86" s="63"/>
      <c r="HFR86" s="63"/>
      <c r="HFS86" s="63"/>
      <c r="HFT86" s="63"/>
      <c r="HFU86" s="63"/>
      <c r="HFV86" s="63"/>
      <c r="HFW86" s="63"/>
      <c r="HFX86" s="63"/>
      <c r="HFY86" s="63"/>
      <c r="HFZ86" s="63"/>
      <c r="HGA86" s="63"/>
      <c r="HGB86" s="63"/>
      <c r="HGC86" s="63"/>
      <c r="HGD86" s="63"/>
      <c r="HGE86" s="63"/>
      <c r="HGF86" s="63"/>
      <c r="HGG86" s="63"/>
      <c r="HGH86" s="63"/>
      <c r="HGI86" s="63"/>
      <c r="HGJ86" s="63"/>
      <c r="HGK86" s="63"/>
      <c r="HGL86" s="63"/>
      <c r="HGM86" s="63"/>
      <c r="HGN86" s="63"/>
      <c r="HGO86" s="63"/>
      <c r="HGP86" s="63"/>
      <c r="HGQ86" s="63"/>
      <c r="HGR86" s="63"/>
      <c r="HGS86" s="63"/>
      <c r="HGT86" s="63"/>
      <c r="HGU86" s="63"/>
      <c r="HGV86" s="63"/>
      <c r="HGW86" s="63"/>
      <c r="HGX86" s="63"/>
      <c r="HGY86" s="63"/>
      <c r="HGZ86" s="63"/>
      <c r="HHA86" s="63"/>
      <c r="HHB86" s="63"/>
      <c r="HHC86" s="63"/>
      <c r="HHD86" s="63"/>
      <c r="HHE86" s="63"/>
      <c r="HHF86" s="63"/>
      <c r="HHG86" s="63"/>
      <c r="HHH86" s="63"/>
      <c r="HHI86" s="63"/>
      <c r="HHJ86" s="63"/>
      <c r="HHK86" s="63"/>
      <c r="HHL86" s="63"/>
      <c r="HHM86" s="63"/>
      <c r="HHN86" s="63"/>
      <c r="HHO86" s="63"/>
      <c r="HHP86" s="63"/>
      <c r="HHQ86" s="63"/>
      <c r="HHR86" s="63"/>
      <c r="HHS86" s="63"/>
      <c r="HHT86" s="63"/>
      <c r="HHU86" s="63"/>
      <c r="HHV86" s="63"/>
      <c r="HHW86" s="63"/>
      <c r="HHX86" s="63"/>
      <c r="HHY86" s="63"/>
      <c r="HHZ86" s="63"/>
      <c r="HIA86" s="63"/>
      <c r="HIB86" s="63"/>
      <c r="HIC86" s="63"/>
      <c r="HID86" s="63"/>
      <c r="HIE86" s="63"/>
      <c r="HIF86" s="63"/>
      <c r="HIG86" s="63"/>
      <c r="HIH86" s="63"/>
      <c r="HII86" s="63"/>
      <c r="HIJ86" s="63"/>
      <c r="HIK86" s="63"/>
      <c r="HIL86" s="63"/>
      <c r="HIM86" s="63"/>
      <c r="HIN86" s="63"/>
      <c r="HIO86" s="63"/>
      <c r="HIP86" s="63"/>
      <c r="HIQ86" s="63"/>
      <c r="HIR86" s="63"/>
      <c r="HIS86" s="63"/>
      <c r="HIT86" s="63"/>
      <c r="HIU86" s="63"/>
      <c r="HIV86" s="63"/>
      <c r="HIW86" s="63"/>
      <c r="HIX86" s="63"/>
      <c r="HIY86" s="63"/>
      <c r="HIZ86" s="63"/>
      <c r="HJA86" s="63"/>
      <c r="HJB86" s="63"/>
      <c r="HJC86" s="63"/>
      <c r="HJD86" s="63"/>
      <c r="HJE86" s="63"/>
      <c r="HJF86" s="63"/>
      <c r="HJG86" s="63"/>
      <c r="HJH86" s="63"/>
      <c r="HJI86" s="63"/>
      <c r="HJJ86" s="63"/>
      <c r="HJK86" s="63"/>
      <c r="HJL86" s="63"/>
      <c r="HJM86" s="63"/>
      <c r="HJN86" s="63"/>
      <c r="HJO86" s="63"/>
      <c r="HJP86" s="63"/>
      <c r="HJQ86" s="63"/>
      <c r="HJR86" s="63"/>
      <c r="HJS86" s="63"/>
      <c r="HJT86" s="63"/>
      <c r="HJU86" s="63"/>
      <c r="HJV86" s="63"/>
      <c r="HJW86" s="63"/>
      <c r="HJX86" s="63"/>
      <c r="HJY86" s="63"/>
      <c r="HJZ86" s="63"/>
      <c r="HKA86" s="63"/>
      <c r="HKB86" s="63"/>
      <c r="HKC86" s="63"/>
      <c r="HKD86" s="63"/>
      <c r="HKE86" s="63"/>
      <c r="HKF86" s="63"/>
      <c r="HKG86" s="63"/>
      <c r="HKH86" s="63"/>
      <c r="HKI86" s="63"/>
      <c r="HKJ86" s="63"/>
      <c r="HKK86" s="63"/>
      <c r="HKL86" s="63"/>
      <c r="HKM86" s="63"/>
      <c r="HKN86" s="63"/>
      <c r="HKO86" s="63"/>
      <c r="HKP86" s="63"/>
      <c r="HKQ86" s="63"/>
      <c r="HKR86" s="63"/>
      <c r="HKS86" s="63"/>
      <c r="HKT86" s="63"/>
      <c r="HKU86" s="63"/>
      <c r="HKV86" s="63"/>
      <c r="HKW86" s="63"/>
      <c r="HKX86" s="63"/>
      <c r="HKY86" s="63"/>
      <c r="HKZ86" s="63"/>
      <c r="HLA86" s="63"/>
      <c r="HLB86" s="63"/>
      <c r="HLC86" s="63"/>
      <c r="HLD86" s="63"/>
      <c r="HLE86" s="63"/>
      <c r="HLF86" s="63"/>
      <c r="HLG86" s="63"/>
      <c r="HLH86" s="63"/>
      <c r="HLI86" s="63"/>
      <c r="HLJ86" s="63"/>
      <c r="HLK86" s="63"/>
      <c r="HLL86" s="63"/>
      <c r="HLM86" s="63"/>
      <c r="HLN86" s="63"/>
      <c r="HLO86" s="63"/>
      <c r="HLP86" s="63"/>
      <c r="HLQ86" s="63"/>
      <c r="HLR86" s="63"/>
      <c r="HLS86" s="63"/>
      <c r="HLT86" s="63"/>
      <c r="HLU86" s="63"/>
      <c r="HLV86" s="63"/>
      <c r="HLW86" s="63"/>
      <c r="HLX86" s="63"/>
      <c r="HLY86" s="63"/>
      <c r="HLZ86" s="63"/>
      <c r="HMA86" s="63"/>
      <c r="HMB86" s="63"/>
      <c r="HMC86" s="63"/>
      <c r="HMD86" s="63"/>
      <c r="HME86" s="63"/>
      <c r="HMF86" s="63"/>
      <c r="HMG86" s="63"/>
      <c r="HMH86" s="63"/>
      <c r="HMI86" s="63"/>
      <c r="HMJ86" s="63"/>
      <c r="HMK86" s="63"/>
      <c r="HML86" s="63"/>
      <c r="HMM86" s="63"/>
      <c r="HMN86" s="63"/>
      <c r="HMO86" s="63"/>
      <c r="HMP86" s="63"/>
      <c r="HMQ86" s="63"/>
      <c r="HMR86" s="63"/>
      <c r="HMS86" s="63"/>
      <c r="HMT86" s="63"/>
      <c r="HMU86" s="63"/>
      <c r="HMV86" s="63"/>
      <c r="HMW86" s="63"/>
      <c r="HMX86" s="63"/>
      <c r="HMY86" s="63"/>
      <c r="HMZ86" s="63"/>
      <c r="HNA86" s="63"/>
      <c r="HNB86" s="63"/>
      <c r="HNC86" s="63"/>
      <c r="HND86" s="63"/>
      <c r="HNE86" s="63"/>
      <c r="HNF86" s="63"/>
      <c r="HNG86" s="63"/>
      <c r="HNH86" s="63"/>
      <c r="HNI86" s="63"/>
      <c r="HNJ86" s="63"/>
      <c r="HNK86" s="63"/>
      <c r="HNL86" s="63"/>
      <c r="HNM86" s="63"/>
      <c r="HNN86" s="63"/>
      <c r="HNO86" s="63"/>
      <c r="HNP86" s="63"/>
      <c r="HNQ86" s="63"/>
      <c r="HNR86" s="63"/>
      <c r="HNS86" s="63"/>
      <c r="HNT86" s="63"/>
      <c r="HNU86" s="63"/>
      <c r="HNV86" s="63"/>
      <c r="HNW86" s="63"/>
      <c r="HNX86" s="63"/>
      <c r="HNY86" s="63"/>
      <c r="HNZ86" s="63"/>
      <c r="HOA86" s="63"/>
      <c r="HOB86" s="63"/>
      <c r="HOC86" s="63"/>
      <c r="HOD86" s="63"/>
      <c r="HOE86" s="63"/>
      <c r="HOF86" s="63"/>
      <c r="HOG86" s="63"/>
      <c r="HOH86" s="63"/>
      <c r="HOI86" s="63"/>
      <c r="HOJ86" s="63"/>
      <c r="HOK86" s="63"/>
      <c r="HOL86" s="63"/>
      <c r="HOM86" s="63"/>
      <c r="HON86" s="63"/>
      <c r="HOO86" s="63"/>
      <c r="HOP86" s="63"/>
      <c r="HOQ86" s="63"/>
      <c r="HOR86" s="63"/>
      <c r="HOS86" s="63"/>
      <c r="HOT86" s="63"/>
      <c r="HOU86" s="63"/>
      <c r="HOV86" s="63"/>
      <c r="HOW86" s="63"/>
      <c r="HOX86" s="63"/>
      <c r="HOY86" s="63"/>
      <c r="HOZ86" s="63"/>
      <c r="HPA86" s="63"/>
      <c r="HPB86" s="63"/>
      <c r="HPC86" s="63"/>
      <c r="HPD86" s="63"/>
      <c r="HPE86" s="63"/>
      <c r="HPF86" s="63"/>
      <c r="HPG86" s="63"/>
      <c r="HPH86" s="63"/>
      <c r="HPI86" s="63"/>
      <c r="HPJ86" s="63"/>
      <c r="HPK86" s="63"/>
      <c r="HPL86" s="63"/>
      <c r="HPM86" s="63"/>
      <c r="HPN86" s="63"/>
      <c r="HPO86" s="63"/>
      <c r="HPP86" s="63"/>
      <c r="HPQ86" s="63"/>
      <c r="HPR86" s="63"/>
      <c r="HPS86" s="63"/>
      <c r="HPT86" s="63"/>
      <c r="HPU86" s="63"/>
      <c r="HPV86" s="63"/>
      <c r="HPW86" s="63"/>
      <c r="HPX86" s="63"/>
      <c r="HPY86" s="63"/>
      <c r="HPZ86" s="63"/>
      <c r="HQA86" s="63"/>
      <c r="HQB86" s="63"/>
      <c r="HQC86" s="63"/>
      <c r="HQD86" s="63"/>
      <c r="HQE86" s="63"/>
      <c r="HQF86" s="63"/>
      <c r="HQG86" s="63"/>
      <c r="HQH86" s="63"/>
      <c r="HQI86" s="63"/>
      <c r="HQJ86" s="63"/>
      <c r="HQK86" s="63"/>
      <c r="HQL86" s="63"/>
      <c r="HQM86" s="63"/>
      <c r="HQN86" s="63"/>
      <c r="HQO86" s="63"/>
      <c r="HQP86" s="63"/>
      <c r="HQQ86" s="63"/>
      <c r="HQR86" s="63"/>
      <c r="HQS86" s="63"/>
      <c r="HQT86" s="63"/>
      <c r="HQU86" s="63"/>
      <c r="HQV86" s="63"/>
      <c r="HQW86" s="63"/>
      <c r="HQX86" s="63"/>
      <c r="HQY86" s="63"/>
      <c r="HQZ86" s="63"/>
      <c r="HRA86" s="63"/>
      <c r="HRB86" s="63"/>
      <c r="HRC86" s="63"/>
      <c r="HRD86" s="63"/>
      <c r="HRE86" s="63"/>
      <c r="HRF86" s="63"/>
      <c r="HRG86" s="63"/>
      <c r="HRH86" s="63"/>
      <c r="HRI86" s="63"/>
      <c r="HRJ86" s="63"/>
      <c r="HRK86" s="63"/>
      <c r="HRL86" s="63"/>
      <c r="HRM86" s="63"/>
      <c r="HRN86" s="63"/>
      <c r="HRO86" s="63"/>
      <c r="HRP86" s="63"/>
      <c r="HRQ86" s="63"/>
      <c r="HRR86" s="63"/>
      <c r="HRS86" s="63"/>
      <c r="HRT86" s="63"/>
      <c r="HRU86" s="63"/>
      <c r="HRV86" s="63"/>
      <c r="HRW86" s="63"/>
      <c r="HRX86" s="63"/>
      <c r="HRY86" s="63"/>
      <c r="HRZ86" s="63"/>
      <c r="HSA86" s="63"/>
      <c r="HSB86" s="63"/>
      <c r="HSC86" s="63"/>
      <c r="HSD86" s="63"/>
      <c r="HSE86" s="63"/>
      <c r="HSF86" s="63"/>
      <c r="HSG86" s="63"/>
      <c r="HSH86" s="63"/>
      <c r="HSI86" s="63"/>
      <c r="HSJ86" s="63"/>
      <c r="HSK86" s="63"/>
      <c r="HSL86" s="63"/>
      <c r="HSM86" s="63"/>
      <c r="HSN86" s="63"/>
      <c r="HSO86" s="63"/>
      <c r="HSP86" s="63"/>
      <c r="HSQ86" s="63"/>
      <c r="HSR86" s="63"/>
      <c r="HSS86" s="63"/>
      <c r="HST86" s="63"/>
      <c r="HSU86" s="63"/>
      <c r="HSV86" s="63"/>
      <c r="HSW86" s="63"/>
      <c r="HSX86" s="63"/>
      <c r="HSY86" s="63"/>
      <c r="HSZ86" s="63"/>
      <c r="HTA86" s="63"/>
      <c r="HTB86" s="63"/>
      <c r="HTC86" s="63"/>
      <c r="HTD86" s="63"/>
      <c r="HTE86" s="63"/>
      <c r="HTF86" s="63"/>
      <c r="HTG86" s="63"/>
      <c r="HTH86" s="63"/>
      <c r="HTI86" s="63"/>
      <c r="HTJ86" s="63"/>
      <c r="HTK86" s="63"/>
      <c r="HTL86" s="63"/>
      <c r="HTM86" s="63"/>
      <c r="HTN86" s="63"/>
      <c r="HTO86" s="63"/>
      <c r="HTP86" s="63"/>
      <c r="HTQ86" s="63"/>
      <c r="HTR86" s="63"/>
      <c r="HTS86" s="63"/>
      <c r="HTT86" s="63"/>
      <c r="HTU86" s="63"/>
      <c r="HTV86" s="63"/>
      <c r="HTW86" s="63"/>
      <c r="HTX86" s="63"/>
      <c r="HTY86" s="63"/>
      <c r="HTZ86" s="63"/>
      <c r="HUA86" s="63"/>
      <c r="HUB86" s="63"/>
      <c r="HUC86" s="63"/>
      <c r="HUD86" s="63"/>
      <c r="HUE86" s="63"/>
      <c r="HUF86" s="63"/>
      <c r="HUG86" s="63"/>
      <c r="HUH86" s="63"/>
      <c r="HUI86" s="63"/>
      <c r="HUJ86" s="63"/>
      <c r="HUK86" s="63"/>
      <c r="HUL86" s="63"/>
      <c r="HUM86" s="63"/>
      <c r="HUN86" s="63"/>
      <c r="HUO86" s="63"/>
      <c r="HUP86" s="63"/>
      <c r="HUQ86" s="63"/>
      <c r="HUR86" s="63"/>
      <c r="HUS86" s="63"/>
      <c r="HUT86" s="63"/>
      <c r="HUU86" s="63"/>
      <c r="HUV86" s="63"/>
      <c r="HUW86" s="63"/>
      <c r="HUX86" s="63"/>
      <c r="HUY86" s="63"/>
      <c r="HUZ86" s="63"/>
      <c r="HVA86" s="63"/>
      <c r="HVB86" s="63"/>
      <c r="HVC86" s="63"/>
      <c r="HVD86" s="63"/>
      <c r="HVE86" s="63"/>
      <c r="HVF86" s="63"/>
      <c r="HVG86" s="63"/>
      <c r="HVH86" s="63"/>
      <c r="HVI86" s="63"/>
      <c r="HVJ86" s="63"/>
      <c r="HVK86" s="63"/>
      <c r="HVL86" s="63"/>
      <c r="HVM86" s="63"/>
      <c r="HVN86" s="63"/>
      <c r="HVO86" s="63"/>
      <c r="HVP86" s="63"/>
      <c r="HVQ86" s="63"/>
      <c r="HVR86" s="63"/>
      <c r="HVS86" s="63"/>
      <c r="HVT86" s="63"/>
      <c r="HVU86" s="63"/>
      <c r="HVV86" s="63"/>
      <c r="HVW86" s="63"/>
      <c r="HVX86" s="63"/>
      <c r="HVY86" s="63"/>
      <c r="HVZ86" s="63"/>
      <c r="HWA86" s="63"/>
      <c r="HWB86" s="63"/>
      <c r="HWC86" s="63"/>
      <c r="HWD86" s="63"/>
      <c r="HWE86" s="63"/>
      <c r="HWF86" s="63"/>
      <c r="HWG86" s="63"/>
      <c r="HWH86" s="63"/>
      <c r="HWI86" s="63"/>
      <c r="HWJ86" s="63"/>
      <c r="HWK86" s="63"/>
      <c r="HWL86" s="63"/>
      <c r="HWM86" s="63"/>
      <c r="HWN86" s="63"/>
      <c r="HWO86" s="63"/>
      <c r="HWP86" s="63"/>
      <c r="HWQ86" s="63"/>
      <c r="HWR86" s="63"/>
      <c r="HWS86" s="63"/>
      <c r="HWT86" s="63"/>
      <c r="HWU86" s="63"/>
      <c r="HWV86" s="63"/>
      <c r="HWW86" s="63"/>
      <c r="HWX86" s="63"/>
      <c r="HWY86" s="63"/>
      <c r="HWZ86" s="63"/>
      <c r="HXA86" s="63"/>
      <c r="HXB86" s="63"/>
      <c r="HXC86" s="63"/>
      <c r="HXD86" s="63"/>
      <c r="HXE86" s="63"/>
      <c r="HXF86" s="63"/>
      <c r="HXG86" s="63"/>
      <c r="HXH86" s="63"/>
      <c r="HXI86" s="63"/>
      <c r="HXJ86" s="63"/>
      <c r="HXK86" s="63"/>
      <c r="HXL86" s="63"/>
      <c r="HXM86" s="63"/>
      <c r="HXN86" s="63"/>
      <c r="HXO86" s="63"/>
      <c r="HXP86" s="63"/>
      <c r="HXQ86" s="63"/>
      <c r="HXR86" s="63"/>
      <c r="HXS86" s="63"/>
      <c r="HXT86" s="63"/>
      <c r="HXU86" s="63"/>
      <c r="HXV86" s="63"/>
      <c r="HXW86" s="63"/>
      <c r="HXX86" s="63"/>
      <c r="HXY86" s="63"/>
      <c r="HXZ86" s="63"/>
      <c r="HYA86" s="63"/>
      <c r="HYB86" s="63"/>
      <c r="HYC86" s="63"/>
      <c r="HYD86" s="63"/>
      <c r="HYE86" s="63"/>
      <c r="HYF86" s="63"/>
      <c r="HYG86" s="63"/>
      <c r="HYH86" s="63"/>
      <c r="HYI86" s="63"/>
      <c r="HYJ86" s="63"/>
      <c r="HYK86" s="63"/>
      <c r="HYL86" s="63"/>
      <c r="HYM86" s="63"/>
      <c r="HYN86" s="63"/>
      <c r="HYO86" s="63"/>
      <c r="HYP86" s="63"/>
      <c r="HYQ86" s="63"/>
      <c r="HYR86" s="63"/>
      <c r="HYS86" s="63"/>
      <c r="HYT86" s="63"/>
      <c r="HYU86" s="63"/>
      <c r="HYV86" s="63"/>
      <c r="HYW86" s="63"/>
      <c r="HYX86" s="63"/>
      <c r="HYY86" s="63"/>
      <c r="HYZ86" s="63"/>
      <c r="HZA86" s="63"/>
      <c r="HZB86" s="63"/>
      <c r="HZC86" s="63"/>
      <c r="HZD86" s="63"/>
      <c r="HZE86" s="63"/>
      <c r="HZF86" s="63"/>
      <c r="HZG86" s="63"/>
      <c r="HZH86" s="63"/>
      <c r="HZI86" s="63"/>
      <c r="HZJ86" s="63"/>
      <c r="HZK86" s="63"/>
      <c r="HZL86" s="63"/>
      <c r="HZM86" s="63"/>
      <c r="HZN86" s="63"/>
      <c r="HZO86" s="63"/>
      <c r="HZP86" s="63"/>
      <c r="HZQ86" s="63"/>
      <c r="HZR86" s="63"/>
      <c r="HZS86" s="63"/>
      <c r="HZT86" s="63"/>
      <c r="HZU86" s="63"/>
      <c r="HZV86" s="63"/>
      <c r="HZW86" s="63"/>
      <c r="HZX86" s="63"/>
      <c r="HZY86" s="63"/>
      <c r="HZZ86" s="63"/>
      <c r="IAA86" s="63"/>
      <c r="IAB86" s="63"/>
      <c r="IAC86" s="63"/>
      <c r="IAD86" s="63"/>
      <c r="IAE86" s="63"/>
      <c r="IAF86" s="63"/>
      <c r="IAG86" s="63"/>
      <c r="IAH86" s="63"/>
      <c r="IAI86" s="63"/>
      <c r="IAJ86" s="63"/>
      <c r="IAK86" s="63"/>
      <c r="IAL86" s="63"/>
      <c r="IAM86" s="63"/>
      <c r="IAN86" s="63"/>
      <c r="IAO86" s="63"/>
      <c r="IAP86" s="63"/>
      <c r="IAQ86" s="63"/>
      <c r="IAR86" s="63"/>
      <c r="IAS86" s="63"/>
      <c r="IAT86" s="63"/>
      <c r="IAU86" s="63"/>
      <c r="IAV86" s="63"/>
      <c r="IAW86" s="63"/>
      <c r="IAX86" s="63"/>
      <c r="IAY86" s="63"/>
      <c r="IAZ86" s="63"/>
      <c r="IBA86" s="63"/>
      <c r="IBB86" s="63"/>
      <c r="IBC86" s="63"/>
      <c r="IBD86" s="63"/>
      <c r="IBE86" s="63"/>
      <c r="IBF86" s="63"/>
      <c r="IBG86" s="63"/>
      <c r="IBH86" s="63"/>
      <c r="IBI86" s="63"/>
      <c r="IBJ86" s="63"/>
      <c r="IBK86" s="63"/>
      <c r="IBL86" s="63"/>
      <c r="IBM86" s="63"/>
      <c r="IBN86" s="63"/>
      <c r="IBO86" s="63"/>
      <c r="IBP86" s="63"/>
      <c r="IBQ86" s="63"/>
      <c r="IBR86" s="63"/>
      <c r="IBS86" s="63"/>
      <c r="IBT86" s="63"/>
      <c r="IBU86" s="63"/>
      <c r="IBV86" s="63"/>
      <c r="IBW86" s="63"/>
      <c r="IBX86" s="63"/>
      <c r="IBY86" s="63"/>
      <c r="IBZ86" s="63"/>
      <c r="ICA86" s="63"/>
      <c r="ICB86" s="63"/>
      <c r="ICC86" s="63"/>
      <c r="ICD86" s="63"/>
      <c r="ICE86" s="63"/>
      <c r="ICF86" s="63"/>
      <c r="ICG86" s="63"/>
      <c r="ICH86" s="63"/>
      <c r="ICI86" s="63"/>
      <c r="ICJ86" s="63"/>
      <c r="ICK86" s="63"/>
      <c r="ICL86" s="63"/>
      <c r="ICM86" s="63"/>
      <c r="ICN86" s="63"/>
      <c r="ICO86" s="63"/>
      <c r="ICP86" s="63"/>
      <c r="ICQ86" s="63"/>
      <c r="ICR86" s="63"/>
      <c r="ICS86" s="63"/>
      <c r="ICT86" s="63"/>
      <c r="ICU86" s="63"/>
      <c r="ICV86" s="63"/>
      <c r="ICW86" s="63"/>
      <c r="ICX86" s="63"/>
      <c r="ICY86" s="63"/>
      <c r="ICZ86" s="63"/>
      <c r="IDA86" s="63"/>
      <c r="IDB86" s="63"/>
      <c r="IDC86" s="63"/>
      <c r="IDD86" s="63"/>
      <c r="IDE86" s="63"/>
      <c r="IDF86" s="63"/>
      <c r="IDG86" s="63"/>
      <c r="IDH86" s="63"/>
      <c r="IDI86" s="63"/>
      <c r="IDJ86" s="63"/>
      <c r="IDK86" s="63"/>
      <c r="IDL86" s="63"/>
      <c r="IDM86" s="63"/>
      <c r="IDN86" s="63"/>
      <c r="IDO86" s="63"/>
      <c r="IDP86" s="63"/>
      <c r="IDQ86" s="63"/>
      <c r="IDR86" s="63"/>
      <c r="IDS86" s="63"/>
      <c r="IDT86" s="63"/>
      <c r="IDU86" s="63"/>
      <c r="IDV86" s="63"/>
      <c r="IDW86" s="63"/>
      <c r="IDX86" s="63"/>
      <c r="IDY86" s="63"/>
      <c r="IDZ86" s="63"/>
      <c r="IEA86" s="63"/>
      <c r="IEB86" s="63"/>
      <c r="IEC86" s="63"/>
      <c r="IED86" s="63"/>
      <c r="IEE86" s="63"/>
      <c r="IEF86" s="63"/>
      <c r="IEG86" s="63"/>
      <c r="IEH86" s="63"/>
      <c r="IEI86" s="63"/>
      <c r="IEJ86" s="63"/>
      <c r="IEK86" s="63"/>
      <c r="IEL86" s="63"/>
      <c r="IEM86" s="63"/>
      <c r="IEN86" s="63"/>
      <c r="IEO86" s="63"/>
      <c r="IEP86" s="63"/>
      <c r="IEQ86" s="63"/>
      <c r="IER86" s="63"/>
      <c r="IES86" s="63"/>
      <c r="IET86" s="63"/>
      <c r="IEU86" s="63"/>
      <c r="IEV86" s="63"/>
      <c r="IEW86" s="63"/>
      <c r="IEX86" s="63"/>
      <c r="IEY86" s="63"/>
      <c r="IEZ86" s="63"/>
      <c r="IFA86" s="63"/>
      <c r="IFB86" s="63"/>
      <c r="IFC86" s="63"/>
      <c r="IFD86" s="63"/>
      <c r="IFE86" s="63"/>
      <c r="IFF86" s="63"/>
      <c r="IFG86" s="63"/>
      <c r="IFH86" s="63"/>
      <c r="IFI86" s="63"/>
      <c r="IFJ86" s="63"/>
      <c r="IFK86" s="63"/>
      <c r="IFL86" s="63"/>
      <c r="IFM86" s="63"/>
      <c r="IFN86" s="63"/>
      <c r="IFO86" s="63"/>
      <c r="IFP86" s="63"/>
      <c r="IFQ86" s="63"/>
      <c r="IFR86" s="63"/>
      <c r="IFS86" s="63"/>
      <c r="IFT86" s="63"/>
      <c r="IFU86" s="63"/>
      <c r="IFV86" s="63"/>
      <c r="IFW86" s="63"/>
      <c r="IFX86" s="63"/>
      <c r="IFY86" s="63"/>
      <c r="IFZ86" s="63"/>
      <c r="IGA86" s="63"/>
      <c r="IGB86" s="63"/>
      <c r="IGC86" s="63"/>
      <c r="IGD86" s="63"/>
      <c r="IGE86" s="63"/>
      <c r="IGF86" s="63"/>
      <c r="IGG86" s="63"/>
      <c r="IGH86" s="63"/>
      <c r="IGI86" s="63"/>
      <c r="IGJ86" s="63"/>
      <c r="IGK86" s="63"/>
      <c r="IGL86" s="63"/>
      <c r="IGM86" s="63"/>
      <c r="IGN86" s="63"/>
      <c r="IGO86" s="63"/>
      <c r="IGP86" s="63"/>
      <c r="IGQ86" s="63"/>
      <c r="IGR86" s="63"/>
      <c r="IGS86" s="63"/>
      <c r="IGT86" s="63"/>
      <c r="IGU86" s="63"/>
      <c r="IGV86" s="63"/>
      <c r="IGW86" s="63"/>
      <c r="IGX86" s="63"/>
      <c r="IGY86" s="63"/>
      <c r="IGZ86" s="63"/>
      <c r="IHA86" s="63"/>
      <c r="IHB86" s="63"/>
      <c r="IHC86" s="63"/>
      <c r="IHD86" s="63"/>
      <c r="IHE86" s="63"/>
      <c r="IHF86" s="63"/>
      <c r="IHG86" s="63"/>
      <c r="IHH86" s="63"/>
      <c r="IHI86" s="63"/>
      <c r="IHJ86" s="63"/>
      <c r="IHK86" s="63"/>
      <c r="IHL86" s="63"/>
      <c r="IHM86" s="63"/>
      <c r="IHN86" s="63"/>
      <c r="IHO86" s="63"/>
      <c r="IHP86" s="63"/>
      <c r="IHQ86" s="63"/>
      <c r="IHR86" s="63"/>
      <c r="IHS86" s="63"/>
      <c r="IHT86" s="63"/>
      <c r="IHU86" s="63"/>
      <c r="IHV86" s="63"/>
      <c r="IHW86" s="63"/>
      <c r="IHX86" s="63"/>
      <c r="IHY86" s="63"/>
      <c r="IHZ86" s="63"/>
      <c r="IIA86" s="63"/>
      <c r="IIB86" s="63"/>
      <c r="IIC86" s="63"/>
      <c r="IID86" s="63"/>
      <c r="IIE86" s="63"/>
      <c r="IIF86" s="63"/>
      <c r="IIG86" s="63"/>
      <c r="IIH86" s="63"/>
      <c r="III86" s="63"/>
      <c r="IIJ86" s="63"/>
      <c r="IIK86" s="63"/>
      <c r="IIL86" s="63"/>
      <c r="IIM86" s="63"/>
      <c r="IIN86" s="63"/>
      <c r="IIO86" s="63"/>
      <c r="IIP86" s="63"/>
      <c r="IIQ86" s="63"/>
      <c r="IIR86" s="63"/>
      <c r="IIS86" s="63"/>
      <c r="IIT86" s="63"/>
      <c r="IIU86" s="63"/>
      <c r="IIV86" s="63"/>
      <c r="IIW86" s="63"/>
      <c r="IIX86" s="63"/>
      <c r="IIY86" s="63"/>
      <c r="IIZ86" s="63"/>
      <c r="IJA86" s="63"/>
      <c r="IJB86" s="63"/>
      <c r="IJC86" s="63"/>
      <c r="IJD86" s="63"/>
      <c r="IJE86" s="63"/>
      <c r="IJF86" s="63"/>
      <c r="IJG86" s="63"/>
      <c r="IJH86" s="63"/>
      <c r="IJI86" s="63"/>
      <c r="IJJ86" s="63"/>
      <c r="IJK86" s="63"/>
      <c r="IJL86" s="63"/>
      <c r="IJM86" s="63"/>
      <c r="IJN86" s="63"/>
      <c r="IJO86" s="63"/>
      <c r="IJP86" s="63"/>
      <c r="IJQ86" s="63"/>
      <c r="IJR86" s="63"/>
      <c r="IJS86" s="63"/>
      <c r="IJT86" s="63"/>
      <c r="IJU86" s="63"/>
      <c r="IJV86" s="63"/>
      <c r="IJW86" s="63"/>
      <c r="IJX86" s="63"/>
      <c r="IJY86" s="63"/>
      <c r="IJZ86" s="63"/>
      <c r="IKA86" s="63"/>
      <c r="IKB86" s="63"/>
      <c r="IKC86" s="63"/>
      <c r="IKD86" s="63"/>
      <c r="IKE86" s="63"/>
      <c r="IKF86" s="63"/>
      <c r="IKG86" s="63"/>
      <c r="IKH86" s="63"/>
      <c r="IKI86" s="63"/>
      <c r="IKJ86" s="63"/>
      <c r="IKK86" s="63"/>
      <c r="IKL86" s="63"/>
      <c r="IKM86" s="63"/>
      <c r="IKN86" s="63"/>
      <c r="IKO86" s="63"/>
      <c r="IKP86" s="63"/>
      <c r="IKQ86" s="63"/>
      <c r="IKR86" s="63"/>
      <c r="IKS86" s="63"/>
      <c r="IKT86" s="63"/>
      <c r="IKU86" s="63"/>
      <c r="IKV86" s="63"/>
      <c r="IKW86" s="63"/>
      <c r="IKX86" s="63"/>
      <c r="IKY86" s="63"/>
      <c r="IKZ86" s="63"/>
      <c r="ILA86" s="63"/>
      <c r="ILB86" s="63"/>
      <c r="ILC86" s="63"/>
      <c r="ILD86" s="63"/>
      <c r="ILE86" s="63"/>
      <c r="ILF86" s="63"/>
      <c r="ILG86" s="63"/>
      <c r="ILH86" s="63"/>
      <c r="ILI86" s="63"/>
      <c r="ILJ86" s="63"/>
      <c r="ILK86" s="63"/>
      <c r="ILL86" s="63"/>
      <c r="ILM86" s="63"/>
      <c r="ILN86" s="63"/>
      <c r="ILO86" s="63"/>
      <c r="ILP86" s="63"/>
      <c r="ILQ86" s="63"/>
      <c r="ILR86" s="63"/>
      <c r="ILS86" s="63"/>
      <c r="ILT86" s="63"/>
      <c r="ILU86" s="63"/>
      <c r="ILV86" s="63"/>
      <c r="ILW86" s="63"/>
      <c r="ILX86" s="63"/>
      <c r="ILY86" s="63"/>
      <c r="ILZ86" s="63"/>
      <c r="IMA86" s="63"/>
      <c r="IMB86" s="63"/>
      <c r="IMC86" s="63"/>
      <c r="IMD86" s="63"/>
      <c r="IME86" s="63"/>
      <c r="IMF86" s="63"/>
      <c r="IMG86" s="63"/>
      <c r="IMH86" s="63"/>
      <c r="IMI86" s="63"/>
      <c r="IMJ86" s="63"/>
      <c r="IMK86" s="63"/>
      <c r="IML86" s="63"/>
      <c r="IMM86" s="63"/>
      <c r="IMN86" s="63"/>
      <c r="IMO86" s="63"/>
      <c r="IMP86" s="63"/>
      <c r="IMQ86" s="63"/>
      <c r="IMR86" s="63"/>
      <c r="IMS86" s="63"/>
      <c r="IMT86" s="63"/>
      <c r="IMU86" s="63"/>
      <c r="IMV86" s="63"/>
      <c r="IMW86" s="63"/>
      <c r="IMX86" s="63"/>
      <c r="IMY86" s="63"/>
      <c r="IMZ86" s="63"/>
      <c r="INA86" s="63"/>
      <c r="INB86" s="63"/>
      <c r="INC86" s="63"/>
      <c r="IND86" s="63"/>
      <c r="INE86" s="63"/>
      <c r="INF86" s="63"/>
      <c r="ING86" s="63"/>
      <c r="INH86" s="63"/>
      <c r="INI86" s="63"/>
      <c r="INJ86" s="63"/>
      <c r="INK86" s="63"/>
      <c r="INL86" s="63"/>
      <c r="INM86" s="63"/>
      <c r="INN86" s="63"/>
      <c r="INO86" s="63"/>
      <c r="INP86" s="63"/>
      <c r="INQ86" s="63"/>
      <c r="INR86" s="63"/>
      <c r="INS86" s="63"/>
      <c r="INT86" s="63"/>
      <c r="INU86" s="63"/>
      <c r="INV86" s="63"/>
      <c r="INW86" s="63"/>
      <c r="INX86" s="63"/>
      <c r="INY86" s="63"/>
      <c r="INZ86" s="63"/>
      <c r="IOA86" s="63"/>
      <c r="IOB86" s="63"/>
      <c r="IOC86" s="63"/>
      <c r="IOD86" s="63"/>
      <c r="IOE86" s="63"/>
      <c r="IOF86" s="63"/>
      <c r="IOG86" s="63"/>
      <c r="IOH86" s="63"/>
      <c r="IOI86" s="63"/>
      <c r="IOJ86" s="63"/>
      <c r="IOK86" s="63"/>
      <c r="IOL86" s="63"/>
      <c r="IOM86" s="63"/>
      <c r="ION86" s="63"/>
      <c r="IOO86" s="63"/>
      <c r="IOP86" s="63"/>
      <c r="IOQ86" s="63"/>
      <c r="IOR86" s="63"/>
      <c r="IOS86" s="63"/>
      <c r="IOT86" s="63"/>
      <c r="IOU86" s="63"/>
      <c r="IOV86" s="63"/>
      <c r="IOW86" s="63"/>
      <c r="IOX86" s="63"/>
      <c r="IOY86" s="63"/>
      <c r="IOZ86" s="63"/>
      <c r="IPA86" s="63"/>
      <c r="IPB86" s="63"/>
      <c r="IPC86" s="63"/>
      <c r="IPD86" s="63"/>
      <c r="IPE86" s="63"/>
      <c r="IPF86" s="63"/>
      <c r="IPG86" s="63"/>
      <c r="IPH86" s="63"/>
      <c r="IPI86" s="63"/>
      <c r="IPJ86" s="63"/>
      <c r="IPK86" s="63"/>
      <c r="IPL86" s="63"/>
      <c r="IPM86" s="63"/>
      <c r="IPN86" s="63"/>
      <c r="IPO86" s="63"/>
      <c r="IPP86" s="63"/>
      <c r="IPQ86" s="63"/>
      <c r="IPR86" s="63"/>
      <c r="IPS86" s="63"/>
      <c r="IPT86" s="63"/>
      <c r="IPU86" s="63"/>
      <c r="IPV86" s="63"/>
      <c r="IPW86" s="63"/>
      <c r="IPX86" s="63"/>
      <c r="IPY86" s="63"/>
      <c r="IPZ86" s="63"/>
      <c r="IQA86" s="63"/>
      <c r="IQB86" s="63"/>
      <c r="IQC86" s="63"/>
      <c r="IQD86" s="63"/>
      <c r="IQE86" s="63"/>
      <c r="IQF86" s="63"/>
      <c r="IQG86" s="63"/>
      <c r="IQH86" s="63"/>
      <c r="IQI86" s="63"/>
      <c r="IQJ86" s="63"/>
      <c r="IQK86" s="63"/>
      <c r="IQL86" s="63"/>
      <c r="IQM86" s="63"/>
      <c r="IQN86" s="63"/>
      <c r="IQO86" s="63"/>
      <c r="IQP86" s="63"/>
      <c r="IQQ86" s="63"/>
      <c r="IQR86" s="63"/>
      <c r="IQS86" s="63"/>
      <c r="IQT86" s="63"/>
      <c r="IQU86" s="63"/>
      <c r="IQV86" s="63"/>
      <c r="IQW86" s="63"/>
      <c r="IQX86" s="63"/>
      <c r="IQY86" s="63"/>
      <c r="IQZ86" s="63"/>
      <c r="IRA86" s="63"/>
      <c r="IRB86" s="63"/>
      <c r="IRC86" s="63"/>
      <c r="IRD86" s="63"/>
      <c r="IRE86" s="63"/>
      <c r="IRF86" s="63"/>
      <c r="IRG86" s="63"/>
      <c r="IRH86" s="63"/>
      <c r="IRI86" s="63"/>
      <c r="IRJ86" s="63"/>
      <c r="IRK86" s="63"/>
      <c r="IRL86" s="63"/>
      <c r="IRM86" s="63"/>
      <c r="IRN86" s="63"/>
      <c r="IRO86" s="63"/>
      <c r="IRP86" s="63"/>
      <c r="IRQ86" s="63"/>
      <c r="IRR86" s="63"/>
      <c r="IRS86" s="63"/>
      <c r="IRT86" s="63"/>
      <c r="IRU86" s="63"/>
      <c r="IRV86" s="63"/>
      <c r="IRW86" s="63"/>
      <c r="IRX86" s="63"/>
      <c r="IRY86" s="63"/>
      <c r="IRZ86" s="63"/>
      <c r="ISA86" s="63"/>
      <c r="ISB86" s="63"/>
      <c r="ISC86" s="63"/>
      <c r="ISD86" s="63"/>
      <c r="ISE86" s="63"/>
      <c r="ISF86" s="63"/>
      <c r="ISG86" s="63"/>
      <c r="ISH86" s="63"/>
      <c r="ISI86" s="63"/>
      <c r="ISJ86" s="63"/>
      <c r="ISK86" s="63"/>
      <c r="ISL86" s="63"/>
      <c r="ISM86" s="63"/>
      <c r="ISN86" s="63"/>
      <c r="ISO86" s="63"/>
      <c r="ISP86" s="63"/>
      <c r="ISQ86" s="63"/>
      <c r="ISR86" s="63"/>
      <c r="ISS86" s="63"/>
      <c r="IST86" s="63"/>
      <c r="ISU86" s="63"/>
      <c r="ISV86" s="63"/>
      <c r="ISW86" s="63"/>
      <c r="ISX86" s="63"/>
      <c r="ISY86" s="63"/>
      <c r="ISZ86" s="63"/>
      <c r="ITA86" s="63"/>
      <c r="ITB86" s="63"/>
      <c r="ITC86" s="63"/>
      <c r="ITD86" s="63"/>
      <c r="ITE86" s="63"/>
      <c r="ITF86" s="63"/>
      <c r="ITG86" s="63"/>
      <c r="ITH86" s="63"/>
      <c r="ITI86" s="63"/>
      <c r="ITJ86" s="63"/>
      <c r="ITK86" s="63"/>
      <c r="ITL86" s="63"/>
      <c r="ITM86" s="63"/>
      <c r="ITN86" s="63"/>
      <c r="ITO86" s="63"/>
      <c r="ITP86" s="63"/>
      <c r="ITQ86" s="63"/>
      <c r="ITR86" s="63"/>
      <c r="ITS86" s="63"/>
      <c r="ITT86" s="63"/>
      <c r="ITU86" s="63"/>
      <c r="ITV86" s="63"/>
      <c r="ITW86" s="63"/>
      <c r="ITX86" s="63"/>
      <c r="ITY86" s="63"/>
      <c r="ITZ86" s="63"/>
      <c r="IUA86" s="63"/>
      <c r="IUB86" s="63"/>
      <c r="IUC86" s="63"/>
      <c r="IUD86" s="63"/>
      <c r="IUE86" s="63"/>
      <c r="IUF86" s="63"/>
      <c r="IUG86" s="63"/>
      <c r="IUH86" s="63"/>
      <c r="IUI86" s="63"/>
      <c r="IUJ86" s="63"/>
      <c r="IUK86" s="63"/>
      <c r="IUL86" s="63"/>
      <c r="IUM86" s="63"/>
      <c r="IUN86" s="63"/>
      <c r="IUO86" s="63"/>
      <c r="IUP86" s="63"/>
      <c r="IUQ86" s="63"/>
      <c r="IUR86" s="63"/>
      <c r="IUS86" s="63"/>
      <c r="IUT86" s="63"/>
      <c r="IUU86" s="63"/>
      <c r="IUV86" s="63"/>
      <c r="IUW86" s="63"/>
      <c r="IUX86" s="63"/>
      <c r="IUY86" s="63"/>
      <c r="IUZ86" s="63"/>
      <c r="IVA86" s="63"/>
      <c r="IVB86" s="63"/>
      <c r="IVC86" s="63"/>
      <c r="IVD86" s="63"/>
      <c r="IVE86" s="63"/>
      <c r="IVF86" s="63"/>
      <c r="IVG86" s="63"/>
      <c r="IVH86" s="63"/>
      <c r="IVI86" s="63"/>
      <c r="IVJ86" s="63"/>
      <c r="IVK86" s="63"/>
      <c r="IVL86" s="63"/>
      <c r="IVM86" s="63"/>
      <c r="IVN86" s="63"/>
      <c r="IVO86" s="63"/>
      <c r="IVP86" s="63"/>
      <c r="IVQ86" s="63"/>
      <c r="IVR86" s="63"/>
      <c r="IVS86" s="63"/>
      <c r="IVT86" s="63"/>
      <c r="IVU86" s="63"/>
      <c r="IVV86" s="63"/>
      <c r="IVW86" s="63"/>
      <c r="IVX86" s="63"/>
      <c r="IVY86" s="63"/>
      <c r="IVZ86" s="63"/>
      <c r="IWA86" s="63"/>
      <c r="IWB86" s="63"/>
      <c r="IWC86" s="63"/>
      <c r="IWD86" s="63"/>
      <c r="IWE86" s="63"/>
      <c r="IWF86" s="63"/>
      <c r="IWG86" s="63"/>
      <c r="IWH86" s="63"/>
      <c r="IWI86" s="63"/>
      <c r="IWJ86" s="63"/>
      <c r="IWK86" s="63"/>
      <c r="IWL86" s="63"/>
      <c r="IWM86" s="63"/>
      <c r="IWN86" s="63"/>
      <c r="IWO86" s="63"/>
      <c r="IWP86" s="63"/>
      <c r="IWQ86" s="63"/>
      <c r="IWR86" s="63"/>
      <c r="IWS86" s="63"/>
      <c r="IWT86" s="63"/>
      <c r="IWU86" s="63"/>
      <c r="IWV86" s="63"/>
      <c r="IWW86" s="63"/>
      <c r="IWX86" s="63"/>
      <c r="IWY86" s="63"/>
      <c r="IWZ86" s="63"/>
      <c r="IXA86" s="63"/>
      <c r="IXB86" s="63"/>
      <c r="IXC86" s="63"/>
      <c r="IXD86" s="63"/>
      <c r="IXE86" s="63"/>
      <c r="IXF86" s="63"/>
      <c r="IXG86" s="63"/>
      <c r="IXH86" s="63"/>
      <c r="IXI86" s="63"/>
      <c r="IXJ86" s="63"/>
      <c r="IXK86" s="63"/>
      <c r="IXL86" s="63"/>
      <c r="IXM86" s="63"/>
      <c r="IXN86" s="63"/>
      <c r="IXO86" s="63"/>
      <c r="IXP86" s="63"/>
      <c r="IXQ86" s="63"/>
      <c r="IXR86" s="63"/>
      <c r="IXS86" s="63"/>
      <c r="IXT86" s="63"/>
      <c r="IXU86" s="63"/>
      <c r="IXV86" s="63"/>
      <c r="IXW86" s="63"/>
      <c r="IXX86" s="63"/>
      <c r="IXY86" s="63"/>
      <c r="IXZ86" s="63"/>
      <c r="IYA86" s="63"/>
      <c r="IYB86" s="63"/>
      <c r="IYC86" s="63"/>
      <c r="IYD86" s="63"/>
      <c r="IYE86" s="63"/>
      <c r="IYF86" s="63"/>
      <c r="IYG86" s="63"/>
      <c r="IYH86" s="63"/>
      <c r="IYI86" s="63"/>
      <c r="IYJ86" s="63"/>
      <c r="IYK86" s="63"/>
      <c r="IYL86" s="63"/>
      <c r="IYM86" s="63"/>
      <c r="IYN86" s="63"/>
      <c r="IYO86" s="63"/>
      <c r="IYP86" s="63"/>
      <c r="IYQ86" s="63"/>
      <c r="IYR86" s="63"/>
      <c r="IYS86" s="63"/>
      <c r="IYT86" s="63"/>
      <c r="IYU86" s="63"/>
      <c r="IYV86" s="63"/>
      <c r="IYW86" s="63"/>
      <c r="IYX86" s="63"/>
      <c r="IYY86" s="63"/>
      <c r="IYZ86" s="63"/>
      <c r="IZA86" s="63"/>
      <c r="IZB86" s="63"/>
      <c r="IZC86" s="63"/>
      <c r="IZD86" s="63"/>
      <c r="IZE86" s="63"/>
      <c r="IZF86" s="63"/>
      <c r="IZG86" s="63"/>
      <c r="IZH86" s="63"/>
      <c r="IZI86" s="63"/>
      <c r="IZJ86" s="63"/>
      <c r="IZK86" s="63"/>
      <c r="IZL86" s="63"/>
      <c r="IZM86" s="63"/>
      <c r="IZN86" s="63"/>
      <c r="IZO86" s="63"/>
      <c r="IZP86" s="63"/>
      <c r="IZQ86" s="63"/>
      <c r="IZR86" s="63"/>
      <c r="IZS86" s="63"/>
      <c r="IZT86" s="63"/>
      <c r="IZU86" s="63"/>
      <c r="IZV86" s="63"/>
      <c r="IZW86" s="63"/>
      <c r="IZX86" s="63"/>
      <c r="IZY86" s="63"/>
      <c r="IZZ86" s="63"/>
      <c r="JAA86" s="63"/>
      <c r="JAB86" s="63"/>
      <c r="JAC86" s="63"/>
      <c r="JAD86" s="63"/>
      <c r="JAE86" s="63"/>
      <c r="JAF86" s="63"/>
      <c r="JAG86" s="63"/>
      <c r="JAH86" s="63"/>
      <c r="JAI86" s="63"/>
      <c r="JAJ86" s="63"/>
      <c r="JAK86" s="63"/>
      <c r="JAL86" s="63"/>
      <c r="JAM86" s="63"/>
      <c r="JAN86" s="63"/>
      <c r="JAO86" s="63"/>
      <c r="JAP86" s="63"/>
      <c r="JAQ86" s="63"/>
      <c r="JAR86" s="63"/>
      <c r="JAS86" s="63"/>
      <c r="JAT86" s="63"/>
      <c r="JAU86" s="63"/>
      <c r="JAV86" s="63"/>
      <c r="JAW86" s="63"/>
      <c r="JAX86" s="63"/>
      <c r="JAY86" s="63"/>
      <c r="JAZ86" s="63"/>
      <c r="JBA86" s="63"/>
      <c r="JBB86" s="63"/>
      <c r="JBC86" s="63"/>
      <c r="JBD86" s="63"/>
      <c r="JBE86" s="63"/>
      <c r="JBF86" s="63"/>
      <c r="JBG86" s="63"/>
      <c r="JBH86" s="63"/>
      <c r="JBI86" s="63"/>
      <c r="JBJ86" s="63"/>
      <c r="JBK86" s="63"/>
      <c r="JBL86" s="63"/>
      <c r="JBM86" s="63"/>
      <c r="JBN86" s="63"/>
      <c r="JBO86" s="63"/>
      <c r="JBP86" s="63"/>
      <c r="JBQ86" s="63"/>
      <c r="JBR86" s="63"/>
      <c r="JBS86" s="63"/>
      <c r="JBT86" s="63"/>
      <c r="JBU86" s="63"/>
      <c r="JBV86" s="63"/>
      <c r="JBW86" s="63"/>
      <c r="JBX86" s="63"/>
      <c r="JBY86" s="63"/>
      <c r="JBZ86" s="63"/>
      <c r="JCA86" s="63"/>
      <c r="JCB86" s="63"/>
      <c r="JCC86" s="63"/>
      <c r="JCD86" s="63"/>
      <c r="JCE86" s="63"/>
      <c r="JCF86" s="63"/>
      <c r="JCG86" s="63"/>
      <c r="JCH86" s="63"/>
      <c r="JCI86" s="63"/>
      <c r="JCJ86" s="63"/>
      <c r="JCK86" s="63"/>
      <c r="JCL86" s="63"/>
      <c r="JCM86" s="63"/>
      <c r="JCN86" s="63"/>
      <c r="JCO86" s="63"/>
      <c r="JCP86" s="63"/>
      <c r="JCQ86" s="63"/>
      <c r="JCR86" s="63"/>
      <c r="JCS86" s="63"/>
      <c r="JCT86" s="63"/>
      <c r="JCU86" s="63"/>
      <c r="JCV86" s="63"/>
      <c r="JCW86" s="63"/>
      <c r="JCX86" s="63"/>
      <c r="JCY86" s="63"/>
      <c r="JCZ86" s="63"/>
      <c r="JDA86" s="63"/>
      <c r="JDB86" s="63"/>
      <c r="JDC86" s="63"/>
      <c r="JDD86" s="63"/>
      <c r="JDE86" s="63"/>
      <c r="JDF86" s="63"/>
      <c r="JDG86" s="63"/>
      <c r="JDH86" s="63"/>
      <c r="JDI86" s="63"/>
      <c r="JDJ86" s="63"/>
      <c r="JDK86" s="63"/>
      <c r="JDL86" s="63"/>
      <c r="JDM86" s="63"/>
      <c r="JDN86" s="63"/>
      <c r="JDO86" s="63"/>
      <c r="JDP86" s="63"/>
      <c r="JDQ86" s="63"/>
      <c r="JDR86" s="63"/>
      <c r="JDS86" s="63"/>
      <c r="JDT86" s="63"/>
      <c r="JDU86" s="63"/>
      <c r="JDV86" s="63"/>
      <c r="JDW86" s="63"/>
      <c r="JDX86" s="63"/>
      <c r="JDY86" s="63"/>
      <c r="JDZ86" s="63"/>
      <c r="JEA86" s="63"/>
      <c r="JEB86" s="63"/>
      <c r="JEC86" s="63"/>
      <c r="JED86" s="63"/>
      <c r="JEE86" s="63"/>
      <c r="JEF86" s="63"/>
      <c r="JEG86" s="63"/>
      <c r="JEH86" s="63"/>
      <c r="JEI86" s="63"/>
      <c r="JEJ86" s="63"/>
      <c r="JEK86" s="63"/>
      <c r="JEL86" s="63"/>
      <c r="JEM86" s="63"/>
      <c r="JEN86" s="63"/>
      <c r="JEO86" s="63"/>
      <c r="JEP86" s="63"/>
      <c r="JEQ86" s="63"/>
      <c r="JER86" s="63"/>
      <c r="JES86" s="63"/>
      <c r="JET86" s="63"/>
      <c r="JEU86" s="63"/>
      <c r="JEV86" s="63"/>
      <c r="JEW86" s="63"/>
      <c r="JEX86" s="63"/>
      <c r="JEY86" s="63"/>
      <c r="JEZ86" s="63"/>
      <c r="JFA86" s="63"/>
      <c r="JFB86" s="63"/>
      <c r="JFC86" s="63"/>
      <c r="JFD86" s="63"/>
      <c r="JFE86" s="63"/>
      <c r="JFF86" s="63"/>
      <c r="JFG86" s="63"/>
      <c r="JFH86" s="63"/>
      <c r="JFI86" s="63"/>
      <c r="JFJ86" s="63"/>
      <c r="JFK86" s="63"/>
      <c r="JFL86" s="63"/>
      <c r="JFM86" s="63"/>
      <c r="JFN86" s="63"/>
      <c r="JFO86" s="63"/>
      <c r="JFP86" s="63"/>
      <c r="JFQ86" s="63"/>
      <c r="JFR86" s="63"/>
      <c r="JFS86" s="63"/>
      <c r="JFT86" s="63"/>
      <c r="JFU86" s="63"/>
      <c r="JFV86" s="63"/>
      <c r="JFW86" s="63"/>
      <c r="JFX86" s="63"/>
      <c r="JFY86" s="63"/>
      <c r="JFZ86" s="63"/>
      <c r="JGA86" s="63"/>
      <c r="JGB86" s="63"/>
      <c r="JGC86" s="63"/>
      <c r="JGD86" s="63"/>
      <c r="JGE86" s="63"/>
      <c r="JGF86" s="63"/>
      <c r="JGG86" s="63"/>
      <c r="JGH86" s="63"/>
      <c r="JGI86" s="63"/>
      <c r="JGJ86" s="63"/>
      <c r="JGK86" s="63"/>
      <c r="JGL86" s="63"/>
      <c r="JGM86" s="63"/>
      <c r="JGN86" s="63"/>
      <c r="JGO86" s="63"/>
      <c r="JGP86" s="63"/>
      <c r="JGQ86" s="63"/>
      <c r="JGR86" s="63"/>
      <c r="JGS86" s="63"/>
      <c r="JGT86" s="63"/>
      <c r="JGU86" s="63"/>
      <c r="JGV86" s="63"/>
      <c r="JGW86" s="63"/>
      <c r="JGX86" s="63"/>
      <c r="JGY86" s="63"/>
      <c r="JGZ86" s="63"/>
      <c r="JHA86" s="63"/>
      <c r="JHB86" s="63"/>
      <c r="JHC86" s="63"/>
      <c r="JHD86" s="63"/>
      <c r="JHE86" s="63"/>
      <c r="JHF86" s="63"/>
      <c r="JHG86" s="63"/>
      <c r="JHH86" s="63"/>
      <c r="JHI86" s="63"/>
      <c r="JHJ86" s="63"/>
      <c r="JHK86" s="63"/>
      <c r="JHL86" s="63"/>
      <c r="JHM86" s="63"/>
      <c r="JHN86" s="63"/>
      <c r="JHO86" s="63"/>
      <c r="JHP86" s="63"/>
      <c r="JHQ86" s="63"/>
      <c r="JHR86" s="63"/>
      <c r="JHS86" s="63"/>
      <c r="JHT86" s="63"/>
      <c r="JHU86" s="63"/>
      <c r="JHV86" s="63"/>
      <c r="JHW86" s="63"/>
      <c r="JHX86" s="63"/>
      <c r="JHY86" s="63"/>
      <c r="JHZ86" s="63"/>
      <c r="JIA86" s="63"/>
      <c r="JIB86" s="63"/>
      <c r="JIC86" s="63"/>
      <c r="JID86" s="63"/>
      <c r="JIE86" s="63"/>
      <c r="JIF86" s="63"/>
      <c r="JIG86" s="63"/>
      <c r="JIH86" s="63"/>
      <c r="JII86" s="63"/>
      <c r="JIJ86" s="63"/>
      <c r="JIK86" s="63"/>
      <c r="JIL86" s="63"/>
      <c r="JIM86" s="63"/>
      <c r="JIN86" s="63"/>
      <c r="JIO86" s="63"/>
      <c r="JIP86" s="63"/>
      <c r="JIQ86" s="63"/>
      <c r="JIR86" s="63"/>
      <c r="JIS86" s="63"/>
      <c r="JIT86" s="63"/>
      <c r="JIU86" s="63"/>
      <c r="JIV86" s="63"/>
      <c r="JIW86" s="63"/>
      <c r="JIX86" s="63"/>
      <c r="JIY86" s="63"/>
      <c r="JIZ86" s="63"/>
      <c r="JJA86" s="63"/>
      <c r="JJB86" s="63"/>
      <c r="JJC86" s="63"/>
      <c r="JJD86" s="63"/>
      <c r="JJE86" s="63"/>
      <c r="JJF86" s="63"/>
      <c r="JJG86" s="63"/>
      <c r="JJH86" s="63"/>
      <c r="JJI86" s="63"/>
      <c r="JJJ86" s="63"/>
      <c r="JJK86" s="63"/>
      <c r="JJL86" s="63"/>
      <c r="JJM86" s="63"/>
      <c r="JJN86" s="63"/>
      <c r="JJO86" s="63"/>
      <c r="JJP86" s="63"/>
      <c r="JJQ86" s="63"/>
      <c r="JJR86" s="63"/>
      <c r="JJS86" s="63"/>
      <c r="JJT86" s="63"/>
      <c r="JJU86" s="63"/>
      <c r="JJV86" s="63"/>
      <c r="JJW86" s="63"/>
      <c r="JJX86" s="63"/>
      <c r="JJY86" s="63"/>
      <c r="JJZ86" s="63"/>
      <c r="JKA86" s="63"/>
      <c r="JKB86" s="63"/>
      <c r="JKC86" s="63"/>
      <c r="JKD86" s="63"/>
      <c r="JKE86" s="63"/>
      <c r="JKF86" s="63"/>
      <c r="JKG86" s="63"/>
      <c r="JKH86" s="63"/>
      <c r="JKI86" s="63"/>
      <c r="JKJ86" s="63"/>
      <c r="JKK86" s="63"/>
      <c r="JKL86" s="63"/>
      <c r="JKM86" s="63"/>
      <c r="JKN86" s="63"/>
      <c r="JKO86" s="63"/>
      <c r="JKP86" s="63"/>
      <c r="JKQ86" s="63"/>
      <c r="JKR86" s="63"/>
      <c r="JKS86" s="63"/>
      <c r="JKT86" s="63"/>
      <c r="JKU86" s="63"/>
      <c r="JKV86" s="63"/>
      <c r="JKW86" s="63"/>
      <c r="JKX86" s="63"/>
      <c r="JKY86" s="63"/>
      <c r="JKZ86" s="63"/>
      <c r="JLA86" s="63"/>
      <c r="JLB86" s="63"/>
      <c r="JLC86" s="63"/>
      <c r="JLD86" s="63"/>
      <c r="JLE86" s="63"/>
      <c r="JLF86" s="63"/>
      <c r="JLG86" s="63"/>
      <c r="JLH86" s="63"/>
      <c r="JLI86" s="63"/>
      <c r="JLJ86" s="63"/>
      <c r="JLK86" s="63"/>
      <c r="JLL86" s="63"/>
      <c r="JLM86" s="63"/>
      <c r="JLN86" s="63"/>
      <c r="JLO86" s="63"/>
      <c r="JLP86" s="63"/>
      <c r="JLQ86" s="63"/>
      <c r="JLR86" s="63"/>
      <c r="JLS86" s="63"/>
      <c r="JLT86" s="63"/>
      <c r="JLU86" s="63"/>
      <c r="JLV86" s="63"/>
      <c r="JLW86" s="63"/>
      <c r="JLX86" s="63"/>
      <c r="JLY86" s="63"/>
      <c r="JLZ86" s="63"/>
      <c r="JMA86" s="63"/>
      <c r="JMB86" s="63"/>
      <c r="JMC86" s="63"/>
      <c r="JMD86" s="63"/>
      <c r="JME86" s="63"/>
      <c r="JMF86" s="63"/>
      <c r="JMG86" s="63"/>
      <c r="JMH86" s="63"/>
      <c r="JMI86" s="63"/>
      <c r="JMJ86" s="63"/>
      <c r="JMK86" s="63"/>
      <c r="JML86" s="63"/>
      <c r="JMM86" s="63"/>
      <c r="JMN86" s="63"/>
      <c r="JMO86" s="63"/>
      <c r="JMP86" s="63"/>
      <c r="JMQ86" s="63"/>
      <c r="JMR86" s="63"/>
      <c r="JMS86" s="63"/>
      <c r="JMT86" s="63"/>
      <c r="JMU86" s="63"/>
      <c r="JMV86" s="63"/>
      <c r="JMW86" s="63"/>
      <c r="JMX86" s="63"/>
      <c r="JMY86" s="63"/>
      <c r="JMZ86" s="63"/>
      <c r="JNA86" s="63"/>
      <c r="JNB86" s="63"/>
      <c r="JNC86" s="63"/>
      <c r="JND86" s="63"/>
      <c r="JNE86" s="63"/>
      <c r="JNF86" s="63"/>
      <c r="JNG86" s="63"/>
      <c r="JNH86" s="63"/>
      <c r="JNI86" s="63"/>
      <c r="JNJ86" s="63"/>
      <c r="JNK86" s="63"/>
      <c r="JNL86" s="63"/>
      <c r="JNM86" s="63"/>
      <c r="JNN86" s="63"/>
      <c r="JNO86" s="63"/>
      <c r="JNP86" s="63"/>
      <c r="JNQ86" s="63"/>
      <c r="JNR86" s="63"/>
      <c r="JNS86" s="63"/>
      <c r="JNT86" s="63"/>
      <c r="JNU86" s="63"/>
      <c r="JNV86" s="63"/>
      <c r="JNW86" s="63"/>
      <c r="JNX86" s="63"/>
      <c r="JNY86" s="63"/>
      <c r="JNZ86" s="63"/>
      <c r="JOA86" s="63"/>
      <c r="JOB86" s="63"/>
      <c r="JOC86" s="63"/>
      <c r="JOD86" s="63"/>
      <c r="JOE86" s="63"/>
      <c r="JOF86" s="63"/>
      <c r="JOG86" s="63"/>
      <c r="JOH86" s="63"/>
      <c r="JOI86" s="63"/>
      <c r="JOJ86" s="63"/>
      <c r="JOK86" s="63"/>
      <c r="JOL86" s="63"/>
      <c r="JOM86" s="63"/>
      <c r="JON86" s="63"/>
      <c r="JOO86" s="63"/>
      <c r="JOP86" s="63"/>
      <c r="JOQ86" s="63"/>
      <c r="JOR86" s="63"/>
      <c r="JOS86" s="63"/>
      <c r="JOT86" s="63"/>
      <c r="JOU86" s="63"/>
      <c r="JOV86" s="63"/>
      <c r="JOW86" s="63"/>
      <c r="JOX86" s="63"/>
      <c r="JOY86" s="63"/>
      <c r="JOZ86" s="63"/>
      <c r="JPA86" s="63"/>
      <c r="JPB86" s="63"/>
      <c r="JPC86" s="63"/>
      <c r="JPD86" s="63"/>
      <c r="JPE86" s="63"/>
      <c r="JPF86" s="63"/>
      <c r="JPG86" s="63"/>
      <c r="JPH86" s="63"/>
      <c r="JPI86" s="63"/>
      <c r="JPJ86" s="63"/>
      <c r="JPK86" s="63"/>
      <c r="JPL86" s="63"/>
      <c r="JPM86" s="63"/>
      <c r="JPN86" s="63"/>
      <c r="JPO86" s="63"/>
      <c r="JPP86" s="63"/>
      <c r="JPQ86" s="63"/>
      <c r="JPR86" s="63"/>
      <c r="JPS86" s="63"/>
      <c r="JPT86" s="63"/>
      <c r="JPU86" s="63"/>
      <c r="JPV86" s="63"/>
      <c r="JPW86" s="63"/>
      <c r="JPX86" s="63"/>
      <c r="JPY86" s="63"/>
      <c r="JPZ86" s="63"/>
      <c r="JQA86" s="63"/>
      <c r="JQB86" s="63"/>
      <c r="JQC86" s="63"/>
      <c r="JQD86" s="63"/>
      <c r="JQE86" s="63"/>
      <c r="JQF86" s="63"/>
      <c r="JQG86" s="63"/>
      <c r="JQH86" s="63"/>
      <c r="JQI86" s="63"/>
      <c r="JQJ86" s="63"/>
      <c r="JQK86" s="63"/>
      <c r="JQL86" s="63"/>
      <c r="JQM86" s="63"/>
      <c r="JQN86" s="63"/>
      <c r="JQO86" s="63"/>
      <c r="JQP86" s="63"/>
      <c r="JQQ86" s="63"/>
      <c r="JQR86" s="63"/>
      <c r="JQS86" s="63"/>
      <c r="JQT86" s="63"/>
      <c r="JQU86" s="63"/>
      <c r="JQV86" s="63"/>
      <c r="JQW86" s="63"/>
      <c r="JQX86" s="63"/>
      <c r="JQY86" s="63"/>
      <c r="JQZ86" s="63"/>
      <c r="JRA86" s="63"/>
      <c r="JRB86" s="63"/>
      <c r="JRC86" s="63"/>
      <c r="JRD86" s="63"/>
      <c r="JRE86" s="63"/>
      <c r="JRF86" s="63"/>
      <c r="JRG86" s="63"/>
      <c r="JRH86" s="63"/>
      <c r="JRI86" s="63"/>
      <c r="JRJ86" s="63"/>
      <c r="JRK86" s="63"/>
      <c r="JRL86" s="63"/>
      <c r="JRM86" s="63"/>
      <c r="JRN86" s="63"/>
      <c r="JRO86" s="63"/>
      <c r="JRP86" s="63"/>
      <c r="JRQ86" s="63"/>
      <c r="JRR86" s="63"/>
      <c r="JRS86" s="63"/>
      <c r="JRT86" s="63"/>
      <c r="JRU86" s="63"/>
      <c r="JRV86" s="63"/>
      <c r="JRW86" s="63"/>
      <c r="JRX86" s="63"/>
      <c r="JRY86" s="63"/>
      <c r="JRZ86" s="63"/>
      <c r="JSA86" s="63"/>
      <c r="JSB86" s="63"/>
      <c r="JSC86" s="63"/>
      <c r="JSD86" s="63"/>
      <c r="JSE86" s="63"/>
      <c r="JSF86" s="63"/>
      <c r="JSG86" s="63"/>
      <c r="JSH86" s="63"/>
      <c r="JSI86" s="63"/>
      <c r="JSJ86" s="63"/>
      <c r="JSK86" s="63"/>
      <c r="JSL86" s="63"/>
      <c r="JSM86" s="63"/>
      <c r="JSN86" s="63"/>
      <c r="JSO86" s="63"/>
      <c r="JSP86" s="63"/>
      <c r="JSQ86" s="63"/>
      <c r="JSR86" s="63"/>
      <c r="JSS86" s="63"/>
      <c r="JST86" s="63"/>
      <c r="JSU86" s="63"/>
      <c r="JSV86" s="63"/>
      <c r="JSW86" s="63"/>
      <c r="JSX86" s="63"/>
      <c r="JSY86" s="63"/>
      <c r="JSZ86" s="63"/>
      <c r="JTA86" s="63"/>
      <c r="JTB86" s="63"/>
      <c r="JTC86" s="63"/>
      <c r="JTD86" s="63"/>
      <c r="JTE86" s="63"/>
      <c r="JTF86" s="63"/>
      <c r="JTG86" s="63"/>
      <c r="JTH86" s="63"/>
      <c r="JTI86" s="63"/>
      <c r="JTJ86" s="63"/>
      <c r="JTK86" s="63"/>
      <c r="JTL86" s="63"/>
      <c r="JTM86" s="63"/>
      <c r="JTN86" s="63"/>
      <c r="JTO86" s="63"/>
      <c r="JTP86" s="63"/>
      <c r="JTQ86" s="63"/>
      <c r="JTR86" s="63"/>
      <c r="JTS86" s="63"/>
      <c r="JTT86" s="63"/>
      <c r="JTU86" s="63"/>
      <c r="JTV86" s="63"/>
      <c r="JTW86" s="63"/>
      <c r="JTX86" s="63"/>
      <c r="JTY86" s="63"/>
      <c r="JTZ86" s="63"/>
      <c r="JUA86" s="63"/>
      <c r="JUB86" s="63"/>
      <c r="JUC86" s="63"/>
      <c r="JUD86" s="63"/>
      <c r="JUE86" s="63"/>
      <c r="JUF86" s="63"/>
      <c r="JUG86" s="63"/>
      <c r="JUH86" s="63"/>
      <c r="JUI86" s="63"/>
      <c r="JUJ86" s="63"/>
      <c r="JUK86" s="63"/>
      <c r="JUL86" s="63"/>
      <c r="JUM86" s="63"/>
      <c r="JUN86" s="63"/>
      <c r="JUO86" s="63"/>
      <c r="JUP86" s="63"/>
      <c r="JUQ86" s="63"/>
      <c r="JUR86" s="63"/>
      <c r="JUS86" s="63"/>
      <c r="JUT86" s="63"/>
      <c r="JUU86" s="63"/>
      <c r="JUV86" s="63"/>
      <c r="JUW86" s="63"/>
      <c r="JUX86" s="63"/>
      <c r="JUY86" s="63"/>
      <c r="JUZ86" s="63"/>
      <c r="JVA86" s="63"/>
      <c r="JVB86" s="63"/>
      <c r="JVC86" s="63"/>
      <c r="JVD86" s="63"/>
      <c r="JVE86" s="63"/>
      <c r="JVF86" s="63"/>
      <c r="JVG86" s="63"/>
      <c r="JVH86" s="63"/>
      <c r="JVI86" s="63"/>
      <c r="JVJ86" s="63"/>
      <c r="JVK86" s="63"/>
      <c r="JVL86" s="63"/>
      <c r="JVM86" s="63"/>
      <c r="JVN86" s="63"/>
      <c r="JVO86" s="63"/>
      <c r="JVP86" s="63"/>
      <c r="JVQ86" s="63"/>
      <c r="JVR86" s="63"/>
      <c r="JVS86" s="63"/>
      <c r="JVT86" s="63"/>
      <c r="JVU86" s="63"/>
      <c r="JVV86" s="63"/>
      <c r="JVW86" s="63"/>
      <c r="JVX86" s="63"/>
      <c r="JVY86" s="63"/>
      <c r="JVZ86" s="63"/>
      <c r="JWA86" s="63"/>
      <c r="JWB86" s="63"/>
      <c r="JWC86" s="63"/>
      <c r="JWD86" s="63"/>
      <c r="JWE86" s="63"/>
      <c r="JWF86" s="63"/>
      <c r="JWG86" s="63"/>
      <c r="JWH86" s="63"/>
      <c r="JWI86" s="63"/>
      <c r="JWJ86" s="63"/>
      <c r="JWK86" s="63"/>
      <c r="JWL86" s="63"/>
      <c r="JWM86" s="63"/>
      <c r="JWN86" s="63"/>
      <c r="JWO86" s="63"/>
      <c r="JWP86" s="63"/>
      <c r="JWQ86" s="63"/>
      <c r="JWR86" s="63"/>
      <c r="JWS86" s="63"/>
      <c r="JWT86" s="63"/>
      <c r="JWU86" s="63"/>
      <c r="JWV86" s="63"/>
      <c r="JWW86" s="63"/>
      <c r="JWX86" s="63"/>
      <c r="JWY86" s="63"/>
      <c r="JWZ86" s="63"/>
      <c r="JXA86" s="63"/>
      <c r="JXB86" s="63"/>
      <c r="JXC86" s="63"/>
      <c r="JXD86" s="63"/>
      <c r="JXE86" s="63"/>
      <c r="JXF86" s="63"/>
      <c r="JXG86" s="63"/>
      <c r="JXH86" s="63"/>
      <c r="JXI86" s="63"/>
      <c r="JXJ86" s="63"/>
      <c r="JXK86" s="63"/>
      <c r="JXL86" s="63"/>
      <c r="JXM86" s="63"/>
      <c r="JXN86" s="63"/>
      <c r="JXO86" s="63"/>
      <c r="JXP86" s="63"/>
      <c r="JXQ86" s="63"/>
      <c r="JXR86" s="63"/>
      <c r="JXS86" s="63"/>
      <c r="JXT86" s="63"/>
      <c r="JXU86" s="63"/>
      <c r="JXV86" s="63"/>
      <c r="JXW86" s="63"/>
      <c r="JXX86" s="63"/>
      <c r="JXY86" s="63"/>
      <c r="JXZ86" s="63"/>
      <c r="JYA86" s="63"/>
      <c r="JYB86" s="63"/>
      <c r="JYC86" s="63"/>
      <c r="JYD86" s="63"/>
      <c r="JYE86" s="63"/>
      <c r="JYF86" s="63"/>
      <c r="JYG86" s="63"/>
      <c r="JYH86" s="63"/>
      <c r="JYI86" s="63"/>
      <c r="JYJ86" s="63"/>
      <c r="JYK86" s="63"/>
      <c r="JYL86" s="63"/>
      <c r="JYM86" s="63"/>
      <c r="JYN86" s="63"/>
      <c r="JYO86" s="63"/>
      <c r="JYP86" s="63"/>
      <c r="JYQ86" s="63"/>
      <c r="JYR86" s="63"/>
      <c r="JYS86" s="63"/>
      <c r="JYT86" s="63"/>
      <c r="JYU86" s="63"/>
      <c r="JYV86" s="63"/>
      <c r="JYW86" s="63"/>
      <c r="JYX86" s="63"/>
      <c r="JYY86" s="63"/>
      <c r="JYZ86" s="63"/>
      <c r="JZA86" s="63"/>
      <c r="JZB86" s="63"/>
      <c r="JZC86" s="63"/>
      <c r="JZD86" s="63"/>
      <c r="JZE86" s="63"/>
      <c r="JZF86" s="63"/>
      <c r="JZG86" s="63"/>
      <c r="JZH86" s="63"/>
      <c r="JZI86" s="63"/>
      <c r="JZJ86" s="63"/>
      <c r="JZK86" s="63"/>
      <c r="JZL86" s="63"/>
      <c r="JZM86" s="63"/>
      <c r="JZN86" s="63"/>
      <c r="JZO86" s="63"/>
      <c r="JZP86" s="63"/>
      <c r="JZQ86" s="63"/>
      <c r="JZR86" s="63"/>
      <c r="JZS86" s="63"/>
      <c r="JZT86" s="63"/>
      <c r="JZU86" s="63"/>
      <c r="JZV86" s="63"/>
      <c r="JZW86" s="63"/>
      <c r="JZX86" s="63"/>
      <c r="JZY86" s="63"/>
      <c r="JZZ86" s="63"/>
      <c r="KAA86" s="63"/>
      <c r="KAB86" s="63"/>
      <c r="KAC86" s="63"/>
      <c r="KAD86" s="63"/>
      <c r="KAE86" s="63"/>
      <c r="KAF86" s="63"/>
      <c r="KAG86" s="63"/>
      <c r="KAH86" s="63"/>
      <c r="KAI86" s="63"/>
      <c r="KAJ86" s="63"/>
      <c r="KAK86" s="63"/>
      <c r="KAL86" s="63"/>
      <c r="KAM86" s="63"/>
      <c r="KAN86" s="63"/>
      <c r="KAO86" s="63"/>
      <c r="KAP86" s="63"/>
      <c r="KAQ86" s="63"/>
      <c r="KAR86" s="63"/>
      <c r="KAS86" s="63"/>
      <c r="KAT86" s="63"/>
      <c r="KAU86" s="63"/>
      <c r="KAV86" s="63"/>
      <c r="KAW86" s="63"/>
      <c r="KAX86" s="63"/>
      <c r="KAY86" s="63"/>
      <c r="KAZ86" s="63"/>
      <c r="KBA86" s="63"/>
      <c r="KBB86" s="63"/>
      <c r="KBC86" s="63"/>
      <c r="KBD86" s="63"/>
      <c r="KBE86" s="63"/>
      <c r="KBF86" s="63"/>
      <c r="KBG86" s="63"/>
      <c r="KBH86" s="63"/>
      <c r="KBI86" s="63"/>
      <c r="KBJ86" s="63"/>
      <c r="KBK86" s="63"/>
      <c r="KBL86" s="63"/>
      <c r="KBM86" s="63"/>
      <c r="KBN86" s="63"/>
      <c r="KBO86" s="63"/>
      <c r="KBP86" s="63"/>
      <c r="KBQ86" s="63"/>
      <c r="KBR86" s="63"/>
      <c r="KBS86" s="63"/>
      <c r="KBT86" s="63"/>
      <c r="KBU86" s="63"/>
      <c r="KBV86" s="63"/>
      <c r="KBW86" s="63"/>
      <c r="KBX86" s="63"/>
      <c r="KBY86" s="63"/>
      <c r="KBZ86" s="63"/>
      <c r="KCA86" s="63"/>
      <c r="KCB86" s="63"/>
      <c r="KCC86" s="63"/>
      <c r="KCD86" s="63"/>
      <c r="KCE86" s="63"/>
      <c r="KCF86" s="63"/>
      <c r="KCG86" s="63"/>
      <c r="KCH86" s="63"/>
      <c r="KCI86" s="63"/>
      <c r="KCJ86" s="63"/>
      <c r="KCK86" s="63"/>
      <c r="KCL86" s="63"/>
      <c r="KCM86" s="63"/>
      <c r="KCN86" s="63"/>
      <c r="KCO86" s="63"/>
      <c r="KCP86" s="63"/>
      <c r="KCQ86" s="63"/>
      <c r="KCR86" s="63"/>
      <c r="KCS86" s="63"/>
      <c r="KCT86" s="63"/>
      <c r="KCU86" s="63"/>
      <c r="KCV86" s="63"/>
      <c r="KCW86" s="63"/>
      <c r="KCX86" s="63"/>
      <c r="KCY86" s="63"/>
      <c r="KCZ86" s="63"/>
      <c r="KDA86" s="63"/>
      <c r="KDB86" s="63"/>
      <c r="KDC86" s="63"/>
      <c r="KDD86" s="63"/>
      <c r="KDE86" s="63"/>
      <c r="KDF86" s="63"/>
      <c r="KDG86" s="63"/>
      <c r="KDH86" s="63"/>
      <c r="KDI86" s="63"/>
      <c r="KDJ86" s="63"/>
      <c r="KDK86" s="63"/>
      <c r="KDL86" s="63"/>
      <c r="KDM86" s="63"/>
      <c r="KDN86" s="63"/>
      <c r="KDO86" s="63"/>
      <c r="KDP86" s="63"/>
      <c r="KDQ86" s="63"/>
      <c r="KDR86" s="63"/>
      <c r="KDS86" s="63"/>
      <c r="KDT86" s="63"/>
      <c r="KDU86" s="63"/>
      <c r="KDV86" s="63"/>
      <c r="KDW86" s="63"/>
      <c r="KDX86" s="63"/>
      <c r="KDY86" s="63"/>
      <c r="KDZ86" s="63"/>
      <c r="KEA86" s="63"/>
      <c r="KEB86" s="63"/>
      <c r="KEC86" s="63"/>
      <c r="KED86" s="63"/>
      <c r="KEE86" s="63"/>
      <c r="KEF86" s="63"/>
      <c r="KEG86" s="63"/>
      <c r="KEH86" s="63"/>
      <c r="KEI86" s="63"/>
      <c r="KEJ86" s="63"/>
      <c r="KEK86" s="63"/>
      <c r="KEL86" s="63"/>
      <c r="KEM86" s="63"/>
      <c r="KEN86" s="63"/>
      <c r="KEO86" s="63"/>
      <c r="KEP86" s="63"/>
      <c r="KEQ86" s="63"/>
      <c r="KER86" s="63"/>
      <c r="KES86" s="63"/>
      <c r="KET86" s="63"/>
      <c r="KEU86" s="63"/>
      <c r="KEV86" s="63"/>
      <c r="KEW86" s="63"/>
      <c r="KEX86" s="63"/>
      <c r="KEY86" s="63"/>
      <c r="KEZ86" s="63"/>
      <c r="KFA86" s="63"/>
      <c r="KFB86" s="63"/>
      <c r="KFC86" s="63"/>
      <c r="KFD86" s="63"/>
      <c r="KFE86" s="63"/>
      <c r="KFF86" s="63"/>
      <c r="KFG86" s="63"/>
      <c r="KFH86" s="63"/>
      <c r="KFI86" s="63"/>
      <c r="KFJ86" s="63"/>
      <c r="KFK86" s="63"/>
      <c r="KFL86" s="63"/>
      <c r="KFM86" s="63"/>
      <c r="KFN86" s="63"/>
      <c r="KFO86" s="63"/>
      <c r="KFP86" s="63"/>
      <c r="KFQ86" s="63"/>
      <c r="KFR86" s="63"/>
      <c r="KFS86" s="63"/>
      <c r="KFT86" s="63"/>
      <c r="KFU86" s="63"/>
      <c r="KFV86" s="63"/>
      <c r="KFW86" s="63"/>
      <c r="KFX86" s="63"/>
      <c r="KFY86" s="63"/>
      <c r="KFZ86" s="63"/>
      <c r="KGA86" s="63"/>
      <c r="KGB86" s="63"/>
      <c r="KGC86" s="63"/>
      <c r="KGD86" s="63"/>
      <c r="KGE86" s="63"/>
      <c r="KGF86" s="63"/>
      <c r="KGG86" s="63"/>
      <c r="KGH86" s="63"/>
      <c r="KGI86" s="63"/>
      <c r="KGJ86" s="63"/>
      <c r="KGK86" s="63"/>
      <c r="KGL86" s="63"/>
      <c r="KGM86" s="63"/>
      <c r="KGN86" s="63"/>
      <c r="KGO86" s="63"/>
      <c r="KGP86" s="63"/>
      <c r="KGQ86" s="63"/>
      <c r="KGR86" s="63"/>
      <c r="KGS86" s="63"/>
      <c r="KGT86" s="63"/>
      <c r="KGU86" s="63"/>
      <c r="KGV86" s="63"/>
      <c r="KGW86" s="63"/>
      <c r="KGX86" s="63"/>
      <c r="KGY86" s="63"/>
      <c r="KGZ86" s="63"/>
      <c r="KHA86" s="63"/>
      <c r="KHB86" s="63"/>
      <c r="KHC86" s="63"/>
      <c r="KHD86" s="63"/>
      <c r="KHE86" s="63"/>
      <c r="KHF86" s="63"/>
      <c r="KHG86" s="63"/>
      <c r="KHH86" s="63"/>
      <c r="KHI86" s="63"/>
      <c r="KHJ86" s="63"/>
      <c r="KHK86" s="63"/>
      <c r="KHL86" s="63"/>
      <c r="KHM86" s="63"/>
      <c r="KHN86" s="63"/>
      <c r="KHO86" s="63"/>
      <c r="KHP86" s="63"/>
      <c r="KHQ86" s="63"/>
      <c r="KHR86" s="63"/>
      <c r="KHS86" s="63"/>
      <c r="KHT86" s="63"/>
      <c r="KHU86" s="63"/>
      <c r="KHV86" s="63"/>
      <c r="KHW86" s="63"/>
      <c r="KHX86" s="63"/>
      <c r="KHY86" s="63"/>
      <c r="KHZ86" s="63"/>
      <c r="KIA86" s="63"/>
      <c r="KIB86" s="63"/>
      <c r="KIC86" s="63"/>
      <c r="KID86" s="63"/>
      <c r="KIE86" s="63"/>
      <c r="KIF86" s="63"/>
      <c r="KIG86" s="63"/>
      <c r="KIH86" s="63"/>
      <c r="KII86" s="63"/>
      <c r="KIJ86" s="63"/>
      <c r="KIK86" s="63"/>
      <c r="KIL86" s="63"/>
      <c r="KIM86" s="63"/>
      <c r="KIN86" s="63"/>
      <c r="KIO86" s="63"/>
      <c r="KIP86" s="63"/>
      <c r="KIQ86" s="63"/>
      <c r="KIR86" s="63"/>
      <c r="KIS86" s="63"/>
      <c r="KIT86" s="63"/>
      <c r="KIU86" s="63"/>
      <c r="KIV86" s="63"/>
      <c r="KIW86" s="63"/>
      <c r="KIX86" s="63"/>
      <c r="KIY86" s="63"/>
      <c r="KIZ86" s="63"/>
      <c r="KJA86" s="63"/>
      <c r="KJB86" s="63"/>
      <c r="KJC86" s="63"/>
      <c r="KJD86" s="63"/>
      <c r="KJE86" s="63"/>
      <c r="KJF86" s="63"/>
      <c r="KJG86" s="63"/>
      <c r="KJH86" s="63"/>
      <c r="KJI86" s="63"/>
      <c r="KJJ86" s="63"/>
      <c r="KJK86" s="63"/>
      <c r="KJL86" s="63"/>
      <c r="KJM86" s="63"/>
      <c r="KJN86" s="63"/>
      <c r="KJO86" s="63"/>
      <c r="KJP86" s="63"/>
      <c r="KJQ86" s="63"/>
      <c r="KJR86" s="63"/>
      <c r="KJS86" s="63"/>
      <c r="KJT86" s="63"/>
      <c r="KJU86" s="63"/>
      <c r="KJV86" s="63"/>
      <c r="KJW86" s="63"/>
      <c r="KJX86" s="63"/>
      <c r="KJY86" s="63"/>
      <c r="KJZ86" s="63"/>
      <c r="KKA86" s="63"/>
      <c r="KKB86" s="63"/>
      <c r="KKC86" s="63"/>
      <c r="KKD86" s="63"/>
      <c r="KKE86" s="63"/>
      <c r="KKF86" s="63"/>
      <c r="KKG86" s="63"/>
      <c r="KKH86" s="63"/>
      <c r="KKI86" s="63"/>
      <c r="KKJ86" s="63"/>
      <c r="KKK86" s="63"/>
      <c r="KKL86" s="63"/>
      <c r="KKM86" s="63"/>
      <c r="KKN86" s="63"/>
      <c r="KKO86" s="63"/>
      <c r="KKP86" s="63"/>
      <c r="KKQ86" s="63"/>
      <c r="KKR86" s="63"/>
      <c r="KKS86" s="63"/>
      <c r="KKT86" s="63"/>
      <c r="KKU86" s="63"/>
      <c r="KKV86" s="63"/>
      <c r="KKW86" s="63"/>
      <c r="KKX86" s="63"/>
      <c r="KKY86" s="63"/>
      <c r="KKZ86" s="63"/>
      <c r="KLA86" s="63"/>
      <c r="KLB86" s="63"/>
      <c r="KLC86" s="63"/>
      <c r="KLD86" s="63"/>
      <c r="KLE86" s="63"/>
      <c r="KLF86" s="63"/>
      <c r="KLG86" s="63"/>
      <c r="KLH86" s="63"/>
      <c r="KLI86" s="63"/>
      <c r="KLJ86" s="63"/>
      <c r="KLK86" s="63"/>
      <c r="KLL86" s="63"/>
      <c r="KLM86" s="63"/>
      <c r="KLN86" s="63"/>
      <c r="KLO86" s="63"/>
      <c r="KLP86" s="63"/>
      <c r="KLQ86" s="63"/>
      <c r="KLR86" s="63"/>
      <c r="KLS86" s="63"/>
      <c r="KLT86" s="63"/>
      <c r="KLU86" s="63"/>
      <c r="KLV86" s="63"/>
      <c r="KLW86" s="63"/>
      <c r="KLX86" s="63"/>
      <c r="KLY86" s="63"/>
      <c r="KLZ86" s="63"/>
      <c r="KMA86" s="63"/>
      <c r="KMB86" s="63"/>
      <c r="KMC86" s="63"/>
      <c r="KMD86" s="63"/>
      <c r="KME86" s="63"/>
      <c r="KMF86" s="63"/>
      <c r="KMG86" s="63"/>
      <c r="KMH86" s="63"/>
      <c r="KMI86" s="63"/>
      <c r="KMJ86" s="63"/>
      <c r="KMK86" s="63"/>
      <c r="KML86" s="63"/>
      <c r="KMM86" s="63"/>
      <c r="KMN86" s="63"/>
      <c r="KMO86" s="63"/>
      <c r="KMP86" s="63"/>
      <c r="KMQ86" s="63"/>
      <c r="KMR86" s="63"/>
      <c r="KMS86" s="63"/>
      <c r="KMT86" s="63"/>
      <c r="KMU86" s="63"/>
      <c r="KMV86" s="63"/>
      <c r="KMW86" s="63"/>
      <c r="KMX86" s="63"/>
      <c r="KMY86" s="63"/>
      <c r="KMZ86" s="63"/>
      <c r="KNA86" s="63"/>
      <c r="KNB86" s="63"/>
      <c r="KNC86" s="63"/>
      <c r="KND86" s="63"/>
      <c r="KNE86" s="63"/>
      <c r="KNF86" s="63"/>
      <c r="KNG86" s="63"/>
      <c r="KNH86" s="63"/>
      <c r="KNI86" s="63"/>
      <c r="KNJ86" s="63"/>
      <c r="KNK86" s="63"/>
      <c r="KNL86" s="63"/>
      <c r="KNM86" s="63"/>
      <c r="KNN86" s="63"/>
      <c r="KNO86" s="63"/>
      <c r="KNP86" s="63"/>
      <c r="KNQ86" s="63"/>
      <c r="KNR86" s="63"/>
      <c r="KNS86" s="63"/>
      <c r="KNT86" s="63"/>
      <c r="KNU86" s="63"/>
      <c r="KNV86" s="63"/>
      <c r="KNW86" s="63"/>
      <c r="KNX86" s="63"/>
      <c r="KNY86" s="63"/>
      <c r="KNZ86" s="63"/>
      <c r="KOA86" s="63"/>
      <c r="KOB86" s="63"/>
      <c r="KOC86" s="63"/>
      <c r="KOD86" s="63"/>
      <c r="KOE86" s="63"/>
      <c r="KOF86" s="63"/>
      <c r="KOG86" s="63"/>
      <c r="KOH86" s="63"/>
      <c r="KOI86" s="63"/>
      <c r="KOJ86" s="63"/>
      <c r="KOK86" s="63"/>
      <c r="KOL86" s="63"/>
      <c r="KOM86" s="63"/>
      <c r="KON86" s="63"/>
      <c r="KOO86" s="63"/>
      <c r="KOP86" s="63"/>
      <c r="KOQ86" s="63"/>
      <c r="KOR86" s="63"/>
      <c r="KOS86" s="63"/>
      <c r="KOT86" s="63"/>
      <c r="KOU86" s="63"/>
      <c r="KOV86" s="63"/>
      <c r="KOW86" s="63"/>
      <c r="KOX86" s="63"/>
      <c r="KOY86" s="63"/>
      <c r="KOZ86" s="63"/>
      <c r="KPA86" s="63"/>
      <c r="KPB86" s="63"/>
      <c r="KPC86" s="63"/>
      <c r="KPD86" s="63"/>
      <c r="KPE86" s="63"/>
      <c r="KPF86" s="63"/>
      <c r="KPG86" s="63"/>
      <c r="KPH86" s="63"/>
      <c r="KPI86" s="63"/>
      <c r="KPJ86" s="63"/>
      <c r="KPK86" s="63"/>
      <c r="KPL86" s="63"/>
      <c r="KPM86" s="63"/>
      <c r="KPN86" s="63"/>
      <c r="KPO86" s="63"/>
      <c r="KPP86" s="63"/>
      <c r="KPQ86" s="63"/>
      <c r="KPR86" s="63"/>
      <c r="KPS86" s="63"/>
      <c r="KPT86" s="63"/>
      <c r="KPU86" s="63"/>
      <c r="KPV86" s="63"/>
      <c r="KPW86" s="63"/>
      <c r="KPX86" s="63"/>
      <c r="KPY86" s="63"/>
      <c r="KPZ86" s="63"/>
      <c r="KQA86" s="63"/>
      <c r="KQB86" s="63"/>
      <c r="KQC86" s="63"/>
      <c r="KQD86" s="63"/>
      <c r="KQE86" s="63"/>
      <c r="KQF86" s="63"/>
      <c r="KQG86" s="63"/>
      <c r="KQH86" s="63"/>
      <c r="KQI86" s="63"/>
      <c r="KQJ86" s="63"/>
      <c r="KQK86" s="63"/>
      <c r="KQL86" s="63"/>
      <c r="KQM86" s="63"/>
      <c r="KQN86" s="63"/>
      <c r="KQO86" s="63"/>
      <c r="KQP86" s="63"/>
      <c r="KQQ86" s="63"/>
      <c r="KQR86" s="63"/>
      <c r="KQS86" s="63"/>
      <c r="KQT86" s="63"/>
      <c r="KQU86" s="63"/>
      <c r="KQV86" s="63"/>
      <c r="KQW86" s="63"/>
      <c r="KQX86" s="63"/>
      <c r="KQY86" s="63"/>
      <c r="KQZ86" s="63"/>
      <c r="KRA86" s="63"/>
      <c r="KRB86" s="63"/>
      <c r="KRC86" s="63"/>
      <c r="KRD86" s="63"/>
      <c r="KRE86" s="63"/>
      <c r="KRF86" s="63"/>
      <c r="KRG86" s="63"/>
      <c r="KRH86" s="63"/>
      <c r="KRI86" s="63"/>
      <c r="KRJ86" s="63"/>
      <c r="KRK86" s="63"/>
      <c r="KRL86" s="63"/>
      <c r="KRM86" s="63"/>
      <c r="KRN86" s="63"/>
      <c r="KRO86" s="63"/>
      <c r="KRP86" s="63"/>
      <c r="KRQ86" s="63"/>
      <c r="KRR86" s="63"/>
      <c r="KRS86" s="63"/>
      <c r="KRT86" s="63"/>
      <c r="KRU86" s="63"/>
      <c r="KRV86" s="63"/>
      <c r="KRW86" s="63"/>
      <c r="KRX86" s="63"/>
      <c r="KRY86" s="63"/>
      <c r="KRZ86" s="63"/>
      <c r="KSA86" s="63"/>
      <c r="KSB86" s="63"/>
      <c r="KSC86" s="63"/>
      <c r="KSD86" s="63"/>
      <c r="KSE86" s="63"/>
      <c r="KSF86" s="63"/>
      <c r="KSG86" s="63"/>
      <c r="KSH86" s="63"/>
      <c r="KSI86" s="63"/>
      <c r="KSJ86" s="63"/>
      <c r="KSK86" s="63"/>
      <c r="KSL86" s="63"/>
      <c r="KSM86" s="63"/>
      <c r="KSN86" s="63"/>
      <c r="KSO86" s="63"/>
      <c r="KSP86" s="63"/>
      <c r="KSQ86" s="63"/>
      <c r="KSR86" s="63"/>
      <c r="KSS86" s="63"/>
      <c r="KST86" s="63"/>
      <c r="KSU86" s="63"/>
      <c r="KSV86" s="63"/>
      <c r="KSW86" s="63"/>
      <c r="KSX86" s="63"/>
      <c r="KSY86" s="63"/>
      <c r="KSZ86" s="63"/>
      <c r="KTA86" s="63"/>
      <c r="KTB86" s="63"/>
      <c r="KTC86" s="63"/>
      <c r="KTD86" s="63"/>
      <c r="KTE86" s="63"/>
      <c r="KTF86" s="63"/>
      <c r="KTG86" s="63"/>
      <c r="KTH86" s="63"/>
      <c r="KTI86" s="63"/>
      <c r="KTJ86" s="63"/>
      <c r="KTK86" s="63"/>
      <c r="KTL86" s="63"/>
      <c r="KTM86" s="63"/>
      <c r="KTN86" s="63"/>
      <c r="KTO86" s="63"/>
      <c r="KTP86" s="63"/>
      <c r="KTQ86" s="63"/>
      <c r="KTR86" s="63"/>
      <c r="KTS86" s="63"/>
      <c r="KTT86" s="63"/>
      <c r="KTU86" s="63"/>
      <c r="KTV86" s="63"/>
      <c r="KTW86" s="63"/>
      <c r="KTX86" s="63"/>
      <c r="KTY86" s="63"/>
      <c r="KTZ86" s="63"/>
      <c r="KUA86" s="63"/>
      <c r="KUB86" s="63"/>
      <c r="KUC86" s="63"/>
      <c r="KUD86" s="63"/>
      <c r="KUE86" s="63"/>
      <c r="KUF86" s="63"/>
      <c r="KUG86" s="63"/>
      <c r="KUH86" s="63"/>
      <c r="KUI86" s="63"/>
      <c r="KUJ86" s="63"/>
      <c r="KUK86" s="63"/>
      <c r="KUL86" s="63"/>
      <c r="KUM86" s="63"/>
      <c r="KUN86" s="63"/>
      <c r="KUO86" s="63"/>
      <c r="KUP86" s="63"/>
      <c r="KUQ86" s="63"/>
      <c r="KUR86" s="63"/>
      <c r="KUS86" s="63"/>
      <c r="KUT86" s="63"/>
      <c r="KUU86" s="63"/>
      <c r="KUV86" s="63"/>
      <c r="KUW86" s="63"/>
      <c r="KUX86" s="63"/>
      <c r="KUY86" s="63"/>
      <c r="KUZ86" s="63"/>
      <c r="KVA86" s="63"/>
      <c r="KVB86" s="63"/>
      <c r="KVC86" s="63"/>
      <c r="KVD86" s="63"/>
      <c r="KVE86" s="63"/>
      <c r="KVF86" s="63"/>
      <c r="KVG86" s="63"/>
      <c r="KVH86" s="63"/>
      <c r="KVI86" s="63"/>
      <c r="KVJ86" s="63"/>
      <c r="KVK86" s="63"/>
      <c r="KVL86" s="63"/>
      <c r="KVM86" s="63"/>
      <c r="KVN86" s="63"/>
      <c r="KVO86" s="63"/>
      <c r="KVP86" s="63"/>
      <c r="KVQ86" s="63"/>
      <c r="KVR86" s="63"/>
      <c r="KVS86" s="63"/>
      <c r="KVT86" s="63"/>
      <c r="KVU86" s="63"/>
      <c r="KVV86" s="63"/>
      <c r="KVW86" s="63"/>
      <c r="KVX86" s="63"/>
      <c r="KVY86" s="63"/>
      <c r="KVZ86" s="63"/>
      <c r="KWA86" s="63"/>
      <c r="KWB86" s="63"/>
      <c r="KWC86" s="63"/>
      <c r="KWD86" s="63"/>
      <c r="KWE86" s="63"/>
      <c r="KWF86" s="63"/>
      <c r="KWG86" s="63"/>
      <c r="KWH86" s="63"/>
      <c r="KWI86" s="63"/>
      <c r="KWJ86" s="63"/>
      <c r="KWK86" s="63"/>
      <c r="KWL86" s="63"/>
      <c r="KWM86" s="63"/>
      <c r="KWN86" s="63"/>
      <c r="KWO86" s="63"/>
      <c r="KWP86" s="63"/>
      <c r="KWQ86" s="63"/>
      <c r="KWR86" s="63"/>
      <c r="KWS86" s="63"/>
      <c r="KWT86" s="63"/>
      <c r="KWU86" s="63"/>
      <c r="KWV86" s="63"/>
      <c r="KWW86" s="63"/>
      <c r="KWX86" s="63"/>
      <c r="KWY86" s="63"/>
      <c r="KWZ86" s="63"/>
      <c r="KXA86" s="63"/>
      <c r="KXB86" s="63"/>
      <c r="KXC86" s="63"/>
      <c r="KXD86" s="63"/>
      <c r="KXE86" s="63"/>
      <c r="KXF86" s="63"/>
      <c r="KXG86" s="63"/>
      <c r="KXH86" s="63"/>
      <c r="KXI86" s="63"/>
      <c r="KXJ86" s="63"/>
      <c r="KXK86" s="63"/>
      <c r="KXL86" s="63"/>
      <c r="KXM86" s="63"/>
      <c r="KXN86" s="63"/>
      <c r="KXO86" s="63"/>
      <c r="KXP86" s="63"/>
      <c r="KXQ86" s="63"/>
      <c r="KXR86" s="63"/>
      <c r="KXS86" s="63"/>
      <c r="KXT86" s="63"/>
      <c r="KXU86" s="63"/>
      <c r="KXV86" s="63"/>
      <c r="KXW86" s="63"/>
      <c r="KXX86" s="63"/>
      <c r="KXY86" s="63"/>
      <c r="KXZ86" s="63"/>
      <c r="KYA86" s="63"/>
      <c r="KYB86" s="63"/>
      <c r="KYC86" s="63"/>
      <c r="KYD86" s="63"/>
      <c r="KYE86" s="63"/>
      <c r="KYF86" s="63"/>
      <c r="KYG86" s="63"/>
      <c r="KYH86" s="63"/>
      <c r="KYI86" s="63"/>
      <c r="KYJ86" s="63"/>
      <c r="KYK86" s="63"/>
      <c r="KYL86" s="63"/>
      <c r="KYM86" s="63"/>
      <c r="KYN86" s="63"/>
      <c r="KYO86" s="63"/>
      <c r="KYP86" s="63"/>
      <c r="KYQ86" s="63"/>
      <c r="KYR86" s="63"/>
      <c r="KYS86" s="63"/>
      <c r="KYT86" s="63"/>
      <c r="KYU86" s="63"/>
      <c r="KYV86" s="63"/>
      <c r="KYW86" s="63"/>
      <c r="KYX86" s="63"/>
      <c r="KYY86" s="63"/>
      <c r="KYZ86" s="63"/>
      <c r="KZA86" s="63"/>
      <c r="KZB86" s="63"/>
      <c r="KZC86" s="63"/>
      <c r="KZD86" s="63"/>
      <c r="KZE86" s="63"/>
      <c r="KZF86" s="63"/>
      <c r="KZG86" s="63"/>
      <c r="KZH86" s="63"/>
      <c r="KZI86" s="63"/>
      <c r="KZJ86" s="63"/>
      <c r="KZK86" s="63"/>
      <c r="KZL86" s="63"/>
      <c r="KZM86" s="63"/>
      <c r="KZN86" s="63"/>
      <c r="KZO86" s="63"/>
      <c r="KZP86" s="63"/>
      <c r="KZQ86" s="63"/>
      <c r="KZR86" s="63"/>
      <c r="KZS86" s="63"/>
      <c r="KZT86" s="63"/>
      <c r="KZU86" s="63"/>
      <c r="KZV86" s="63"/>
      <c r="KZW86" s="63"/>
      <c r="KZX86" s="63"/>
      <c r="KZY86" s="63"/>
      <c r="KZZ86" s="63"/>
      <c r="LAA86" s="63"/>
      <c r="LAB86" s="63"/>
      <c r="LAC86" s="63"/>
      <c r="LAD86" s="63"/>
      <c r="LAE86" s="63"/>
      <c r="LAF86" s="63"/>
      <c r="LAG86" s="63"/>
      <c r="LAH86" s="63"/>
      <c r="LAI86" s="63"/>
      <c r="LAJ86" s="63"/>
      <c r="LAK86" s="63"/>
      <c r="LAL86" s="63"/>
      <c r="LAM86" s="63"/>
      <c r="LAN86" s="63"/>
      <c r="LAO86" s="63"/>
      <c r="LAP86" s="63"/>
      <c r="LAQ86" s="63"/>
      <c r="LAR86" s="63"/>
      <c r="LAS86" s="63"/>
      <c r="LAT86" s="63"/>
      <c r="LAU86" s="63"/>
      <c r="LAV86" s="63"/>
      <c r="LAW86" s="63"/>
      <c r="LAX86" s="63"/>
      <c r="LAY86" s="63"/>
      <c r="LAZ86" s="63"/>
      <c r="LBA86" s="63"/>
      <c r="LBB86" s="63"/>
      <c r="LBC86" s="63"/>
      <c r="LBD86" s="63"/>
      <c r="LBE86" s="63"/>
      <c r="LBF86" s="63"/>
      <c r="LBG86" s="63"/>
      <c r="LBH86" s="63"/>
      <c r="LBI86" s="63"/>
      <c r="LBJ86" s="63"/>
      <c r="LBK86" s="63"/>
      <c r="LBL86" s="63"/>
      <c r="LBM86" s="63"/>
      <c r="LBN86" s="63"/>
      <c r="LBO86" s="63"/>
      <c r="LBP86" s="63"/>
      <c r="LBQ86" s="63"/>
      <c r="LBR86" s="63"/>
      <c r="LBS86" s="63"/>
      <c r="LBT86" s="63"/>
      <c r="LBU86" s="63"/>
      <c r="LBV86" s="63"/>
      <c r="LBW86" s="63"/>
      <c r="LBX86" s="63"/>
      <c r="LBY86" s="63"/>
      <c r="LBZ86" s="63"/>
      <c r="LCA86" s="63"/>
      <c r="LCB86" s="63"/>
      <c r="LCC86" s="63"/>
      <c r="LCD86" s="63"/>
      <c r="LCE86" s="63"/>
      <c r="LCF86" s="63"/>
      <c r="LCG86" s="63"/>
      <c r="LCH86" s="63"/>
      <c r="LCI86" s="63"/>
      <c r="LCJ86" s="63"/>
      <c r="LCK86" s="63"/>
      <c r="LCL86" s="63"/>
      <c r="LCM86" s="63"/>
      <c r="LCN86" s="63"/>
      <c r="LCO86" s="63"/>
      <c r="LCP86" s="63"/>
      <c r="LCQ86" s="63"/>
      <c r="LCR86" s="63"/>
      <c r="LCS86" s="63"/>
      <c r="LCT86" s="63"/>
      <c r="LCU86" s="63"/>
      <c r="LCV86" s="63"/>
      <c r="LCW86" s="63"/>
      <c r="LCX86" s="63"/>
      <c r="LCY86" s="63"/>
      <c r="LCZ86" s="63"/>
      <c r="LDA86" s="63"/>
      <c r="LDB86" s="63"/>
      <c r="LDC86" s="63"/>
      <c r="LDD86" s="63"/>
      <c r="LDE86" s="63"/>
      <c r="LDF86" s="63"/>
      <c r="LDG86" s="63"/>
      <c r="LDH86" s="63"/>
      <c r="LDI86" s="63"/>
      <c r="LDJ86" s="63"/>
      <c r="LDK86" s="63"/>
      <c r="LDL86" s="63"/>
      <c r="LDM86" s="63"/>
      <c r="LDN86" s="63"/>
      <c r="LDO86" s="63"/>
      <c r="LDP86" s="63"/>
      <c r="LDQ86" s="63"/>
      <c r="LDR86" s="63"/>
      <c r="LDS86" s="63"/>
      <c r="LDT86" s="63"/>
      <c r="LDU86" s="63"/>
      <c r="LDV86" s="63"/>
      <c r="LDW86" s="63"/>
      <c r="LDX86" s="63"/>
      <c r="LDY86" s="63"/>
      <c r="LDZ86" s="63"/>
      <c r="LEA86" s="63"/>
      <c r="LEB86" s="63"/>
      <c r="LEC86" s="63"/>
      <c r="LED86" s="63"/>
      <c r="LEE86" s="63"/>
      <c r="LEF86" s="63"/>
      <c r="LEG86" s="63"/>
      <c r="LEH86" s="63"/>
      <c r="LEI86" s="63"/>
      <c r="LEJ86" s="63"/>
      <c r="LEK86" s="63"/>
      <c r="LEL86" s="63"/>
      <c r="LEM86" s="63"/>
      <c r="LEN86" s="63"/>
      <c r="LEO86" s="63"/>
      <c r="LEP86" s="63"/>
      <c r="LEQ86" s="63"/>
      <c r="LER86" s="63"/>
      <c r="LES86" s="63"/>
      <c r="LET86" s="63"/>
      <c r="LEU86" s="63"/>
      <c r="LEV86" s="63"/>
      <c r="LEW86" s="63"/>
      <c r="LEX86" s="63"/>
      <c r="LEY86" s="63"/>
      <c r="LEZ86" s="63"/>
      <c r="LFA86" s="63"/>
      <c r="LFB86" s="63"/>
      <c r="LFC86" s="63"/>
      <c r="LFD86" s="63"/>
      <c r="LFE86" s="63"/>
      <c r="LFF86" s="63"/>
      <c r="LFG86" s="63"/>
      <c r="LFH86" s="63"/>
      <c r="LFI86" s="63"/>
      <c r="LFJ86" s="63"/>
      <c r="LFK86" s="63"/>
      <c r="LFL86" s="63"/>
      <c r="LFM86" s="63"/>
      <c r="LFN86" s="63"/>
      <c r="LFO86" s="63"/>
      <c r="LFP86" s="63"/>
      <c r="LFQ86" s="63"/>
      <c r="LFR86" s="63"/>
      <c r="LFS86" s="63"/>
      <c r="LFT86" s="63"/>
      <c r="LFU86" s="63"/>
      <c r="LFV86" s="63"/>
      <c r="LFW86" s="63"/>
      <c r="LFX86" s="63"/>
      <c r="LFY86" s="63"/>
      <c r="LFZ86" s="63"/>
      <c r="LGA86" s="63"/>
      <c r="LGB86" s="63"/>
      <c r="LGC86" s="63"/>
      <c r="LGD86" s="63"/>
      <c r="LGE86" s="63"/>
      <c r="LGF86" s="63"/>
      <c r="LGG86" s="63"/>
      <c r="LGH86" s="63"/>
      <c r="LGI86" s="63"/>
      <c r="LGJ86" s="63"/>
      <c r="LGK86" s="63"/>
      <c r="LGL86" s="63"/>
      <c r="LGM86" s="63"/>
      <c r="LGN86" s="63"/>
      <c r="LGO86" s="63"/>
      <c r="LGP86" s="63"/>
      <c r="LGQ86" s="63"/>
      <c r="LGR86" s="63"/>
      <c r="LGS86" s="63"/>
      <c r="LGT86" s="63"/>
      <c r="LGU86" s="63"/>
      <c r="LGV86" s="63"/>
      <c r="LGW86" s="63"/>
      <c r="LGX86" s="63"/>
      <c r="LGY86" s="63"/>
      <c r="LGZ86" s="63"/>
      <c r="LHA86" s="63"/>
      <c r="LHB86" s="63"/>
      <c r="LHC86" s="63"/>
      <c r="LHD86" s="63"/>
      <c r="LHE86" s="63"/>
      <c r="LHF86" s="63"/>
      <c r="LHG86" s="63"/>
      <c r="LHH86" s="63"/>
      <c r="LHI86" s="63"/>
      <c r="LHJ86" s="63"/>
      <c r="LHK86" s="63"/>
      <c r="LHL86" s="63"/>
      <c r="LHM86" s="63"/>
      <c r="LHN86" s="63"/>
      <c r="LHO86" s="63"/>
      <c r="LHP86" s="63"/>
      <c r="LHQ86" s="63"/>
      <c r="LHR86" s="63"/>
      <c r="LHS86" s="63"/>
      <c r="LHT86" s="63"/>
      <c r="LHU86" s="63"/>
      <c r="LHV86" s="63"/>
      <c r="LHW86" s="63"/>
      <c r="LHX86" s="63"/>
      <c r="LHY86" s="63"/>
      <c r="LHZ86" s="63"/>
      <c r="LIA86" s="63"/>
      <c r="LIB86" s="63"/>
      <c r="LIC86" s="63"/>
      <c r="LID86" s="63"/>
      <c r="LIE86" s="63"/>
      <c r="LIF86" s="63"/>
      <c r="LIG86" s="63"/>
      <c r="LIH86" s="63"/>
      <c r="LII86" s="63"/>
      <c r="LIJ86" s="63"/>
      <c r="LIK86" s="63"/>
      <c r="LIL86" s="63"/>
      <c r="LIM86" s="63"/>
      <c r="LIN86" s="63"/>
      <c r="LIO86" s="63"/>
      <c r="LIP86" s="63"/>
      <c r="LIQ86" s="63"/>
      <c r="LIR86" s="63"/>
      <c r="LIS86" s="63"/>
      <c r="LIT86" s="63"/>
      <c r="LIU86" s="63"/>
      <c r="LIV86" s="63"/>
      <c r="LIW86" s="63"/>
      <c r="LIX86" s="63"/>
      <c r="LIY86" s="63"/>
      <c r="LIZ86" s="63"/>
      <c r="LJA86" s="63"/>
      <c r="LJB86" s="63"/>
      <c r="LJC86" s="63"/>
      <c r="LJD86" s="63"/>
      <c r="LJE86" s="63"/>
      <c r="LJF86" s="63"/>
      <c r="LJG86" s="63"/>
      <c r="LJH86" s="63"/>
      <c r="LJI86" s="63"/>
      <c r="LJJ86" s="63"/>
      <c r="LJK86" s="63"/>
      <c r="LJL86" s="63"/>
      <c r="LJM86" s="63"/>
      <c r="LJN86" s="63"/>
      <c r="LJO86" s="63"/>
      <c r="LJP86" s="63"/>
      <c r="LJQ86" s="63"/>
      <c r="LJR86" s="63"/>
      <c r="LJS86" s="63"/>
      <c r="LJT86" s="63"/>
      <c r="LJU86" s="63"/>
      <c r="LJV86" s="63"/>
      <c r="LJW86" s="63"/>
      <c r="LJX86" s="63"/>
      <c r="LJY86" s="63"/>
      <c r="LJZ86" s="63"/>
      <c r="LKA86" s="63"/>
      <c r="LKB86" s="63"/>
      <c r="LKC86" s="63"/>
      <c r="LKD86" s="63"/>
      <c r="LKE86" s="63"/>
      <c r="LKF86" s="63"/>
      <c r="LKG86" s="63"/>
      <c r="LKH86" s="63"/>
      <c r="LKI86" s="63"/>
      <c r="LKJ86" s="63"/>
      <c r="LKK86" s="63"/>
      <c r="LKL86" s="63"/>
      <c r="LKM86" s="63"/>
      <c r="LKN86" s="63"/>
      <c r="LKO86" s="63"/>
      <c r="LKP86" s="63"/>
      <c r="LKQ86" s="63"/>
      <c r="LKR86" s="63"/>
      <c r="LKS86" s="63"/>
      <c r="LKT86" s="63"/>
      <c r="LKU86" s="63"/>
      <c r="LKV86" s="63"/>
      <c r="LKW86" s="63"/>
      <c r="LKX86" s="63"/>
      <c r="LKY86" s="63"/>
      <c r="LKZ86" s="63"/>
      <c r="LLA86" s="63"/>
      <c r="LLB86" s="63"/>
      <c r="LLC86" s="63"/>
      <c r="LLD86" s="63"/>
      <c r="LLE86" s="63"/>
      <c r="LLF86" s="63"/>
      <c r="LLG86" s="63"/>
      <c r="LLH86" s="63"/>
      <c r="LLI86" s="63"/>
      <c r="LLJ86" s="63"/>
      <c r="LLK86" s="63"/>
      <c r="LLL86" s="63"/>
      <c r="LLM86" s="63"/>
      <c r="LLN86" s="63"/>
      <c r="LLO86" s="63"/>
      <c r="LLP86" s="63"/>
      <c r="LLQ86" s="63"/>
      <c r="LLR86" s="63"/>
      <c r="LLS86" s="63"/>
      <c r="LLT86" s="63"/>
      <c r="LLU86" s="63"/>
      <c r="LLV86" s="63"/>
      <c r="LLW86" s="63"/>
      <c r="LLX86" s="63"/>
      <c r="LLY86" s="63"/>
      <c r="LLZ86" s="63"/>
      <c r="LMA86" s="63"/>
      <c r="LMB86" s="63"/>
      <c r="LMC86" s="63"/>
      <c r="LMD86" s="63"/>
      <c r="LME86" s="63"/>
      <c r="LMF86" s="63"/>
      <c r="LMG86" s="63"/>
      <c r="LMH86" s="63"/>
      <c r="LMI86" s="63"/>
      <c r="LMJ86" s="63"/>
      <c r="LMK86" s="63"/>
      <c r="LML86" s="63"/>
      <c r="LMM86" s="63"/>
      <c r="LMN86" s="63"/>
      <c r="LMO86" s="63"/>
      <c r="LMP86" s="63"/>
      <c r="LMQ86" s="63"/>
      <c r="LMR86" s="63"/>
      <c r="LMS86" s="63"/>
      <c r="LMT86" s="63"/>
      <c r="LMU86" s="63"/>
      <c r="LMV86" s="63"/>
      <c r="LMW86" s="63"/>
      <c r="LMX86" s="63"/>
      <c r="LMY86" s="63"/>
      <c r="LMZ86" s="63"/>
      <c r="LNA86" s="63"/>
      <c r="LNB86" s="63"/>
      <c r="LNC86" s="63"/>
      <c r="LND86" s="63"/>
      <c r="LNE86" s="63"/>
      <c r="LNF86" s="63"/>
      <c r="LNG86" s="63"/>
      <c r="LNH86" s="63"/>
      <c r="LNI86" s="63"/>
      <c r="LNJ86" s="63"/>
      <c r="LNK86" s="63"/>
      <c r="LNL86" s="63"/>
      <c r="LNM86" s="63"/>
      <c r="LNN86" s="63"/>
      <c r="LNO86" s="63"/>
      <c r="LNP86" s="63"/>
      <c r="LNQ86" s="63"/>
      <c r="LNR86" s="63"/>
      <c r="LNS86" s="63"/>
      <c r="LNT86" s="63"/>
      <c r="LNU86" s="63"/>
      <c r="LNV86" s="63"/>
      <c r="LNW86" s="63"/>
      <c r="LNX86" s="63"/>
      <c r="LNY86" s="63"/>
      <c r="LNZ86" s="63"/>
      <c r="LOA86" s="63"/>
      <c r="LOB86" s="63"/>
      <c r="LOC86" s="63"/>
      <c r="LOD86" s="63"/>
      <c r="LOE86" s="63"/>
      <c r="LOF86" s="63"/>
      <c r="LOG86" s="63"/>
      <c r="LOH86" s="63"/>
      <c r="LOI86" s="63"/>
      <c r="LOJ86" s="63"/>
      <c r="LOK86" s="63"/>
      <c r="LOL86" s="63"/>
      <c r="LOM86" s="63"/>
      <c r="LON86" s="63"/>
      <c r="LOO86" s="63"/>
      <c r="LOP86" s="63"/>
      <c r="LOQ86" s="63"/>
      <c r="LOR86" s="63"/>
      <c r="LOS86" s="63"/>
      <c r="LOT86" s="63"/>
      <c r="LOU86" s="63"/>
      <c r="LOV86" s="63"/>
      <c r="LOW86" s="63"/>
      <c r="LOX86" s="63"/>
      <c r="LOY86" s="63"/>
      <c r="LOZ86" s="63"/>
      <c r="LPA86" s="63"/>
      <c r="LPB86" s="63"/>
      <c r="LPC86" s="63"/>
      <c r="LPD86" s="63"/>
      <c r="LPE86" s="63"/>
      <c r="LPF86" s="63"/>
      <c r="LPG86" s="63"/>
      <c r="LPH86" s="63"/>
      <c r="LPI86" s="63"/>
      <c r="LPJ86" s="63"/>
      <c r="LPK86" s="63"/>
      <c r="LPL86" s="63"/>
      <c r="LPM86" s="63"/>
      <c r="LPN86" s="63"/>
      <c r="LPO86" s="63"/>
      <c r="LPP86" s="63"/>
      <c r="LPQ86" s="63"/>
      <c r="LPR86" s="63"/>
      <c r="LPS86" s="63"/>
      <c r="LPT86" s="63"/>
      <c r="LPU86" s="63"/>
      <c r="LPV86" s="63"/>
      <c r="LPW86" s="63"/>
      <c r="LPX86" s="63"/>
      <c r="LPY86" s="63"/>
      <c r="LPZ86" s="63"/>
      <c r="LQA86" s="63"/>
      <c r="LQB86" s="63"/>
      <c r="LQC86" s="63"/>
      <c r="LQD86" s="63"/>
      <c r="LQE86" s="63"/>
      <c r="LQF86" s="63"/>
      <c r="LQG86" s="63"/>
      <c r="LQH86" s="63"/>
      <c r="LQI86" s="63"/>
      <c r="LQJ86" s="63"/>
      <c r="LQK86" s="63"/>
      <c r="LQL86" s="63"/>
      <c r="LQM86" s="63"/>
      <c r="LQN86" s="63"/>
      <c r="LQO86" s="63"/>
      <c r="LQP86" s="63"/>
      <c r="LQQ86" s="63"/>
      <c r="LQR86" s="63"/>
      <c r="LQS86" s="63"/>
      <c r="LQT86" s="63"/>
      <c r="LQU86" s="63"/>
      <c r="LQV86" s="63"/>
      <c r="LQW86" s="63"/>
      <c r="LQX86" s="63"/>
      <c r="LQY86" s="63"/>
      <c r="LQZ86" s="63"/>
      <c r="LRA86" s="63"/>
      <c r="LRB86" s="63"/>
      <c r="LRC86" s="63"/>
      <c r="LRD86" s="63"/>
      <c r="LRE86" s="63"/>
      <c r="LRF86" s="63"/>
      <c r="LRG86" s="63"/>
      <c r="LRH86" s="63"/>
      <c r="LRI86" s="63"/>
      <c r="LRJ86" s="63"/>
      <c r="LRK86" s="63"/>
      <c r="LRL86" s="63"/>
      <c r="LRM86" s="63"/>
      <c r="LRN86" s="63"/>
      <c r="LRO86" s="63"/>
      <c r="LRP86" s="63"/>
      <c r="LRQ86" s="63"/>
      <c r="LRR86" s="63"/>
      <c r="LRS86" s="63"/>
      <c r="LRT86" s="63"/>
      <c r="LRU86" s="63"/>
      <c r="LRV86" s="63"/>
      <c r="LRW86" s="63"/>
      <c r="LRX86" s="63"/>
      <c r="LRY86" s="63"/>
      <c r="LRZ86" s="63"/>
      <c r="LSA86" s="63"/>
      <c r="LSB86" s="63"/>
      <c r="LSC86" s="63"/>
      <c r="LSD86" s="63"/>
      <c r="LSE86" s="63"/>
      <c r="LSF86" s="63"/>
      <c r="LSG86" s="63"/>
      <c r="LSH86" s="63"/>
      <c r="LSI86" s="63"/>
      <c r="LSJ86" s="63"/>
      <c r="LSK86" s="63"/>
      <c r="LSL86" s="63"/>
      <c r="LSM86" s="63"/>
      <c r="LSN86" s="63"/>
      <c r="LSO86" s="63"/>
      <c r="LSP86" s="63"/>
      <c r="LSQ86" s="63"/>
      <c r="LSR86" s="63"/>
      <c r="LSS86" s="63"/>
      <c r="LST86" s="63"/>
      <c r="LSU86" s="63"/>
      <c r="LSV86" s="63"/>
      <c r="LSW86" s="63"/>
      <c r="LSX86" s="63"/>
      <c r="LSY86" s="63"/>
      <c r="LSZ86" s="63"/>
      <c r="LTA86" s="63"/>
      <c r="LTB86" s="63"/>
      <c r="LTC86" s="63"/>
      <c r="LTD86" s="63"/>
      <c r="LTE86" s="63"/>
      <c r="LTF86" s="63"/>
      <c r="LTG86" s="63"/>
      <c r="LTH86" s="63"/>
      <c r="LTI86" s="63"/>
      <c r="LTJ86" s="63"/>
      <c r="LTK86" s="63"/>
      <c r="LTL86" s="63"/>
      <c r="LTM86" s="63"/>
      <c r="LTN86" s="63"/>
      <c r="LTO86" s="63"/>
      <c r="LTP86" s="63"/>
      <c r="LTQ86" s="63"/>
      <c r="LTR86" s="63"/>
      <c r="LTS86" s="63"/>
      <c r="LTT86" s="63"/>
      <c r="LTU86" s="63"/>
      <c r="LTV86" s="63"/>
      <c r="LTW86" s="63"/>
      <c r="LTX86" s="63"/>
      <c r="LTY86" s="63"/>
      <c r="LTZ86" s="63"/>
      <c r="LUA86" s="63"/>
      <c r="LUB86" s="63"/>
      <c r="LUC86" s="63"/>
      <c r="LUD86" s="63"/>
      <c r="LUE86" s="63"/>
      <c r="LUF86" s="63"/>
      <c r="LUG86" s="63"/>
      <c r="LUH86" s="63"/>
      <c r="LUI86" s="63"/>
      <c r="LUJ86" s="63"/>
      <c r="LUK86" s="63"/>
      <c r="LUL86" s="63"/>
      <c r="LUM86" s="63"/>
      <c r="LUN86" s="63"/>
      <c r="LUO86" s="63"/>
      <c r="LUP86" s="63"/>
      <c r="LUQ86" s="63"/>
      <c r="LUR86" s="63"/>
      <c r="LUS86" s="63"/>
      <c r="LUT86" s="63"/>
      <c r="LUU86" s="63"/>
      <c r="LUV86" s="63"/>
      <c r="LUW86" s="63"/>
      <c r="LUX86" s="63"/>
      <c r="LUY86" s="63"/>
      <c r="LUZ86" s="63"/>
      <c r="LVA86" s="63"/>
      <c r="LVB86" s="63"/>
      <c r="LVC86" s="63"/>
      <c r="LVD86" s="63"/>
      <c r="LVE86" s="63"/>
      <c r="LVF86" s="63"/>
      <c r="LVG86" s="63"/>
      <c r="LVH86" s="63"/>
      <c r="LVI86" s="63"/>
      <c r="LVJ86" s="63"/>
      <c r="LVK86" s="63"/>
      <c r="LVL86" s="63"/>
      <c r="LVM86" s="63"/>
      <c r="LVN86" s="63"/>
      <c r="LVO86" s="63"/>
      <c r="LVP86" s="63"/>
      <c r="LVQ86" s="63"/>
      <c r="LVR86" s="63"/>
      <c r="LVS86" s="63"/>
      <c r="LVT86" s="63"/>
      <c r="LVU86" s="63"/>
      <c r="LVV86" s="63"/>
      <c r="LVW86" s="63"/>
      <c r="LVX86" s="63"/>
      <c r="LVY86" s="63"/>
      <c r="LVZ86" s="63"/>
      <c r="LWA86" s="63"/>
      <c r="LWB86" s="63"/>
      <c r="LWC86" s="63"/>
      <c r="LWD86" s="63"/>
      <c r="LWE86" s="63"/>
      <c r="LWF86" s="63"/>
      <c r="LWG86" s="63"/>
      <c r="LWH86" s="63"/>
      <c r="LWI86" s="63"/>
      <c r="LWJ86" s="63"/>
      <c r="LWK86" s="63"/>
      <c r="LWL86" s="63"/>
      <c r="LWM86" s="63"/>
      <c r="LWN86" s="63"/>
      <c r="LWO86" s="63"/>
      <c r="LWP86" s="63"/>
      <c r="LWQ86" s="63"/>
      <c r="LWR86" s="63"/>
      <c r="LWS86" s="63"/>
      <c r="LWT86" s="63"/>
      <c r="LWU86" s="63"/>
      <c r="LWV86" s="63"/>
      <c r="LWW86" s="63"/>
      <c r="LWX86" s="63"/>
      <c r="LWY86" s="63"/>
      <c r="LWZ86" s="63"/>
      <c r="LXA86" s="63"/>
      <c r="LXB86" s="63"/>
      <c r="LXC86" s="63"/>
      <c r="LXD86" s="63"/>
      <c r="LXE86" s="63"/>
      <c r="LXF86" s="63"/>
      <c r="LXG86" s="63"/>
      <c r="LXH86" s="63"/>
      <c r="LXI86" s="63"/>
      <c r="LXJ86" s="63"/>
      <c r="LXK86" s="63"/>
      <c r="LXL86" s="63"/>
      <c r="LXM86" s="63"/>
      <c r="LXN86" s="63"/>
      <c r="LXO86" s="63"/>
      <c r="LXP86" s="63"/>
      <c r="LXQ86" s="63"/>
      <c r="LXR86" s="63"/>
      <c r="LXS86" s="63"/>
      <c r="LXT86" s="63"/>
      <c r="LXU86" s="63"/>
      <c r="LXV86" s="63"/>
      <c r="LXW86" s="63"/>
      <c r="LXX86" s="63"/>
      <c r="LXY86" s="63"/>
      <c r="LXZ86" s="63"/>
      <c r="LYA86" s="63"/>
      <c r="LYB86" s="63"/>
      <c r="LYC86" s="63"/>
      <c r="LYD86" s="63"/>
      <c r="LYE86" s="63"/>
      <c r="LYF86" s="63"/>
      <c r="LYG86" s="63"/>
      <c r="LYH86" s="63"/>
      <c r="LYI86" s="63"/>
      <c r="LYJ86" s="63"/>
      <c r="LYK86" s="63"/>
      <c r="LYL86" s="63"/>
      <c r="LYM86" s="63"/>
      <c r="LYN86" s="63"/>
      <c r="LYO86" s="63"/>
      <c r="LYP86" s="63"/>
      <c r="LYQ86" s="63"/>
      <c r="LYR86" s="63"/>
      <c r="LYS86" s="63"/>
      <c r="LYT86" s="63"/>
      <c r="LYU86" s="63"/>
      <c r="LYV86" s="63"/>
      <c r="LYW86" s="63"/>
      <c r="LYX86" s="63"/>
      <c r="LYY86" s="63"/>
      <c r="LYZ86" s="63"/>
      <c r="LZA86" s="63"/>
      <c r="LZB86" s="63"/>
      <c r="LZC86" s="63"/>
      <c r="LZD86" s="63"/>
      <c r="LZE86" s="63"/>
      <c r="LZF86" s="63"/>
      <c r="LZG86" s="63"/>
      <c r="LZH86" s="63"/>
      <c r="LZI86" s="63"/>
      <c r="LZJ86" s="63"/>
      <c r="LZK86" s="63"/>
      <c r="LZL86" s="63"/>
      <c r="LZM86" s="63"/>
      <c r="LZN86" s="63"/>
      <c r="LZO86" s="63"/>
      <c r="LZP86" s="63"/>
      <c r="LZQ86" s="63"/>
      <c r="LZR86" s="63"/>
      <c r="LZS86" s="63"/>
      <c r="LZT86" s="63"/>
      <c r="LZU86" s="63"/>
      <c r="LZV86" s="63"/>
      <c r="LZW86" s="63"/>
      <c r="LZX86" s="63"/>
      <c r="LZY86" s="63"/>
      <c r="LZZ86" s="63"/>
      <c r="MAA86" s="63"/>
      <c r="MAB86" s="63"/>
      <c r="MAC86" s="63"/>
      <c r="MAD86" s="63"/>
      <c r="MAE86" s="63"/>
      <c r="MAF86" s="63"/>
      <c r="MAG86" s="63"/>
      <c r="MAH86" s="63"/>
      <c r="MAI86" s="63"/>
      <c r="MAJ86" s="63"/>
      <c r="MAK86" s="63"/>
      <c r="MAL86" s="63"/>
      <c r="MAM86" s="63"/>
      <c r="MAN86" s="63"/>
      <c r="MAO86" s="63"/>
      <c r="MAP86" s="63"/>
      <c r="MAQ86" s="63"/>
      <c r="MAR86" s="63"/>
      <c r="MAS86" s="63"/>
      <c r="MAT86" s="63"/>
      <c r="MAU86" s="63"/>
      <c r="MAV86" s="63"/>
      <c r="MAW86" s="63"/>
      <c r="MAX86" s="63"/>
      <c r="MAY86" s="63"/>
      <c r="MAZ86" s="63"/>
      <c r="MBA86" s="63"/>
      <c r="MBB86" s="63"/>
      <c r="MBC86" s="63"/>
      <c r="MBD86" s="63"/>
      <c r="MBE86" s="63"/>
      <c r="MBF86" s="63"/>
      <c r="MBG86" s="63"/>
      <c r="MBH86" s="63"/>
      <c r="MBI86" s="63"/>
      <c r="MBJ86" s="63"/>
      <c r="MBK86" s="63"/>
      <c r="MBL86" s="63"/>
      <c r="MBM86" s="63"/>
      <c r="MBN86" s="63"/>
      <c r="MBO86" s="63"/>
      <c r="MBP86" s="63"/>
      <c r="MBQ86" s="63"/>
      <c r="MBR86" s="63"/>
      <c r="MBS86" s="63"/>
      <c r="MBT86" s="63"/>
      <c r="MBU86" s="63"/>
      <c r="MBV86" s="63"/>
      <c r="MBW86" s="63"/>
      <c r="MBX86" s="63"/>
      <c r="MBY86" s="63"/>
      <c r="MBZ86" s="63"/>
      <c r="MCA86" s="63"/>
      <c r="MCB86" s="63"/>
      <c r="MCC86" s="63"/>
      <c r="MCD86" s="63"/>
      <c r="MCE86" s="63"/>
      <c r="MCF86" s="63"/>
      <c r="MCG86" s="63"/>
      <c r="MCH86" s="63"/>
      <c r="MCI86" s="63"/>
      <c r="MCJ86" s="63"/>
      <c r="MCK86" s="63"/>
      <c r="MCL86" s="63"/>
      <c r="MCM86" s="63"/>
      <c r="MCN86" s="63"/>
      <c r="MCO86" s="63"/>
      <c r="MCP86" s="63"/>
      <c r="MCQ86" s="63"/>
      <c r="MCR86" s="63"/>
      <c r="MCS86" s="63"/>
      <c r="MCT86" s="63"/>
      <c r="MCU86" s="63"/>
      <c r="MCV86" s="63"/>
      <c r="MCW86" s="63"/>
      <c r="MCX86" s="63"/>
      <c r="MCY86" s="63"/>
      <c r="MCZ86" s="63"/>
      <c r="MDA86" s="63"/>
      <c r="MDB86" s="63"/>
      <c r="MDC86" s="63"/>
      <c r="MDD86" s="63"/>
      <c r="MDE86" s="63"/>
      <c r="MDF86" s="63"/>
      <c r="MDG86" s="63"/>
      <c r="MDH86" s="63"/>
      <c r="MDI86" s="63"/>
      <c r="MDJ86" s="63"/>
      <c r="MDK86" s="63"/>
      <c r="MDL86" s="63"/>
      <c r="MDM86" s="63"/>
      <c r="MDN86" s="63"/>
      <c r="MDO86" s="63"/>
      <c r="MDP86" s="63"/>
      <c r="MDQ86" s="63"/>
      <c r="MDR86" s="63"/>
      <c r="MDS86" s="63"/>
      <c r="MDT86" s="63"/>
      <c r="MDU86" s="63"/>
      <c r="MDV86" s="63"/>
      <c r="MDW86" s="63"/>
      <c r="MDX86" s="63"/>
      <c r="MDY86" s="63"/>
      <c r="MDZ86" s="63"/>
      <c r="MEA86" s="63"/>
      <c r="MEB86" s="63"/>
      <c r="MEC86" s="63"/>
      <c r="MED86" s="63"/>
      <c r="MEE86" s="63"/>
      <c r="MEF86" s="63"/>
      <c r="MEG86" s="63"/>
      <c r="MEH86" s="63"/>
      <c r="MEI86" s="63"/>
      <c r="MEJ86" s="63"/>
      <c r="MEK86" s="63"/>
      <c r="MEL86" s="63"/>
      <c r="MEM86" s="63"/>
      <c r="MEN86" s="63"/>
      <c r="MEO86" s="63"/>
      <c r="MEP86" s="63"/>
      <c r="MEQ86" s="63"/>
      <c r="MER86" s="63"/>
      <c r="MES86" s="63"/>
      <c r="MET86" s="63"/>
      <c r="MEU86" s="63"/>
      <c r="MEV86" s="63"/>
      <c r="MEW86" s="63"/>
      <c r="MEX86" s="63"/>
      <c r="MEY86" s="63"/>
      <c r="MEZ86" s="63"/>
      <c r="MFA86" s="63"/>
      <c r="MFB86" s="63"/>
      <c r="MFC86" s="63"/>
      <c r="MFD86" s="63"/>
      <c r="MFE86" s="63"/>
      <c r="MFF86" s="63"/>
      <c r="MFG86" s="63"/>
      <c r="MFH86" s="63"/>
      <c r="MFI86" s="63"/>
      <c r="MFJ86" s="63"/>
      <c r="MFK86" s="63"/>
      <c r="MFL86" s="63"/>
      <c r="MFM86" s="63"/>
      <c r="MFN86" s="63"/>
      <c r="MFO86" s="63"/>
      <c r="MFP86" s="63"/>
      <c r="MFQ86" s="63"/>
      <c r="MFR86" s="63"/>
      <c r="MFS86" s="63"/>
      <c r="MFT86" s="63"/>
      <c r="MFU86" s="63"/>
      <c r="MFV86" s="63"/>
      <c r="MFW86" s="63"/>
      <c r="MFX86" s="63"/>
      <c r="MFY86" s="63"/>
      <c r="MFZ86" s="63"/>
      <c r="MGA86" s="63"/>
      <c r="MGB86" s="63"/>
      <c r="MGC86" s="63"/>
      <c r="MGD86" s="63"/>
      <c r="MGE86" s="63"/>
      <c r="MGF86" s="63"/>
      <c r="MGG86" s="63"/>
      <c r="MGH86" s="63"/>
      <c r="MGI86" s="63"/>
      <c r="MGJ86" s="63"/>
      <c r="MGK86" s="63"/>
      <c r="MGL86" s="63"/>
      <c r="MGM86" s="63"/>
      <c r="MGN86" s="63"/>
      <c r="MGO86" s="63"/>
      <c r="MGP86" s="63"/>
      <c r="MGQ86" s="63"/>
      <c r="MGR86" s="63"/>
      <c r="MGS86" s="63"/>
      <c r="MGT86" s="63"/>
      <c r="MGU86" s="63"/>
      <c r="MGV86" s="63"/>
      <c r="MGW86" s="63"/>
      <c r="MGX86" s="63"/>
      <c r="MGY86" s="63"/>
      <c r="MGZ86" s="63"/>
      <c r="MHA86" s="63"/>
      <c r="MHB86" s="63"/>
      <c r="MHC86" s="63"/>
      <c r="MHD86" s="63"/>
      <c r="MHE86" s="63"/>
      <c r="MHF86" s="63"/>
      <c r="MHG86" s="63"/>
      <c r="MHH86" s="63"/>
      <c r="MHI86" s="63"/>
      <c r="MHJ86" s="63"/>
      <c r="MHK86" s="63"/>
      <c r="MHL86" s="63"/>
      <c r="MHM86" s="63"/>
      <c r="MHN86" s="63"/>
      <c r="MHO86" s="63"/>
      <c r="MHP86" s="63"/>
      <c r="MHQ86" s="63"/>
      <c r="MHR86" s="63"/>
      <c r="MHS86" s="63"/>
      <c r="MHT86" s="63"/>
      <c r="MHU86" s="63"/>
      <c r="MHV86" s="63"/>
      <c r="MHW86" s="63"/>
      <c r="MHX86" s="63"/>
      <c r="MHY86" s="63"/>
      <c r="MHZ86" s="63"/>
      <c r="MIA86" s="63"/>
      <c r="MIB86" s="63"/>
      <c r="MIC86" s="63"/>
      <c r="MID86" s="63"/>
      <c r="MIE86" s="63"/>
      <c r="MIF86" s="63"/>
      <c r="MIG86" s="63"/>
      <c r="MIH86" s="63"/>
      <c r="MII86" s="63"/>
      <c r="MIJ86" s="63"/>
      <c r="MIK86" s="63"/>
      <c r="MIL86" s="63"/>
      <c r="MIM86" s="63"/>
      <c r="MIN86" s="63"/>
      <c r="MIO86" s="63"/>
      <c r="MIP86" s="63"/>
      <c r="MIQ86" s="63"/>
      <c r="MIR86" s="63"/>
      <c r="MIS86" s="63"/>
      <c r="MIT86" s="63"/>
      <c r="MIU86" s="63"/>
      <c r="MIV86" s="63"/>
      <c r="MIW86" s="63"/>
      <c r="MIX86" s="63"/>
      <c r="MIY86" s="63"/>
      <c r="MIZ86" s="63"/>
      <c r="MJA86" s="63"/>
      <c r="MJB86" s="63"/>
      <c r="MJC86" s="63"/>
      <c r="MJD86" s="63"/>
      <c r="MJE86" s="63"/>
      <c r="MJF86" s="63"/>
      <c r="MJG86" s="63"/>
      <c r="MJH86" s="63"/>
      <c r="MJI86" s="63"/>
      <c r="MJJ86" s="63"/>
      <c r="MJK86" s="63"/>
      <c r="MJL86" s="63"/>
      <c r="MJM86" s="63"/>
      <c r="MJN86" s="63"/>
      <c r="MJO86" s="63"/>
      <c r="MJP86" s="63"/>
      <c r="MJQ86" s="63"/>
      <c r="MJR86" s="63"/>
      <c r="MJS86" s="63"/>
      <c r="MJT86" s="63"/>
      <c r="MJU86" s="63"/>
      <c r="MJV86" s="63"/>
      <c r="MJW86" s="63"/>
      <c r="MJX86" s="63"/>
      <c r="MJY86" s="63"/>
      <c r="MJZ86" s="63"/>
      <c r="MKA86" s="63"/>
      <c r="MKB86" s="63"/>
      <c r="MKC86" s="63"/>
      <c r="MKD86" s="63"/>
      <c r="MKE86" s="63"/>
      <c r="MKF86" s="63"/>
      <c r="MKG86" s="63"/>
      <c r="MKH86" s="63"/>
      <c r="MKI86" s="63"/>
      <c r="MKJ86" s="63"/>
      <c r="MKK86" s="63"/>
      <c r="MKL86" s="63"/>
      <c r="MKM86" s="63"/>
      <c r="MKN86" s="63"/>
      <c r="MKO86" s="63"/>
      <c r="MKP86" s="63"/>
      <c r="MKQ86" s="63"/>
      <c r="MKR86" s="63"/>
      <c r="MKS86" s="63"/>
      <c r="MKT86" s="63"/>
      <c r="MKU86" s="63"/>
      <c r="MKV86" s="63"/>
      <c r="MKW86" s="63"/>
      <c r="MKX86" s="63"/>
      <c r="MKY86" s="63"/>
      <c r="MKZ86" s="63"/>
      <c r="MLA86" s="63"/>
      <c r="MLB86" s="63"/>
      <c r="MLC86" s="63"/>
      <c r="MLD86" s="63"/>
      <c r="MLE86" s="63"/>
      <c r="MLF86" s="63"/>
      <c r="MLG86" s="63"/>
      <c r="MLH86" s="63"/>
      <c r="MLI86" s="63"/>
      <c r="MLJ86" s="63"/>
      <c r="MLK86" s="63"/>
      <c r="MLL86" s="63"/>
      <c r="MLM86" s="63"/>
      <c r="MLN86" s="63"/>
      <c r="MLO86" s="63"/>
      <c r="MLP86" s="63"/>
      <c r="MLQ86" s="63"/>
      <c r="MLR86" s="63"/>
      <c r="MLS86" s="63"/>
      <c r="MLT86" s="63"/>
      <c r="MLU86" s="63"/>
      <c r="MLV86" s="63"/>
      <c r="MLW86" s="63"/>
      <c r="MLX86" s="63"/>
      <c r="MLY86" s="63"/>
      <c r="MLZ86" s="63"/>
      <c r="MMA86" s="63"/>
      <c r="MMB86" s="63"/>
      <c r="MMC86" s="63"/>
      <c r="MMD86" s="63"/>
      <c r="MME86" s="63"/>
      <c r="MMF86" s="63"/>
      <c r="MMG86" s="63"/>
      <c r="MMH86" s="63"/>
      <c r="MMI86" s="63"/>
      <c r="MMJ86" s="63"/>
      <c r="MMK86" s="63"/>
      <c r="MML86" s="63"/>
      <c r="MMM86" s="63"/>
      <c r="MMN86" s="63"/>
      <c r="MMO86" s="63"/>
      <c r="MMP86" s="63"/>
      <c r="MMQ86" s="63"/>
      <c r="MMR86" s="63"/>
      <c r="MMS86" s="63"/>
      <c r="MMT86" s="63"/>
      <c r="MMU86" s="63"/>
      <c r="MMV86" s="63"/>
      <c r="MMW86" s="63"/>
      <c r="MMX86" s="63"/>
      <c r="MMY86" s="63"/>
      <c r="MMZ86" s="63"/>
      <c r="MNA86" s="63"/>
      <c r="MNB86" s="63"/>
      <c r="MNC86" s="63"/>
      <c r="MND86" s="63"/>
      <c r="MNE86" s="63"/>
      <c r="MNF86" s="63"/>
      <c r="MNG86" s="63"/>
      <c r="MNH86" s="63"/>
      <c r="MNI86" s="63"/>
      <c r="MNJ86" s="63"/>
      <c r="MNK86" s="63"/>
      <c r="MNL86" s="63"/>
      <c r="MNM86" s="63"/>
      <c r="MNN86" s="63"/>
      <c r="MNO86" s="63"/>
      <c r="MNP86" s="63"/>
      <c r="MNQ86" s="63"/>
      <c r="MNR86" s="63"/>
      <c r="MNS86" s="63"/>
      <c r="MNT86" s="63"/>
      <c r="MNU86" s="63"/>
      <c r="MNV86" s="63"/>
      <c r="MNW86" s="63"/>
      <c r="MNX86" s="63"/>
      <c r="MNY86" s="63"/>
      <c r="MNZ86" s="63"/>
      <c r="MOA86" s="63"/>
      <c r="MOB86" s="63"/>
      <c r="MOC86" s="63"/>
      <c r="MOD86" s="63"/>
      <c r="MOE86" s="63"/>
      <c r="MOF86" s="63"/>
      <c r="MOG86" s="63"/>
      <c r="MOH86" s="63"/>
      <c r="MOI86" s="63"/>
      <c r="MOJ86" s="63"/>
      <c r="MOK86" s="63"/>
      <c r="MOL86" s="63"/>
      <c r="MOM86" s="63"/>
      <c r="MON86" s="63"/>
      <c r="MOO86" s="63"/>
      <c r="MOP86" s="63"/>
      <c r="MOQ86" s="63"/>
      <c r="MOR86" s="63"/>
      <c r="MOS86" s="63"/>
      <c r="MOT86" s="63"/>
      <c r="MOU86" s="63"/>
      <c r="MOV86" s="63"/>
      <c r="MOW86" s="63"/>
      <c r="MOX86" s="63"/>
      <c r="MOY86" s="63"/>
      <c r="MOZ86" s="63"/>
      <c r="MPA86" s="63"/>
      <c r="MPB86" s="63"/>
      <c r="MPC86" s="63"/>
      <c r="MPD86" s="63"/>
      <c r="MPE86" s="63"/>
      <c r="MPF86" s="63"/>
      <c r="MPG86" s="63"/>
      <c r="MPH86" s="63"/>
      <c r="MPI86" s="63"/>
      <c r="MPJ86" s="63"/>
      <c r="MPK86" s="63"/>
      <c r="MPL86" s="63"/>
      <c r="MPM86" s="63"/>
      <c r="MPN86" s="63"/>
      <c r="MPO86" s="63"/>
      <c r="MPP86" s="63"/>
      <c r="MPQ86" s="63"/>
      <c r="MPR86" s="63"/>
      <c r="MPS86" s="63"/>
      <c r="MPT86" s="63"/>
      <c r="MPU86" s="63"/>
      <c r="MPV86" s="63"/>
      <c r="MPW86" s="63"/>
      <c r="MPX86" s="63"/>
      <c r="MPY86" s="63"/>
      <c r="MPZ86" s="63"/>
      <c r="MQA86" s="63"/>
      <c r="MQB86" s="63"/>
      <c r="MQC86" s="63"/>
      <c r="MQD86" s="63"/>
      <c r="MQE86" s="63"/>
      <c r="MQF86" s="63"/>
      <c r="MQG86" s="63"/>
      <c r="MQH86" s="63"/>
      <c r="MQI86" s="63"/>
      <c r="MQJ86" s="63"/>
      <c r="MQK86" s="63"/>
      <c r="MQL86" s="63"/>
      <c r="MQM86" s="63"/>
      <c r="MQN86" s="63"/>
      <c r="MQO86" s="63"/>
      <c r="MQP86" s="63"/>
      <c r="MQQ86" s="63"/>
      <c r="MQR86" s="63"/>
      <c r="MQS86" s="63"/>
      <c r="MQT86" s="63"/>
      <c r="MQU86" s="63"/>
      <c r="MQV86" s="63"/>
      <c r="MQW86" s="63"/>
      <c r="MQX86" s="63"/>
      <c r="MQY86" s="63"/>
      <c r="MQZ86" s="63"/>
      <c r="MRA86" s="63"/>
      <c r="MRB86" s="63"/>
      <c r="MRC86" s="63"/>
      <c r="MRD86" s="63"/>
      <c r="MRE86" s="63"/>
      <c r="MRF86" s="63"/>
      <c r="MRG86" s="63"/>
      <c r="MRH86" s="63"/>
      <c r="MRI86" s="63"/>
      <c r="MRJ86" s="63"/>
      <c r="MRK86" s="63"/>
      <c r="MRL86" s="63"/>
      <c r="MRM86" s="63"/>
      <c r="MRN86" s="63"/>
      <c r="MRO86" s="63"/>
      <c r="MRP86" s="63"/>
      <c r="MRQ86" s="63"/>
      <c r="MRR86" s="63"/>
      <c r="MRS86" s="63"/>
      <c r="MRT86" s="63"/>
      <c r="MRU86" s="63"/>
      <c r="MRV86" s="63"/>
      <c r="MRW86" s="63"/>
      <c r="MRX86" s="63"/>
      <c r="MRY86" s="63"/>
      <c r="MRZ86" s="63"/>
      <c r="MSA86" s="63"/>
      <c r="MSB86" s="63"/>
      <c r="MSC86" s="63"/>
      <c r="MSD86" s="63"/>
      <c r="MSE86" s="63"/>
      <c r="MSF86" s="63"/>
      <c r="MSG86" s="63"/>
      <c r="MSH86" s="63"/>
      <c r="MSI86" s="63"/>
      <c r="MSJ86" s="63"/>
      <c r="MSK86" s="63"/>
      <c r="MSL86" s="63"/>
      <c r="MSM86" s="63"/>
      <c r="MSN86" s="63"/>
      <c r="MSO86" s="63"/>
      <c r="MSP86" s="63"/>
      <c r="MSQ86" s="63"/>
      <c r="MSR86" s="63"/>
      <c r="MSS86" s="63"/>
      <c r="MST86" s="63"/>
      <c r="MSU86" s="63"/>
      <c r="MSV86" s="63"/>
      <c r="MSW86" s="63"/>
      <c r="MSX86" s="63"/>
      <c r="MSY86" s="63"/>
      <c r="MSZ86" s="63"/>
      <c r="MTA86" s="63"/>
      <c r="MTB86" s="63"/>
      <c r="MTC86" s="63"/>
      <c r="MTD86" s="63"/>
      <c r="MTE86" s="63"/>
      <c r="MTF86" s="63"/>
      <c r="MTG86" s="63"/>
      <c r="MTH86" s="63"/>
      <c r="MTI86" s="63"/>
      <c r="MTJ86" s="63"/>
      <c r="MTK86" s="63"/>
      <c r="MTL86" s="63"/>
      <c r="MTM86" s="63"/>
      <c r="MTN86" s="63"/>
      <c r="MTO86" s="63"/>
      <c r="MTP86" s="63"/>
      <c r="MTQ86" s="63"/>
      <c r="MTR86" s="63"/>
      <c r="MTS86" s="63"/>
      <c r="MTT86" s="63"/>
      <c r="MTU86" s="63"/>
      <c r="MTV86" s="63"/>
      <c r="MTW86" s="63"/>
      <c r="MTX86" s="63"/>
      <c r="MTY86" s="63"/>
      <c r="MTZ86" s="63"/>
      <c r="MUA86" s="63"/>
      <c r="MUB86" s="63"/>
      <c r="MUC86" s="63"/>
      <c r="MUD86" s="63"/>
      <c r="MUE86" s="63"/>
      <c r="MUF86" s="63"/>
      <c r="MUG86" s="63"/>
      <c r="MUH86" s="63"/>
      <c r="MUI86" s="63"/>
      <c r="MUJ86" s="63"/>
      <c r="MUK86" s="63"/>
      <c r="MUL86" s="63"/>
      <c r="MUM86" s="63"/>
      <c r="MUN86" s="63"/>
      <c r="MUO86" s="63"/>
      <c r="MUP86" s="63"/>
      <c r="MUQ86" s="63"/>
      <c r="MUR86" s="63"/>
      <c r="MUS86" s="63"/>
      <c r="MUT86" s="63"/>
      <c r="MUU86" s="63"/>
      <c r="MUV86" s="63"/>
      <c r="MUW86" s="63"/>
      <c r="MUX86" s="63"/>
      <c r="MUY86" s="63"/>
      <c r="MUZ86" s="63"/>
      <c r="MVA86" s="63"/>
      <c r="MVB86" s="63"/>
      <c r="MVC86" s="63"/>
      <c r="MVD86" s="63"/>
      <c r="MVE86" s="63"/>
      <c r="MVF86" s="63"/>
      <c r="MVG86" s="63"/>
      <c r="MVH86" s="63"/>
      <c r="MVI86" s="63"/>
      <c r="MVJ86" s="63"/>
      <c r="MVK86" s="63"/>
      <c r="MVL86" s="63"/>
      <c r="MVM86" s="63"/>
      <c r="MVN86" s="63"/>
      <c r="MVO86" s="63"/>
      <c r="MVP86" s="63"/>
      <c r="MVQ86" s="63"/>
      <c r="MVR86" s="63"/>
      <c r="MVS86" s="63"/>
      <c r="MVT86" s="63"/>
      <c r="MVU86" s="63"/>
      <c r="MVV86" s="63"/>
      <c r="MVW86" s="63"/>
      <c r="MVX86" s="63"/>
      <c r="MVY86" s="63"/>
      <c r="MVZ86" s="63"/>
      <c r="MWA86" s="63"/>
      <c r="MWB86" s="63"/>
      <c r="MWC86" s="63"/>
      <c r="MWD86" s="63"/>
      <c r="MWE86" s="63"/>
      <c r="MWF86" s="63"/>
      <c r="MWG86" s="63"/>
      <c r="MWH86" s="63"/>
      <c r="MWI86" s="63"/>
      <c r="MWJ86" s="63"/>
      <c r="MWK86" s="63"/>
      <c r="MWL86" s="63"/>
      <c r="MWM86" s="63"/>
      <c r="MWN86" s="63"/>
      <c r="MWO86" s="63"/>
      <c r="MWP86" s="63"/>
      <c r="MWQ86" s="63"/>
      <c r="MWR86" s="63"/>
      <c r="MWS86" s="63"/>
      <c r="MWT86" s="63"/>
      <c r="MWU86" s="63"/>
      <c r="MWV86" s="63"/>
      <c r="MWW86" s="63"/>
      <c r="MWX86" s="63"/>
      <c r="MWY86" s="63"/>
      <c r="MWZ86" s="63"/>
      <c r="MXA86" s="63"/>
      <c r="MXB86" s="63"/>
      <c r="MXC86" s="63"/>
      <c r="MXD86" s="63"/>
      <c r="MXE86" s="63"/>
      <c r="MXF86" s="63"/>
      <c r="MXG86" s="63"/>
      <c r="MXH86" s="63"/>
      <c r="MXI86" s="63"/>
      <c r="MXJ86" s="63"/>
      <c r="MXK86" s="63"/>
      <c r="MXL86" s="63"/>
      <c r="MXM86" s="63"/>
      <c r="MXN86" s="63"/>
      <c r="MXO86" s="63"/>
      <c r="MXP86" s="63"/>
      <c r="MXQ86" s="63"/>
      <c r="MXR86" s="63"/>
      <c r="MXS86" s="63"/>
      <c r="MXT86" s="63"/>
      <c r="MXU86" s="63"/>
      <c r="MXV86" s="63"/>
      <c r="MXW86" s="63"/>
      <c r="MXX86" s="63"/>
      <c r="MXY86" s="63"/>
      <c r="MXZ86" s="63"/>
      <c r="MYA86" s="63"/>
      <c r="MYB86" s="63"/>
      <c r="MYC86" s="63"/>
      <c r="MYD86" s="63"/>
      <c r="MYE86" s="63"/>
      <c r="MYF86" s="63"/>
      <c r="MYG86" s="63"/>
      <c r="MYH86" s="63"/>
      <c r="MYI86" s="63"/>
      <c r="MYJ86" s="63"/>
      <c r="MYK86" s="63"/>
      <c r="MYL86" s="63"/>
      <c r="MYM86" s="63"/>
      <c r="MYN86" s="63"/>
      <c r="MYO86" s="63"/>
      <c r="MYP86" s="63"/>
      <c r="MYQ86" s="63"/>
      <c r="MYR86" s="63"/>
      <c r="MYS86" s="63"/>
      <c r="MYT86" s="63"/>
      <c r="MYU86" s="63"/>
      <c r="MYV86" s="63"/>
      <c r="MYW86" s="63"/>
      <c r="MYX86" s="63"/>
      <c r="MYY86" s="63"/>
      <c r="MYZ86" s="63"/>
      <c r="MZA86" s="63"/>
      <c r="MZB86" s="63"/>
      <c r="MZC86" s="63"/>
      <c r="MZD86" s="63"/>
      <c r="MZE86" s="63"/>
      <c r="MZF86" s="63"/>
      <c r="MZG86" s="63"/>
      <c r="MZH86" s="63"/>
      <c r="MZI86" s="63"/>
      <c r="MZJ86" s="63"/>
      <c r="MZK86" s="63"/>
      <c r="MZL86" s="63"/>
      <c r="MZM86" s="63"/>
      <c r="MZN86" s="63"/>
      <c r="MZO86" s="63"/>
      <c r="MZP86" s="63"/>
      <c r="MZQ86" s="63"/>
      <c r="MZR86" s="63"/>
      <c r="MZS86" s="63"/>
      <c r="MZT86" s="63"/>
      <c r="MZU86" s="63"/>
      <c r="MZV86" s="63"/>
      <c r="MZW86" s="63"/>
      <c r="MZX86" s="63"/>
      <c r="MZY86" s="63"/>
      <c r="MZZ86" s="63"/>
      <c r="NAA86" s="63"/>
      <c r="NAB86" s="63"/>
      <c r="NAC86" s="63"/>
      <c r="NAD86" s="63"/>
      <c r="NAE86" s="63"/>
      <c r="NAF86" s="63"/>
      <c r="NAG86" s="63"/>
      <c r="NAH86" s="63"/>
      <c r="NAI86" s="63"/>
      <c r="NAJ86" s="63"/>
      <c r="NAK86" s="63"/>
      <c r="NAL86" s="63"/>
      <c r="NAM86" s="63"/>
      <c r="NAN86" s="63"/>
      <c r="NAO86" s="63"/>
      <c r="NAP86" s="63"/>
      <c r="NAQ86" s="63"/>
      <c r="NAR86" s="63"/>
      <c r="NAS86" s="63"/>
      <c r="NAT86" s="63"/>
      <c r="NAU86" s="63"/>
      <c r="NAV86" s="63"/>
      <c r="NAW86" s="63"/>
      <c r="NAX86" s="63"/>
      <c r="NAY86" s="63"/>
      <c r="NAZ86" s="63"/>
      <c r="NBA86" s="63"/>
      <c r="NBB86" s="63"/>
      <c r="NBC86" s="63"/>
      <c r="NBD86" s="63"/>
      <c r="NBE86" s="63"/>
      <c r="NBF86" s="63"/>
      <c r="NBG86" s="63"/>
      <c r="NBH86" s="63"/>
      <c r="NBI86" s="63"/>
      <c r="NBJ86" s="63"/>
      <c r="NBK86" s="63"/>
      <c r="NBL86" s="63"/>
      <c r="NBM86" s="63"/>
      <c r="NBN86" s="63"/>
      <c r="NBO86" s="63"/>
      <c r="NBP86" s="63"/>
      <c r="NBQ86" s="63"/>
      <c r="NBR86" s="63"/>
      <c r="NBS86" s="63"/>
      <c r="NBT86" s="63"/>
      <c r="NBU86" s="63"/>
      <c r="NBV86" s="63"/>
      <c r="NBW86" s="63"/>
      <c r="NBX86" s="63"/>
      <c r="NBY86" s="63"/>
      <c r="NBZ86" s="63"/>
      <c r="NCA86" s="63"/>
      <c r="NCB86" s="63"/>
      <c r="NCC86" s="63"/>
      <c r="NCD86" s="63"/>
      <c r="NCE86" s="63"/>
      <c r="NCF86" s="63"/>
      <c r="NCG86" s="63"/>
      <c r="NCH86" s="63"/>
      <c r="NCI86" s="63"/>
      <c r="NCJ86" s="63"/>
      <c r="NCK86" s="63"/>
      <c r="NCL86" s="63"/>
      <c r="NCM86" s="63"/>
      <c r="NCN86" s="63"/>
      <c r="NCO86" s="63"/>
      <c r="NCP86" s="63"/>
      <c r="NCQ86" s="63"/>
      <c r="NCR86" s="63"/>
      <c r="NCS86" s="63"/>
      <c r="NCT86" s="63"/>
      <c r="NCU86" s="63"/>
      <c r="NCV86" s="63"/>
      <c r="NCW86" s="63"/>
      <c r="NCX86" s="63"/>
      <c r="NCY86" s="63"/>
      <c r="NCZ86" s="63"/>
      <c r="NDA86" s="63"/>
      <c r="NDB86" s="63"/>
      <c r="NDC86" s="63"/>
      <c r="NDD86" s="63"/>
      <c r="NDE86" s="63"/>
      <c r="NDF86" s="63"/>
      <c r="NDG86" s="63"/>
      <c r="NDH86" s="63"/>
      <c r="NDI86" s="63"/>
      <c r="NDJ86" s="63"/>
      <c r="NDK86" s="63"/>
      <c r="NDL86" s="63"/>
      <c r="NDM86" s="63"/>
      <c r="NDN86" s="63"/>
      <c r="NDO86" s="63"/>
      <c r="NDP86" s="63"/>
      <c r="NDQ86" s="63"/>
      <c r="NDR86" s="63"/>
      <c r="NDS86" s="63"/>
      <c r="NDT86" s="63"/>
      <c r="NDU86" s="63"/>
      <c r="NDV86" s="63"/>
      <c r="NDW86" s="63"/>
      <c r="NDX86" s="63"/>
      <c r="NDY86" s="63"/>
      <c r="NDZ86" s="63"/>
      <c r="NEA86" s="63"/>
      <c r="NEB86" s="63"/>
      <c r="NEC86" s="63"/>
      <c r="NED86" s="63"/>
      <c r="NEE86" s="63"/>
      <c r="NEF86" s="63"/>
      <c r="NEG86" s="63"/>
      <c r="NEH86" s="63"/>
      <c r="NEI86" s="63"/>
      <c r="NEJ86" s="63"/>
      <c r="NEK86" s="63"/>
      <c r="NEL86" s="63"/>
      <c r="NEM86" s="63"/>
      <c r="NEN86" s="63"/>
      <c r="NEO86" s="63"/>
      <c r="NEP86" s="63"/>
      <c r="NEQ86" s="63"/>
      <c r="NER86" s="63"/>
      <c r="NES86" s="63"/>
      <c r="NET86" s="63"/>
      <c r="NEU86" s="63"/>
      <c r="NEV86" s="63"/>
      <c r="NEW86" s="63"/>
      <c r="NEX86" s="63"/>
      <c r="NEY86" s="63"/>
      <c r="NEZ86" s="63"/>
      <c r="NFA86" s="63"/>
      <c r="NFB86" s="63"/>
      <c r="NFC86" s="63"/>
      <c r="NFD86" s="63"/>
      <c r="NFE86" s="63"/>
      <c r="NFF86" s="63"/>
      <c r="NFG86" s="63"/>
      <c r="NFH86" s="63"/>
      <c r="NFI86" s="63"/>
      <c r="NFJ86" s="63"/>
      <c r="NFK86" s="63"/>
      <c r="NFL86" s="63"/>
      <c r="NFM86" s="63"/>
      <c r="NFN86" s="63"/>
      <c r="NFO86" s="63"/>
      <c r="NFP86" s="63"/>
      <c r="NFQ86" s="63"/>
      <c r="NFR86" s="63"/>
      <c r="NFS86" s="63"/>
      <c r="NFT86" s="63"/>
      <c r="NFU86" s="63"/>
      <c r="NFV86" s="63"/>
      <c r="NFW86" s="63"/>
      <c r="NFX86" s="63"/>
      <c r="NFY86" s="63"/>
      <c r="NFZ86" s="63"/>
      <c r="NGA86" s="63"/>
      <c r="NGB86" s="63"/>
      <c r="NGC86" s="63"/>
      <c r="NGD86" s="63"/>
      <c r="NGE86" s="63"/>
      <c r="NGF86" s="63"/>
      <c r="NGG86" s="63"/>
      <c r="NGH86" s="63"/>
      <c r="NGI86" s="63"/>
      <c r="NGJ86" s="63"/>
      <c r="NGK86" s="63"/>
      <c r="NGL86" s="63"/>
      <c r="NGM86" s="63"/>
      <c r="NGN86" s="63"/>
      <c r="NGO86" s="63"/>
      <c r="NGP86" s="63"/>
      <c r="NGQ86" s="63"/>
      <c r="NGR86" s="63"/>
      <c r="NGS86" s="63"/>
      <c r="NGT86" s="63"/>
      <c r="NGU86" s="63"/>
      <c r="NGV86" s="63"/>
      <c r="NGW86" s="63"/>
      <c r="NGX86" s="63"/>
      <c r="NGY86" s="63"/>
      <c r="NGZ86" s="63"/>
      <c r="NHA86" s="63"/>
      <c r="NHB86" s="63"/>
      <c r="NHC86" s="63"/>
      <c r="NHD86" s="63"/>
      <c r="NHE86" s="63"/>
      <c r="NHF86" s="63"/>
      <c r="NHG86" s="63"/>
      <c r="NHH86" s="63"/>
      <c r="NHI86" s="63"/>
      <c r="NHJ86" s="63"/>
      <c r="NHK86" s="63"/>
      <c r="NHL86" s="63"/>
      <c r="NHM86" s="63"/>
      <c r="NHN86" s="63"/>
      <c r="NHO86" s="63"/>
      <c r="NHP86" s="63"/>
      <c r="NHQ86" s="63"/>
      <c r="NHR86" s="63"/>
      <c r="NHS86" s="63"/>
      <c r="NHT86" s="63"/>
      <c r="NHU86" s="63"/>
      <c r="NHV86" s="63"/>
      <c r="NHW86" s="63"/>
      <c r="NHX86" s="63"/>
      <c r="NHY86" s="63"/>
      <c r="NHZ86" s="63"/>
      <c r="NIA86" s="63"/>
      <c r="NIB86" s="63"/>
      <c r="NIC86" s="63"/>
      <c r="NID86" s="63"/>
      <c r="NIE86" s="63"/>
      <c r="NIF86" s="63"/>
      <c r="NIG86" s="63"/>
      <c r="NIH86" s="63"/>
      <c r="NII86" s="63"/>
      <c r="NIJ86" s="63"/>
      <c r="NIK86" s="63"/>
      <c r="NIL86" s="63"/>
      <c r="NIM86" s="63"/>
      <c r="NIN86" s="63"/>
      <c r="NIO86" s="63"/>
      <c r="NIP86" s="63"/>
      <c r="NIQ86" s="63"/>
      <c r="NIR86" s="63"/>
      <c r="NIS86" s="63"/>
      <c r="NIT86" s="63"/>
      <c r="NIU86" s="63"/>
      <c r="NIV86" s="63"/>
      <c r="NIW86" s="63"/>
      <c r="NIX86" s="63"/>
      <c r="NIY86" s="63"/>
      <c r="NIZ86" s="63"/>
      <c r="NJA86" s="63"/>
      <c r="NJB86" s="63"/>
      <c r="NJC86" s="63"/>
      <c r="NJD86" s="63"/>
      <c r="NJE86" s="63"/>
      <c r="NJF86" s="63"/>
      <c r="NJG86" s="63"/>
      <c r="NJH86" s="63"/>
      <c r="NJI86" s="63"/>
      <c r="NJJ86" s="63"/>
      <c r="NJK86" s="63"/>
      <c r="NJL86" s="63"/>
      <c r="NJM86" s="63"/>
      <c r="NJN86" s="63"/>
      <c r="NJO86" s="63"/>
      <c r="NJP86" s="63"/>
      <c r="NJQ86" s="63"/>
      <c r="NJR86" s="63"/>
      <c r="NJS86" s="63"/>
      <c r="NJT86" s="63"/>
      <c r="NJU86" s="63"/>
      <c r="NJV86" s="63"/>
      <c r="NJW86" s="63"/>
      <c r="NJX86" s="63"/>
      <c r="NJY86" s="63"/>
      <c r="NJZ86" s="63"/>
      <c r="NKA86" s="63"/>
      <c r="NKB86" s="63"/>
      <c r="NKC86" s="63"/>
      <c r="NKD86" s="63"/>
      <c r="NKE86" s="63"/>
      <c r="NKF86" s="63"/>
      <c r="NKG86" s="63"/>
      <c r="NKH86" s="63"/>
      <c r="NKI86" s="63"/>
      <c r="NKJ86" s="63"/>
      <c r="NKK86" s="63"/>
      <c r="NKL86" s="63"/>
      <c r="NKM86" s="63"/>
      <c r="NKN86" s="63"/>
      <c r="NKO86" s="63"/>
      <c r="NKP86" s="63"/>
      <c r="NKQ86" s="63"/>
      <c r="NKR86" s="63"/>
      <c r="NKS86" s="63"/>
      <c r="NKT86" s="63"/>
      <c r="NKU86" s="63"/>
      <c r="NKV86" s="63"/>
      <c r="NKW86" s="63"/>
      <c r="NKX86" s="63"/>
      <c r="NKY86" s="63"/>
      <c r="NKZ86" s="63"/>
      <c r="NLA86" s="63"/>
      <c r="NLB86" s="63"/>
      <c r="NLC86" s="63"/>
      <c r="NLD86" s="63"/>
      <c r="NLE86" s="63"/>
      <c r="NLF86" s="63"/>
      <c r="NLG86" s="63"/>
      <c r="NLH86" s="63"/>
      <c r="NLI86" s="63"/>
      <c r="NLJ86" s="63"/>
      <c r="NLK86" s="63"/>
      <c r="NLL86" s="63"/>
      <c r="NLM86" s="63"/>
      <c r="NLN86" s="63"/>
      <c r="NLO86" s="63"/>
      <c r="NLP86" s="63"/>
      <c r="NLQ86" s="63"/>
      <c r="NLR86" s="63"/>
      <c r="NLS86" s="63"/>
      <c r="NLT86" s="63"/>
      <c r="NLU86" s="63"/>
      <c r="NLV86" s="63"/>
      <c r="NLW86" s="63"/>
      <c r="NLX86" s="63"/>
      <c r="NLY86" s="63"/>
      <c r="NLZ86" s="63"/>
      <c r="NMA86" s="63"/>
      <c r="NMB86" s="63"/>
      <c r="NMC86" s="63"/>
      <c r="NMD86" s="63"/>
      <c r="NME86" s="63"/>
      <c r="NMF86" s="63"/>
      <c r="NMG86" s="63"/>
      <c r="NMH86" s="63"/>
      <c r="NMI86" s="63"/>
      <c r="NMJ86" s="63"/>
      <c r="NMK86" s="63"/>
      <c r="NML86" s="63"/>
      <c r="NMM86" s="63"/>
      <c r="NMN86" s="63"/>
      <c r="NMO86" s="63"/>
      <c r="NMP86" s="63"/>
      <c r="NMQ86" s="63"/>
      <c r="NMR86" s="63"/>
      <c r="NMS86" s="63"/>
      <c r="NMT86" s="63"/>
      <c r="NMU86" s="63"/>
      <c r="NMV86" s="63"/>
      <c r="NMW86" s="63"/>
      <c r="NMX86" s="63"/>
      <c r="NMY86" s="63"/>
      <c r="NMZ86" s="63"/>
      <c r="NNA86" s="63"/>
      <c r="NNB86" s="63"/>
      <c r="NNC86" s="63"/>
      <c r="NND86" s="63"/>
      <c r="NNE86" s="63"/>
      <c r="NNF86" s="63"/>
      <c r="NNG86" s="63"/>
      <c r="NNH86" s="63"/>
      <c r="NNI86" s="63"/>
      <c r="NNJ86" s="63"/>
      <c r="NNK86" s="63"/>
      <c r="NNL86" s="63"/>
      <c r="NNM86" s="63"/>
      <c r="NNN86" s="63"/>
      <c r="NNO86" s="63"/>
      <c r="NNP86" s="63"/>
      <c r="NNQ86" s="63"/>
      <c r="NNR86" s="63"/>
      <c r="NNS86" s="63"/>
      <c r="NNT86" s="63"/>
      <c r="NNU86" s="63"/>
      <c r="NNV86" s="63"/>
      <c r="NNW86" s="63"/>
      <c r="NNX86" s="63"/>
      <c r="NNY86" s="63"/>
      <c r="NNZ86" s="63"/>
      <c r="NOA86" s="63"/>
      <c r="NOB86" s="63"/>
      <c r="NOC86" s="63"/>
      <c r="NOD86" s="63"/>
      <c r="NOE86" s="63"/>
      <c r="NOF86" s="63"/>
      <c r="NOG86" s="63"/>
      <c r="NOH86" s="63"/>
      <c r="NOI86" s="63"/>
      <c r="NOJ86" s="63"/>
      <c r="NOK86" s="63"/>
      <c r="NOL86" s="63"/>
      <c r="NOM86" s="63"/>
      <c r="NON86" s="63"/>
      <c r="NOO86" s="63"/>
      <c r="NOP86" s="63"/>
      <c r="NOQ86" s="63"/>
      <c r="NOR86" s="63"/>
      <c r="NOS86" s="63"/>
      <c r="NOT86" s="63"/>
      <c r="NOU86" s="63"/>
      <c r="NOV86" s="63"/>
      <c r="NOW86" s="63"/>
      <c r="NOX86" s="63"/>
      <c r="NOY86" s="63"/>
      <c r="NOZ86" s="63"/>
      <c r="NPA86" s="63"/>
      <c r="NPB86" s="63"/>
      <c r="NPC86" s="63"/>
      <c r="NPD86" s="63"/>
      <c r="NPE86" s="63"/>
      <c r="NPF86" s="63"/>
      <c r="NPG86" s="63"/>
      <c r="NPH86" s="63"/>
      <c r="NPI86" s="63"/>
      <c r="NPJ86" s="63"/>
      <c r="NPK86" s="63"/>
      <c r="NPL86" s="63"/>
      <c r="NPM86" s="63"/>
      <c r="NPN86" s="63"/>
      <c r="NPO86" s="63"/>
      <c r="NPP86" s="63"/>
      <c r="NPQ86" s="63"/>
      <c r="NPR86" s="63"/>
      <c r="NPS86" s="63"/>
      <c r="NPT86" s="63"/>
      <c r="NPU86" s="63"/>
      <c r="NPV86" s="63"/>
      <c r="NPW86" s="63"/>
      <c r="NPX86" s="63"/>
      <c r="NPY86" s="63"/>
      <c r="NPZ86" s="63"/>
      <c r="NQA86" s="63"/>
      <c r="NQB86" s="63"/>
      <c r="NQC86" s="63"/>
      <c r="NQD86" s="63"/>
      <c r="NQE86" s="63"/>
      <c r="NQF86" s="63"/>
      <c r="NQG86" s="63"/>
      <c r="NQH86" s="63"/>
      <c r="NQI86" s="63"/>
      <c r="NQJ86" s="63"/>
      <c r="NQK86" s="63"/>
      <c r="NQL86" s="63"/>
      <c r="NQM86" s="63"/>
      <c r="NQN86" s="63"/>
      <c r="NQO86" s="63"/>
      <c r="NQP86" s="63"/>
      <c r="NQQ86" s="63"/>
      <c r="NQR86" s="63"/>
      <c r="NQS86" s="63"/>
      <c r="NQT86" s="63"/>
      <c r="NQU86" s="63"/>
      <c r="NQV86" s="63"/>
      <c r="NQW86" s="63"/>
      <c r="NQX86" s="63"/>
      <c r="NQY86" s="63"/>
      <c r="NQZ86" s="63"/>
      <c r="NRA86" s="63"/>
      <c r="NRB86" s="63"/>
      <c r="NRC86" s="63"/>
      <c r="NRD86" s="63"/>
      <c r="NRE86" s="63"/>
      <c r="NRF86" s="63"/>
      <c r="NRG86" s="63"/>
      <c r="NRH86" s="63"/>
      <c r="NRI86" s="63"/>
      <c r="NRJ86" s="63"/>
      <c r="NRK86" s="63"/>
      <c r="NRL86" s="63"/>
      <c r="NRM86" s="63"/>
      <c r="NRN86" s="63"/>
      <c r="NRO86" s="63"/>
      <c r="NRP86" s="63"/>
      <c r="NRQ86" s="63"/>
      <c r="NRR86" s="63"/>
      <c r="NRS86" s="63"/>
      <c r="NRT86" s="63"/>
      <c r="NRU86" s="63"/>
      <c r="NRV86" s="63"/>
      <c r="NRW86" s="63"/>
      <c r="NRX86" s="63"/>
      <c r="NRY86" s="63"/>
      <c r="NRZ86" s="63"/>
      <c r="NSA86" s="63"/>
      <c r="NSB86" s="63"/>
      <c r="NSC86" s="63"/>
      <c r="NSD86" s="63"/>
      <c r="NSE86" s="63"/>
      <c r="NSF86" s="63"/>
      <c r="NSG86" s="63"/>
      <c r="NSH86" s="63"/>
      <c r="NSI86" s="63"/>
      <c r="NSJ86" s="63"/>
      <c r="NSK86" s="63"/>
      <c r="NSL86" s="63"/>
      <c r="NSM86" s="63"/>
      <c r="NSN86" s="63"/>
      <c r="NSO86" s="63"/>
      <c r="NSP86" s="63"/>
      <c r="NSQ86" s="63"/>
      <c r="NSR86" s="63"/>
      <c r="NSS86" s="63"/>
      <c r="NST86" s="63"/>
      <c r="NSU86" s="63"/>
      <c r="NSV86" s="63"/>
      <c r="NSW86" s="63"/>
      <c r="NSX86" s="63"/>
      <c r="NSY86" s="63"/>
      <c r="NSZ86" s="63"/>
      <c r="NTA86" s="63"/>
      <c r="NTB86" s="63"/>
      <c r="NTC86" s="63"/>
      <c r="NTD86" s="63"/>
      <c r="NTE86" s="63"/>
      <c r="NTF86" s="63"/>
      <c r="NTG86" s="63"/>
      <c r="NTH86" s="63"/>
      <c r="NTI86" s="63"/>
      <c r="NTJ86" s="63"/>
      <c r="NTK86" s="63"/>
      <c r="NTL86" s="63"/>
      <c r="NTM86" s="63"/>
      <c r="NTN86" s="63"/>
      <c r="NTO86" s="63"/>
      <c r="NTP86" s="63"/>
      <c r="NTQ86" s="63"/>
      <c r="NTR86" s="63"/>
      <c r="NTS86" s="63"/>
      <c r="NTT86" s="63"/>
      <c r="NTU86" s="63"/>
      <c r="NTV86" s="63"/>
      <c r="NTW86" s="63"/>
      <c r="NTX86" s="63"/>
      <c r="NTY86" s="63"/>
      <c r="NTZ86" s="63"/>
      <c r="NUA86" s="63"/>
      <c r="NUB86" s="63"/>
      <c r="NUC86" s="63"/>
      <c r="NUD86" s="63"/>
      <c r="NUE86" s="63"/>
      <c r="NUF86" s="63"/>
      <c r="NUG86" s="63"/>
      <c r="NUH86" s="63"/>
      <c r="NUI86" s="63"/>
      <c r="NUJ86" s="63"/>
      <c r="NUK86" s="63"/>
      <c r="NUL86" s="63"/>
      <c r="NUM86" s="63"/>
      <c r="NUN86" s="63"/>
      <c r="NUO86" s="63"/>
      <c r="NUP86" s="63"/>
      <c r="NUQ86" s="63"/>
      <c r="NUR86" s="63"/>
      <c r="NUS86" s="63"/>
      <c r="NUT86" s="63"/>
      <c r="NUU86" s="63"/>
      <c r="NUV86" s="63"/>
      <c r="NUW86" s="63"/>
      <c r="NUX86" s="63"/>
      <c r="NUY86" s="63"/>
      <c r="NUZ86" s="63"/>
      <c r="NVA86" s="63"/>
      <c r="NVB86" s="63"/>
      <c r="NVC86" s="63"/>
      <c r="NVD86" s="63"/>
      <c r="NVE86" s="63"/>
      <c r="NVF86" s="63"/>
      <c r="NVG86" s="63"/>
      <c r="NVH86" s="63"/>
      <c r="NVI86" s="63"/>
      <c r="NVJ86" s="63"/>
      <c r="NVK86" s="63"/>
      <c r="NVL86" s="63"/>
      <c r="NVM86" s="63"/>
      <c r="NVN86" s="63"/>
      <c r="NVO86" s="63"/>
      <c r="NVP86" s="63"/>
      <c r="NVQ86" s="63"/>
      <c r="NVR86" s="63"/>
      <c r="NVS86" s="63"/>
      <c r="NVT86" s="63"/>
      <c r="NVU86" s="63"/>
      <c r="NVV86" s="63"/>
      <c r="NVW86" s="63"/>
      <c r="NVX86" s="63"/>
      <c r="NVY86" s="63"/>
      <c r="NVZ86" s="63"/>
      <c r="NWA86" s="63"/>
      <c r="NWB86" s="63"/>
      <c r="NWC86" s="63"/>
      <c r="NWD86" s="63"/>
      <c r="NWE86" s="63"/>
      <c r="NWF86" s="63"/>
      <c r="NWG86" s="63"/>
      <c r="NWH86" s="63"/>
      <c r="NWI86" s="63"/>
      <c r="NWJ86" s="63"/>
      <c r="NWK86" s="63"/>
      <c r="NWL86" s="63"/>
      <c r="NWM86" s="63"/>
      <c r="NWN86" s="63"/>
      <c r="NWO86" s="63"/>
      <c r="NWP86" s="63"/>
      <c r="NWQ86" s="63"/>
      <c r="NWR86" s="63"/>
      <c r="NWS86" s="63"/>
      <c r="NWT86" s="63"/>
      <c r="NWU86" s="63"/>
      <c r="NWV86" s="63"/>
      <c r="NWW86" s="63"/>
      <c r="NWX86" s="63"/>
      <c r="NWY86" s="63"/>
      <c r="NWZ86" s="63"/>
      <c r="NXA86" s="63"/>
      <c r="NXB86" s="63"/>
      <c r="NXC86" s="63"/>
      <c r="NXD86" s="63"/>
      <c r="NXE86" s="63"/>
      <c r="NXF86" s="63"/>
      <c r="NXG86" s="63"/>
      <c r="NXH86" s="63"/>
      <c r="NXI86" s="63"/>
      <c r="NXJ86" s="63"/>
      <c r="NXK86" s="63"/>
      <c r="NXL86" s="63"/>
      <c r="NXM86" s="63"/>
      <c r="NXN86" s="63"/>
      <c r="NXO86" s="63"/>
      <c r="NXP86" s="63"/>
      <c r="NXQ86" s="63"/>
      <c r="NXR86" s="63"/>
      <c r="NXS86" s="63"/>
      <c r="NXT86" s="63"/>
      <c r="NXU86" s="63"/>
      <c r="NXV86" s="63"/>
      <c r="NXW86" s="63"/>
      <c r="NXX86" s="63"/>
      <c r="NXY86" s="63"/>
      <c r="NXZ86" s="63"/>
      <c r="NYA86" s="63"/>
      <c r="NYB86" s="63"/>
      <c r="NYC86" s="63"/>
      <c r="NYD86" s="63"/>
      <c r="NYE86" s="63"/>
      <c r="NYF86" s="63"/>
      <c r="NYG86" s="63"/>
      <c r="NYH86" s="63"/>
      <c r="NYI86" s="63"/>
      <c r="NYJ86" s="63"/>
      <c r="NYK86" s="63"/>
      <c r="NYL86" s="63"/>
      <c r="NYM86" s="63"/>
      <c r="NYN86" s="63"/>
      <c r="NYO86" s="63"/>
      <c r="NYP86" s="63"/>
      <c r="NYQ86" s="63"/>
      <c r="NYR86" s="63"/>
      <c r="NYS86" s="63"/>
      <c r="NYT86" s="63"/>
      <c r="NYU86" s="63"/>
      <c r="NYV86" s="63"/>
      <c r="NYW86" s="63"/>
      <c r="NYX86" s="63"/>
      <c r="NYY86" s="63"/>
      <c r="NYZ86" s="63"/>
      <c r="NZA86" s="63"/>
      <c r="NZB86" s="63"/>
      <c r="NZC86" s="63"/>
      <c r="NZD86" s="63"/>
      <c r="NZE86" s="63"/>
      <c r="NZF86" s="63"/>
      <c r="NZG86" s="63"/>
      <c r="NZH86" s="63"/>
      <c r="NZI86" s="63"/>
      <c r="NZJ86" s="63"/>
      <c r="NZK86" s="63"/>
      <c r="NZL86" s="63"/>
      <c r="NZM86" s="63"/>
      <c r="NZN86" s="63"/>
      <c r="NZO86" s="63"/>
      <c r="NZP86" s="63"/>
      <c r="NZQ86" s="63"/>
      <c r="NZR86" s="63"/>
      <c r="NZS86" s="63"/>
      <c r="NZT86" s="63"/>
      <c r="NZU86" s="63"/>
      <c r="NZV86" s="63"/>
      <c r="NZW86" s="63"/>
      <c r="NZX86" s="63"/>
      <c r="NZY86" s="63"/>
      <c r="NZZ86" s="63"/>
      <c r="OAA86" s="63"/>
      <c r="OAB86" s="63"/>
      <c r="OAC86" s="63"/>
      <c r="OAD86" s="63"/>
      <c r="OAE86" s="63"/>
      <c r="OAF86" s="63"/>
      <c r="OAG86" s="63"/>
      <c r="OAH86" s="63"/>
      <c r="OAI86" s="63"/>
      <c r="OAJ86" s="63"/>
      <c r="OAK86" s="63"/>
      <c r="OAL86" s="63"/>
      <c r="OAM86" s="63"/>
      <c r="OAN86" s="63"/>
      <c r="OAO86" s="63"/>
      <c r="OAP86" s="63"/>
      <c r="OAQ86" s="63"/>
      <c r="OAR86" s="63"/>
      <c r="OAS86" s="63"/>
      <c r="OAT86" s="63"/>
      <c r="OAU86" s="63"/>
      <c r="OAV86" s="63"/>
      <c r="OAW86" s="63"/>
      <c r="OAX86" s="63"/>
      <c r="OAY86" s="63"/>
      <c r="OAZ86" s="63"/>
      <c r="OBA86" s="63"/>
      <c r="OBB86" s="63"/>
      <c r="OBC86" s="63"/>
      <c r="OBD86" s="63"/>
      <c r="OBE86" s="63"/>
      <c r="OBF86" s="63"/>
      <c r="OBG86" s="63"/>
      <c r="OBH86" s="63"/>
      <c r="OBI86" s="63"/>
      <c r="OBJ86" s="63"/>
      <c r="OBK86" s="63"/>
      <c r="OBL86" s="63"/>
      <c r="OBM86" s="63"/>
      <c r="OBN86" s="63"/>
      <c r="OBO86" s="63"/>
      <c r="OBP86" s="63"/>
      <c r="OBQ86" s="63"/>
      <c r="OBR86" s="63"/>
      <c r="OBS86" s="63"/>
      <c r="OBT86" s="63"/>
      <c r="OBU86" s="63"/>
      <c r="OBV86" s="63"/>
      <c r="OBW86" s="63"/>
      <c r="OBX86" s="63"/>
      <c r="OBY86" s="63"/>
      <c r="OBZ86" s="63"/>
      <c r="OCA86" s="63"/>
      <c r="OCB86" s="63"/>
      <c r="OCC86" s="63"/>
      <c r="OCD86" s="63"/>
      <c r="OCE86" s="63"/>
      <c r="OCF86" s="63"/>
      <c r="OCG86" s="63"/>
      <c r="OCH86" s="63"/>
      <c r="OCI86" s="63"/>
      <c r="OCJ86" s="63"/>
      <c r="OCK86" s="63"/>
      <c r="OCL86" s="63"/>
      <c r="OCM86" s="63"/>
      <c r="OCN86" s="63"/>
      <c r="OCO86" s="63"/>
      <c r="OCP86" s="63"/>
      <c r="OCQ86" s="63"/>
      <c r="OCR86" s="63"/>
      <c r="OCS86" s="63"/>
      <c r="OCT86" s="63"/>
      <c r="OCU86" s="63"/>
      <c r="OCV86" s="63"/>
      <c r="OCW86" s="63"/>
      <c r="OCX86" s="63"/>
      <c r="OCY86" s="63"/>
      <c r="OCZ86" s="63"/>
      <c r="ODA86" s="63"/>
      <c r="ODB86" s="63"/>
      <c r="ODC86" s="63"/>
      <c r="ODD86" s="63"/>
      <c r="ODE86" s="63"/>
      <c r="ODF86" s="63"/>
      <c r="ODG86" s="63"/>
      <c r="ODH86" s="63"/>
      <c r="ODI86" s="63"/>
      <c r="ODJ86" s="63"/>
      <c r="ODK86" s="63"/>
      <c r="ODL86" s="63"/>
      <c r="ODM86" s="63"/>
      <c r="ODN86" s="63"/>
      <c r="ODO86" s="63"/>
      <c r="ODP86" s="63"/>
      <c r="ODQ86" s="63"/>
      <c r="ODR86" s="63"/>
      <c r="ODS86" s="63"/>
      <c r="ODT86" s="63"/>
      <c r="ODU86" s="63"/>
      <c r="ODV86" s="63"/>
      <c r="ODW86" s="63"/>
      <c r="ODX86" s="63"/>
      <c r="ODY86" s="63"/>
      <c r="ODZ86" s="63"/>
      <c r="OEA86" s="63"/>
      <c r="OEB86" s="63"/>
      <c r="OEC86" s="63"/>
      <c r="OED86" s="63"/>
      <c r="OEE86" s="63"/>
      <c r="OEF86" s="63"/>
      <c r="OEG86" s="63"/>
      <c r="OEH86" s="63"/>
      <c r="OEI86" s="63"/>
      <c r="OEJ86" s="63"/>
      <c r="OEK86" s="63"/>
      <c r="OEL86" s="63"/>
      <c r="OEM86" s="63"/>
      <c r="OEN86" s="63"/>
      <c r="OEO86" s="63"/>
      <c r="OEP86" s="63"/>
      <c r="OEQ86" s="63"/>
      <c r="OER86" s="63"/>
      <c r="OES86" s="63"/>
      <c r="OET86" s="63"/>
      <c r="OEU86" s="63"/>
      <c r="OEV86" s="63"/>
      <c r="OEW86" s="63"/>
      <c r="OEX86" s="63"/>
      <c r="OEY86" s="63"/>
      <c r="OEZ86" s="63"/>
      <c r="OFA86" s="63"/>
      <c r="OFB86" s="63"/>
      <c r="OFC86" s="63"/>
      <c r="OFD86" s="63"/>
      <c r="OFE86" s="63"/>
      <c r="OFF86" s="63"/>
      <c r="OFG86" s="63"/>
      <c r="OFH86" s="63"/>
      <c r="OFI86" s="63"/>
      <c r="OFJ86" s="63"/>
      <c r="OFK86" s="63"/>
      <c r="OFL86" s="63"/>
      <c r="OFM86" s="63"/>
      <c r="OFN86" s="63"/>
      <c r="OFO86" s="63"/>
      <c r="OFP86" s="63"/>
      <c r="OFQ86" s="63"/>
      <c r="OFR86" s="63"/>
      <c r="OFS86" s="63"/>
      <c r="OFT86" s="63"/>
      <c r="OFU86" s="63"/>
      <c r="OFV86" s="63"/>
      <c r="OFW86" s="63"/>
      <c r="OFX86" s="63"/>
      <c r="OFY86" s="63"/>
      <c r="OFZ86" s="63"/>
      <c r="OGA86" s="63"/>
      <c r="OGB86" s="63"/>
      <c r="OGC86" s="63"/>
      <c r="OGD86" s="63"/>
      <c r="OGE86" s="63"/>
      <c r="OGF86" s="63"/>
      <c r="OGG86" s="63"/>
      <c r="OGH86" s="63"/>
      <c r="OGI86" s="63"/>
      <c r="OGJ86" s="63"/>
      <c r="OGK86" s="63"/>
      <c r="OGL86" s="63"/>
      <c r="OGM86" s="63"/>
      <c r="OGN86" s="63"/>
      <c r="OGO86" s="63"/>
      <c r="OGP86" s="63"/>
      <c r="OGQ86" s="63"/>
      <c r="OGR86" s="63"/>
      <c r="OGS86" s="63"/>
      <c r="OGT86" s="63"/>
      <c r="OGU86" s="63"/>
      <c r="OGV86" s="63"/>
      <c r="OGW86" s="63"/>
      <c r="OGX86" s="63"/>
      <c r="OGY86" s="63"/>
      <c r="OGZ86" s="63"/>
      <c r="OHA86" s="63"/>
      <c r="OHB86" s="63"/>
      <c r="OHC86" s="63"/>
      <c r="OHD86" s="63"/>
      <c r="OHE86" s="63"/>
      <c r="OHF86" s="63"/>
      <c r="OHG86" s="63"/>
      <c r="OHH86" s="63"/>
      <c r="OHI86" s="63"/>
      <c r="OHJ86" s="63"/>
      <c r="OHK86" s="63"/>
      <c r="OHL86" s="63"/>
      <c r="OHM86" s="63"/>
      <c r="OHN86" s="63"/>
      <c r="OHO86" s="63"/>
      <c r="OHP86" s="63"/>
      <c r="OHQ86" s="63"/>
      <c r="OHR86" s="63"/>
      <c r="OHS86" s="63"/>
      <c r="OHT86" s="63"/>
      <c r="OHU86" s="63"/>
      <c r="OHV86" s="63"/>
      <c r="OHW86" s="63"/>
      <c r="OHX86" s="63"/>
      <c r="OHY86" s="63"/>
      <c r="OHZ86" s="63"/>
      <c r="OIA86" s="63"/>
      <c r="OIB86" s="63"/>
      <c r="OIC86" s="63"/>
      <c r="OID86" s="63"/>
      <c r="OIE86" s="63"/>
      <c r="OIF86" s="63"/>
      <c r="OIG86" s="63"/>
      <c r="OIH86" s="63"/>
      <c r="OII86" s="63"/>
      <c r="OIJ86" s="63"/>
      <c r="OIK86" s="63"/>
      <c r="OIL86" s="63"/>
      <c r="OIM86" s="63"/>
      <c r="OIN86" s="63"/>
      <c r="OIO86" s="63"/>
      <c r="OIP86" s="63"/>
      <c r="OIQ86" s="63"/>
      <c r="OIR86" s="63"/>
      <c r="OIS86" s="63"/>
      <c r="OIT86" s="63"/>
      <c r="OIU86" s="63"/>
      <c r="OIV86" s="63"/>
      <c r="OIW86" s="63"/>
      <c r="OIX86" s="63"/>
      <c r="OIY86" s="63"/>
      <c r="OIZ86" s="63"/>
      <c r="OJA86" s="63"/>
      <c r="OJB86" s="63"/>
      <c r="OJC86" s="63"/>
      <c r="OJD86" s="63"/>
      <c r="OJE86" s="63"/>
      <c r="OJF86" s="63"/>
      <c r="OJG86" s="63"/>
      <c r="OJH86" s="63"/>
      <c r="OJI86" s="63"/>
      <c r="OJJ86" s="63"/>
      <c r="OJK86" s="63"/>
      <c r="OJL86" s="63"/>
      <c r="OJM86" s="63"/>
      <c r="OJN86" s="63"/>
      <c r="OJO86" s="63"/>
      <c r="OJP86" s="63"/>
      <c r="OJQ86" s="63"/>
      <c r="OJR86" s="63"/>
      <c r="OJS86" s="63"/>
      <c r="OJT86" s="63"/>
      <c r="OJU86" s="63"/>
      <c r="OJV86" s="63"/>
      <c r="OJW86" s="63"/>
      <c r="OJX86" s="63"/>
      <c r="OJY86" s="63"/>
      <c r="OJZ86" s="63"/>
      <c r="OKA86" s="63"/>
      <c r="OKB86" s="63"/>
      <c r="OKC86" s="63"/>
      <c r="OKD86" s="63"/>
      <c r="OKE86" s="63"/>
      <c r="OKF86" s="63"/>
      <c r="OKG86" s="63"/>
      <c r="OKH86" s="63"/>
      <c r="OKI86" s="63"/>
      <c r="OKJ86" s="63"/>
      <c r="OKK86" s="63"/>
      <c r="OKL86" s="63"/>
      <c r="OKM86" s="63"/>
      <c r="OKN86" s="63"/>
      <c r="OKO86" s="63"/>
      <c r="OKP86" s="63"/>
      <c r="OKQ86" s="63"/>
      <c r="OKR86" s="63"/>
      <c r="OKS86" s="63"/>
      <c r="OKT86" s="63"/>
      <c r="OKU86" s="63"/>
      <c r="OKV86" s="63"/>
      <c r="OKW86" s="63"/>
      <c r="OKX86" s="63"/>
      <c r="OKY86" s="63"/>
      <c r="OKZ86" s="63"/>
      <c r="OLA86" s="63"/>
      <c r="OLB86" s="63"/>
      <c r="OLC86" s="63"/>
      <c r="OLD86" s="63"/>
      <c r="OLE86" s="63"/>
      <c r="OLF86" s="63"/>
      <c r="OLG86" s="63"/>
      <c r="OLH86" s="63"/>
      <c r="OLI86" s="63"/>
      <c r="OLJ86" s="63"/>
      <c r="OLK86" s="63"/>
      <c r="OLL86" s="63"/>
      <c r="OLM86" s="63"/>
      <c r="OLN86" s="63"/>
      <c r="OLO86" s="63"/>
      <c r="OLP86" s="63"/>
      <c r="OLQ86" s="63"/>
      <c r="OLR86" s="63"/>
      <c r="OLS86" s="63"/>
      <c r="OLT86" s="63"/>
      <c r="OLU86" s="63"/>
      <c r="OLV86" s="63"/>
      <c r="OLW86" s="63"/>
      <c r="OLX86" s="63"/>
      <c r="OLY86" s="63"/>
      <c r="OLZ86" s="63"/>
      <c r="OMA86" s="63"/>
      <c r="OMB86" s="63"/>
      <c r="OMC86" s="63"/>
      <c r="OMD86" s="63"/>
      <c r="OME86" s="63"/>
      <c r="OMF86" s="63"/>
      <c r="OMG86" s="63"/>
      <c r="OMH86" s="63"/>
      <c r="OMI86" s="63"/>
      <c r="OMJ86" s="63"/>
      <c r="OMK86" s="63"/>
      <c r="OML86" s="63"/>
      <c r="OMM86" s="63"/>
      <c r="OMN86" s="63"/>
      <c r="OMO86" s="63"/>
      <c r="OMP86" s="63"/>
      <c r="OMQ86" s="63"/>
      <c r="OMR86" s="63"/>
      <c r="OMS86" s="63"/>
      <c r="OMT86" s="63"/>
      <c r="OMU86" s="63"/>
      <c r="OMV86" s="63"/>
      <c r="OMW86" s="63"/>
      <c r="OMX86" s="63"/>
      <c r="OMY86" s="63"/>
      <c r="OMZ86" s="63"/>
      <c r="ONA86" s="63"/>
      <c r="ONB86" s="63"/>
      <c r="ONC86" s="63"/>
      <c r="OND86" s="63"/>
      <c r="ONE86" s="63"/>
      <c r="ONF86" s="63"/>
      <c r="ONG86" s="63"/>
      <c r="ONH86" s="63"/>
      <c r="ONI86" s="63"/>
      <c r="ONJ86" s="63"/>
      <c r="ONK86" s="63"/>
      <c r="ONL86" s="63"/>
      <c r="ONM86" s="63"/>
      <c r="ONN86" s="63"/>
      <c r="ONO86" s="63"/>
      <c r="ONP86" s="63"/>
      <c r="ONQ86" s="63"/>
      <c r="ONR86" s="63"/>
      <c r="ONS86" s="63"/>
      <c r="ONT86" s="63"/>
      <c r="ONU86" s="63"/>
      <c r="ONV86" s="63"/>
      <c r="ONW86" s="63"/>
      <c r="ONX86" s="63"/>
      <c r="ONY86" s="63"/>
      <c r="ONZ86" s="63"/>
      <c r="OOA86" s="63"/>
      <c r="OOB86" s="63"/>
      <c r="OOC86" s="63"/>
      <c r="OOD86" s="63"/>
      <c r="OOE86" s="63"/>
      <c r="OOF86" s="63"/>
      <c r="OOG86" s="63"/>
      <c r="OOH86" s="63"/>
      <c r="OOI86" s="63"/>
      <c r="OOJ86" s="63"/>
      <c r="OOK86" s="63"/>
      <c r="OOL86" s="63"/>
      <c r="OOM86" s="63"/>
      <c r="OON86" s="63"/>
      <c r="OOO86" s="63"/>
      <c r="OOP86" s="63"/>
      <c r="OOQ86" s="63"/>
      <c r="OOR86" s="63"/>
      <c r="OOS86" s="63"/>
      <c r="OOT86" s="63"/>
      <c r="OOU86" s="63"/>
      <c r="OOV86" s="63"/>
      <c r="OOW86" s="63"/>
      <c r="OOX86" s="63"/>
      <c r="OOY86" s="63"/>
      <c r="OOZ86" s="63"/>
      <c r="OPA86" s="63"/>
      <c r="OPB86" s="63"/>
      <c r="OPC86" s="63"/>
      <c r="OPD86" s="63"/>
      <c r="OPE86" s="63"/>
      <c r="OPF86" s="63"/>
      <c r="OPG86" s="63"/>
      <c r="OPH86" s="63"/>
      <c r="OPI86" s="63"/>
      <c r="OPJ86" s="63"/>
      <c r="OPK86" s="63"/>
      <c r="OPL86" s="63"/>
      <c r="OPM86" s="63"/>
      <c r="OPN86" s="63"/>
      <c r="OPO86" s="63"/>
      <c r="OPP86" s="63"/>
      <c r="OPQ86" s="63"/>
      <c r="OPR86" s="63"/>
      <c r="OPS86" s="63"/>
      <c r="OPT86" s="63"/>
      <c r="OPU86" s="63"/>
      <c r="OPV86" s="63"/>
      <c r="OPW86" s="63"/>
      <c r="OPX86" s="63"/>
      <c r="OPY86" s="63"/>
      <c r="OPZ86" s="63"/>
      <c r="OQA86" s="63"/>
      <c r="OQB86" s="63"/>
      <c r="OQC86" s="63"/>
      <c r="OQD86" s="63"/>
      <c r="OQE86" s="63"/>
      <c r="OQF86" s="63"/>
      <c r="OQG86" s="63"/>
      <c r="OQH86" s="63"/>
      <c r="OQI86" s="63"/>
      <c r="OQJ86" s="63"/>
      <c r="OQK86" s="63"/>
      <c r="OQL86" s="63"/>
      <c r="OQM86" s="63"/>
      <c r="OQN86" s="63"/>
      <c r="OQO86" s="63"/>
      <c r="OQP86" s="63"/>
      <c r="OQQ86" s="63"/>
      <c r="OQR86" s="63"/>
      <c r="OQS86" s="63"/>
      <c r="OQT86" s="63"/>
      <c r="OQU86" s="63"/>
      <c r="OQV86" s="63"/>
      <c r="OQW86" s="63"/>
      <c r="OQX86" s="63"/>
      <c r="OQY86" s="63"/>
      <c r="OQZ86" s="63"/>
      <c r="ORA86" s="63"/>
      <c r="ORB86" s="63"/>
      <c r="ORC86" s="63"/>
      <c r="ORD86" s="63"/>
      <c r="ORE86" s="63"/>
      <c r="ORF86" s="63"/>
      <c r="ORG86" s="63"/>
      <c r="ORH86" s="63"/>
      <c r="ORI86" s="63"/>
      <c r="ORJ86" s="63"/>
      <c r="ORK86" s="63"/>
      <c r="ORL86" s="63"/>
      <c r="ORM86" s="63"/>
      <c r="ORN86" s="63"/>
      <c r="ORO86" s="63"/>
      <c r="ORP86" s="63"/>
      <c r="ORQ86" s="63"/>
      <c r="ORR86" s="63"/>
      <c r="ORS86" s="63"/>
      <c r="ORT86" s="63"/>
      <c r="ORU86" s="63"/>
      <c r="ORV86" s="63"/>
      <c r="ORW86" s="63"/>
      <c r="ORX86" s="63"/>
      <c r="ORY86" s="63"/>
      <c r="ORZ86" s="63"/>
      <c r="OSA86" s="63"/>
      <c r="OSB86" s="63"/>
      <c r="OSC86" s="63"/>
      <c r="OSD86" s="63"/>
      <c r="OSE86" s="63"/>
      <c r="OSF86" s="63"/>
      <c r="OSG86" s="63"/>
      <c r="OSH86" s="63"/>
      <c r="OSI86" s="63"/>
      <c r="OSJ86" s="63"/>
      <c r="OSK86" s="63"/>
      <c r="OSL86" s="63"/>
      <c r="OSM86" s="63"/>
      <c r="OSN86" s="63"/>
      <c r="OSO86" s="63"/>
      <c r="OSP86" s="63"/>
      <c r="OSQ86" s="63"/>
      <c r="OSR86" s="63"/>
      <c r="OSS86" s="63"/>
      <c r="OST86" s="63"/>
      <c r="OSU86" s="63"/>
      <c r="OSV86" s="63"/>
      <c r="OSW86" s="63"/>
      <c r="OSX86" s="63"/>
      <c r="OSY86" s="63"/>
      <c r="OSZ86" s="63"/>
      <c r="OTA86" s="63"/>
      <c r="OTB86" s="63"/>
      <c r="OTC86" s="63"/>
      <c r="OTD86" s="63"/>
      <c r="OTE86" s="63"/>
      <c r="OTF86" s="63"/>
      <c r="OTG86" s="63"/>
      <c r="OTH86" s="63"/>
      <c r="OTI86" s="63"/>
      <c r="OTJ86" s="63"/>
      <c r="OTK86" s="63"/>
      <c r="OTL86" s="63"/>
      <c r="OTM86" s="63"/>
      <c r="OTN86" s="63"/>
      <c r="OTO86" s="63"/>
      <c r="OTP86" s="63"/>
      <c r="OTQ86" s="63"/>
      <c r="OTR86" s="63"/>
      <c r="OTS86" s="63"/>
      <c r="OTT86" s="63"/>
      <c r="OTU86" s="63"/>
      <c r="OTV86" s="63"/>
      <c r="OTW86" s="63"/>
      <c r="OTX86" s="63"/>
      <c r="OTY86" s="63"/>
      <c r="OTZ86" s="63"/>
      <c r="OUA86" s="63"/>
      <c r="OUB86" s="63"/>
      <c r="OUC86" s="63"/>
      <c r="OUD86" s="63"/>
      <c r="OUE86" s="63"/>
      <c r="OUF86" s="63"/>
      <c r="OUG86" s="63"/>
      <c r="OUH86" s="63"/>
      <c r="OUI86" s="63"/>
      <c r="OUJ86" s="63"/>
      <c r="OUK86" s="63"/>
      <c r="OUL86" s="63"/>
      <c r="OUM86" s="63"/>
      <c r="OUN86" s="63"/>
      <c r="OUO86" s="63"/>
      <c r="OUP86" s="63"/>
      <c r="OUQ86" s="63"/>
      <c r="OUR86" s="63"/>
      <c r="OUS86" s="63"/>
      <c r="OUT86" s="63"/>
      <c r="OUU86" s="63"/>
      <c r="OUV86" s="63"/>
      <c r="OUW86" s="63"/>
      <c r="OUX86" s="63"/>
      <c r="OUY86" s="63"/>
      <c r="OUZ86" s="63"/>
      <c r="OVA86" s="63"/>
      <c r="OVB86" s="63"/>
      <c r="OVC86" s="63"/>
      <c r="OVD86" s="63"/>
      <c r="OVE86" s="63"/>
      <c r="OVF86" s="63"/>
      <c r="OVG86" s="63"/>
      <c r="OVH86" s="63"/>
      <c r="OVI86" s="63"/>
      <c r="OVJ86" s="63"/>
      <c r="OVK86" s="63"/>
      <c r="OVL86" s="63"/>
      <c r="OVM86" s="63"/>
      <c r="OVN86" s="63"/>
      <c r="OVO86" s="63"/>
      <c r="OVP86" s="63"/>
      <c r="OVQ86" s="63"/>
      <c r="OVR86" s="63"/>
      <c r="OVS86" s="63"/>
      <c r="OVT86" s="63"/>
      <c r="OVU86" s="63"/>
      <c r="OVV86" s="63"/>
      <c r="OVW86" s="63"/>
      <c r="OVX86" s="63"/>
      <c r="OVY86" s="63"/>
      <c r="OVZ86" s="63"/>
      <c r="OWA86" s="63"/>
      <c r="OWB86" s="63"/>
      <c r="OWC86" s="63"/>
      <c r="OWD86" s="63"/>
      <c r="OWE86" s="63"/>
      <c r="OWF86" s="63"/>
      <c r="OWG86" s="63"/>
      <c r="OWH86" s="63"/>
      <c r="OWI86" s="63"/>
      <c r="OWJ86" s="63"/>
      <c r="OWK86" s="63"/>
      <c r="OWL86" s="63"/>
      <c r="OWM86" s="63"/>
      <c r="OWN86" s="63"/>
      <c r="OWO86" s="63"/>
      <c r="OWP86" s="63"/>
      <c r="OWQ86" s="63"/>
      <c r="OWR86" s="63"/>
      <c r="OWS86" s="63"/>
      <c r="OWT86" s="63"/>
      <c r="OWU86" s="63"/>
      <c r="OWV86" s="63"/>
      <c r="OWW86" s="63"/>
      <c r="OWX86" s="63"/>
      <c r="OWY86" s="63"/>
      <c r="OWZ86" s="63"/>
      <c r="OXA86" s="63"/>
      <c r="OXB86" s="63"/>
      <c r="OXC86" s="63"/>
      <c r="OXD86" s="63"/>
      <c r="OXE86" s="63"/>
      <c r="OXF86" s="63"/>
      <c r="OXG86" s="63"/>
      <c r="OXH86" s="63"/>
      <c r="OXI86" s="63"/>
      <c r="OXJ86" s="63"/>
      <c r="OXK86" s="63"/>
      <c r="OXL86" s="63"/>
      <c r="OXM86" s="63"/>
      <c r="OXN86" s="63"/>
      <c r="OXO86" s="63"/>
      <c r="OXP86" s="63"/>
      <c r="OXQ86" s="63"/>
      <c r="OXR86" s="63"/>
      <c r="OXS86" s="63"/>
      <c r="OXT86" s="63"/>
      <c r="OXU86" s="63"/>
      <c r="OXV86" s="63"/>
      <c r="OXW86" s="63"/>
      <c r="OXX86" s="63"/>
      <c r="OXY86" s="63"/>
      <c r="OXZ86" s="63"/>
      <c r="OYA86" s="63"/>
      <c r="OYB86" s="63"/>
      <c r="OYC86" s="63"/>
      <c r="OYD86" s="63"/>
      <c r="OYE86" s="63"/>
      <c r="OYF86" s="63"/>
      <c r="OYG86" s="63"/>
      <c r="OYH86" s="63"/>
      <c r="OYI86" s="63"/>
      <c r="OYJ86" s="63"/>
      <c r="OYK86" s="63"/>
      <c r="OYL86" s="63"/>
      <c r="OYM86" s="63"/>
      <c r="OYN86" s="63"/>
      <c r="OYO86" s="63"/>
      <c r="OYP86" s="63"/>
      <c r="OYQ86" s="63"/>
      <c r="OYR86" s="63"/>
      <c r="OYS86" s="63"/>
      <c r="OYT86" s="63"/>
      <c r="OYU86" s="63"/>
      <c r="OYV86" s="63"/>
      <c r="OYW86" s="63"/>
      <c r="OYX86" s="63"/>
      <c r="OYY86" s="63"/>
      <c r="OYZ86" s="63"/>
      <c r="OZA86" s="63"/>
      <c r="OZB86" s="63"/>
      <c r="OZC86" s="63"/>
      <c r="OZD86" s="63"/>
      <c r="OZE86" s="63"/>
      <c r="OZF86" s="63"/>
      <c r="OZG86" s="63"/>
      <c r="OZH86" s="63"/>
      <c r="OZI86" s="63"/>
      <c r="OZJ86" s="63"/>
      <c r="OZK86" s="63"/>
      <c r="OZL86" s="63"/>
      <c r="OZM86" s="63"/>
      <c r="OZN86" s="63"/>
      <c r="OZO86" s="63"/>
      <c r="OZP86" s="63"/>
      <c r="OZQ86" s="63"/>
      <c r="OZR86" s="63"/>
      <c r="OZS86" s="63"/>
      <c r="OZT86" s="63"/>
      <c r="OZU86" s="63"/>
      <c r="OZV86" s="63"/>
      <c r="OZW86" s="63"/>
      <c r="OZX86" s="63"/>
      <c r="OZY86" s="63"/>
      <c r="OZZ86" s="63"/>
      <c r="PAA86" s="63"/>
      <c r="PAB86" s="63"/>
      <c r="PAC86" s="63"/>
      <c r="PAD86" s="63"/>
      <c r="PAE86" s="63"/>
      <c r="PAF86" s="63"/>
      <c r="PAG86" s="63"/>
      <c r="PAH86" s="63"/>
      <c r="PAI86" s="63"/>
      <c r="PAJ86" s="63"/>
      <c r="PAK86" s="63"/>
      <c r="PAL86" s="63"/>
      <c r="PAM86" s="63"/>
      <c r="PAN86" s="63"/>
      <c r="PAO86" s="63"/>
      <c r="PAP86" s="63"/>
      <c r="PAQ86" s="63"/>
      <c r="PAR86" s="63"/>
      <c r="PAS86" s="63"/>
      <c r="PAT86" s="63"/>
      <c r="PAU86" s="63"/>
      <c r="PAV86" s="63"/>
      <c r="PAW86" s="63"/>
      <c r="PAX86" s="63"/>
      <c r="PAY86" s="63"/>
      <c r="PAZ86" s="63"/>
      <c r="PBA86" s="63"/>
      <c r="PBB86" s="63"/>
      <c r="PBC86" s="63"/>
      <c r="PBD86" s="63"/>
      <c r="PBE86" s="63"/>
      <c r="PBF86" s="63"/>
      <c r="PBG86" s="63"/>
      <c r="PBH86" s="63"/>
      <c r="PBI86" s="63"/>
      <c r="PBJ86" s="63"/>
      <c r="PBK86" s="63"/>
      <c r="PBL86" s="63"/>
      <c r="PBM86" s="63"/>
      <c r="PBN86" s="63"/>
      <c r="PBO86" s="63"/>
      <c r="PBP86" s="63"/>
      <c r="PBQ86" s="63"/>
      <c r="PBR86" s="63"/>
      <c r="PBS86" s="63"/>
      <c r="PBT86" s="63"/>
      <c r="PBU86" s="63"/>
      <c r="PBV86" s="63"/>
      <c r="PBW86" s="63"/>
      <c r="PBX86" s="63"/>
      <c r="PBY86" s="63"/>
      <c r="PBZ86" s="63"/>
      <c r="PCA86" s="63"/>
      <c r="PCB86" s="63"/>
      <c r="PCC86" s="63"/>
      <c r="PCD86" s="63"/>
      <c r="PCE86" s="63"/>
      <c r="PCF86" s="63"/>
      <c r="PCG86" s="63"/>
      <c r="PCH86" s="63"/>
      <c r="PCI86" s="63"/>
      <c r="PCJ86" s="63"/>
      <c r="PCK86" s="63"/>
      <c r="PCL86" s="63"/>
      <c r="PCM86" s="63"/>
      <c r="PCN86" s="63"/>
      <c r="PCO86" s="63"/>
      <c r="PCP86" s="63"/>
      <c r="PCQ86" s="63"/>
      <c r="PCR86" s="63"/>
      <c r="PCS86" s="63"/>
      <c r="PCT86" s="63"/>
      <c r="PCU86" s="63"/>
      <c r="PCV86" s="63"/>
      <c r="PCW86" s="63"/>
      <c r="PCX86" s="63"/>
      <c r="PCY86" s="63"/>
      <c r="PCZ86" s="63"/>
      <c r="PDA86" s="63"/>
      <c r="PDB86" s="63"/>
      <c r="PDC86" s="63"/>
      <c r="PDD86" s="63"/>
      <c r="PDE86" s="63"/>
      <c r="PDF86" s="63"/>
      <c r="PDG86" s="63"/>
      <c r="PDH86" s="63"/>
      <c r="PDI86" s="63"/>
      <c r="PDJ86" s="63"/>
      <c r="PDK86" s="63"/>
      <c r="PDL86" s="63"/>
      <c r="PDM86" s="63"/>
      <c r="PDN86" s="63"/>
      <c r="PDO86" s="63"/>
      <c r="PDP86" s="63"/>
      <c r="PDQ86" s="63"/>
      <c r="PDR86" s="63"/>
      <c r="PDS86" s="63"/>
      <c r="PDT86" s="63"/>
      <c r="PDU86" s="63"/>
      <c r="PDV86" s="63"/>
      <c r="PDW86" s="63"/>
      <c r="PDX86" s="63"/>
      <c r="PDY86" s="63"/>
      <c r="PDZ86" s="63"/>
      <c r="PEA86" s="63"/>
      <c r="PEB86" s="63"/>
      <c r="PEC86" s="63"/>
      <c r="PED86" s="63"/>
      <c r="PEE86" s="63"/>
      <c r="PEF86" s="63"/>
      <c r="PEG86" s="63"/>
      <c r="PEH86" s="63"/>
      <c r="PEI86" s="63"/>
      <c r="PEJ86" s="63"/>
      <c r="PEK86" s="63"/>
      <c r="PEL86" s="63"/>
      <c r="PEM86" s="63"/>
      <c r="PEN86" s="63"/>
      <c r="PEO86" s="63"/>
      <c r="PEP86" s="63"/>
      <c r="PEQ86" s="63"/>
      <c r="PER86" s="63"/>
      <c r="PES86" s="63"/>
      <c r="PET86" s="63"/>
      <c r="PEU86" s="63"/>
      <c r="PEV86" s="63"/>
      <c r="PEW86" s="63"/>
      <c r="PEX86" s="63"/>
      <c r="PEY86" s="63"/>
      <c r="PEZ86" s="63"/>
      <c r="PFA86" s="63"/>
      <c r="PFB86" s="63"/>
      <c r="PFC86" s="63"/>
      <c r="PFD86" s="63"/>
      <c r="PFE86" s="63"/>
      <c r="PFF86" s="63"/>
      <c r="PFG86" s="63"/>
      <c r="PFH86" s="63"/>
      <c r="PFI86" s="63"/>
      <c r="PFJ86" s="63"/>
      <c r="PFK86" s="63"/>
      <c r="PFL86" s="63"/>
      <c r="PFM86" s="63"/>
      <c r="PFN86" s="63"/>
      <c r="PFO86" s="63"/>
      <c r="PFP86" s="63"/>
      <c r="PFQ86" s="63"/>
      <c r="PFR86" s="63"/>
      <c r="PFS86" s="63"/>
      <c r="PFT86" s="63"/>
      <c r="PFU86" s="63"/>
      <c r="PFV86" s="63"/>
      <c r="PFW86" s="63"/>
      <c r="PFX86" s="63"/>
      <c r="PFY86" s="63"/>
      <c r="PFZ86" s="63"/>
      <c r="PGA86" s="63"/>
      <c r="PGB86" s="63"/>
      <c r="PGC86" s="63"/>
      <c r="PGD86" s="63"/>
      <c r="PGE86" s="63"/>
      <c r="PGF86" s="63"/>
      <c r="PGG86" s="63"/>
      <c r="PGH86" s="63"/>
      <c r="PGI86" s="63"/>
      <c r="PGJ86" s="63"/>
      <c r="PGK86" s="63"/>
      <c r="PGL86" s="63"/>
      <c r="PGM86" s="63"/>
      <c r="PGN86" s="63"/>
      <c r="PGO86" s="63"/>
      <c r="PGP86" s="63"/>
      <c r="PGQ86" s="63"/>
      <c r="PGR86" s="63"/>
      <c r="PGS86" s="63"/>
      <c r="PGT86" s="63"/>
      <c r="PGU86" s="63"/>
      <c r="PGV86" s="63"/>
      <c r="PGW86" s="63"/>
      <c r="PGX86" s="63"/>
      <c r="PGY86" s="63"/>
      <c r="PGZ86" s="63"/>
      <c r="PHA86" s="63"/>
      <c r="PHB86" s="63"/>
      <c r="PHC86" s="63"/>
      <c r="PHD86" s="63"/>
      <c r="PHE86" s="63"/>
      <c r="PHF86" s="63"/>
      <c r="PHG86" s="63"/>
      <c r="PHH86" s="63"/>
      <c r="PHI86" s="63"/>
      <c r="PHJ86" s="63"/>
      <c r="PHK86" s="63"/>
      <c r="PHL86" s="63"/>
      <c r="PHM86" s="63"/>
      <c r="PHN86" s="63"/>
      <c r="PHO86" s="63"/>
      <c r="PHP86" s="63"/>
      <c r="PHQ86" s="63"/>
      <c r="PHR86" s="63"/>
      <c r="PHS86" s="63"/>
      <c r="PHT86" s="63"/>
      <c r="PHU86" s="63"/>
      <c r="PHV86" s="63"/>
      <c r="PHW86" s="63"/>
      <c r="PHX86" s="63"/>
      <c r="PHY86" s="63"/>
      <c r="PHZ86" s="63"/>
      <c r="PIA86" s="63"/>
      <c r="PIB86" s="63"/>
      <c r="PIC86" s="63"/>
      <c r="PID86" s="63"/>
      <c r="PIE86" s="63"/>
      <c r="PIF86" s="63"/>
      <c r="PIG86" s="63"/>
      <c r="PIH86" s="63"/>
      <c r="PII86" s="63"/>
      <c r="PIJ86" s="63"/>
      <c r="PIK86" s="63"/>
      <c r="PIL86" s="63"/>
      <c r="PIM86" s="63"/>
      <c r="PIN86" s="63"/>
      <c r="PIO86" s="63"/>
      <c r="PIP86" s="63"/>
      <c r="PIQ86" s="63"/>
      <c r="PIR86" s="63"/>
      <c r="PIS86" s="63"/>
      <c r="PIT86" s="63"/>
      <c r="PIU86" s="63"/>
      <c r="PIV86" s="63"/>
      <c r="PIW86" s="63"/>
      <c r="PIX86" s="63"/>
      <c r="PIY86" s="63"/>
      <c r="PIZ86" s="63"/>
      <c r="PJA86" s="63"/>
      <c r="PJB86" s="63"/>
      <c r="PJC86" s="63"/>
      <c r="PJD86" s="63"/>
      <c r="PJE86" s="63"/>
      <c r="PJF86" s="63"/>
      <c r="PJG86" s="63"/>
      <c r="PJH86" s="63"/>
      <c r="PJI86" s="63"/>
      <c r="PJJ86" s="63"/>
      <c r="PJK86" s="63"/>
      <c r="PJL86" s="63"/>
      <c r="PJM86" s="63"/>
      <c r="PJN86" s="63"/>
      <c r="PJO86" s="63"/>
      <c r="PJP86" s="63"/>
      <c r="PJQ86" s="63"/>
      <c r="PJR86" s="63"/>
      <c r="PJS86" s="63"/>
      <c r="PJT86" s="63"/>
      <c r="PJU86" s="63"/>
      <c r="PJV86" s="63"/>
      <c r="PJW86" s="63"/>
      <c r="PJX86" s="63"/>
      <c r="PJY86" s="63"/>
      <c r="PJZ86" s="63"/>
      <c r="PKA86" s="63"/>
      <c r="PKB86" s="63"/>
      <c r="PKC86" s="63"/>
      <c r="PKD86" s="63"/>
      <c r="PKE86" s="63"/>
      <c r="PKF86" s="63"/>
      <c r="PKG86" s="63"/>
      <c r="PKH86" s="63"/>
      <c r="PKI86" s="63"/>
      <c r="PKJ86" s="63"/>
      <c r="PKK86" s="63"/>
      <c r="PKL86" s="63"/>
      <c r="PKM86" s="63"/>
      <c r="PKN86" s="63"/>
      <c r="PKO86" s="63"/>
      <c r="PKP86" s="63"/>
      <c r="PKQ86" s="63"/>
      <c r="PKR86" s="63"/>
      <c r="PKS86" s="63"/>
      <c r="PKT86" s="63"/>
      <c r="PKU86" s="63"/>
      <c r="PKV86" s="63"/>
      <c r="PKW86" s="63"/>
      <c r="PKX86" s="63"/>
      <c r="PKY86" s="63"/>
      <c r="PKZ86" s="63"/>
      <c r="PLA86" s="63"/>
      <c r="PLB86" s="63"/>
      <c r="PLC86" s="63"/>
      <c r="PLD86" s="63"/>
      <c r="PLE86" s="63"/>
      <c r="PLF86" s="63"/>
      <c r="PLG86" s="63"/>
      <c r="PLH86" s="63"/>
      <c r="PLI86" s="63"/>
      <c r="PLJ86" s="63"/>
      <c r="PLK86" s="63"/>
      <c r="PLL86" s="63"/>
      <c r="PLM86" s="63"/>
      <c r="PLN86" s="63"/>
      <c r="PLO86" s="63"/>
      <c r="PLP86" s="63"/>
      <c r="PLQ86" s="63"/>
      <c r="PLR86" s="63"/>
      <c r="PLS86" s="63"/>
      <c r="PLT86" s="63"/>
      <c r="PLU86" s="63"/>
      <c r="PLV86" s="63"/>
      <c r="PLW86" s="63"/>
      <c r="PLX86" s="63"/>
      <c r="PLY86" s="63"/>
      <c r="PLZ86" s="63"/>
      <c r="PMA86" s="63"/>
      <c r="PMB86" s="63"/>
      <c r="PMC86" s="63"/>
      <c r="PMD86" s="63"/>
      <c r="PME86" s="63"/>
      <c r="PMF86" s="63"/>
      <c r="PMG86" s="63"/>
      <c r="PMH86" s="63"/>
      <c r="PMI86" s="63"/>
      <c r="PMJ86" s="63"/>
      <c r="PMK86" s="63"/>
      <c r="PML86" s="63"/>
      <c r="PMM86" s="63"/>
      <c r="PMN86" s="63"/>
      <c r="PMO86" s="63"/>
      <c r="PMP86" s="63"/>
      <c r="PMQ86" s="63"/>
      <c r="PMR86" s="63"/>
      <c r="PMS86" s="63"/>
      <c r="PMT86" s="63"/>
      <c r="PMU86" s="63"/>
      <c r="PMV86" s="63"/>
      <c r="PMW86" s="63"/>
      <c r="PMX86" s="63"/>
      <c r="PMY86" s="63"/>
      <c r="PMZ86" s="63"/>
      <c r="PNA86" s="63"/>
      <c r="PNB86" s="63"/>
      <c r="PNC86" s="63"/>
      <c r="PND86" s="63"/>
      <c r="PNE86" s="63"/>
      <c r="PNF86" s="63"/>
      <c r="PNG86" s="63"/>
      <c r="PNH86" s="63"/>
      <c r="PNI86" s="63"/>
      <c r="PNJ86" s="63"/>
      <c r="PNK86" s="63"/>
      <c r="PNL86" s="63"/>
      <c r="PNM86" s="63"/>
      <c r="PNN86" s="63"/>
      <c r="PNO86" s="63"/>
      <c r="PNP86" s="63"/>
      <c r="PNQ86" s="63"/>
      <c r="PNR86" s="63"/>
      <c r="PNS86" s="63"/>
      <c r="PNT86" s="63"/>
      <c r="PNU86" s="63"/>
      <c r="PNV86" s="63"/>
      <c r="PNW86" s="63"/>
      <c r="PNX86" s="63"/>
      <c r="PNY86" s="63"/>
      <c r="PNZ86" s="63"/>
      <c r="POA86" s="63"/>
      <c r="POB86" s="63"/>
      <c r="POC86" s="63"/>
      <c r="POD86" s="63"/>
      <c r="POE86" s="63"/>
      <c r="POF86" s="63"/>
      <c r="POG86" s="63"/>
      <c r="POH86" s="63"/>
      <c r="POI86" s="63"/>
      <c r="POJ86" s="63"/>
      <c r="POK86" s="63"/>
      <c r="POL86" s="63"/>
      <c r="POM86" s="63"/>
      <c r="PON86" s="63"/>
      <c r="POO86" s="63"/>
      <c r="POP86" s="63"/>
      <c r="POQ86" s="63"/>
      <c r="POR86" s="63"/>
      <c r="POS86" s="63"/>
      <c r="POT86" s="63"/>
      <c r="POU86" s="63"/>
      <c r="POV86" s="63"/>
      <c r="POW86" s="63"/>
      <c r="POX86" s="63"/>
      <c r="POY86" s="63"/>
      <c r="POZ86" s="63"/>
      <c r="PPA86" s="63"/>
      <c r="PPB86" s="63"/>
      <c r="PPC86" s="63"/>
      <c r="PPD86" s="63"/>
      <c r="PPE86" s="63"/>
      <c r="PPF86" s="63"/>
      <c r="PPG86" s="63"/>
      <c r="PPH86" s="63"/>
      <c r="PPI86" s="63"/>
      <c r="PPJ86" s="63"/>
      <c r="PPK86" s="63"/>
      <c r="PPL86" s="63"/>
      <c r="PPM86" s="63"/>
      <c r="PPN86" s="63"/>
      <c r="PPO86" s="63"/>
      <c r="PPP86" s="63"/>
      <c r="PPQ86" s="63"/>
      <c r="PPR86" s="63"/>
      <c r="PPS86" s="63"/>
      <c r="PPT86" s="63"/>
      <c r="PPU86" s="63"/>
      <c r="PPV86" s="63"/>
      <c r="PPW86" s="63"/>
      <c r="PPX86" s="63"/>
      <c r="PPY86" s="63"/>
      <c r="PPZ86" s="63"/>
      <c r="PQA86" s="63"/>
      <c r="PQB86" s="63"/>
      <c r="PQC86" s="63"/>
      <c r="PQD86" s="63"/>
      <c r="PQE86" s="63"/>
      <c r="PQF86" s="63"/>
      <c r="PQG86" s="63"/>
      <c r="PQH86" s="63"/>
      <c r="PQI86" s="63"/>
      <c r="PQJ86" s="63"/>
      <c r="PQK86" s="63"/>
      <c r="PQL86" s="63"/>
      <c r="PQM86" s="63"/>
      <c r="PQN86" s="63"/>
      <c r="PQO86" s="63"/>
      <c r="PQP86" s="63"/>
      <c r="PQQ86" s="63"/>
      <c r="PQR86" s="63"/>
      <c r="PQS86" s="63"/>
      <c r="PQT86" s="63"/>
      <c r="PQU86" s="63"/>
      <c r="PQV86" s="63"/>
      <c r="PQW86" s="63"/>
      <c r="PQX86" s="63"/>
      <c r="PQY86" s="63"/>
      <c r="PQZ86" s="63"/>
      <c r="PRA86" s="63"/>
      <c r="PRB86" s="63"/>
      <c r="PRC86" s="63"/>
      <c r="PRD86" s="63"/>
      <c r="PRE86" s="63"/>
      <c r="PRF86" s="63"/>
      <c r="PRG86" s="63"/>
      <c r="PRH86" s="63"/>
      <c r="PRI86" s="63"/>
      <c r="PRJ86" s="63"/>
      <c r="PRK86" s="63"/>
      <c r="PRL86" s="63"/>
      <c r="PRM86" s="63"/>
      <c r="PRN86" s="63"/>
      <c r="PRO86" s="63"/>
      <c r="PRP86" s="63"/>
      <c r="PRQ86" s="63"/>
      <c r="PRR86" s="63"/>
      <c r="PRS86" s="63"/>
      <c r="PRT86" s="63"/>
      <c r="PRU86" s="63"/>
      <c r="PRV86" s="63"/>
      <c r="PRW86" s="63"/>
      <c r="PRX86" s="63"/>
      <c r="PRY86" s="63"/>
      <c r="PRZ86" s="63"/>
      <c r="PSA86" s="63"/>
      <c r="PSB86" s="63"/>
      <c r="PSC86" s="63"/>
      <c r="PSD86" s="63"/>
      <c r="PSE86" s="63"/>
      <c r="PSF86" s="63"/>
      <c r="PSG86" s="63"/>
      <c r="PSH86" s="63"/>
      <c r="PSI86" s="63"/>
      <c r="PSJ86" s="63"/>
      <c r="PSK86" s="63"/>
      <c r="PSL86" s="63"/>
      <c r="PSM86" s="63"/>
      <c r="PSN86" s="63"/>
      <c r="PSO86" s="63"/>
      <c r="PSP86" s="63"/>
      <c r="PSQ86" s="63"/>
      <c r="PSR86" s="63"/>
      <c r="PSS86" s="63"/>
      <c r="PST86" s="63"/>
      <c r="PSU86" s="63"/>
      <c r="PSV86" s="63"/>
      <c r="PSW86" s="63"/>
      <c r="PSX86" s="63"/>
      <c r="PSY86" s="63"/>
      <c r="PSZ86" s="63"/>
      <c r="PTA86" s="63"/>
      <c r="PTB86" s="63"/>
      <c r="PTC86" s="63"/>
      <c r="PTD86" s="63"/>
      <c r="PTE86" s="63"/>
      <c r="PTF86" s="63"/>
      <c r="PTG86" s="63"/>
      <c r="PTH86" s="63"/>
      <c r="PTI86" s="63"/>
      <c r="PTJ86" s="63"/>
      <c r="PTK86" s="63"/>
      <c r="PTL86" s="63"/>
      <c r="PTM86" s="63"/>
      <c r="PTN86" s="63"/>
      <c r="PTO86" s="63"/>
      <c r="PTP86" s="63"/>
      <c r="PTQ86" s="63"/>
      <c r="PTR86" s="63"/>
      <c r="PTS86" s="63"/>
      <c r="PTT86" s="63"/>
      <c r="PTU86" s="63"/>
      <c r="PTV86" s="63"/>
      <c r="PTW86" s="63"/>
      <c r="PTX86" s="63"/>
      <c r="PTY86" s="63"/>
      <c r="PTZ86" s="63"/>
      <c r="PUA86" s="63"/>
      <c r="PUB86" s="63"/>
      <c r="PUC86" s="63"/>
      <c r="PUD86" s="63"/>
      <c r="PUE86" s="63"/>
      <c r="PUF86" s="63"/>
      <c r="PUG86" s="63"/>
      <c r="PUH86" s="63"/>
      <c r="PUI86" s="63"/>
      <c r="PUJ86" s="63"/>
      <c r="PUK86" s="63"/>
      <c r="PUL86" s="63"/>
      <c r="PUM86" s="63"/>
      <c r="PUN86" s="63"/>
      <c r="PUO86" s="63"/>
      <c r="PUP86" s="63"/>
      <c r="PUQ86" s="63"/>
      <c r="PUR86" s="63"/>
      <c r="PUS86" s="63"/>
      <c r="PUT86" s="63"/>
      <c r="PUU86" s="63"/>
      <c r="PUV86" s="63"/>
      <c r="PUW86" s="63"/>
      <c r="PUX86" s="63"/>
      <c r="PUY86" s="63"/>
      <c r="PUZ86" s="63"/>
      <c r="PVA86" s="63"/>
      <c r="PVB86" s="63"/>
      <c r="PVC86" s="63"/>
      <c r="PVD86" s="63"/>
      <c r="PVE86" s="63"/>
      <c r="PVF86" s="63"/>
      <c r="PVG86" s="63"/>
      <c r="PVH86" s="63"/>
      <c r="PVI86" s="63"/>
      <c r="PVJ86" s="63"/>
      <c r="PVK86" s="63"/>
      <c r="PVL86" s="63"/>
      <c r="PVM86" s="63"/>
      <c r="PVN86" s="63"/>
      <c r="PVO86" s="63"/>
      <c r="PVP86" s="63"/>
      <c r="PVQ86" s="63"/>
      <c r="PVR86" s="63"/>
      <c r="PVS86" s="63"/>
      <c r="PVT86" s="63"/>
      <c r="PVU86" s="63"/>
      <c r="PVV86" s="63"/>
      <c r="PVW86" s="63"/>
      <c r="PVX86" s="63"/>
      <c r="PVY86" s="63"/>
      <c r="PVZ86" s="63"/>
      <c r="PWA86" s="63"/>
      <c r="PWB86" s="63"/>
      <c r="PWC86" s="63"/>
      <c r="PWD86" s="63"/>
      <c r="PWE86" s="63"/>
      <c r="PWF86" s="63"/>
      <c r="PWG86" s="63"/>
      <c r="PWH86" s="63"/>
      <c r="PWI86" s="63"/>
      <c r="PWJ86" s="63"/>
      <c r="PWK86" s="63"/>
      <c r="PWL86" s="63"/>
      <c r="PWM86" s="63"/>
      <c r="PWN86" s="63"/>
      <c r="PWO86" s="63"/>
      <c r="PWP86" s="63"/>
      <c r="PWQ86" s="63"/>
      <c r="PWR86" s="63"/>
      <c r="PWS86" s="63"/>
      <c r="PWT86" s="63"/>
      <c r="PWU86" s="63"/>
      <c r="PWV86" s="63"/>
      <c r="PWW86" s="63"/>
      <c r="PWX86" s="63"/>
      <c r="PWY86" s="63"/>
      <c r="PWZ86" s="63"/>
      <c r="PXA86" s="63"/>
      <c r="PXB86" s="63"/>
      <c r="PXC86" s="63"/>
      <c r="PXD86" s="63"/>
      <c r="PXE86" s="63"/>
      <c r="PXF86" s="63"/>
      <c r="PXG86" s="63"/>
      <c r="PXH86" s="63"/>
      <c r="PXI86" s="63"/>
      <c r="PXJ86" s="63"/>
      <c r="PXK86" s="63"/>
      <c r="PXL86" s="63"/>
      <c r="PXM86" s="63"/>
      <c r="PXN86" s="63"/>
      <c r="PXO86" s="63"/>
      <c r="PXP86" s="63"/>
      <c r="PXQ86" s="63"/>
      <c r="PXR86" s="63"/>
      <c r="PXS86" s="63"/>
      <c r="PXT86" s="63"/>
      <c r="PXU86" s="63"/>
      <c r="PXV86" s="63"/>
      <c r="PXW86" s="63"/>
      <c r="PXX86" s="63"/>
      <c r="PXY86" s="63"/>
      <c r="PXZ86" s="63"/>
      <c r="PYA86" s="63"/>
      <c r="PYB86" s="63"/>
      <c r="PYC86" s="63"/>
      <c r="PYD86" s="63"/>
      <c r="PYE86" s="63"/>
      <c r="PYF86" s="63"/>
      <c r="PYG86" s="63"/>
      <c r="PYH86" s="63"/>
      <c r="PYI86" s="63"/>
      <c r="PYJ86" s="63"/>
      <c r="PYK86" s="63"/>
      <c r="PYL86" s="63"/>
      <c r="PYM86" s="63"/>
      <c r="PYN86" s="63"/>
      <c r="PYO86" s="63"/>
      <c r="PYP86" s="63"/>
      <c r="PYQ86" s="63"/>
      <c r="PYR86" s="63"/>
      <c r="PYS86" s="63"/>
      <c r="PYT86" s="63"/>
      <c r="PYU86" s="63"/>
      <c r="PYV86" s="63"/>
      <c r="PYW86" s="63"/>
      <c r="PYX86" s="63"/>
      <c r="PYY86" s="63"/>
      <c r="PYZ86" s="63"/>
      <c r="PZA86" s="63"/>
      <c r="PZB86" s="63"/>
      <c r="PZC86" s="63"/>
      <c r="PZD86" s="63"/>
      <c r="PZE86" s="63"/>
      <c r="PZF86" s="63"/>
      <c r="PZG86" s="63"/>
      <c r="PZH86" s="63"/>
      <c r="PZI86" s="63"/>
      <c r="PZJ86" s="63"/>
      <c r="PZK86" s="63"/>
      <c r="PZL86" s="63"/>
      <c r="PZM86" s="63"/>
      <c r="PZN86" s="63"/>
      <c r="PZO86" s="63"/>
      <c r="PZP86" s="63"/>
      <c r="PZQ86" s="63"/>
      <c r="PZR86" s="63"/>
      <c r="PZS86" s="63"/>
      <c r="PZT86" s="63"/>
      <c r="PZU86" s="63"/>
      <c r="PZV86" s="63"/>
      <c r="PZW86" s="63"/>
      <c r="PZX86" s="63"/>
      <c r="PZY86" s="63"/>
      <c r="PZZ86" s="63"/>
      <c r="QAA86" s="63"/>
      <c r="QAB86" s="63"/>
      <c r="QAC86" s="63"/>
      <c r="QAD86" s="63"/>
      <c r="QAE86" s="63"/>
      <c r="QAF86" s="63"/>
      <c r="QAG86" s="63"/>
      <c r="QAH86" s="63"/>
      <c r="QAI86" s="63"/>
      <c r="QAJ86" s="63"/>
      <c r="QAK86" s="63"/>
      <c r="QAL86" s="63"/>
      <c r="QAM86" s="63"/>
      <c r="QAN86" s="63"/>
      <c r="QAO86" s="63"/>
      <c r="QAP86" s="63"/>
      <c r="QAQ86" s="63"/>
      <c r="QAR86" s="63"/>
      <c r="QAS86" s="63"/>
      <c r="QAT86" s="63"/>
      <c r="QAU86" s="63"/>
      <c r="QAV86" s="63"/>
      <c r="QAW86" s="63"/>
      <c r="QAX86" s="63"/>
      <c r="QAY86" s="63"/>
      <c r="QAZ86" s="63"/>
      <c r="QBA86" s="63"/>
      <c r="QBB86" s="63"/>
      <c r="QBC86" s="63"/>
      <c r="QBD86" s="63"/>
      <c r="QBE86" s="63"/>
      <c r="QBF86" s="63"/>
      <c r="QBG86" s="63"/>
      <c r="QBH86" s="63"/>
      <c r="QBI86" s="63"/>
      <c r="QBJ86" s="63"/>
      <c r="QBK86" s="63"/>
      <c r="QBL86" s="63"/>
      <c r="QBM86" s="63"/>
      <c r="QBN86" s="63"/>
      <c r="QBO86" s="63"/>
      <c r="QBP86" s="63"/>
      <c r="QBQ86" s="63"/>
      <c r="QBR86" s="63"/>
      <c r="QBS86" s="63"/>
      <c r="QBT86" s="63"/>
      <c r="QBU86" s="63"/>
      <c r="QBV86" s="63"/>
      <c r="QBW86" s="63"/>
      <c r="QBX86" s="63"/>
      <c r="QBY86" s="63"/>
      <c r="QBZ86" s="63"/>
      <c r="QCA86" s="63"/>
      <c r="QCB86" s="63"/>
      <c r="QCC86" s="63"/>
      <c r="QCD86" s="63"/>
      <c r="QCE86" s="63"/>
      <c r="QCF86" s="63"/>
      <c r="QCG86" s="63"/>
      <c r="QCH86" s="63"/>
      <c r="QCI86" s="63"/>
      <c r="QCJ86" s="63"/>
      <c r="QCK86" s="63"/>
      <c r="QCL86" s="63"/>
      <c r="QCM86" s="63"/>
      <c r="QCN86" s="63"/>
      <c r="QCO86" s="63"/>
      <c r="QCP86" s="63"/>
      <c r="QCQ86" s="63"/>
      <c r="QCR86" s="63"/>
      <c r="QCS86" s="63"/>
      <c r="QCT86" s="63"/>
      <c r="QCU86" s="63"/>
      <c r="QCV86" s="63"/>
      <c r="QCW86" s="63"/>
      <c r="QCX86" s="63"/>
      <c r="QCY86" s="63"/>
      <c r="QCZ86" s="63"/>
      <c r="QDA86" s="63"/>
      <c r="QDB86" s="63"/>
      <c r="QDC86" s="63"/>
      <c r="QDD86" s="63"/>
      <c r="QDE86" s="63"/>
      <c r="QDF86" s="63"/>
      <c r="QDG86" s="63"/>
      <c r="QDH86" s="63"/>
      <c r="QDI86" s="63"/>
      <c r="QDJ86" s="63"/>
      <c r="QDK86" s="63"/>
      <c r="QDL86" s="63"/>
      <c r="QDM86" s="63"/>
      <c r="QDN86" s="63"/>
      <c r="QDO86" s="63"/>
      <c r="QDP86" s="63"/>
      <c r="QDQ86" s="63"/>
      <c r="QDR86" s="63"/>
      <c r="QDS86" s="63"/>
      <c r="QDT86" s="63"/>
      <c r="QDU86" s="63"/>
      <c r="QDV86" s="63"/>
      <c r="QDW86" s="63"/>
      <c r="QDX86" s="63"/>
      <c r="QDY86" s="63"/>
      <c r="QDZ86" s="63"/>
      <c r="QEA86" s="63"/>
      <c r="QEB86" s="63"/>
      <c r="QEC86" s="63"/>
      <c r="QED86" s="63"/>
      <c r="QEE86" s="63"/>
      <c r="QEF86" s="63"/>
      <c r="QEG86" s="63"/>
      <c r="QEH86" s="63"/>
      <c r="QEI86" s="63"/>
      <c r="QEJ86" s="63"/>
      <c r="QEK86" s="63"/>
      <c r="QEL86" s="63"/>
      <c r="QEM86" s="63"/>
      <c r="QEN86" s="63"/>
      <c r="QEO86" s="63"/>
      <c r="QEP86" s="63"/>
      <c r="QEQ86" s="63"/>
      <c r="QER86" s="63"/>
      <c r="QES86" s="63"/>
      <c r="QET86" s="63"/>
      <c r="QEU86" s="63"/>
      <c r="QEV86" s="63"/>
      <c r="QEW86" s="63"/>
      <c r="QEX86" s="63"/>
      <c r="QEY86" s="63"/>
      <c r="QEZ86" s="63"/>
      <c r="QFA86" s="63"/>
      <c r="QFB86" s="63"/>
      <c r="QFC86" s="63"/>
      <c r="QFD86" s="63"/>
      <c r="QFE86" s="63"/>
      <c r="QFF86" s="63"/>
      <c r="QFG86" s="63"/>
      <c r="QFH86" s="63"/>
      <c r="QFI86" s="63"/>
      <c r="QFJ86" s="63"/>
      <c r="QFK86" s="63"/>
      <c r="QFL86" s="63"/>
      <c r="QFM86" s="63"/>
      <c r="QFN86" s="63"/>
      <c r="QFO86" s="63"/>
      <c r="QFP86" s="63"/>
      <c r="QFQ86" s="63"/>
      <c r="QFR86" s="63"/>
      <c r="QFS86" s="63"/>
      <c r="QFT86" s="63"/>
      <c r="QFU86" s="63"/>
      <c r="QFV86" s="63"/>
      <c r="QFW86" s="63"/>
      <c r="QFX86" s="63"/>
      <c r="QFY86" s="63"/>
      <c r="QFZ86" s="63"/>
      <c r="QGA86" s="63"/>
      <c r="QGB86" s="63"/>
      <c r="QGC86" s="63"/>
      <c r="QGD86" s="63"/>
      <c r="QGE86" s="63"/>
      <c r="QGF86" s="63"/>
      <c r="QGG86" s="63"/>
      <c r="QGH86" s="63"/>
      <c r="QGI86" s="63"/>
      <c r="QGJ86" s="63"/>
      <c r="QGK86" s="63"/>
      <c r="QGL86" s="63"/>
      <c r="QGM86" s="63"/>
      <c r="QGN86" s="63"/>
      <c r="QGO86" s="63"/>
      <c r="QGP86" s="63"/>
      <c r="QGQ86" s="63"/>
      <c r="QGR86" s="63"/>
      <c r="QGS86" s="63"/>
      <c r="QGT86" s="63"/>
      <c r="QGU86" s="63"/>
      <c r="QGV86" s="63"/>
      <c r="QGW86" s="63"/>
      <c r="QGX86" s="63"/>
      <c r="QGY86" s="63"/>
      <c r="QGZ86" s="63"/>
      <c r="QHA86" s="63"/>
      <c r="QHB86" s="63"/>
      <c r="QHC86" s="63"/>
      <c r="QHD86" s="63"/>
      <c r="QHE86" s="63"/>
      <c r="QHF86" s="63"/>
      <c r="QHG86" s="63"/>
      <c r="QHH86" s="63"/>
      <c r="QHI86" s="63"/>
      <c r="QHJ86" s="63"/>
      <c r="QHK86" s="63"/>
      <c r="QHL86" s="63"/>
      <c r="QHM86" s="63"/>
      <c r="QHN86" s="63"/>
      <c r="QHO86" s="63"/>
      <c r="QHP86" s="63"/>
      <c r="QHQ86" s="63"/>
      <c r="QHR86" s="63"/>
      <c r="QHS86" s="63"/>
      <c r="QHT86" s="63"/>
      <c r="QHU86" s="63"/>
      <c r="QHV86" s="63"/>
      <c r="QHW86" s="63"/>
      <c r="QHX86" s="63"/>
      <c r="QHY86" s="63"/>
      <c r="QHZ86" s="63"/>
      <c r="QIA86" s="63"/>
      <c r="QIB86" s="63"/>
      <c r="QIC86" s="63"/>
      <c r="QID86" s="63"/>
      <c r="QIE86" s="63"/>
      <c r="QIF86" s="63"/>
      <c r="QIG86" s="63"/>
      <c r="QIH86" s="63"/>
      <c r="QII86" s="63"/>
      <c r="QIJ86" s="63"/>
      <c r="QIK86" s="63"/>
      <c r="QIL86" s="63"/>
      <c r="QIM86" s="63"/>
      <c r="QIN86" s="63"/>
      <c r="QIO86" s="63"/>
      <c r="QIP86" s="63"/>
      <c r="QIQ86" s="63"/>
      <c r="QIR86" s="63"/>
      <c r="QIS86" s="63"/>
      <c r="QIT86" s="63"/>
      <c r="QIU86" s="63"/>
      <c r="QIV86" s="63"/>
      <c r="QIW86" s="63"/>
      <c r="QIX86" s="63"/>
      <c r="QIY86" s="63"/>
      <c r="QIZ86" s="63"/>
      <c r="QJA86" s="63"/>
      <c r="QJB86" s="63"/>
      <c r="QJC86" s="63"/>
      <c r="QJD86" s="63"/>
      <c r="QJE86" s="63"/>
      <c r="QJF86" s="63"/>
      <c r="QJG86" s="63"/>
      <c r="QJH86" s="63"/>
      <c r="QJI86" s="63"/>
      <c r="QJJ86" s="63"/>
      <c r="QJK86" s="63"/>
      <c r="QJL86" s="63"/>
      <c r="QJM86" s="63"/>
      <c r="QJN86" s="63"/>
      <c r="QJO86" s="63"/>
      <c r="QJP86" s="63"/>
      <c r="QJQ86" s="63"/>
      <c r="QJR86" s="63"/>
      <c r="QJS86" s="63"/>
      <c r="QJT86" s="63"/>
      <c r="QJU86" s="63"/>
      <c r="QJV86" s="63"/>
      <c r="QJW86" s="63"/>
      <c r="QJX86" s="63"/>
      <c r="QJY86" s="63"/>
      <c r="QJZ86" s="63"/>
      <c r="QKA86" s="63"/>
      <c r="QKB86" s="63"/>
      <c r="QKC86" s="63"/>
      <c r="QKD86" s="63"/>
      <c r="QKE86" s="63"/>
      <c r="QKF86" s="63"/>
      <c r="QKG86" s="63"/>
      <c r="QKH86" s="63"/>
      <c r="QKI86" s="63"/>
      <c r="QKJ86" s="63"/>
      <c r="QKK86" s="63"/>
      <c r="QKL86" s="63"/>
      <c r="QKM86" s="63"/>
      <c r="QKN86" s="63"/>
      <c r="QKO86" s="63"/>
      <c r="QKP86" s="63"/>
      <c r="QKQ86" s="63"/>
      <c r="QKR86" s="63"/>
      <c r="QKS86" s="63"/>
      <c r="QKT86" s="63"/>
      <c r="QKU86" s="63"/>
      <c r="QKV86" s="63"/>
      <c r="QKW86" s="63"/>
      <c r="QKX86" s="63"/>
      <c r="QKY86" s="63"/>
      <c r="QKZ86" s="63"/>
      <c r="QLA86" s="63"/>
      <c r="QLB86" s="63"/>
      <c r="QLC86" s="63"/>
      <c r="QLD86" s="63"/>
      <c r="QLE86" s="63"/>
      <c r="QLF86" s="63"/>
      <c r="QLG86" s="63"/>
      <c r="QLH86" s="63"/>
      <c r="QLI86" s="63"/>
      <c r="QLJ86" s="63"/>
      <c r="QLK86" s="63"/>
      <c r="QLL86" s="63"/>
      <c r="QLM86" s="63"/>
      <c r="QLN86" s="63"/>
      <c r="QLO86" s="63"/>
      <c r="QLP86" s="63"/>
      <c r="QLQ86" s="63"/>
      <c r="QLR86" s="63"/>
      <c r="QLS86" s="63"/>
      <c r="QLT86" s="63"/>
      <c r="QLU86" s="63"/>
      <c r="QLV86" s="63"/>
      <c r="QLW86" s="63"/>
      <c r="QLX86" s="63"/>
      <c r="QLY86" s="63"/>
      <c r="QLZ86" s="63"/>
      <c r="QMA86" s="63"/>
      <c r="QMB86" s="63"/>
      <c r="QMC86" s="63"/>
      <c r="QMD86" s="63"/>
      <c r="QME86" s="63"/>
      <c r="QMF86" s="63"/>
      <c r="QMG86" s="63"/>
      <c r="QMH86" s="63"/>
      <c r="QMI86" s="63"/>
      <c r="QMJ86" s="63"/>
      <c r="QMK86" s="63"/>
      <c r="QML86" s="63"/>
      <c r="QMM86" s="63"/>
      <c r="QMN86" s="63"/>
      <c r="QMO86" s="63"/>
      <c r="QMP86" s="63"/>
      <c r="QMQ86" s="63"/>
      <c r="QMR86" s="63"/>
      <c r="QMS86" s="63"/>
      <c r="QMT86" s="63"/>
      <c r="QMU86" s="63"/>
      <c r="QMV86" s="63"/>
      <c r="QMW86" s="63"/>
      <c r="QMX86" s="63"/>
      <c r="QMY86" s="63"/>
      <c r="QMZ86" s="63"/>
      <c r="QNA86" s="63"/>
      <c r="QNB86" s="63"/>
      <c r="QNC86" s="63"/>
      <c r="QND86" s="63"/>
      <c r="QNE86" s="63"/>
      <c r="QNF86" s="63"/>
      <c r="QNG86" s="63"/>
      <c r="QNH86" s="63"/>
      <c r="QNI86" s="63"/>
      <c r="QNJ86" s="63"/>
      <c r="QNK86" s="63"/>
      <c r="QNL86" s="63"/>
      <c r="QNM86" s="63"/>
      <c r="QNN86" s="63"/>
      <c r="QNO86" s="63"/>
      <c r="QNP86" s="63"/>
      <c r="QNQ86" s="63"/>
      <c r="QNR86" s="63"/>
      <c r="QNS86" s="63"/>
      <c r="QNT86" s="63"/>
      <c r="QNU86" s="63"/>
      <c r="QNV86" s="63"/>
      <c r="QNW86" s="63"/>
      <c r="QNX86" s="63"/>
      <c r="QNY86" s="63"/>
      <c r="QNZ86" s="63"/>
      <c r="QOA86" s="63"/>
      <c r="QOB86" s="63"/>
      <c r="QOC86" s="63"/>
      <c r="QOD86" s="63"/>
      <c r="QOE86" s="63"/>
      <c r="QOF86" s="63"/>
      <c r="QOG86" s="63"/>
      <c r="QOH86" s="63"/>
      <c r="QOI86" s="63"/>
      <c r="QOJ86" s="63"/>
      <c r="QOK86" s="63"/>
      <c r="QOL86" s="63"/>
      <c r="QOM86" s="63"/>
      <c r="QON86" s="63"/>
      <c r="QOO86" s="63"/>
      <c r="QOP86" s="63"/>
      <c r="QOQ86" s="63"/>
      <c r="QOR86" s="63"/>
      <c r="QOS86" s="63"/>
      <c r="QOT86" s="63"/>
      <c r="QOU86" s="63"/>
      <c r="QOV86" s="63"/>
      <c r="QOW86" s="63"/>
      <c r="QOX86" s="63"/>
      <c r="QOY86" s="63"/>
      <c r="QOZ86" s="63"/>
      <c r="QPA86" s="63"/>
      <c r="QPB86" s="63"/>
      <c r="QPC86" s="63"/>
      <c r="QPD86" s="63"/>
      <c r="QPE86" s="63"/>
      <c r="QPF86" s="63"/>
      <c r="QPG86" s="63"/>
      <c r="QPH86" s="63"/>
      <c r="QPI86" s="63"/>
      <c r="QPJ86" s="63"/>
      <c r="QPK86" s="63"/>
      <c r="QPL86" s="63"/>
      <c r="QPM86" s="63"/>
      <c r="QPN86" s="63"/>
      <c r="QPO86" s="63"/>
      <c r="QPP86" s="63"/>
      <c r="QPQ86" s="63"/>
      <c r="QPR86" s="63"/>
      <c r="QPS86" s="63"/>
      <c r="QPT86" s="63"/>
      <c r="QPU86" s="63"/>
      <c r="QPV86" s="63"/>
      <c r="QPW86" s="63"/>
      <c r="QPX86" s="63"/>
      <c r="QPY86" s="63"/>
      <c r="QPZ86" s="63"/>
      <c r="QQA86" s="63"/>
      <c r="QQB86" s="63"/>
      <c r="QQC86" s="63"/>
      <c r="QQD86" s="63"/>
      <c r="QQE86" s="63"/>
      <c r="QQF86" s="63"/>
      <c r="QQG86" s="63"/>
      <c r="QQH86" s="63"/>
      <c r="QQI86" s="63"/>
      <c r="QQJ86" s="63"/>
      <c r="QQK86" s="63"/>
      <c r="QQL86" s="63"/>
      <c r="QQM86" s="63"/>
      <c r="QQN86" s="63"/>
      <c r="QQO86" s="63"/>
      <c r="QQP86" s="63"/>
      <c r="QQQ86" s="63"/>
      <c r="QQR86" s="63"/>
      <c r="QQS86" s="63"/>
      <c r="QQT86" s="63"/>
      <c r="QQU86" s="63"/>
      <c r="QQV86" s="63"/>
      <c r="QQW86" s="63"/>
      <c r="QQX86" s="63"/>
      <c r="QQY86" s="63"/>
      <c r="QQZ86" s="63"/>
      <c r="QRA86" s="63"/>
      <c r="QRB86" s="63"/>
      <c r="QRC86" s="63"/>
      <c r="QRD86" s="63"/>
      <c r="QRE86" s="63"/>
      <c r="QRF86" s="63"/>
      <c r="QRG86" s="63"/>
      <c r="QRH86" s="63"/>
      <c r="QRI86" s="63"/>
      <c r="QRJ86" s="63"/>
      <c r="QRK86" s="63"/>
      <c r="QRL86" s="63"/>
      <c r="QRM86" s="63"/>
      <c r="QRN86" s="63"/>
      <c r="QRO86" s="63"/>
      <c r="QRP86" s="63"/>
      <c r="QRQ86" s="63"/>
      <c r="QRR86" s="63"/>
      <c r="QRS86" s="63"/>
      <c r="QRT86" s="63"/>
      <c r="QRU86" s="63"/>
      <c r="QRV86" s="63"/>
      <c r="QRW86" s="63"/>
      <c r="QRX86" s="63"/>
      <c r="QRY86" s="63"/>
      <c r="QRZ86" s="63"/>
      <c r="QSA86" s="63"/>
      <c r="QSB86" s="63"/>
      <c r="QSC86" s="63"/>
      <c r="QSD86" s="63"/>
      <c r="QSE86" s="63"/>
      <c r="QSF86" s="63"/>
      <c r="QSG86" s="63"/>
      <c r="QSH86" s="63"/>
      <c r="QSI86" s="63"/>
      <c r="QSJ86" s="63"/>
      <c r="QSK86" s="63"/>
      <c r="QSL86" s="63"/>
      <c r="QSM86" s="63"/>
      <c r="QSN86" s="63"/>
      <c r="QSO86" s="63"/>
      <c r="QSP86" s="63"/>
      <c r="QSQ86" s="63"/>
      <c r="QSR86" s="63"/>
      <c r="QSS86" s="63"/>
      <c r="QST86" s="63"/>
      <c r="QSU86" s="63"/>
      <c r="QSV86" s="63"/>
      <c r="QSW86" s="63"/>
      <c r="QSX86" s="63"/>
      <c r="QSY86" s="63"/>
      <c r="QSZ86" s="63"/>
      <c r="QTA86" s="63"/>
      <c r="QTB86" s="63"/>
      <c r="QTC86" s="63"/>
      <c r="QTD86" s="63"/>
      <c r="QTE86" s="63"/>
      <c r="QTF86" s="63"/>
      <c r="QTG86" s="63"/>
      <c r="QTH86" s="63"/>
      <c r="QTI86" s="63"/>
      <c r="QTJ86" s="63"/>
      <c r="QTK86" s="63"/>
      <c r="QTL86" s="63"/>
      <c r="QTM86" s="63"/>
      <c r="QTN86" s="63"/>
      <c r="QTO86" s="63"/>
      <c r="QTP86" s="63"/>
      <c r="QTQ86" s="63"/>
      <c r="QTR86" s="63"/>
      <c r="QTS86" s="63"/>
      <c r="QTT86" s="63"/>
      <c r="QTU86" s="63"/>
      <c r="QTV86" s="63"/>
      <c r="QTW86" s="63"/>
      <c r="QTX86" s="63"/>
      <c r="QTY86" s="63"/>
      <c r="QTZ86" s="63"/>
      <c r="QUA86" s="63"/>
      <c r="QUB86" s="63"/>
      <c r="QUC86" s="63"/>
      <c r="QUD86" s="63"/>
      <c r="QUE86" s="63"/>
      <c r="QUF86" s="63"/>
      <c r="QUG86" s="63"/>
      <c r="QUH86" s="63"/>
      <c r="QUI86" s="63"/>
      <c r="QUJ86" s="63"/>
      <c r="QUK86" s="63"/>
      <c r="QUL86" s="63"/>
      <c r="QUM86" s="63"/>
      <c r="QUN86" s="63"/>
      <c r="QUO86" s="63"/>
      <c r="QUP86" s="63"/>
      <c r="QUQ86" s="63"/>
      <c r="QUR86" s="63"/>
      <c r="QUS86" s="63"/>
      <c r="QUT86" s="63"/>
      <c r="QUU86" s="63"/>
      <c r="QUV86" s="63"/>
      <c r="QUW86" s="63"/>
      <c r="QUX86" s="63"/>
      <c r="QUY86" s="63"/>
      <c r="QUZ86" s="63"/>
      <c r="QVA86" s="63"/>
      <c r="QVB86" s="63"/>
      <c r="QVC86" s="63"/>
      <c r="QVD86" s="63"/>
      <c r="QVE86" s="63"/>
      <c r="QVF86" s="63"/>
      <c r="QVG86" s="63"/>
      <c r="QVH86" s="63"/>
      <c r="QVI86" s="63"/>
      <c r="QVJ86" s="63"/>
      <c r="QVK86" s="63"/>
      <c r="QVL86" s="63"/>
      <c r="QVM86" s="63"/>
      <c r="QVN86" s="63"/>
      <c r="QVO86" s="63"/>
      <c r="QVP86" s="63"/>
      <c r="QVQ86" s="63"/>
      <c r="QVR86" s="63"/>
      <c r="QVS86" s="63"/>
      <c r="QVT86" s="63"/>
      <c r="QVU86" s="63"/>
      <c r="QVV86" s="63"/>
      <c r="QVW86" s="63"/>
      <c r="QVX86" s="63"/>
      <c r="QVY86" s="63"/>
      <c r="QVZ86" s="63"/>
      <c r="QWA86" s="63"/>
      <c r="QWB86" s="63"/>
      <c r="QWC86" s="63"/>
      <c r="QWD86" s="63"/>
      <c r="QWE86" s="63"/>
      <c r="QWF86" s="63"/>
      <c r="QWG86" s="63"/>
      <c r="QWH86" s="63"/>
      <c r="QWI86" s="63"/>
      <c r="QWJ86" s="63"/>
      <c r="QWK86" s="63"/>
      <c r="QWL86" s="63"/>
      <c r="QWM86" s="63"/>
      <c r="QWN86" s="63"/>
      <c r="QWO86" s="63"/>
      <c r="QWP86" s="63"/>
      <c r="QWQ86" s="63"/>
      <c r="QWR86" s="63"/>
      <c r="QWS86" s="63"/>
      <c r="QWT86" s="63"/>
      <c r="QWU86" s="63"/>
      <c r="QWV86" s="63"/>
      <c r="QWW86" s="63"/>
      <c r="QWX86" s="63"/>
      <c r="QWY86" s="63"/>
      <c r="QWZ86" s="63"/>
      <c r="QXA86" s="63"/>
      <c r="QXB86" s="63"/>
      <c r="QXC86" s="63"/>
      <c r="QXD86" s="63"/>
      <c r="QXE86" s="63"/>
      <c r="QXF86" s="63"/>
      <c r="QXG86" s="63"/>
      <c r="QXH86" s="63"/>
      <c r="QXI86" s="63"/>
      <c r="QXJ86" s="63"/>
      <c r="QXK86" s="63"/>
      <c r="QXL86" s="63"/>
      <c r="QXM86" s="63"/>
      <c r="QXN86" s="63"/>
      <c r="QXO86" s="63"/>
      <c r="QXP86" s="63"/>
      <c r="QXQ86" s="63"/>
      <c r="QXR86" s="63"/>
      <c r="QXS86" s="63"/>
      <c r="QXT86" s="63"/>
      <c r="QXU86" s="63"/>
      <c r="QXV86" s="63"/>
      <c r="QXW86" s="63"/>
      <c r="QXX86" s="63"/>
      <c r="QXY86" s="63"/>
      <c r="QXZ86" s="63"/>
      <c r="QYA86" s="63"/>
      <c r="QYB86" s="63"/>
      <c r="QYC86" s="63"/>
      <c r="QYD86" s="63"/>
      <c r="QYE86" s="63"/>
      <c r="QYF86" s="63"/>
      <c r="QYG86" s="63"/>
      <c r="QYH86" s="63"/>
      <c r="QYI86" s="63"/>
      <c r="QYJ86" s="63"/>
      <c r="QYK86" s="63"/>
      <c r="QYL86" s="63"/>
      <c r="QYM86" s="63"/>
      <c r="QYN86" s="63"/>
      <c r="QYO86" s="63"/>
      <c r="QYP86" s="63"/>
      <c r="QYQ86" s="63"/>
      <c r="QYR86" s="63"/>
      <c r="QYS86" s="63"/>
      <c r="QYT86" s="63"/>
      <c r="QYU86" s="63"/>
      <c r="QYV86" s="63"/>
      <c r="QYW86" s="63"/>
      <c r="QYX86" s="63"/>
      <c r="QYY86" s="63"/>
      <c r="QYZ86" s="63"/>
      <c r="QZA86" s="63"/>
      <c r="QZB86" s="63"/>
      <c r="QZC86" s="63"/>
      <c r="QZD86" s="63"/>
      <c r="QZE86" s="63"/>
      <c r="QZF86" s="63"/>
      <c r="QZG86" s="63"/>
      <c r="QZH86" s="63"/>
      <c r="QZI86" s="63"/>
      <c r="QZJ86" s="63"/>
      <c r="QZK86" s="63"/>
      <c r="QZL86" s="63"/>
      <c r="QZM86" s="63"/>
      <c r="QZN86" s="63"/>
      <c r="QZO86" s="63"/>
      <c r="QZP86" s="63"/>
      <c r="QZQ86" s="63"/>
      <c r="QZR86" s="63"/>
      <c r="QZS86" s="63"/>
      <c r="QZT86" s="63"/>
      <c r="QZU86" s="63"/>
      <c r="QZV86" s="63"/>
      <c r="QZW86" s="63"/>
      <c r="QZX86" s="63"/>
      <c r="QZY86" s="63"/>
      <c r="QZZ86" s="63"/>
      <c r="RAA86" s="63"/>
      <c r="RAB86" s="63"/>
      <c r="RAC86" s="63"/>
      <c r="RAD86" s="63"/>
      <c r="RAE86" s="63"/>
      <c r="RAF86" s="63"/>
      <c r="RAG86" s="63"/>
      <c r="RAH86" s="63"/>
      <c r="RAI86" s="63"/>
      <c r="RAJ86" s="63"/>
      <c r="RAK86" s="63"/>
      <c r="RAL86" s="63"/>
      <c r="RAM86" s="63"/>
      <c r="RAN86" s="63"/>
      <c r="RAO86" s="63"/>
      <c r="RAP86" s="63"/>
      <c r="RAQ86" s="63"/>
      <c r="RAR86" s="63"/>
      <c r="RAS86" s="63"/>
      <c r="RAT86" s="63"/>
      <c r="RAU86" s="63"/>
      <c r="RAV86" s="63"/>
      <c r="RAW86" s="63"/>
      <c r="RAX86" s="63"/>
      <c r="RAY86" s="63"/>
      <c r="RAZ86" s="63"/>
      <c r="RBA86" s="63"/>
      <c r="RBB86" s="63"/>
      <c r="RBC86" s="63"/>
      <c r="RBD86" s="63"/>
      <c r="RBE86" s="63"/>
      <c r="RBF86" s="63"/>
      <c r="RBG86" s="63"/>
      <c r="RBH86" s="63"/>
      <c r="RBI86" s="63"/>
      <c r="RBJ86" s="63"/>
      <c r="RBK86" s="63"/>
      <c r="RBL86" s="63"/>
      <c r="RBM86" s="63"/>
      <c r="RBN86" s="63"/>
      <c r="RBO86" s="63"/>
      <c r="RBP86" s="63"/>
      <c r="RBQ86" s="63"/>
      <c r="RBR86" s="63"/>
      <c r="RBS86" s="63"/>
      <c r="RBT86" s="63"/>
      <c r="RBU86" s="63"/>
      <c r="RBV86" s="63"/>
      <c r="RBW86" s="63"/>
      <c r="RBX86" s="63"/>
      <c r="RBY86" s="63"/>
      <c r="RBZ86" s="63"/>
      <c r="RCA86" s="63"/>
      <c r="RCB86" s="63"/>
      <c r="RCC86" s="63"/>
      <c r="RCD86" s="63"/>
      <c r="RCE86" s="63"/>
      <c r="RCF86" s="63"/>
      <c r="RCG86" s="63"/>
      <c r="RCH86" s="63"/>
      <c r="RCI86" s="63"/>
      <c r="RCJ86" s="63"/>
      <c r="RCK86" s="63"/>
      <c r="RCL86" s="63"/>
      <c r="RCM86" s="63"/>
      <c r="RCN86" s="63"/>
      <c r="RCO86" s="63"/>
      <c r="RCP86" s="63"/>
      <c r="RCQ86" s="63"/>
      <c r="RCR86" s="63"/>
      <c r="RCS86" s="63"/>
      <c r="RCT86" s="63"/>
      <c r="RCU86" s="63"/>
      <c r="RCV86" s="63"/>
      <c r="RCW86" s="63"/>
      <c r="RCX86" s="63"/>
      <c r="RCY86" s="63"/>
      <c r="RCZ86" s="63"/>
      <c r="RDA86" s="63"/>
      <c r="RDB86" s="63"/>
      <c r="RDC86" s="63"/>
      <c r="RDD86" s="63"/>
      <c r="RDE86" s="63"/>
      <c r="RDF86" s="63"/>
      <c r="RDG86" s="63"/>
      <c r="RDH86" s="63"/>
      <c r="RDI86" s="63"/>
      <c r="RDJ86" s="63"/>
      <c r="RDK86" s="63"/>
      <c r="RDL86" s="63"/>
      <c r="RDM86" s="63"/>
      <c r="RDN86" s="63"/>
      <c r="RDO86" s="63"/>
      <c r="RDP86" s="63"/>
      <c r="RDQ86" s="63"/>
      <c r="RDR86" s="63"/>
      <c r="RDS86" s="63"/>
      <c r="RDT86" s="63"/>
      <c r="RDU86" s="63"/>
      <c r="RDV86" s="63"/>
      <c r="RDW86" s="63"/>
      <c r="RDX86" s="63"/>
      <c r="RDY86" s="63"/>
      <c r="RDZ86" s="63"/>
      <c r="REA86" s="63"/>
      <c r="REB86" s="63"/>
      <c r="REC86" s="63"/>
      <c r="RED86" s="63"/>
      <c r="REE86" s="63"/>
      <c r="REF86" s="63"/>
      <c r="REG86" s="63"/>
      <c r="REH86" s="63"/>
      <c r="REI86" s="63"/>
      <c r="REJ86" s="63"/>
      <c r="REK86" s="63"/>
      <c r="REL86" s="63"/>
      <c r="REM86" s="63"/>
      <c r="REN86" s="63"/>
      <c r="REO86" s="63"/>
      <c r="REP86" s="63"/>
      <c r="REQ86" s="63"/>
      <c r="RER86" s="63"/>
      <c r="RES86" s="63"/>
      <c r="RET86" s="63"/>
      <c r="REU86" s="63"/>
      <c r="REV86" s="63"/>
      <c r="REW86" s="63"/>
      <c r="REX86" s="63"/>
      <c r="REY86" s="63"/>
      <c r="REZ86" s="63"/>
      <c r="RFA86" s="63"/>
      <c r="RFB86" s="63"/>
      <c r="RFC86" s="63"/>
      <c r="RFD86" s="63"/>
      <c r="RFE86" s="63"/>
      <c r="RFF86" s="63"/>
      <c r="RFG86" s="63"/>
      <c r="RFH86" s="63"/>
      <c r="RFI86" s="63"/>
      <c r="RFJ86" s="63"/>
      <c r="RFK86" s="63"/>
      <c r="RFL86" s="63"/>
      <c r="RFM86" s="63"/>
      <c r="RFN86" s="63"/>
      <c r="RFO86" s="63"/>
      <c r="RFP86" s="63"/>
      <c r="RFQ86" s="63"/>
      <c r="RFR86" s="63"/>
      <c r="RFS86" s="63"/>
      <c r="RFT86" s="63"/>
      <c r="RFU86" s="63"/>
      <c r="RFV86" s="63"/>
      <c r="RFW86" s="63"/>
      <c r="RFX86" s="63"/>
      <c r="RFY86" s="63"/>
      <c r="RFZ86" s="63"/>
      <c r="RGA86" s="63"/>
      <c r="RGB86" s="63"/>
      <c r="RGC86" s="63"/>
      <c r="RGD86" s="63"/>
      <c r="RGE86" s="63"/>
      <c r="RGF86" s="63"/>
      <c r="RGG86" s="63"/>
      <c r="RGH86" s="63"/>
      <c r="RGI86" s="63"/>
      <c r="RGJ86" s="63"/>
      <c r="RGK86" s="63"/>
      <c r="RGL86" s="63"/>
      <c r="RGM86" s="63"/>
      <c r="RGN86" s="63"/>
      <c r="RGO86" s="63"/>
      <c r="RGP86" s="63"/>
      <c r="RGQ86" s="63"/>
      <c r="RGR86" s="63"/>
      <c r="RGS86" s="63"/>
      <c r="RGT86" s="63"/>
      <c r="RGU86" s="63"/>
      <c r="RGV86" s="63"/>
      <c r="RGW86" s="63"/>
      <c r="RGX86" s="63"/>
      <c r="RGY86" s="63"/>
      <c r="RGZ86" s="63"/>
      <c r="RHA86" s="63"/>
      <c r="RHB86" s="63"/>
      <c r="RHC86" s="63"/>
      <c r="RHD86" s="63"/>
      <c r="RHE86" s="63"/>
      <c r="RHF86" s="63"/>
      <c r="RHG86" s="63"/>
      <c r="RHH86" s="63"/>
      <c r="RHI86" s="63"/>
      <c r="RHJ86" s="63"/>
      <c r="RHK86" s="63"/>
      <c r="RHL86" s="63"/>
      <c r="RHM86" s="63"/>
      <c r="RHN86" s="63"/>
      <c r="RHO86" s="63"/>
      <c r="RHP86" s="63"/>
      <c r="RHQ86" s="63"/>
      <c r="RHR86" s="63"/>
      <c r="RHS86" s="63"/>
      <c r="RHT86" s="63"/>
      <c r="RHU86" s="63"/>
      <c r="RHV86" s="63"/>
      <c r="RHW86" s="63"/>
      <c r="RHX86" s="63"/>
      <c r="RHY86" s="63"/>
      <c r="RHZ86" s="63"/>
      <c r="RIA86" s="63"/>
      <c r="RIB86" s="63"/>
      <c r="RIC86" s="63"/>
      <c r="RID86" s="63"/>
      <c r="RIE86" s="63"/>
      <c r="RIF86" s="63"/>
      <c r="RIG86" s="63"/>
      <c r="RIH86" s="63"/>
      <c r="RII86" s="63"/>
      <c r="RIJ86" s="63"/>
      <c r="RIK86" s="63"/>
      <c r="RIL86" s="63"/>
      <c r="RIM86" s="63"/>
      <c r="RIN86" s="63"/>
      <c r="RIO86" s="63"/>
      <c r="RIP86" s="63"/>
      <c r="RIQ86" s="63"/>
      <c r="RIR86" s="63"/>
      <c r="RIS86" s="63"/>
      <c r="RIT86" s="63"/>
      <c r="RIU86" s="63"/>
      <c r="RIV86" s="63"/>
      <c r="RIW86" s="63"/>
      <c r="RIX86" s="63"/>
      <c r="RIY86" s="63"/>
      <c r="RIZ86" s="63"/>
      <c r="RJA86" s="63"/>
      <c r="RJB86" s="63"/>
      <c r="RJC86" s="63"/>
      <c r="RJD86" s="63"/>
      <c r="RJE86" s="63"/>
      <c r="RJF86" s="63"/>
      <c r="RJG86" s="63"/>
      <c r="RJH86" s="63"/>
      <c r="RJI86" s="63"/>
      <c r="RJJ86" s="63"/>
      <c r="RJK86" s="63"/>
      <c r="RJL86" s="63"/>
      <c r="RJM86" s="63"/>
      <c r="RJN86" s="63"/>
      <c r="RJO86" s="63"/>
      <c r="RJP86" s="63"/>
      <c r="RJQ86" s="63"/>
      <c r="RJR86" s="63"/>
      <c r="RJS86" s="63"/>
      <c r="RJT86" s="63"/>
      <c r="RJU86" s="63"/>
      <c r="RJV86" s="63"/>
      <c r="RJW86" s="63"/>
      <c r="RJX86" s="63"/>
      <c r="RJY86" s="63"/>
      <c r="RJZ86" s="63"/>
      <c r="RKA86" s="63"/>
      <c r="RKB86" s="63"/>
      <c r="RKC86" s="63"/>
      <c r="RKD86" s="63"/>
      <c r="RKE86" s="63"/>
      <c r="RKF86" s="63"/>
      <c r="RKG86" s="63"/>
      <c r="RKH86" s="63"/>
      <c r="RKI86" s="63"/>
      <c r="RKJ86" s="63"/>
      <c r="RKK86" s="63"/>
      <c r="RKL86" s="63"/>
      <c r="RKM86" s="63"/>
      <c r="RKN86" s="63"/>
      <c r="RKO86" s="63"/>
      <c r="RKP86" s="63"/>
      <c r="RKQ86" s="63"/>
      <c r="RKR86" s="63"/>
      <c r="RKS86" s="63"/>
      <c r="RKT86" s="63"/>
      <c r="RKU86" s="63"/>
      <c r="RKV86" s="63"/>
      <c r="RKW86" s="63"/>
      <c r="RKX86" s="63"/>
      <c r="RKY86" s="63"/>
      <c r="RKZ86" s="63"/>
      <c r="RLA86" s="63"/>
      <c r="RLB86" s="63"/>
      <c r="RLC86" s="63"/>
      <c r="RLD86" s="63"/>
      <c r="RLE86" s="63"/>
      <c r="RLF86" s="63"/>
      <c r="RLG86" s="63"/>
      <c r="RLH86" s="63"/>
      <c r="RLI86" s="63"/>
      <c r="RLJ86" s="63"/>
      <c r="RLK86" s="63"/>
      <c r="RLL86" s="63"/>
      <c r="RLM86" s="63"/>
      <c r="RLN86" s="63"/>
      <c r="RLO86" s="63"/>
      <c r="RLP86" s="63"/>
      <c r="RLQ86" s="63"/>
      <c r="RLR86" s="63"/>
      <c r="RLS86" s="63"/>
      <c r="RLT86" s="63"/>
      <c r="RLU86" s="63"/>
      <c r="RLV86" s="63"/>
      <c r="RLW86" s="63"/>
      <c r="RLX86" s="63"/>
      <c r="RLY86" s="63"/>
      <c r="RLZ86" s="63"/>
      <c r="RMA86" s="63"/>
      <c r="RMB86" s="63"/>
      <c r="RMC86" s="63"/>
      <c r="RMD86" s="63"/>
      <c r="RME86" s="63"/>
      <c r="RMF86" s="63"/>
      <c r="RMG86" s="63"/>
      <c r="RMH86" s="63"/>
      <c r="RMI86" s="63"/>
      <c r="RMJ86" s="63"/>
      <c r="RMK86" s="63"/>
      <c r="RML86" s="63"/>
      <c r="RMM86" s="63"/>
      <c r="RMN86" s="63"/>
      <c r="RMO86" s="63"/>
      <c r="RMP86" s="63"/>
      <c r="RMQ86" s="63"/>
      <c r="RMR86" s="63"/>
      <c r="RMS86" s="63"/>
      <c r="RMT86" s="63"/>
      <c r="RMU86" s="63"/>
      <c r="RMV86" s="63"/>
      <c r="RMW86" s="63"/>
      <c r="RMX86" s="63"/>
      <c r="RMY86" s="63"/>
      <c r="RMZ86" s="63"/>
      <c r="RNA86" s="63"/>
      <c r="RNB86" s="63"/>
      <c r="RNC86" s="63"/>
      <c r="RND86" s="63"/>
      <c r="RNE86" s="63"/>
      <c r="RNF86" s="63"/>
      <c r="RNG86" s="63"/>
      <c r="RNH86" s="63"/>
      <c r="RNI86" s="63"/>
      <c r="RNJ86" s="63"/>
      <c r="RNK86" s="63"/>
      <c r="RNL86" s="63"/>
      <c r="RNM86" s="63"/>
      <c r="RNN86" s="63"/>
      <c r="RNO86" s="63"/>
      <c r="RNP86" s="63"/>
      <c r="RNQ86" s="63"/>
      <c r="RNR86" s="63"/>
      <c r="RNS86" s="63"/>
      <c r="RNT86" s="63"/>
      <c r="RNU86" s="63"/>
      <c r="RNV86" s="63"/>
      <c r="RNW86" s="63"/>
      <c r="RNX86" s="63"/>
      <c r="RNY86" s="63"/>
      <c r="RNZ86" s="63"/>
      <c r="ROA86" s="63"/>
      <c r="ROB86" s="63"/>
      <c r="ROC86" s="63"/>
      <c r="ROD86" s="63"/>
      <c r="ROE86" s="63"/>
      <c r="ROF86" s="63"/>
      <c r="ROG86" s="63"/>
      <c r="ROH86" s="63"/>
      <c r="ROI86" s="63"/>
      <c r="ROJ86" s="63"/>
      <c r="ROK86" s="63"/>
      <c r="ROL86" s="63"/>
      <c r="ROM86" s="63"/>
      <c r="RON86" s="63"/>
      <c r="ROO86" s="63"/>
      <c r="ROP86" s="63"/>
      <c r="ROQ86" s="63"/>
      <c r="ROR86" s="63"/>
      <c r="ROS86" s="63"/>
      <c r="ROT86" s="63"/>
      <c r="ROU86" s="63"/>
      <c r="ROV86" s="63"/>
      <c r="ROW86" s="63"/>
      <c r="ROX86" s="63"/>
      <c r="ROY86" s="63"/>
      <c r="ROZ86" s="63"/>
      <c r="RPA86" s="63"/>
      <c r="RPB86" s="63"/>
      <c r="RPC86" s="63"/>
      <c r="RPD86" s="63"/>
      <c r="RPE86" s="63"/>
      <c r="RPF86" s="63"/>
      <c r="RPG86" s="63"/>
      <c r="RPH86" s="63"/>
      <c r="RPI86" s="63"/>
      <c r="RPJ86" s="63"/>
      <c r="RPK86" s="63"/>
      <c r="RPL86" s="63"/>
      <c r="RPM86" s="63"/>
      <c r="RPN86" s="63"/>
      <c r="RPO86" s="63"/>
      <c r="RPP86" s="63"/>
      <c r="RPQ86" s="63"/>
      <c r="RPR86" s="63"/>
      <c r="RPS86" s="63"/>
      <c r="RPT86" s="63"/>
      <c r="RPU86" s="63"/>
      <c r="RPV86" s="63"/>
      <c r="RPW86" s="63"/>
      <c r="RPX86" s="63"/>
      <c r="RPY86" s="63"/>
      <c r="RPZ86" s="63"/>
      <c r="RQA86" s="63"/>
      <c r="RQB86" s="63"/>
      <c r="RQC86" s="63"/>
      <c r="RQD86" s="63"/>
      <c r="RQE86" s="63"/>
      <c r="RQF86" s="63"/>
      <c r="RQG86" s="63"/>
      <c r="RQH86" s="63"/>
      <c r="RQI86" s="63"/>
      <c r="RQJ86" s="63"/>
      <c r="RQK86" s="63"/>
      <c r="RQL86" s="63"/>
      <c r="RQM86" s="63"/>
      <c r="RQN86" s="63"/>
      <c r="RQO86" s="63"/>
      <c r="RQP86" s="63"/>
      <c r="RQQ86" s="63"/>
      <c r="RQR86" s="63"/>
      <c r="RQS86" s="63"/>
      <c r="RQT86" s="63"/>
      <c r="RQU86" s="63"/>
      <c r="RQV86" s="63"/>
      <c r="RQW86" s="63"/>
      <c r="RQX86" s="63"/>
      <c r="RQY86" s="63"/>
      <c r="RQZ86" s="63"/>
      <c r="RRA86" s="63"/>
      <c r="RRB86" s="63"/>
      <c r="RRC86" s="63"/>
      <c r="RRD86" s="63"/>
      <c r="RRE86" s="63"/>
      <c r="RRF86" s="63"/>
      <c r="RRG86" s="63"/>
      <c r="RRH86" s="63"/>
      <c r="RRI86" s="63"/>
      <c r="RRJ86" s="63"/>
      <c r="RRK86" s="63"/>
      <c r="RRL86" s="63"/>
      <c r="RRM86" s="63"/>
      <c r="RRN86" s="63"/>
      <c r="RRO86" s="63"/>
      <c r="RRP86" s="63"/>
      <c r="RRQ86" s="63"/>
      <c r="RRR86" s="63"/>
      <c r="RRS86" s="63"/>
      <c r="RRT86" s="63"/>
      <c r="RRU86" s="63"/>
      <c r="RRV86" s="63"/>
      <c r="RRW86" s="63"/>
      <c r="RRX86" s="63"/>
      <c r="RRY86" s="63"/>
      <c r="RRZ86" s="63"/>
      <c r="RSA86" s="63"/>
      <c r="RSB86" s="63"/>
      <c r="RSC86" s="63"/>
      <c r="RSD86" s="63"/>
      <c r="RSE86" s="63"/>
      <c r="RSF86" s="63"/>
      <c r="RSG86" s="63"/>
      <c r="RSH86" s="63"/>
      <c r="RSI86" s="63"/>
      <c r="RSJ86" s="63"/>
      <c r="RSK86" s="63"/>
      <c r="RSL86" s="63"/>
      <c r="RSM86" s="63"/>
      <c r="RSN86" s="63"/>
      <c r="RSO86" s="63"/>
      <c r="RSP86" s="63"/>
      <c r="RSQ86" s="63"/>
      <c r="RSR86" s="63"/>
      <c r="RSS86" s="63"/>
      <c r="RST86" s="63"/>
      <c r="RSU86" s="63"/>
      <c r="RSV86" s="63"/>
      <c r="RSW86" s="63"/>
      <c r="RSX86" s="63"/>
      <c r="RSY86" s="63"/>
      <c r="RSZ86" s="63"/>
      <c r="RTA86" s="63"/>
      <c r="RTB86" s="63"/>
      <c r="RTC86" s="63"/>
      <c r="RTD86" s="63"/>
      <c r="RTE86" s="63"/>
      <c r="RTF86" s="63"/>
      <c r="RTG86" s="63"/>
      <c r="RTH86" s="63"/>
      <c r="RTI86" s="63"/>
      <c r="RTJ86" s="63"/>
      <c r="RTK86" s="63"/>
      <c r="RTL86" s="63"/>
      <c r="RTM86" s="63"/>
      <c r="RTN86" s="63"/>
      <c r="RTO86" s="63"/>
      <c r="RTP86" s="63"/>
      <c r="RTQ86" s="63"/>
      <c r="RTR86" s="63"/>
      <c r="RTS86" s="63"/>
      <c r="RTT86" s="63"/>
      <c r="RTU86" s="63"/>
      <c r="RTV86" s="63"/>
      <c r="RTW86" s="63"/>
      <c r="RTX86" s="63"/>
      <c r="RTY86" s="63"/>
      <c r="RTZ86" s="63"/>
      <c r="RUA86" s="63"/>
      <c r="RUB86" s="63"/>
      <c r="RUC86" s="63"/>
      <c r="RUD86" s="63"/>
      <c r="RUE86" s="63"/>
      <c r="RUF86" s="63"/>
      <c r="RUG86" s="63"/>
      <c r="RUH86" s="63"/>
      <c r="RUI86" s="63"/>
      <c r="RUJ86" s="63"/>
      <c r="RUK86" s="63"/>
      <c r="RUL86" s="63"/>
      <c r="RUM86" s="63"/>
      <c r="RUN86" s="63"/>
      <c r="RUO86" s="63"/>
      <c r="RUP86" s="63"/>
      <c r="RUQ86" s="63"/>
      <c r="RUR86" s="63"/>
      <c r="RUS86" s="63"/>
      <c r="RUT86" s="63"/>
      <c r="RUU86" s="63"/>
      <c r="RUV86" s="63"/>
      <c r="RUW86" s="63"/>
      <c r="RUX86" s="63"/>
      <c r="RUY86" s="63"/>
      <c r="RUZ86" s="63"/>
      <c r="RVA86" s="63"/>
      <c r="RVB86" s="63"/>
      <c r="RVC86" s="63"/>
      <c r="RVD86" s="63"/>
      <c r="RVE86" s="63"/>
      <c r="RVF86" s="63"/>
      <c r="RVG86" s="63"/>
      <c r="RVH86" s="63"/>
      <c r="RVI86" s="63"/>
      <c r="RVJ86" s="63"/>
      <c r="RVK86" s="63"/>
      <c r="RVL86" s="63"/>
      <c r="RVM86" s="63"/>
      <c r="RVN86" s="63"/>
      <c r="RVO86" s="63"/>
      <c r="RVP86" s="63"/>
      <c r="RVQ86" s="63"/>
      <c r="RVR86" s="63"/>
      <c r="RVS86" s="63"/>
      <c r="RVT86" s="63"/>
      <c r="RVU86" s="63"/>
      <c r="RVV86" s="63"/>
      <c r="RVW86" s="63"/>
      <c r="RVX86" s="63"/>
      <c r="RVY86" s="63"/>
      <c r="RVZ86" s="63"/>
      <c r="RWA86" s="63"/>
      <c r="RWB86" s="63"/>
      <c r="RWC86" s="63"/>
      <c r="RWD86" s="63"/>
      <c r="RWE86" s="63"/>
      <c r="RWF86" s="63"/>
      <c r="RWG86" s="63"/>
      <c r="RWH86" s="63"/>
      <c r="RWI86" s="63"/>
      <c r="RWJ86" s="63"/>
      <c r="RWK86" s="63"/>
      <c r="RWL86" s="63"/>
      <c r="RWM86" s="63"/>
      <c r="RWN86" s="63"/>
      <c r="RWO86" s="63"/>
      <c r="RWP86" s="63"/>
      <c r="RWQ86" s="63"/>
      <c r="RWR86" s="63"/>
      <c r="RWS86" s="63"/>
      <c r="RWT86" s="63"/>
      <c r="RWU86" s="63"/>
      <c r="RWV86" s="63"/>
      <c r="RWW86" s="63"/>
      <c r="RWX86" s="63"/>
      <c r="RWY86" s="63"/>
      <c r="RWZ86" s="63"/>
      <c r="RXA86" s="63"/>
      <c r="RXB86" s="63"/>
      <c r="RXC86" s="63"/>
      <c r="RXD86" s="63"/>
      <c r="RXE86" s="63"/>
      <c r="RXF86" s="63"/>
      <c r="RXG86" s="63"/>
      <c r="RXH86" s="63"/>
      <c r="RXI86" s="63"/>
      <c r="RXJ86" s="63"/>
      <c r="RXK86" s="63"/>
      <c r="RXL86" s="63"/>
      <c r="RXM86" s="63"/>
      <c r="RXN86" s="63"/>
      <c r="RXO86" s="63"/>
      <c r="RXP86" s="63"/>
      <c r="RXQ86" s="63"/>
      <c r="RXR86" s="63"/>
      <c r="RXS86" s="63"/>
      <c r="RXT86" s="63"/>
      <c r="RXU86" s="63"/>
      <c r="RXV86" s="63"/>
      <c r="RXW86" s="63"/>
      <c r="RXX86" s="63"/>
      <c r="RXY86" s="63"/>
      <c r="RXZ86" s="63"/>
      <c r="RYA86" s="63"/>
      <c r="RYB86" s="63"/>
      <c r="RYC86" s="63"/>
      <c r="RYD86" s="63"/>
      <c r="RYE86" s="63"/>
      <c r="RYF86" s="63"/>
      <c r="RYG86" s="63"/>
      <c r="RYH86" s="63"/>
      <c r="RYI86" s="63"/>
      <c r="RYJ86" s="63"/>
      <c r="RYK86" s="63"/>
      <c r="RYL86" s="63"/>
      <c r="RYM86" s="63"/>
      <c r="RYN86" s="63"/>
      <c r="RYO86" s="63"/>
      <c r="RYP86" s="63"/>
      <c r="RYQ86" s="63"/>
      <c r="RYR86" s="63"/>
      <c r="RYS86" s="63"/>
      <c r="RYT86" s="63"/>
      <c r="RYU86" s="63"/>
      <c r="RYV86" s="63"/>
      <c r="RYW86" s="63"/>
      <c r="RYX86" s="63"/>
      <c r="RYY86" s="63"/>
      <c r="RYZ86" s="63"/>
      <c r="RZA86" s="63"/>
      <c r="RZB86" s="63"/>
      <c r="RZC86" s="63"/>
      <c r="RZD86" s="63"/>
      <c r="RZE86" s="63"/>
      <c r="RZF86" s="63"/>
      <c r="RZG86" s="63"/>
      <c r="RZH86" s="63"/>
      <c r="RZI86" s="63"/>
      <c r="RZJ86" s="63"/>
      <c r="RZK86" s="63"/>
      <c r="RZL86" s="63"/>
      <c r="RZM86" s="63"/>
      <c r="RZN86" s="63"/>
      <c r="RZO86" s="63"/>
      <c r="RZP86" s="63"/>
      <c r="RZQ86" s="63"/>
      <c r="RZR86" s="63"/>
      <c r="RZS86" s="63"/>
      <c r="RZT86" s="63"/>
      <c r="RZU86" s="63"/>
      <c r="RZV86" s="63"/>
      <c r="RZW86" s="63"/>
      <c r="RZX86" s="63"/>
      <c r="RZY86" s="63"/>
      <c r="RZZ86" s="63"/>
      <c r="SAA86" s="63"/>
      <c r="SAB86" s="63"/>
      <c r="SAC86" s="63"/>
      <c r="SAD86" s="63"/>
      <c r="SAE86" s="63"/>
      <c r="SAF86" s="63"/>
      <c r="SAG86" s="63"/>
      <c r="SAH86" s="63"/>
      <c r="SAI86" s="63"/>
      <c r="SAJ86" s="63"/>
      <c r="SAK86" s="63"/>
      <c r="SAL86" s="63"/>
      <c r="SAM86" s="63"/>
      <c r="SAN86" s="63"/>
      <c r="SAO86" s="63"/>
      <c r="SAP86" s="63"/>
      <c r="SAQ86" s="63"/>
      <c r="SAR86" s="63"/>
      <c r="SAS86" s="63"/>
      <c r="SAT86" s="63"/>
      <c r="SAU86" s="63"/>
      <c r="SAV86" s="63"/>
      <c r="SAW86" s="63"/>
      <c r="SAX86" s="63"/>
      <c r="SAY86" s="63"/>
      <c r="SAZ86" s="63"/>
      <c r="SBA86" s="63"/>
      <c r="SBB86" s="63"/>
      <c r="SBC86" s="63"/>
      <c r="SBD86" s="63"/>
      <c r="SBE86" s="63"/>
      <c r="SBF86" s="63"/>
      <c r="SBG86" s="63"/>
      <c r="SBH86" s="63"/>
      <c r="SBI86" s="63"/>
      <c r="SBJ86" s="63"/>
      <c r="SBK86" s="63"/>
      <c r="SBL86" s="63"/>
      <c r="SBM86" s="63"/>
      <c r="SBN86" s="63"/>
      <c r="SBO86" s="63"/>
      <c r="SBP86" s="63"/>
      <c r="SBQ86" s="63"/>
      <c r="SBR86" s="63"/>
      <c r="SBS86" s="63"/>
      <c r="SBT86" s="63"/>
      <c r="SBU86" s="63"/>
      <c r="SBV86" s="63"/>
      <c r="SBW86" s="63"/>
      <c r="SBX86" s="63"/>
      <c r="SBY86" s="63"/>
      <c r="SBZ86" s="63"/>
      <c r="SCA86" s="63"/>
      <c r="SCB86" s="63"/>
      <c r="SCC86" s="63"/>
      <c r="SCD86" s="63"/>
      <c r="SCE86" s="63"/>
      <c r="SCF86" s="63"/>
      <c r="SCG86" s="63"/>
      <c r="SCH86" s="63"/>
      <c r="SCI86" s="63"/>
      <c r="SCJ86" s="63"/>
      <c r="SCK86" s="63"/>
      <c r="SCL86" s="63"/>
      <c r="SCM86" s="63"/>
      <c r="SCN86" s="63"/>
      <c r="SCO86" s="63"/>
      <c r="SCP86" s="63"/>
      <c r="SCQ86" s="63"/>
      <c r="SCR86" s="63"/>
      <c r="SCS86" s="63"/>
      <c r="SCT86" s="63"/>
      <c r="SCU86" s="63"/>
      <c r="SCV86" s="63"/>
      <c r="SCW86" s="63"/>
      <c r="SCX86" s="63"/>
      <c r="SCY86" s="63"/>
      <c r="SCZ86" s="63"/>
      <c r="SDA86" s="63"/>
      <c r="SDB86" s="63"/>
      <c r="SDC86" s="63"/>
      <c r="SDD86" s="63"/>
      <c r="SDE86" s="63"/>
      <c r="SDF86" s="63"/>
      <c r="SDG86" s="63"/>
      <c r="SDH86" s="63"/>
      <c r="SDI86" s="63"/>
      <c r="SDJ86" s="63"/>
      <c r="SDK86" s="63"/>
      <c r="SDL86" s="63"/>
      <c r="SDM86" s="63"/>
      <c r="SDN86" s="63"/>
      <c r="SDO86" s="63"/>
      <c r="SDP86" s="63"/>
      <c r="SDQ86" s="63"/>
      <c r="SDR86" s="63"/>
      <c r="SDS86" s="63"/>
      <c r="SDT86" s="63"/>
      <c r="SDU86" s="63"/>
      <c r="SDV86" s="63"/>
      <c r="SDW86" s="63"/>
      <c r="SDX86" s="63"/>
      <c r="SDY86" s="63"/>
      <c r="SDZ86" s="63"/>
      <c r="SEA86" s="63"/>
      <c r="SEB86" s="63"/>
      <c r="SEC86" s="63"/>
      <c r="SED86" s="63"/>
      <c r="SEE86" s="63"/>
      <c r="SEF86" s="63"/>
      <c r="SEG86" s="63"/>
      <c r="SEH86" s="63"/>
      <c r="SEI86" s="63"/>
      <c r="SEJ86" s="63"/>
      <c r="SEK86" s="63"/>
      <c r="SEL86" s="63"/>
      <c r="SEM86" s="63"/>
      <c r="SEN86" s="63"/>
      <c r="SEO86" s="63"/>
      <c r="SEP86" s="63"/>
      <c r="SEQ86" s="63"/>
      <c r="SER86" s="63"/>
      <c r="SES86" s="63"/>
      <c r="SET86" s="63"/>
      <c r="SEU86" s="63"/>
      <c r="SEV86" s="63"/>
      <c r="SEW86" s="63"/>
      <c r="SEX86" s="63"/>
      <c r="SEY86" s="63"/>
      <c r="SEZ86" s="63"/>
      <c r="SFA86" s="63"/>
      <c r="SFB86" s="63"/>
      <c r="SFC86" s="63"/>
      <c r="SFD86" s="63"/>
      <c r="SFE86" s="63"/>
      <c r="SFF86" s="63"/>
      <c r="SFG86" s="63"/>
      <c r="SFH86" s="63"/>
      <c r="SFI86" s="63"/>
      <c r="SFJ86" s="63"/>
      <c r="SFK86" s="63"/>
      <c r="SFL86" s="63"/>
      <c r="SFM86" s="63"/>
      <c r="SFN86" s="63"/>
      <c r="SFO86" s="63"/>
      <c r="SFP86" s="63"/>
      <c r="SFQ86" s="63"/>
      <c r="SFR86" s="63"/>
      <c r="SFS86" s="63"/>
      <c r="SFT86" s="63"/>
      <c r="SFU86" s="63"/>
      <c r="SFV86" s="63"/>
      <c r="SFW86" s="63"/>
      <c r="SFX86" s="63"/>
      <c r="SFY86" s="63"/>
      <c r="SFZ86" s="63"/>
      <c r="SGA86" s="63"/>
      <c r="SGB86" s="63"/>
      <c r="SGC86" s="63"/>
      <c r="SGD86" s="63"/>
      <c r="SGE86" s="63"/>
      <c r="SGF86" s="63"/>
      <c r="SGG86" s="63"/>
      <c r="SGH86" s="63"/>
      <c r="SGI86" s="63"/>
      <c r="SGJ86" s="63"/>
      <c r="SGK86" s="63"/>
      <c r="SGL86" s="63"/>
      <c r="SGM86" s="63"/>
      <c r="SGN86" s="63"/>
      <c r="SGO86" s="63"/>
      <c r="SGP86" s="63"/>
      <c r="SGQ86" s="63"/>
      <c r="SGR86" s="63"/>
      <c r="SGS86" s="63"/>
      <c r="SGT86" s="63"/>
      <c r="SGU86" s="63"/>
      <c r="SGV86" s="63"/>
      <c r="SGW86" s="63"/>
      <c r="SGX86" s="63"/>
      <c r="SGY86" s="63"/>
      <c r="SGZ86" s="63"/>
      <c r="SHA86" s="63"/>
      <c r="SHB86" s="63"/>
      <c r="SHC86" s="63"/>
      <c r="SHD86" s="63"/>
      <c r="SHE86" s="63"/>
      <c r="SHF86" s="63"/>
      <c r="SHG86" s="63"/>
      <c r="SHH86" s="63"/>
      <c r="SHI86" s="63"/>
      <c r="SHJ86" s="63"/>
      <c r="SHK86" s="63"/>
      <c r="SHL86" s="63"/>
      <c r="SHM86" s="63"/>
      <c r="SHN86" s="63"/>
      <c r="SHO86" s="63"/>
      <c r="SHP86" s="63"/>
      <c r="SHQ86" s="63"/>
      <c r="SHR86" s="63"/>
      <c r="SHS86" s="63"/>
      <c r="SHT86" s="63"/>
      <c r="SHU86" s="63"/>
      <c r="SHV86" s="63"/>
      <c r="SHW86" s="63"/>
      <c r="SHX86" s="63"/>
      <c r="SHY86" s="63"/>
      <c r="SHZ86" s="63"/>
      <c r="SIA86" s="63"/>
      <c r="SIB86" s="63"/>
      <c r="SIC86" s="63"/>
      <c r="SID86" s="63"/>
      <c r="SIE86" s="63"/>
      <c r="SIF86" s="63"/>
      <c r="SIG86" s="63"/>
      <c r="SIH86" s="63"/>
      <c r="SII86" s="63"/>
      <c r="SIJ86" s="63"/>
      <c r="SIK86" s="63"/>
      <c r="SIL86" s="63"/>
      <c r="SIM86" s="63"/>
      <c r="SIN86" s="63"/>
      <c r="SIO86" s="63"/>
      <c r="SIP86" s="63"/>
      <c r="SIQ86" s="63"/>
      <c r="SIR86" s="63"/>
      <c r="SIS86" s="63"/>
      <c r="SIT86" s="63"/>
      <c r="SIU86" s="63"/>
      <c r="SIV86" s="63"/>
      <c r="SIW86" s="63"/>
      <c r="SIX86" s="63"/>
      <c r="SIY86" s="63"/>
      <c r="SIZ86" s="63"/>
      <c r="SJA86" s="63"/>
      <c r="SJB86" s="63"/>
      <c r="SJC86" s="63"/>
      <c r="SJD86" s="63"/>
      <c r="SJE86" s="63"/>
      <c r="SJF86" s="63"/>
      <c r="SJG86" s="63"/>
      <c r="SJH86" s="63"/>
      <c r="SJI86" s="63"/>
      <c r="SJJ86" s="63"/>
      <c r="SJK86" s="63"/>
      <c r="SJL86" s="63"/>
      <c r="SJM86" s="63"/>
      <c r="SJN86" s="63"/>
      <c r="SJO86" s="63"/>
      <c r="SJP86" s="63"/>
      <c r="SJQ86" s="63"/>
      <c r="SJR86" s="63"/>
      <c r="SJS86" s="63"/>
      <c r="SJT86" s="63"/>
      <c r="SJU86" s="63"/>
      <c r="SJV86" s="63"/>
      <c r="SJW86" s="63"/>
      <c r="SJX86" s="63"/>
      <c r="SJY86" s="63"/>
      <c r="SJZ86" s="63"/>
      <c r="SKA86" s="63"/>
      <c r="SKB86" s="63"/>
      <c r="SKC86" s="63"/>
      <c r="SKD86" s="63"/>
      <c r="SKE86" s="63"/>
      <c r="SKF86" s="63"/>
      <c r="SKG86" s="63"/>
      <c r="SKH86" s="63"/>
      <c r="SKI86" s="63"/>
      <c r="SKJ86" s="63"/>
      <c r="SKK86" s="63"/>
      <c r="SKL86" s="63"/>
      <c r="SKM86" s="63"/>
      <c r="SKN86" s="63"/>
      <c r="SKO86" s="63"/>
      <c r="SKP86" s="63"/>
      <c r="SKQ86" s="63"/>
      <c r="SKR86" s="63"/>
      <c r="SKS86" s="63"/>
      <c r="SKT86" s="63"/>
      <c r="SKU86" s="63"/>
      <c r="SKV86" s="63"/>
      <c r="SKW86" s="63"/>
      <c r="SKX86" s="63"/>
      <c r="SKY86" s="63"/>
      <c r="SKZ86" s="63"/>
      <c r="SLA86" s="63"/>
      <c r="SLB86" s="63"/>
      <c r="SLC86" s="63"/>
      <c r="SLD86" s="63"/>
      <c r="SLE86" s="63"/>
      <c r="SLF86" s="63"/>
      <c r="SLG86" s="63"/>
      <c r="SLH86" s="63"/>
      <c r="SLI86" s="63"/>
      <c r="SLJ86" s="63"/>
      <c r="SLK86" s="63"/>
      <c r="SLL86" s="63"/>
      <c r="SLM86" s="63"/>
      <c r="SLN86" s="63"/>
      <c r="SLO86" s="63"/>
      <c r="SLP86" s="63"/>
      <c r="SLQ86" s="63"/>
      <c r="SLR86" s="63"/>
      <c r="SLS86" s="63"/>
      <c r="SLT86" s="63"/>
      <c r="SLU86" s="63"/>
      <c r="SLV86" s="63"/>
      <c r="SLW86" s="63"/>
      <c r="SLX86" s="63"/>
      <c r="SLY86" s="63"/>
      <c r="SLZ86" s="63"/>
      <c r="SMA86" s="63"/>
      <c r="SMB86" s="63"/>
      <c r="SMC86" s="63"/>
      <c r="SMD86" s="63"/>
      <c r="SME86" s="63"/>
      <c r="SMF86" s="63"/>
      <c r="SMG86" s="63"/>
      <c r="SMH86" s="63"/>
      <c r="SMI86" s="63"/>
      <c r="SMJ86" s="63"/>
      <c r="SMK86" s="63"/>
      <c r="SML86" s="63"/>
      <c r="SMM86" s="63"/>
      <c r="SMN86" s="63"/>
      <c r="SMO86" s="63"/>
      <c r="SMP86" s="63"/>
      <c r="SMQ86" s="63"/>
      <c r="SMR86" s="63"/>
      <c r="SMS86" s="63"/>
      <c r="SMT86" s="63"/>
      <c r="SMU86" s="63"/>
      <c r="SMV86" s="63"/>
      <c r="SMW86" s="63"/>
      <c r="SMX86" s="63"/>
      <c r="SMY86" s="63"/>
      <c r="SMZ86" s="63"/>
      <c r="SNA86" s="63"/>
      <c r="SNB86" s="63"/>
      <c r="SNC86" s="63"/>
      <c r="SND86" s="63"/>
      <c r="SNE86" s="63"/>
      <c r="SNF86" s="63"/>
      <c r="SNG86" s="63"/>
      <c r="SNH86" s="63"/>
      <c r="SNI86" s="63"/>
      <c r="SNJ86" s="63"/>
      <c r="SNK86" s="63"/>
      <c r="SNL86" s="63"/>
      <c r="SNM86" s="63"/>
      <c r="SNN86" s="63"/>
      <c r="SNO86" s="63"/>
      <c r="SNP86" s="63"/>
      <c r="SNQ86" s="63"/>
      <c r="SNR86" s="63"/>
      <c r="SNS86" s="63"/>
      <c r="SNT86" s="63"/>
      <c r="SNU86" s="63"/>
      <c r="SNV86" s="63"/>
      <c r="SNW86" s="63"/>
      <c r="SNX86" s="63"/>
      <c r="SNY86" s="63"/>
      <c r="SNZ86" s="63"/>
      <c r="SOA86" s="63"/>
      <c r="SOB86" s="63"/>
      <c r="SOC86" s="63"/>
      <c r="SOD86" s="63"/>
      <c r="SOE86" s="63"/>
      <c r="SOF86" s="63"/>
      <c r="SOG86" s="63"/>
      <c r="SOH86" s="63"/>
      <c r="SOI86" s="63"/>
      <c r="SOJ86" s="63"/>
      <c r="SOK86" s="63"/>
      <c r="SOL86" s="63"/>
      <c r="SOM86" s="63"/>
      <c r="SON86" s="63"/>
      <c r="SOO86" s="63"/>
      <c r="SOP86" s="63"/>
      <c r="SOQ86" s="63"/>
      <c r="SOR86" s="63"/>
      <c r="SOS86" s="63"/>
      <c r="SOT86" s="63"/>
      <c r="SOU86" s="63"/>
      <c r="SOV86" s="63"/>
      <c r="SOW86" s="63"/>
      <c r="SOX86" s="63"/>
      <c r="SOY86" s="63"/>
      <c r="SOZ86" s="63"/>
      <c r="SPA86" s="63"/>
      <c r="SPB86" s="63"/>
      <c r="SPC86" s="63"/>
      <c r="SPD86" s="63"/>
      <c r="SPE86" s="63"/>
      <c r="SPF86" s="63"/>
      <c r="SPG86" s="63"/>
      <c r="SPH86" s="63"/>
      <c r="SPI86" s="63"/>
      <c r="SPJ86" s="63"/>
      <c r="SPK86" s="63"/>
      <c r="SPL86" s="63"/>
      <c r="SPM86" s="63"/>
      <c r="SPN86" s="63"/>
      <c r="SPO86" s="63"/>
      <c r="SPP86" s="63"/>
      <c r="SPQ86" s="63"/>
      <c r="SPR86" s="63"/>
      <c r="SPS86" s="63"/>
      <c r="SPT86" s="63"/>
      <c r="SPU86" s="63"/>
      <c r="SPV86" s="63"/>
      <c r="SPW86" s="63"/>
      <c r="SPX86" s="63"/>
      <c r="SPY86" s="63"/>
      <c r="SPZ86" s="63"/>
      <c r="SQA86" s="63"/>
      <c r="SQB86" s="63"/>
      <c r="SQC86" s="63"/>
      <c r="SQD86" s="63"/>
      <c r="SQE86" s="63"/>
      <c r="SQF86" s="63"/>
      <c r="SQG86" s="63"/>
      <c r="SQH86" s="63"/>
      <c r="SQI86" s="63"/>
      <c r="SQJ86" s="63"/>
      <c r="SQK86" s="63"/>
      <c r="SQL86" s="63"/>
      <c r="SQM86" s="63"/>
      <c r="SQN86" s="63"/>
      <c r="SQO86" s="63"/>
      <c r="SQP86" s="63"/>
      <c r="SQQ86" s="63"/>
      <c r="SQR86" s="63"/>
      <c r="SQS86" s="63"/>
      <c r="SQT86" s="63"/>
      <c r="SQU86" s="63"/>
      <c r="SQV86" s="63"/>
      <c r="SQW86" s="63"/>
      <c r="SQX86" s="63"/>
      <c r="SQY86" s="63"/>
      <c r="SQZ86" s="63"/>
      <c r="SRA86" s="63"/>
      <c r="SRB86" s="63"/>
      <c r="SRC86" s="63"/>
      <c r="SRD86" s="63"/>
      <c r="SRE86" s="63"/>
      <c r="SRF86" s="63"/>
      <c r="SRG86" s="63"/>
      <c r="SRH86" s="63"/>
      <c r="SRI86" s="63"/>
      <c r="SRJ86" s="63"/>
      <c r="SRK86" s="63"/>
      <c r="SRL86" s="63"/>
      <c r="SRM86" s="63"/>
      <c r="SRN86" s="63"/>
      <c r="SRO86" s="63"/>
      <c r="SRP86" s="63"/>
      <c r="SRQ86" s="63"/>
      <c r="SRR86" s="63"/>
      <c r="SRS86" s="63"/>
      <c r="SRT86" s="63"/>
      <c r="SRU86" s="63"/>
      <c r="SRV86" s="63"/>
      <c r="SRW86" s="63"/>
      <c r="SRX86" s="63"/>
      <c r="SRY86" s="63"/>
      <c r="SRZ86" s="63"/>
      <c r="SSA86" s="63"/>
      <c r="SSB86" s="63"/>
      <c r="SSC86" s="63"/>
      <c r="SSD86" s="63"/>
      <c r="SSE86" s="63"/>
      <c r="SSF86" s="63"/>
      <c r="SSG86" s="63"/>
      <c r="SSH86" s="63"/>
      <c r="SSI86" s="63"/>
      <c r="SSJ86" s="63"/>
      <c r="SSK86" s="63"/>
      <c r="SSL86" s="63"/>
      <c r="SSM86" s="63"/>
      <c r="SSN86" s="63"/>
      <c r="SSO86" s="63"/>
      <c r="SSP86" s="63"/>
      <c r="SSQ86" s="63"/>
      <c r="SSR86" s="63"/>
      <c r="SSS86" s="63"/>
      <c r="SST86" s="63"/>
      <c r="SSU86" s="63"/>
      <c r="SSV86" s="63"/>
      <c r="SSW86" s="63"/>
      <c r="SSX86" s="63"/>
      <c r="SSY86" s="63"/>
      <c r="SSZ86" s="63"/>
      <c r="STA86" s="63"/>
      <c r="STB86" s="63"/>
      <c r="STC86" s="63"/>
      <c r="STD86" s="63"/>
      <c r="STE86" s="63"/>
      <c r="STF86" s="63"/>
      <c r="STG86" s="63"/>
      <c r="STH86" s="63"/>
      <c r="STI86" s="63"/>
      <c r="STJ86" s="63"/>
      <c r="STK86" s="63"/>
      <c r="STL86" s="63"/>
      <c r="STM86" s="63"/>
      <c r="STN86" s="63"/>
      <c r="STO86" s="63"/>
      <c r="STP86" s="63"/>
      <c r="STQ86" s="63"/>
      <c r="STR86" s="63"/>
      <c r="STS86" s="63"/>
      <c r="STT86" s="63"/>
      <c r="STU86" s="63"/>
      <c r="STV86" s="63"/>
      <c r="STW86" s="63"/>
      <c r="STX86" s="63"/>
      <c r="STY86" s="63"/>
      <c r="STZ86" s="63"/>
      <c r="SUA86" s="63"/>
      <c r="SUB86" s="63"/>
      <c r="SUC86" s="63"/>
      <c r="SUD86" s="63"/>
      <c r="SUE86" s="63"/>
      <c r="SUF86" s="63"/>
      <c r="SUG86" s="63"/>
      <c r="SUH86" s="63"/>
      <c r="SUI86" s="63"/>
      <c r="SUJ86" s="63"/>
      <c r="SUK86" s="63"/>
      <c r="SUL86" s="63"/>
      <c r="SUM86" s="63"/>
      <c r="SUN86" s="63"/>
      <c r="SUO86" s="63"/>
      <c r="SUP86" s="63"/>
      <c r="SUQ86" s="63"/>
      <c r="SUR86" s="63"/>
      <c r="SUS86" s="63"/>
      <c r="SUT86" s="63"/>
      <c r="SUU86" s="63"/>
      <c r="SUV86" s="63"/>
      <c r="SUW86" s="63"/>
      <c r="SUX86" s="63"/>
      <c r="SUY86" s="63"/>
      <c r="SUZ86" s="63"/>
      <c r="SVA86" s="63"/>
      <c r="SVB86" s="63"/>
      <c r="SVC86" s="63"/>
      <c r="SVD86" s="63"/>
      <c r="SVE86" s="63"/>
      <c r="SVF86" s="63"/>
      <c r="SVG86" s="63"/>
      <c r="SVH86" s="63"/>
      <c r="SVI86" s="63"/>
      <c r="SVJ86" s="63"/>
      <c r="SVK86" s="63"/>
      <c r="SVL86" s="63"/>
      <c r="SVM86" s="63"/>
      <c r="SVN86" s="63"/>
      <c r="SVO86" s="63"/>
      <c r="SVP86" s="63"/>
      <c r="SVQ86" s="63"/>
      <c r="SVR86" s="63"/>
      <c r="SVS86" s="63"/>
      <c r="SVT86" s="63"/>
      <c r="SVU86" s="63"/>
      <c r="SVV86" s="63"/>
      <c r="SVW86" s="63"/>
      <c r="SVX86" s="63"/>
      <c r="SVY86" s="63"/>
      <c r="SVZ86" s="63"/>
      <c r="SWA86" s="63"/>
      <c r="SWB86" s="63"/>
      <c r="SWC86" s="63"/>
      <c r="SWD86" s="63"/>
      <c r="SWE86" s="63"/>
      <c r="SWF86" s="63"/>
      <c r="SWG86" s="63"/>
      <c r="SWH86" s="63"/>
      <c r="SWI86" s="63"/>
      <c r="SWJ86" s="63"/>
      <c r="SWK86" s="63"/>
      <c r="SWL86" s="63"/>
      <c r="SWM86" s="63"/>
      <c r="SWN86" s="63"/>
      <c r="SWO86" s="63"/>
      <c r="SWP86" s="63"/>
      <c r="SWQ86" s="63"/>
      <c r="SWR86" s="63"/>
      <c r="SWS86" s="63"/>
      <c r="SWT86" s="63"/>
      <c r="SWU86" s="63"/>
      <c r="SWV86" s="63"/>
      <c r="SWW86" s="63"/>
      <c r="SWX86" s="63"/>
      <c r="SWY86" s="63"/>
      <c r="SWZ86" s="63"/>
      <c r="SXA86" s="63"/>
      <c r="SXB86" s="63"/>
      <c r="SXC86" s="63"/>
      <c r="SXD86" s="63"/>
      <c r="SXE86" s="63"/>
      <c r="SXF86" s="63"/>
      <c r="SXG86" s="63"/>
      <c r="SXH86" s="63"/>
      <c r="SXI86" s="63"/>
      <c r="SXJ86" s="63"/>
      <c r="SXK86" s="63"/>
      <c r="SXL86" s="63"/>
      <c r="SXM86" s="63"/>
      <c r="SXN86" s="63"/>
      <c r="SXO86" s="63"/>
      <c r="SXP86" s="63"/>
      <c r="SXQ86" s="63"/>
      <c r="SXR86" s="63"/>
      <c r="SXS86" s="63"/>
      <c r="SXT86" s="63"/>
      <c r="SXU86" s="63"/>
      <c r="SXV86" s="63"/>
      <c r="SXW86" s="63"/>
      <c r="SXX86" s="63"/>
      <c r="SXY86" s="63"/>
      <c r="SXZ86" s="63"/>
      <c r="SYA86" s="63"/>
      <c r="SYB86" s="63"/>
      <c r="SYC86" s="63"/>
      <c r="SYD86" s="63"/>
      <c r="SYE86" s="63"/>
      <c r="SYF86" s="63"/>
      <c r="SYG86" s="63"/>
      <c r="SYH86" s="63"/>
      <c r="SYI86" s="63"/>
      <c r="SYJ86" s="63"/>
      <c r="SYK86" s="63"/>
      <c r="SYL86" s="63"/>
      <c r="SYM86" s="63"/>
      <c r="SYN86" s="63"/>
      <c r="SYO86" s="63"/>
      <c r="SYP86" s="63"/>
      <c r="SYQ86" s="63"/>
      <c r="SYR86" s="63"/>
      <c r="SYS86" s="63"/>
      <c r="SYT86" s="63"/>
      <c r="SYU86" s="63"/>
      <c r="SYV86" s="63"/>
      <c r="SYW86" s="63"/>
      <c r="SYX86" s="63"/>
      <c r="SYY86" s="63"/>
      <c r="SYZ86" s="63"/>
      <c r="SZA86" s="63"/>
      <c r="SZB86" s="63"/>
      <c r="SZC86" s="63"/>
      <c r="SZD86" s="63"/>
      <c r="SZE86" s="63"/>
      <c r="SZF86" s="63"/>
      <c r="SZG86" s="63"/>
      <c r="SZH86" s="63"/>
      <c r="SZI86" s="63"/>
      <c r="SZJ86" s="63"/>
      <c r="SZK86" s="63"/>
      <c r="SZL86" s="63"/>
      <c r="SZM86" s="63"/>
      <c r="SZN86" s="63"/>
      <c r="SZO86" s="63"/>
      <c r="SZP86" s="63"/>
      <c r="SZQ86" s="63"/>
      <c r="SZR86" s="63"/>
      <c r="SZS86" s="63"/>
      <c r="SZT86" s="63"/>
      <c r="SZU86" s="63"/>
      <c r="SZV86" s="63"/>
      <c r="SZW86" s="63"/>
      <c r="SZX86" s="63"/>
      <c r="SZY86" s="63"/>
      <c r="SZZ86" s="63"/>
      <c r="TAA86" s="63"/>
      <c r="TAB86" s="63"/>
      <c r="TAC86" s="63"/>
      <c r="TAD86" s="63"/>
      <c r="TAE86" s="63"/>
      <c r="TAF86" s="63"/>
      <c r="TAG86" s="63"/>
      <c r="TAH86" s="63"/>
      <c r="TAI86" s="63"/>
      <c r="TAJ86" s="63"/>
      <c r="TAK86" s="63"/>
      <c r="TAL86" s="63"/>
      <c r="TAM86" s="63"/>
      <c r="TAN86" s="63"/>
      <c r="TAO86" s="63"/>
      <c r="TAP86" s="63"/>
      <c r="TAQ86" s="63"/>
      <c r="TAR86" s="63"/>
      <c r="TAS86" s="63"/>
      <c r="TAT86" s="63"/>
      <c r="TAU86" s="63"/>
      <c r="TAV86" s="63"/>
      <c r="TAW86" s="63"/>
      <c r="TAX86" s="63"/>
      <c r="TAY86" s="63"/>
      <c r="TAZ86" s="63"/>
      <c r="TBA86" s="63"/>
      <c r="TBB86" s="63"/>
      <c r="TBC86" s="63"/>
      <c r="TBD86" s="63"/>
      <c r="TBE86" s="63"/>
      <c r="TBF86" s="63"/>
      <c r="TBG86" s="63"/>
      <c r="TBH86" s="63"/>
      <c r="TBI86" s="63"/>
      <c r="TBJ86" s="63"/>
      <c r="TBK86" s="63"/>
      <c r="TBL86" s="63"/>
      <c r="TBM86" s="63"/>
      <c r="TBN86" s="63"/>
      <c r="TBO86" s="63"/>
      <c r="TBP86" s="63"/>
      <c r="TBQ86" s="63"/>
      <c r="TBR86" s="63"/>
      <c r="TBS86" s="63"/>
      <c r="TBT86" s="63"/>
      <c r="TBU86" s="63"/>
      <c r="TBV86" s="63"/>
      <c r="TBW86" s="63"/>
      <c r="TBX86" s="63"/>
      <c r="TBY86" s="63"/>
      <c r="TBZ86" s="63"/>
      <c r="TCA86" s="63"/>
      <c r="TCB86" s="63"/>
      <c r="TCC86" s="63"/>
      <c r="TCD86" s="63"/>
      <c r="TCE86" s="63"/>
      <c r="TCF86" s="63"/>
      <c r="TCG86" s="63"/>
      <c r="TCH86" s="63"/>
      <c r="TCI86" s="63"/>
      <c r="TCJ86" s="63"/>
      <c r="TCK86" s="63"/>
      <c r="TCL86" s="63"/>
      <c r="TCM86" s="63"/>
      <c r="TCN86" s="63"/>
      <c r="TCO86" s="63"/>
      <c r="TCP86" s="63"/>
      <c r="TCQ86" s="63"/>
      <c r="TCR86" s="63"/>
      <c r="TCS86" s="63"/>
      <c r="TCT86" s="63"/>
      <c r="TCU86" s="63"/>
      <c r="TCV86" s="63"/>
      <c r="TCW86" s="63"/>
      <c r="TCX86" s="63"/>
      <c r="TCY86" s="63"/>
      <c r="TCZ86" s="63"/>
      <c r="TDA86" s="63"/>
      <c r="TDB86" s="63"/>
      <c r="TDC86" s="63"/>
      <c r="TDD86" s="63"/>
      <c r="TDE86" s="63"/>
      <c r="TDF86" s="63"/>
      <c r="TDG86" s="63"/>
      <c r="TDH86" s="63"/>
      <c r="TDI86" s="63"/>
      <c r="TDJ86" s="63"/>
      <c r="TDK86" s="63"/>
      <c r="TDL86" s="63"/>
      <c r="TDM86" s="63"/>
      <c r="TDN86" s="63"/>
      <c r="TDO86" s="63"/>
      <c r="TDP86" s="63"/>
      <c r="TDQ86" s="63"/>
      <c r="TDR86" s="63"/>
      <c r="TDS86" s="63"/>
      <c r="TDT86" s="63"/>
      <c r="TDU86" s="63"/>
      <c r="TDV86" s="63"/>
      <c r="TDW86" s="63"/>
      <c r="TDX86" s="63"/>
      <c r="TDY86" s="63"/>
      <c r="TDZ86" s="63"/>
      <c r="TEA86" s="63"/>
      <c r="TEB86" s="63"/>
      <c r="TEC86" s="63"/>
      <c r="TED86" s="63"/>
      <c r="TEE86" s="63"/>
      <c r="TEF86" s="63"/>
      <c r="TEG86" s="63"/>
      <c r="TEH86" s="63"/>
      <c r="TEI86" s="63"/>
      <c r="TEJ86" s="63"/>
      <c r="TEK86" s="63"/>
      <c r="TEL86" s="63"/>
      <c r="TEM86" s="63"/>
      <c r="TEN86" s="63"/>
      <c r="TEO86" s="63"/>
      <c r="TEP86" s="63"/>
      <c r="TEQ86" s="63"/>
      <c r="TER86" s="63"/>
      <c r="TES86" s="63"/>
      <c r="TET86" s="63"/>
      <c r="TEU86" s="63"/>
      <c r="TEV86" s="63"/>
      <c r="TEW86" s="63"/>
      <c r="TEX86" s="63"/>
      <c r="TEY86" s="63"/>
      <c r="TEZ86" s="63"/>
      <c r="TFA86" s="63"/>
      <c r="TFB86" s="63"/>
      <c r="TFC86" s="63"/>
      <c r="TFD86" s="63"/>
      <c r="TFE86" s="63"/>
      <c r="TFF86" s="63"/>
      <c r="TFG86" s="63"/>
      <c r="TFH86" s="63"/>
      <c r="TFI86" s="63"/>
      <c r="TFJ86" s="63"/>
      <c r="TFK86" s="63"/>
      <c r="TFL86" s="63"/>
      <c r="TFM86" s="63"/>
      <c r="TFN86" s="63"/>
      <c r="TFO86" s="63"/>
      <c r="TFP86" s="63"/>
      <c r="TFQ86" s="63"/>
      <c r="TFR86" s="63"/>
      <c r="TFS86" s="63"/>
      <c r="TFT86" s="63"/>
      <c r="TFU86" s="63"/>
      <c r="TFV86" s="63"/>
      <c r="TFW86" s="63"/>
      <c r="TFX86" s="63"/>
      <c r="TFY86" s="63"/>
      <c r="TFZ86" s="63"/>
      <c r="TGA86" s="63"/>
      <c r="TGB86" s="63"/>
      <c r="TGC86" s="63"/>
      <c r="TGD86" s="63"/>
      <c r="TGE86" s="63"/>
      <c r="TGF86" s="63"/>
      <c r="TGG86" s="63"/>
      <c r="TGH86" s="63"/>
      <c r="TGI86" s="63"/>
      <c r="TGJ86" s="63"/>
      <c r="TGK86" s="63"/>
      <c r="TGL86" s="63"/>
      <c r="TGM86" s="63"/>
      <c r="TGN86" s="63"/>
      <c r="TGO86" s="63"/>
      <c r="TGP86" s="63"/>
      <c r="TGQ86" s="63"/>
      <c r="TGR86" s="63"/>
      <c r="TGS86" s="63"/>
      <c r="TGT86" s="63"/>
      <c r="TGU86" s="63"/>
      <c r="TGV86" s="63"/>
      <c r="TGW86" s="63"/>
      <c r="TGX86" s="63"/>
      <c r="TGY86" s="63"/>
      <c r="TGZ86" s="63"/>
      <c r="THA86" s="63"/>
      <c r="THB86" s="63"/>
      <c r="THC86" s="63"/>
      <c r="THD86" s="63"/>
      <c r="THE86" s="63"/>
      <c r="THF86" s="63"/>
      <c r="THG86" s="63"/>
      <c r="THH86" s="63"/>
      <c r="THI86" s="63"/>
      <c r="THJ86" s="63"/>
      <c r="THK86" s="63"/>
      <c r="THL86" s="63"/>
      <c r="THM86" s="63"/>
      <c r="THN86" s="63"/>
      <c r="THO86" s="63"/>
      <c r="THP86" s="63"/>
      <c r="THQ86" s="63"/>
      <c r="THR86" s="63"/>
      <c r="THS86" s="63"/>
      <c r="THT86" s="63"/>
      <c r="THU86" s="63"/>
      <c r="THV86" s="63"/>
      <c r="THW86" s="63"/>
      <c r="THX86" s="63"/>
      <c r="THY86" s="63"/>
      <c r="THZ86" s="63"/>
      <c r="TIA86" s="63"/>
      <c r="TIB86" s="63"/>
      <c r="TIC86" s="63"/>
      <c r="TID86" s="63"/>
      <c r="TIE86" s="63"/>
      <c r="TIF86" s="63"/>
      <c r="TIG86" s="63"/>
      <c r="TIH86" s="63"/>
      <c r="TII86" s="63"/>
      <c r="TIJ86" s="63"/>
      <c r="TIK86" s="63"/>
      <c r="TIL86" s="63"/>
      <c r="TIM86" s="63"/>
      <c r="TIN86" s="63"/>
      <c r="TIO86" s="63"/>
      <c r="TIP86" s="63"/>
      <c r="TIQ86" s="63"/>
      <c r="TIR86" s="63"/>
      <c r="TIS86" s="63"/>
      <c r="TIT86" s="63"/>
      <c r="TIU86" s="63"/>
      <c r="TIV86" s="63"/>
      <c r="TIW86" s="63"/>
      <c r="TIX86" s="63"/>
      <c r="TIY86" s="63"/>
      <c r="TIZ86" s="63"/>
      <c r="TJA86" s="63"/>
      <c r="TJB86" s="63"/>
      <c r="TJC86" s="63"/>
      <c r="TJD86" s="63"/>
      <c r="TJE86" s="63"/>
      <c r="TJF86" s="63"/>
      <c r="TJG86" s="63"/>
      <c r="TJH86" s="63"/>
      <c r="TJI86" s="63"/>
      <c r="TJJ86" s="63"/>
      <c r="TJK86" s="63"/>
      <c r="TJL86" s="63"/>
      <c r="TJM86" s="63"/>
      <c r="TJN86" s="63"/>
      <c r="TJO86" s="63"/>
      <c r="TJP86" s="63"/>
      <c r="TJQ86" s="63"/>
      <c r="TJR86" s="63"/>
      <c r="TJS86" s="63"/>
      <c r="TJT86" s="63"/>
      <c r="TJU86" s="63"/>
      <c r="TJV86" s="63"/>
      <c r="TJW86" s="63"/>
      <c r="TJX86" s="63"/>
      <c r="TJY86" s="63"/>
      <c r="TJZ86" s="63"/>
      <c r="TKA86" s="63"/>
      <c r="TKB86" s="63"/>
      <c r="TKC86" s="63"/>
      <c r="TKD86" s="63"/>
      <c r="TKE86" s="63"/>
      <c r="TKF86" s="63"/>
      <c r="TKG86" s="63"/>
      <c r="TKH86" s="63"/>
      <c r="TKI86" s="63"/>
      <c r="TKJ86" s="63"/>
      <c r="TKK86" s="63"/>
      <c r="TKL86" s="63"/>
      <c r="TKM86" s="63"/>
      <c r="TKN86" s="63"/>
      <c r="TKO86" s="63"/>
      <c r="TKP86" s="63"/>
      <c r="TKQ86" s="63"/>
      <c r="TKR86" s="63"/>
      <c r="TKS86" s="63"/>
      <c r="TKT86" s="63"/>
      <c r="TKU86" s="63"/>
      <c r="TKV86" s="63"/>
      <c r="TKW86" s="63"/>
      <c r="TKX86" s="63"/>
      <c r="TKY86" s="63"/>
      <c r="TKZ86" s="63"/>
      <c r="TLA86" s="63"/>
      <c r="TLB86" s="63"/>
      <c r="TLC86" s="63"/>
      <c r="TLD86" s="63"/>
      <c r="TLE86" s="63"/>
      <c r="TLF86" s="63"/>
      <c r="TLG86" s="63"/>
      <c r="TLH86" s="63"/>
      <c r="TLI86" s="63"/>
      <c r="TLJ86" s="63"/>
      <c r="TLK86" s="63"/>
      <c r="TLL86" s="63"/>
      <c r="TLM86" s="63"/>
      <c r="TLN86" s="63"/>
      <c r="TLO86" s="63"/>
      <c r="TLP86" s="63"/>
      <c r="TLQ86" s="63"/>
      <c r="TLR86" s="63"/>
      <c r="TLS86" s="63"/>
      <c r="TLT86" s="63"/>
      <c r="TLU86" s="63"/>
      <c r="TLV86" s="63"/>
      <c r="TLW86" s="63"/>
      <c r="TLX86" s="63"/>
      <c r="TLY86" s="63"/>
      <c r="TLZ86" s="63"/>
      <c r="TMA86" s="63"/>
      <c r="TMB86" s="63"/>
      <c r="TMC86" s="63"/>
      <c r="TMD86" s="63"/>
      <c r="TME86" s="63"/>
      <c r="TMF86" s="63"/>
      <c r="TMG86" s="63"/>
      <c r="TMH86" s="63"/>
      <c r="TMI86" s="63"/>
      <c r="TMJ86" s="63"/>
      <c r="TMK86" s="63"/>
      <c r="TML86" s="63"/>
      <c r="TMM86" s="63"/>
      <c r="TMN86" s="63"/>
      <c r="TMO86" s="63"/>
      <c r="TMP86" s="63"/>
      <c r="TMQ86" s="63"/>
      <c r="TMR86" s="63"/>
      <c r="TMS86" s="63"/>
      <c r="TMT86" s="63"/>
      <c r="TMU86" s="63"/>
      <c r="TMV86" s="63"/>
      <c r="TMW86" s="63"/>
      <c r="TMX86" s="63"/>
      <c r="TMY86" s="63"/>
      <c r="TMZ86" s="63"/>
      <c r="TNA86" s="63"/>
      <c r="TNB86" s="63"/>
      <c r="TNC86" s="63"/>
      <c r="TND86" s="63"/>
      <c r="TNE86" s="63"/>
      <c r="TNF86" s="63"/>
      <c r="TNG86" s="63"/>
      <c r="TNH86" s="63"/>
      <c r="TNI86" s="63"/>
      <c r="TNJ86" s="63"/>
      <c r="TNK86" s="63"/>
      <c r="TNL86" s="63"/>
      <c r="TNM86" s="63"/>
      <c r="TNN86" s="63"/>
      <c r="TNO86" s="63"/>
      <c r="TNP86" s="63"/>
      <c r="TNQ86" s="63"/>
      <c r="TNR86" s="63"/>
      <c r="TNS86" s="63"/>
      <c r="TNT86" s="63"/>
      <c r="TNU86" s="63"/>
      <c r="TNV86" s="63"/>
      <c r="TNW86" s="63"/>
      <c r="TNX86" s="63"/>
      <c r="TNY86" s="63"/>
      <c r="TNZ86" s="63"/>
      <c r="TOA86" s="63"/>
      <c r="TOB86" s="63"/>
      <c r="TOC86" s="63"/>
      <c r="TOD86" s="63"/>
      <c r="TOE86" s="63"/>
      <c r="TOF86" s="63"/>
      <c r="TOG86" s="63"/>
      <c r="TOH86" s="63"/>
      <c r="TOI86" s="63"/>
      <c r="TOJ86" s="63"/>
      <c r="TOK86" s="63"/>
      <c r="TOL86" s="63"/>
      <c r="TOM86" s="63"/>
      <c r="TON86" s="63"/>
      <c r="TOO86" s="63"/>
      <c r="TOP86" s="63"/>
      <c r="TOQ86" s="63"/>
      <c r="TOR86" s="63"/>
      <c r="TOS86" s="63"/>
      <c r="TOT86" s="63"/>
      <c r="TOU86" s="63"/>
      <c r="TOV86" s="63"/>
      <c r="TOW86" s="63"/>
      <c r="TOX86" s="63"/>
      <c r="TOY86" s="63"/>
      <c r="TOZ86" s="63"/>
      <c r="TPA86" s="63"/>
      <c r="TPB86" s="63"/>
      <c r="TPC86" s="63"/>
      <c r="TPD86" s="63"/>
      <c r="TPE86" s="63"/>
      <c r="TPF86" s="63"/>
      <c r="TPG86" s="63"/>
      <c r="TPH86" s="63"/>
      <c r="TPI86" s="63"/>
      <c r="TPJ86" s="63"/>
      <c r="TPK86" s="63"/>
      <c r="TPL86" s="63"/>
      <c r="TPM86" s="63"/>
      <c r="TPN86" s="63"/>
      <c r="TPO86" s="63"/>
      <c r="TPP86" s="63"/>
      <c r="TPQ86" s="63"/>
      <c r="TPR86" s="63"/>
      <c r="TPS86" s="63"/>
      <c r="TPT86" s="63"/>
      <c r="TPU86" s="63"/>
      <c r="TPV86" s="63"/>
      <c r="TPW86" s="63"/>
      <c r="TPX86" s="63"/>
      <c r="TPY86" s="63"/>
      <c r="TPZ86" s="63"/>
      <c r="TQA86" s="63"/>
      <c r="TQB86" s="63"/>
      <c r="TQC86" s="63"/>
      <c r="TQD86" s="63"/>
      <c r="TQE86" s="63"/>
      <c r="TQF86" s="63"/>
      <c r="TQG86" s="63"/>
      <c r="TQH86" s="63"/>
      <c r="TQI86" s="63"/>
      <c r="TQJ86" s="63"/>
      <c r="TQK86" s="63"/>
      <c r="TQL86" s="63"/>
      <c r="TQM86" s="63"/>
      <c r="TQN86" s="63"/>
      <c r="TQO86" s="63"/>
      <c r="TQP86" s="63"/>
      <c r="TQQ86" s="63"/>
      <c r="TQR86" s="63"/>
      <c r="TQS86" s="63"/>
      <c r="TQT86" s="63"/>
      <c r="TQU86" s="63"/>
      <c r="TQV86" s="63"/>
      <c r="TQW86" s="63"/>
      <c r="TQX86" s="63"/>
      <c r="TQY86" s="63"/>
      <c r="TQZ86" s="63"/>
      <c r="TRA86" s="63"/>
      <c r="TRB86" s="63"/>
      <c r="TRC86" s="63"/>
      <c r="TRD86" s="63"/>
      <c r="TRE86" s="63"/>
      <c r="TRF86" s="63"/>
      <c r="TRG86" s="63"/>
      <c r="TRH86" s="63"/>
      <c r="TRI86" s="63"/>
      <c r="TRJ86" s="63"/>
      <c r="TRK86" s="63"/>
      <c r="TRL86" s="63"/>
      <c r="TRM86" s="63"/>
      <c r="TRN86" s="63"/>
      <c r="TRO86" s="63"/>
      <c r="TRP86" s="63"/>
      <c r="TRQ86" s="63"/>
      <c r="TRR86" s="63"/>
      <c r="TRS86" s="63"/>
      <c r="TRT86" s="63"/>
      <c r="TRU86" s="63"/>
      <c r="TRV86" s="63"/>
      <c r="TRW86" s="63"/>
      <c r="TRX86" s="63"/>
      <c r="TRY86" s="63"/>
      <c r="TRZ86" s="63"/>
      <c r="TSA86" s="63"/>
      <c r="TSB86" s="63"/>
      <c r="TSC86" s="63"/>
      <c r="TSD86" s="63"/>
      <c r="TSE86" s="63"/>
      <c r="TSF86" s="63"/>
      <c r="TSG86" s="63"/>
      <c r="TSH86" s="63"/>
      <c r="TSI86" s="63"/>
      <c r="TSJ86" s="63"/>
      <c r="TSK86" s="63"/>
      <c r="TSL86" s="63"/>
      <c r="TSM86" s="63"/>
      <c r="TSN86" s="63"/>
      <c r="TSO86" s="63"/>
      <c r="TSP86" s="63"/>
      <c r="TSQ86" s="63"/>
      <c r="TSR86" s="63"/>
      <c r="TSS86" s="63"/>
      <c r="TST86" s="63"/>
      <c r="TSU86" s="63"/>
      <c r="TSV86" s="63"/>
      <c r="TSW86" s="63"/>
      <c r="TSX86" s="63"/>
      <c r="TSY86" s="63"/>
      <c r="TSZ86" s="63"/>
      <c r="TTA86" s="63"/>
      <c r="TTB86" s="63"/>
      <c r="TTC86" s="63"/>
      <c r="TTD86" s="63"/>
      <c r="TTE86" s="63"/>
      <c r="TTF86" s="63"/>
      <c r="TTG86" s="63"/>
      <c r="TTH86" s="63"/>
      <c r="TTI86" s="63"/>
      <c r="TTJ86" s="63"/>
      <c r="TTK86" s="63"/>
      <c r="TTL86" s="63"/>
      <c r="TTM86" s="63"/>
      <c r="TTN86" s="63"/>
      <c r="TTO86" s="63"/>
      <c r="TTP86" s="63"/>
      <c r="TTQ86" s="63"/>
      <c r="TTR86" s="63"/>
      <c r="TTS86" s="63"/>
      <c r="TTT86" s="63"/>
      <c r="TTU86" s="63"/>
      <c r="TTV86" s="63"/>
      <c r="TTW86" s="63"/>
      <c r="TTX86" s="63"/>
      <c r="TTY86" s="63"/>
      <c r="TTZ86" s="63"/>
      <c r="TUA86" s="63"/>
      <c r="TUB86" s="63"/>
      <c r="TUC86" s="63"/>
      <c r="TUD86" s="63"/>
      <c r="TUE86" s="63"/>
      <c r="TUF86" s="63"/>
      <c r="TUG86" s="63"/>
      <c r="TUH86" s="63"/>
      <c r="TUI86" s="63"/>
      <c r="TUJ86" s="63"/>
      <c r="TUK86" s="63"/>
      <c r="TUL86" s="63"/>
      <c r="TUM86" s="63"/>
      <c r="TUN86" s="63"/>
      <c r="TUO86" s="63"/>
      <c r="TUP86" s="63"/>
      <c r="TUQ86" s="63"/>
      <c r="TUR86" s="63"/>
      <c r="TUS86" s="63"/>
      <c r="TUT86" s="63"/>
      <c r="TUU86" s="63"/>
      <c r="TUV86" s="63"/>
      <c r="TUW86" s="63"/>
      <c r="TUX86" s="63"/>
      <c r="TUY86" s="63"/>
      <c r="TUZ86" s="63"/>
      <c r="TVA86" s="63"/>
      <c r="TVB86" s="63"/>
      <c r="TVC86" s="63"/>
      <c r="TVD86" s="63"/>
      <c r="TVE86" s="63"/>
      <c r="TVF86" s="63"/>
      <c r="TVG86" s="63"/>
      <c r="TVH86" s="63"/>
      <c r="TVI86" s="63"/>
      <c r="TVJ86" s="63"/>
      <c r="TVK86" s="63"/>
      <c r="TVL86" s="63"/>
      <c r="TVM86" s="63"/>
      <c r="TVN86" s="63"/>
      <c r="TVO86" s="63"/>
      <c r="TVP86" s="63"/>
      <c r="TVQ86" s="63"/>
      <c r="TVR86" s="63"/>
      <c r="TVS86" s="63"/>
      <c r="TVT86" s="63"/>
      <c r="TVU86" s="63"/>
      <c r="TVV86" s="63"/>
      <c r="TVW86" s="63"/>
      <c r="TVX86" s="63"/>
      <c r="TVY86" s="63"/>
      <c r="TVZ86" s="63"/>
      <c r="TWA86" s="63"/>
      <c r="TWB86" s="63"/>
      <c r="TWC86" s="63"/>
      <c r="TWD86" s="63"/>
      <c r="TWE86" s="63"/>
      <c r="TWF86" s="63"/>
      <c r="TWG86" s="63"/>
      <c r="TWH86" s="63"/>
      <c r="TWI86" s="63"/>
      <c r="TWJ86" s="63"/>
      <c r="TWK86" s="63"/>
      <c r="TWL86" s="63"/>
      <c r="TWM86" s="63"/>
      <c r="TWN86" s="63"/>
      <c r="TWO86" s="63"/>
      <c r="TWP86" s="63"/>
      <c r="TWQ86" s="63"/>
      <c r="TWR86" s="63"/>
      <c r="TWS86" s="63"/>
      <c r="TWT86" s="63"/>
      <c r="TWU86" s="63"/>
      <c r="TWV86" s="63"/>
      <c r="TWW86" s="63"/>
      <c r="TWX86" s="63"/>
      <c r="TWY86" s="63"/>
      <c r="TWZ86" s="63"/>
      <c r="TXA86" s="63"/>
      <c r="TXB86" s="63"/>
      <c r="TXC86" s="63"/>
      <c r="TXD86" s="63"/>
      <c r="TXE86" s="63"/>
      <c r="TXF86" s="63"/>
      <c r="TXG86" s="63"/>
      <c r="TXH86" s="63"/>
      <c r="TXI86" s="63"/>
      <c r="TXJ86" s="63"/>
      <c r="TXK86" s="63"/>
      <c r="TXL86" s="63"/>
      <c r="TXM86" s="63"/>
      <c r="TXN86" s="63"/>
      <c r="TXO86" s="63"/>
      <c r="TXP86" s="63"/>
      <c r="TXQ86" s="63"/>
      <c r="TXR86" s="63"/>
      <c r="TXS86" s="63"/>
      <c r="TXT86" s="63"/>
      <c r="TXU86" s="63"/>
      <c r="TXV86" s="63"/>
      <c r="TXW86" s="63"/>
      <c r="TXX86" s="63"/>
      <c r="TXY86" s="63"/>
      <c r="TXZ86" s="63"/>
      <c r="TYA86" s="63"/>
      <c r="TYB86" s="63"/>
      <c r="TYC86" s="63"/>
      <c r="TYD86" s="63"/>
      <c r="TYE86" s="63"/>
      <c r="TYF86" s="63"/>
      <c r="TYG86" s="63"/>
      <c r="TYH86" s="63"/>
      <c r="TYI86" s="63"/>
      <c r="TYJ86" s="63"/>
      <c r="TYK86" s="63"/>
      <c r="TYL86" s="63"/>
      <c r="TYM86" s="63"/>
      <c r="TYN86" s="63"/>
      <c r="TYO86" s="63"/>
      <c r="TYP86" s="63"/>
      <c r="TYQ86" s="63"/>
      <c r="TYR86" s="63"/>
      <c r="TYS86" s="63"/>
      <c r="TYT86" s="63"/>
      <c r="TYU86" s="63"/>
      <c r="TYV86" s="63"/>
      <c r="TYW86" s="63"/>
      <c r="TYX86" s="63"/>
      <c r="TYY86" s="63"/>
      <c r="TYZ86" s="63"/>
      <c r="TZA86" s="63"/>
      <c r="TZB86" s="63"/>
      <c r="TZC86" s="63"/>
      <c r="TZD86" s="63"/>
      <c r="TZE86" s="63"/>
      <c r="TZF86" s="63"/>
      <c r="TZG86" s="63"/>
      <c r="TZH86" s="63"/>
      <c r="TZI86" s="63"/>
      <c r="TZJ86" s="63"/>
      <c r="TZK86" s="63"/>
      <c r="TZL86" s="63"/>
      <c r="TZM86" s="63"/>
      <c r="TZN86" s="63"/>
      <c r="TZO86" s="63"/>
      <c r="TZP86" s="63"/>
      <c r="TZQ86" s="63"/>
      <c r="TZR86" s="63"/>
      <c r="TZS86" s="63"/>
      <c r="TZT86" s="63"/>
      <c r="TZU86" s="63"/>
      <c r="TZV86" s="63"/>
      <c r="TZW86" s="63"/>
      <c r="TZX86" s="63"/>
      <c r="TZY86" s="63"/>
      <c r="TZZ86" s="63"/>
      <c r="UAA86" s="63"/>
      <c r="UAB86" s="63"/>
      <c r="UAC86" s="63"/>
      <c r="UAD86" s="63"/>
      <c r="UAE86" s="63"/>
      <c r="UAF86" s="63"/>
      <c r="UAG86" s="63"/>
      <c r="UAH86" s="63"/>
      <c r="UAI86" s="63"/>
      <c r="UAJ86" s="63"/>
      <c r="UAK86" s="63"/>
      <c r="UAL86" s="63"/>
      <c r="UAM86" s="63"/>
      <c r="UAN86" s="63"/>
      <c r="UAO86" s="63"/>
      <c r="UAP86" s="63"/>
      <c r="UAQ86" s="63"/>
      <c r="UAR86" s="63"/>
      <c r="UAS86" s="63"/>
      <c r="UAT86" s="63"/>
      <c r="UAU86" s="63"/>
      <c r="UAV86" s="63"/>
      <c r="UAW86" s="63"/>
      <c r="UAX86" s="63"/>
      <c r="UAY86" s="63"/>
      <c r="UAZ86" s="63"/>
      <c r="UBA86" s="63"/>
      <c r="UBB86" s="63"/>
      <c r="UBC86" s="63"/>
      <c r="UBD86" s="63"/>
      <c r="UBE86" s="63"/>
      <c r="UBF86" s="63"/>
      <c r="UBG86" s="63"/>
      <c r="UBH86" s="63"/>
      <c r="UBI86" s="63"/>
      <c r="UBJ86" s="63"/>
      <c r="UBK86" s="63"/>
      <c r="UBL86" s="63"/>
      <c r="UBM86" s="63"/>
      <c r="UBN86" s="63"/>
      <c r="UBO86" s="63"/>
      <c r="UBP86" s="63"/>
      <c r="UBQ86" s="63"/>
      <c r="UBR86" s="63"/>
      <c r="UBS86" s="63"/>
      <c r="UBT86" s="63"/>
      <c r="UBU86" s="63"/>
      <c r="UBV86" s="63"/>
      <c r="UBW86" s="63"/>
      <c r="UBX86" s="63"/>
      <c r="UBY86" s="63"/>
      <c r="UBZ86" s="63"/>
      <c r="UCA86" s="63"/>
      <c r="UCB86" s="63"/>
      <c r="UCC86" s="63"/>
      <c r="UCD86" s="63"/>
      <c r="UCE86" s="63"/>
      <c r="UCF86" s="63"/>
      <c r="UCG86" s="63"/>
      <c r="UCH86" s="63"/>
      <c r="UCI86" s="63"/>
      <c r="UCJ86" s="63"/>
      <c r="UCK86" s="63"/>
      <c r="UCL86" s="63"/>
      <c r="UCM86" s="63"/>
      <c r="UCN86" s="63"/>
      <c r="UCO86" s="63"/>
      <c r="UCP86" s="63"/>
      <c r="UCQ86" s="63"/>
      <c r="UCR86" s="63"/>
      <c r="UCS86" s="63"/>
      <c r="UCT86" s="63"/>
      <c r="UCU86" s="63"/>
      <c r="UCV86" s="63"/>
      <c r="UCW86" s="63"/>
      <c r="UCX86" s="63"/>
      <c r="UCY86" s="63"/>
      <c r="UCZ86" s="63"/>
      <c r="UDA86" s="63"/>
      <c r="UDB86" s="63"/>
      <c r="UDC86" s="63"/>
      <c r="UDD86" s="63"/>
      <c r="UDE86" s="63"/>
      <c r="UDF86" s="63"/>
      <c r="UDG86" s="63"/>
      <c r="UDH86" s="63"/>
      <c r="UDI86" s="63"/>
      <c r="UDJ86" s="63"/>
      <c r="UDK86" s="63"/>
      <c r="UDL86" s="63"/>
      <c r="UDM86" s="63"/>
      <c r="UDN86" s="63"/>
      <c r="UDO86" s="63"/>
      <c r="UDP86" s="63"/>
      <c r="UDQ86" s="63"/>
      <c r="UDR86" s="63"/>
      <c r="UDS86" s="63"/>
      <c r="UDT86" s="63"/>
      <c r="UDU86" s="63"/>
      <c r="UDV86" s="63"/>
      <c r="UDW86" s="63"/>
      <c r="UDX86" s="63"/>
      <c r="UDY86" s="63"/>
      <c r="UDZ86" s="63"/>
      <c r="UEA86" s="63"/>
      <c r="UEB86" s="63"/>
      <c r="UEC86" s="63"/>
      <c r="UED86" s="63"/>
      <c r="UEE86" s="63"/>
      <c r="UEF86" s="63"/>
      <c r="UEG86" s="63"/>
      <c r="UEH86" s="63"/>
      <c r="UEI86" s="63"/>
      <c r="UEJ86" s="63"/>
      <c r="UEK86" s="63"/>
      <c r="UEL86" s="63"/>
      <c r="UEM86" s="63"/>
      <c r="UEN86" s="63"/>
      <c r="UEO86" s="63"/>
      <c r="UEP86" s="63"/>
      <c r="UEQ86" s="63"/>
      <c r="UER86" s="63"/>
      <c r="UES86" s="63"/>
      <c r="UET86" s="63"/>
      <c r="UEU86" s="63"/>
      <c r="UEV86" s="63"/>
      <c r="UEW86" s="63"/>
      <c r="UEX86" s="63"/>
      <c r="UEY86" s="63"/>
      <c r="UEZ86" s="63"/>
      <c r="UFA86" s="63"/>
      <c r="UFB86" s="63"/>
      <c r="UFC86" s="63"/>
      <c r="UFD86" s="63"/>
      <c r="UFE86" s="63"/>
      <c r="UFF86" s="63"/>
      <c r="UFG86" s="63"/>
      <c r="UFH86" s="63"/>
      <c r="UFI86" s="63"/>
      <c r="UFJ86" s="63"/>
      <c r="UFK86" s="63"/>
      <c r="UFL86" s="63"/>
      <c r="UFM86" s="63"/>
      <c r="UFN86" s="63"/>
      <c r="UFO86" s="63"/>
      <c r="UFP86" s="63"/>
      <c r="UFQ86" s="63"/>
      <c r="UFR86" s="63"/>
      <c r="UFS86" s="63"/>
      <c r="UFT86" s="63"/>
      <c r="UFU86" s="63"/>
      <c r="UFV86" s="63"/>
      <c r="UFW86" s="63"/>
      <c r="UFX86" s="63"/>
      <c r="UFY86" s="63"/>
      <c r="UFZ86" s="63"/>
      <c r="UGA86" s="63"/>
      <c r="UGB86" s="63"/>
      <c r="UGC86" s="63"/>
      <c r="UGD86" s="63"/>
      <c r="UGE86" s="63"/>
      <c r="UGF86" s="63"/>
      <c r="UGG86" s="63"/>
      <c r="UGH86" s="63"/>
      <c r="UGI86" s="63"/>
      <c r="UGJ86" s="63"/>
      <c r="UGK86" s="63"/>
      <c r="UGL86" s="63"/>
      <c r="UGM86" s="63"/>
      <c r="UGN86" s="63"/>
      <c r="UGO86" s="63"/>
      <c r="UGP86" s="63"/>
      <c r="UGQ86" s="63"/>
      <c r="UGR86" s="63"/>
      <c r="UGS86" s="63"/>
      <c r="UGT86" s="63"/>
      <c r="UGU86" s="63"/>
      <c r="UGV86" s="63"/>
      <c r="UGW86" s="63"/>
      <c r="UGX86" s="63"/>
      <c r="UGY86" s="63"/>
      <c r="UGZ86" s="63"/>
      <c r="UHA86" s="63"/>
      <c r="UHB86" s="63"/>
      <c r="UHC86" s="63"/>
      <c r="UHD86" s="63"/>
      <c r="UHE86" s="63"/>
      <c r="UHF86" s="63"/>
      <c r="UHG86" s="63"/>
      <c r="UHH86" s="63"/>
      <c r="UHI86" s="63"/>
      <c r="UHJ86" s="63"/>
      <c r="UHK86" s="63"/>
      <c r="UHL86" s="63"/>
      <c r="UHM86" s="63"/>
      <c r="UHN86" s="63"/>
      <c r="UHO86" s="63"/>
      <c r="UHP86" s="63"/>
      <c r="UHQ86" s="63"/>
      <c r="UHR86" s="63"/>
      <c r="UHS86" s="63"/>
      <c r="UHT86" s="63"/>
      <c r="UHU86" s="63"/>
      <c r="UHV86" s="63"/>
      <c r="UHW86" s="63"/>
      <c r="UHX86" s="63"/>
      <c r="UHY86" s="63"/>
      <c r="UHZ86" s="63"/>
      <c r="UIA86" s="63"/>
      <c r="UIB86" s="63"/>
      <c r="UIC86" s="63"/>
      <c r="UID86" s="63"/>
      <c r="UIE86" s="63"/>
      <c r="UIF86" s="63"/>
      <c r="UIG86" s="63"/>
      <c r="UIH86" s="63"/>
      <c r="UII86" s="63"/>
      <c r="UIJ86" s="63"/>
      <c r="UIK86" s="63"/>
      <c r="UIL86" s="63"/>
      <c r="UIM86" s="63"/>
      <c r="UIN86" s="63"/>
      <c r="UIO86" s="63"/>
      <c r="UIP86" s="63"/>
      <c r="UIQ86" s="63"/>
      <c r="UIR86" s="63"/>
      <c r="UIS86" s="63"/>
      <c r="UIT86" s="63"/>
      <c r="UIU86" s="63"/>
      <c r="UIV86" s="63"/>
      <c r="UIW86" s="63"/>
      <c r="UIX86" s="63"/>
      <c r="UIY86" s="63"/>
      <c r="UIZ86" s="63"/>
      <c r="UJA86" s="63"/>
      <c r="UJB86" s="63"/>
      <c r="UJC86" s="63"/>
      <c r="UJD86" s="63"/>
      <c r="UJE86" s="63"/>
      <c r="UJF86" s="63"/>
      <c r="UJG86" s="63"/>
      <c r="UJH86" s="63"/>
      <c r="UJI86" s="63"/>
      <c r="UJJ86" s="63"/>
      <c r="UJK86" s="63"/>
      <c r="UJL86" s="63"/>
      <c r="UJM86" s="63"/>
      <c r="UJN86" s="63"/>
      <c r="UJO86" s="63"/>
      <c r="UJP86" s="63"/>
      <c r="UJQ86" s="63"/>
      <c r="UJR86" s="63"/>
      <c r="UJS86" s="63"/>
      <c r="UJT86" s="63"/>
      <c r="UJU86" s="63"/>
      <c r="UJV86" s="63"/>
      <c r="UJW86" s="63"/>
      <c r="UJX86" s="63"/>
      <c r="UJY86" s="63"/>
      <c r="UJZ86" s="63"/>
      <c r="UKA86" s="63"/>
      <c r="UKB86" s="63"/>
      <c r="UKC86" s="63"/>
      <c r="UKD86" s="63"/>
      <c r="UKE86" s="63"/>
      <c r="UKF86" s="63"/>
      <c r="UKG86" s="63"/>
      <c r="UKH86" s="63"/>
      <c r="UKI86" s="63"/>
      <c r="UKJ86" s="63"/>
      <c r="UKK86" s="63"/>
      <c r="UKL86" s="63"/>
      <c r="UKM86" s="63"/>
      <c r="UKN86" s="63"/>
      <c r="UKO86" s="63"/>
      <c r="UKP86" s="63"/>
      <c r="UKQ86" s="63"/>
      <c r="UKR86" s="63"/>
      <c r="UKS86" s="63"/>
      <c r="UKT86" s="63"/>
      <c r="UKU86" s="63"/>
      <c r="UKV86" s="63"/>
      <c r="UKW86" s="63"/>
      <c r="UKX86" s="63"/>
      <c r="UKY86" s="63"/>
      <c r="UKZ86" s="63"/>
      <c r="ULA86" s="63"/>
      <c r="ULB86" s="63"/>
      <c r="ULC86" s="63"/>
      <c r="ULD86" s="63"/>
      <c r="ULE86" s="63"/>
      <c r="ULF86" s="63"/>
      <c r="ULG86" s="63"/>
      <c r="ULH86" s="63"/>
      <c r="ULI86" s="63"/>
      <c r="ULJ86" s="63"/>
      <c r="ULK86" s="63"/>
      <c r="ULL86" s="63"/>
      <c r="ULM86" s="63"/>
      <c r="ULN86" s="63"/>
      <c r="ULO86" s="63"/>
      <c r="ULP86" s="63"/>
      <c r="ULQ86" s="63"/>
      <c r="ULR86" s="63"/>
      <c r="ULS86" s="63"/>
      <c r="ULT86" s="63"/>
      <c r="ULU86" s="63"/>
      <c r="ULV86" s="63"/>
      <c r="ULW86" s="63"/>
      <c r="ULX86" s="63"/>
      <c r="ULY86" s="63"/>
      <c r="ULZ86" s="63"/>
      <c r="UMA86" s="63"/>
      <c r="UMB86" s="63"/>
      <c r="UMC86" s="63"/>
      <c r="UMD86" s="63"/>
      <c r="UME86" s="63"/>
      <c r="UMF86" s="63"/>
      <c r="UMG86" s="63"/>
      <c r="UMH86" s="63"/>
      <c r="UMI86" s="63"/>
      <c r="UMJ86" s="63"/>
      <c r="UMK86" s="63"/>
      <c r="UML86" s="63"/>
      <c r="UMM86" s="63"/>
      <c r="UMN86" s="63"/>
      <c r="UMO86" s="63"/>
      <c r="UMP86" s="63"/>
      <c r="UMQ86" s="63"/>
      <c r="UMR86" s="63"/>
      <c r="UMS86" s="63"/>
      <c r="UMT86" s="63"/>
      <c r="UMU86" s="63"/>
      <c r="UMV86" s="63"/>
      <c r="UMW86" s="63"/>
      <c r="UMX86" s="63"/>
      <c r="UMY86" s="63"/>
      <c r="UMZ86" s="63"/>
      <c r="UNA86" s="63"/>
      <c r="UNB86" s="63"/>
      <c r="UNC86" s="63"/>
      <c r="UND86" s="63"/>
      <c r="UNE86" s="63"/>
      <c r="UNF86" s="63"/>
      <c r="UNG86" s="63"/>
      <c r="UNH86" s="63"/>
      <c r="UNI86" s="63"/>
      <c r="UNJ86" s="63"/>
      <c r="UNK86" s="63"/>
      <c r="UNL86" s="63"/>
      <c r="UNM86" s="63"/>
      <c r="UNN86" s="63"/>
      <c r="UNO86" s="63"/>
      <c r="UNP86" s="63"/>
      <c r="UNQ86" s="63"/>
      <c r="UNR86" s="63"/>
      <c r="UNS86" s="63"/>
      <c r="UNT86" s="63"/>
      <c r="UNU86" s="63"/>
      <c r="UNV86" s="63"/>
      <c r="UNW86" s="63"/>
      <c r="UNX86" s="63"/>
      <c r="UNY86" s="63"/>
      <c r="UNZ86" s="63"/>
      <c r="UOA86" s="63"/>
      <c r="UOB86" s="63"/>
      <c r="UOC86" s="63"/>
      <c r="UOD86" s="63"/>
      <c r="UOE86" s="63"/>
      <c r="UOF86" s="63"/>
      <c r="UOG86" s="63"/>
      <c r="UOH86" s="63"/>
      <c r="UOI86" s="63"/>
      <c r="UOJ86" s="63"/>
      <c r="UOK86" s="63"/>
      <c r="UOL86" s="63"/>
      <c r="UOM86" s="63"/>
      <c r="UON86" s="63"/>
      <c r="UOO86" s="63"/>
      <c r="UOP86" s="63"/>
      <c r="UOQ86" s="63"/>
      <c r="UOR86" s="63"/>
      <c r="UOS86" s="63"/>
      <c r="UOT86" s="63"/>
      <c r="UOU86" s="63"/>
      <c r="UOV86" s="63"/>
      <c r="UOW86" s="63"/>
      <c r="UOX86" s="63"/>
      <c r="UOY86" s="63"/>
      <c r="UOZ86" s="63"/>
      <c r="UPA86" s="63"/>
      <c r="UPB86" s="63"/>
      <c r="UPC86" s="63"/>
      <c r="UPD86" s="63"/>
      <c r="UPE86" s="63"/>
      <c r="UPF86" s="63"/>
      <c r="UPG86" s="63"/>
      <c r="UPH86" s="63"/>
      <c r="UPI86" s="63"/>
      <c r="UPJ86" s="63"/>
      <c r="UPK86" s="63"/>
      <c r="UPL86" s="63"/>
      <c r="UPM86" s="63"/>
      <c r="UPN86" s="63"/>
      <c r="UPO86" s="63"/>
      <c r="UPP86" s="63"/>
      <c r="UPQ86" s="63"/>
      <c r="UPR86" s="63"/>
      <c r="UPS86" s="63"/>
      <c r="UPT86" s="63"/>
      <c r="UPU86" s="63"/>
      <c r="UPV86" s="63"/>
      <c r="UPW86" s="63"/>
      <c r="UPX86" s="63"/>
      <c r="UPY86" s="63"/>
      <c r="UPZ86" s="63"/>
      <c r="UQA86" s="63"/>
      <c r="UQB86" s="63"/>
      <c r="UQC86" s="63"/>
      <c r="UQD86" s="63"/>
      <c r="UQE86" s="63"/>
      <c r="UQF86" s="63"/>
      <c r="UQG86" s="63"/>
      <c r="UQH86" s="63"/>
      <c r="UQI86" s="63"/>
      <c r="UQJ86" s="63"/>
      <c r="UQK86" s="63"/>
      <c r="UQL86" s="63"/>
      <c r="UQM86" s="63"/>
      <c r="UQN86" s="63"/>
      <c r="UQO86" s="63"/>
      <c r="UQP86" s="63"/>
      <c r="UQQ86" s="63"/>
      <c r="UQR86" s="63"/>
      <c r="UQS86" s="63"/>
      <c r="UQT86" s="63"/>
      <c r="UQU86" s="63"/>
      <c r="UQV86" s="63"/>
      <c r="UQW86" s="63"/>
      <c r="UQX86" s="63"/>
      <c r="UQY86" s="63"/>
      <c r="UQZ86" s="63"/>
      <c r="URA86" s="63"/>
      <c r="URB86" s="63"/>
      <c r="URC86" s="63"/>
      <c r="URD86" s="63"/>
      <c r="URE86" s="63"/>
      <c r="URF86" s="63"/>
      <c r="URG86" s="63"/>
      <c r="URH86" s="63"/>
      <c r="URI86" s="63"/>
      <c r="URJ86" s="63"/>
      <c r="URK86" s="63"/>
      <c r="URL86" s="63"/>
      <c r="URM86" s="63"/>
      <c r="URN86" s="63"/>
      <c r="URO86" s="63"/>
      <c r="URP86" s="63"/>
      <c r="URQ86" s="63"/>
      <c r="URR86" s="63"/>
      <c r="URS86" s="63"/>
      <c r="URT86" s="63"/>
      <c r="URU86" s="63"/>
      <c r="URV86" s="63"/>
      <c r="URW86" s="63"/>
      <c r="URX86" s="63"/>
      <c r="URY86" s="63"/>
      <c r="URZ86" s="63"/>
      <c r="USA86" s="63"/>
      <c r="USB86" s="63"/>
      <c r="USC86" s="63"/>
      <c r="USD86" s="63"/>
      <c r="USE86" s="63"/>
      <c r="USF86" s="63"/>
      <c r="USG86" s="63"/>
      <c r="USH86" s="63"/>
      <c r="USI86" s="63"/>
      <c r="USJ86" s="63"/>
      <c r="USK86" s="63"/>
      <c r="USL86" s="63"/>
      <c r="USM86" s="63"/>
      <c r="USN86" s="63"/>
      <c r="USO86" s="63"/>
      <c r="USP86" s="63"/>
      <c r="USQ86" s="63"/>
      <c r="USR86" s="63"/>
      <c r="USS86" s="63"/>
      <c r="UST86" s="63"/>
      <c r="USU86" s="63"/>
      <c r="USV86" s="63"/>
      <c r="USW86" s="63"/>
      <c r="USX86" s="63"/>
      <c r="USY86" s="63"/>
      <c r="USZ86" s="63"/>
      <c r="UTA86" s="63"/>
      <c r="UTB86" s="63"/>
      <c r="UTC86" s="63"/>
      <c r="UTD86" s="63"/>
      <c r="UTE86" s="63"/>
      <c r="UTF86" s="63"/>
      <c r="UTG86" s="63"/>
      <c r="UTH86" s="63"/>
      <c r="UTI86" s="63"/>
      <c r="UTJ86" s="63"/>
      <c r="UTK86" s="63"/>
      <c r="UTL86" s="63"/>
      <c r="UTM86" s="63"/>
      <c r="UTN86" s="63"/>
      <c r="UTO86" s="63"/>
      <c r="UTP86" s="63"/>
      <c r="UTQ86" s="63"/>
      <c r="UTR86" s="63"/>
      <c r="UTS86" s="63"/>
      <c r="UTT86" s="63"/>
      <c r="UTU86" s="63"/>
      <c r="UTV86" s="63"/>
      <c r="UTW86" s="63"/>
      <c r="UTX86" s="63"/>
      <c r="UTY86" s="63"/>
      <c r="UTZ86" s="63"/>
      <c r="UUA86" s="63"/>
      <c r="UUB86" s="63"/>
      <c r="UUC86" s="63"/>
      <c r="UUD86" s="63"/>
      <c r="UUE86" s="63"/>
      <c r="UUF86" s="63"/>
      <c r="UUG86" s="63"/>
      <c r="UUH86" s="63"/>
      <c r="UUI86" s="63"/>
      <c r="UUJ86" s="63"/>
      <c r="UUK86" s="63"/>
      <c r="UUL86" s="63"/>
      <c r="UUM86" s="63"/>
      <c r="UUN86" s="63"/>
      <c r="UUO86" s="63"/>
      <c r="UUP86" s="63"/>
      <c r="UUQ86" s="63"/>
      <c r="UUR86" s="63"/>
      <c r="UUS86" s="63"/>
      <c r="UUT86" s="63"/>
      <c r="UUU86" s="63"/>
      <c r="UUV86" s="63"/>
      <c r="UUW86" s="63"/>
      <c r="UUX86" s="63"/>
      <c r="UUY86" s="63"/>
      <c r="UUZ86" s="63"/>
      <c r="UVA86" s="63"/>
      <c r="UVB86" s="63"/>
      <c r="UVC86" s="63"/>
      <c r="UVD86" s="63"/>
      <c r="UVE86" s="63"/>
      <c r="UVF86" s="63"/>
      <c r="UVG86" s="63"/>
      <c r="UVH86" s="63"/>
      <c r="UVI86" s="63"/>
      <c r="UVJ86" s="63"/>
      <c r="UVK86" s="63"/>
      <c r="UVL86" s="63"/>
      <c r="UVM86" s="63"/>
      <c r="UVN86" s="63"/>
      <c r="UVO86" s="63"/>
      <c r="UVP86" s="63"/>
      <c r="UVQ86" s="63"/>
      <c r="UVR86" s="63"/>
      <c r="UVS86" s="63"/>
      <c r="UVT86" s="63"/>
      <c r="UVU86" s="63"/>
      <c r="UVV86" s="63"/>
      <c r="UVW86" s="63"/>
      <c r="UVX86" s="63"/>
      <c r="UVY86" s="63"/>
      <c r="UVZ86" s="63"/>
      <c r="UWA86" s="63"/>
      <c r="UWB86" s="63"/>
      <c r="UWC86" s="63"/>
      <c r="UWD86" s="63"/>
      <c r="UWE86" s="63"/>
      <c r="UWF86" s="63"/>
      <c r="UWG86" s="63"/>
      <c r="UWH86" s="63"/>
      <c r="UWI86" s="63"/>
      <c r="UWJ86" s="63"/>
      <c r="UWK86" s="63"/>
      <c r="UWL86" s="63"/>
      <c r="UWM86" s="63"/>
      <c r="UWN86" s="63"/>
      <c r="UWO86" s="63"/>
      <c r="UWP86" s="63"/>
      <c r="UWQ86" s="63"/>
      <c r="UWR86" s="63"/>
      <c r="UWS86" s="63"/>
      <c r="UWT86" s="63"/>
      <c r="UWU86" s="63"/>
      <c r="UWV86" s="63"/>
      <c r="UWW86" s="63"/>
      <c r="UWX86" s="63"/>
      <c r="UWY86" s="63"/>
      <c r="UWZ86" s="63"/>
      <c r="UXA86" s="63"/>
      <c r="UXB86" s="63"/>
      <c r="UXC86" s="63"/>
      <c r="UXD86" s="63"/>
      <c r="UXE86" s="63"/>
      <c r="UXF86" s="63"/>
      <c r="UXG86" s="63"/>
      <c r="UXH86" s="63"/>
      <c r="UXI86" s="63"/>
      <c r="UXJ86" s="63"/>
      <c r="UXK86" s="63"/>
      <c r="UXL86" s="63"/>
      <c r="UXM86" s="63"/>
      <c r="UXN86" s="63"/>
      <c r="UXO86" s="63"/>
      <c r="UXP86" s="63"/>
      <c r="UXQ86" s="63"/>
      <c r="UXR86" s="63"/>
      <c r="UXS86" s="63"/>
      <c r="UXT86" s="63"/>
      <c r="UXU86" s="63"/>
      <c r="UXV86" s="63"/>
      <c r="UXW86" s="63"/>
      <c r="UXX86" s="63"/>
      <c r="UXY86" s="63"/>
      <c r="UXZ86" s="63"/>
      <c r="UYA86" s="63"/>
      <c r="UYB86" s="63"/>
      <c r="UYC86" s="63"/>
      <c r="UYD86" s="63"/>
      <c r="UYE86" s="63"/>
      <c r="UYF86" s="63"/>
      <c r="UYG86" s="63"/>
      <c r="UYH86" s="63"/>
      <c r="UYI86" s="63"/>
      <c r="UYJ86" s="63"/>
      <c r="UYK86" s="63"/>
      <c r="UYL86" s="63"/>
      <c r="UYM86" s="63"/>
      <c r="UYN86" s="63"/>
      <c r="UYO86" s="63"/>
      <c r="UYP86" s="63"/>
      <c r="UYQ86" s="63"/>
      <c r="UYR86" s="63"/>
      <c r="UYS86" s="63"/>
      <c r="UYT86" s="63"/>
      <c r="UYU86" s="63"/>
      <c r="UYV86" s="63"/>
      <c r="UYW86" s="63"/>
      <c r="UYX86" s="63"/>
      <c r="UYY86" s="63"/>
      <c r="UYZ86" s="63"/>
      <c r="UZA86" s="63"/>
      <c r="UZB86" s="63"/>
      <c r="UZC86" s="63"/>
      <c r="UZD86" s="63"/>
      <c r="UZE86" s="63"/>
      <c r="UZF86" s="63"/>
      <c r="UZG86" s="63"/>
      <c r="UZH86" s="63"/>
      <c r="UZI86" s="63"/>
      <c r="UZJ86" s="63"/>
      <c r="UZK86" s="63"/>
      <c r="UZL86" s="63"/>
      <c r="UZM86" s="63"/>
      <c r="UZN86" s="63"/>
      <c r="UZO86" s="63"/>
      <c r="UZP86" s="63"/>
      <c r="UZQ86" s="63"/>
      <c r="UZR86" s="63"/>
      <c r="UZS86" s="63"/>
      <c r="UZT86" s="63"/>
      <c r="UZU86" s="63"/>
      <c r="UZV86" s="63"/>
      <c r="UZW86" s="63"/>
      <c r="UZX86" s="63"/>
      <c r="UZY86" s="63"/>
      <c r="UZZ86" s="63"/>
      <c r="VAA86" s="63"/>
      <c r="VAB86" s="63"/>
      <c r="VAC86" s="63"/>
      <c r="VAD86" s="63"/>
      <c r="VAE86" s="63"/>
      <c r="VAF86" s="63"/>
      <c r="VAG86" s="63"/>
      <c r="VAH86" s="63"/>
      <c r="VAI86" s="63"/>
      <c r="VAJ86" s="63"/>
      <c r="VAK86" s="63"/>
      <c r="VAL86" s="63"/>
      <c r="VAM86" s="63"/>
      <c r="VAN86" s="63"/>
      <c r="VAO86" s="63"/>
      <c r="VAP86" s="63"/>
      <c r="VAQ86" s="63"/>
      <c r="VAR86" s="63"/>
      <c r="VAS86" s="63"/>
      <c r="VAT86" s="63"/>
      <c r="VAU86" s="63"/>
      <c r="VAV86" s="63"/>
      <c r="VAW86" s="63"/>
      <c r="VAX86" s="63"/>
      <c r="VAY86" s="63"/>
      <c r="VAZ86" s="63"/>
      <c r="VBA86" s="63"/>
      <c r="VBB86" s="63"/>
      <c r="VBC86" s="63"/>
      <c r="VBD86" s="63"/>
      <c r="VBE86" s="63"/>
      <c r="VBF86" s="63"/>
      <c r="VBG86" s="63"/>
      <c r="VBH86" s="63"/>
      <c r="VBI86" s="63"/>
      <c r="VBJ86" s="63"/>
      <c r="VBK86" s="63"/>
      <c r="VBL86" s="63"/>
      <c r="VBM86" s="63"/>
      <c r="VBN86" s="63"/>
      <c r="VBO86" s="63"/>
      <c r="VBP86" s="63"/>
      <c r="VBQ86" s="63"/>
      <c r="VBR86" s="63"/>
      <c r="VBS86" s="63"/>
      <c r="VBT86" s="63"/>
      <c r="VBU86" s="63"/>
      <c r="VBV86" s="63"/>
      <c r="VBW86" s="63"/>
      <c r="VBX86" s="63"/>
      <c r="VBY86" s="63"/>
      <c r="VBZ86" s="63"/>
      <c r="VCA86" s="63"/>
      <c r="VCB86" s="63"/>
      <c r="VCC86" s="63"/>
      <c r="VCD86" s="63"/>
      <c r="VCE86" s="63"/>
      <c r="VCF86" s="63"/>
      <c r="VCG86" s="63"/>
      <c r="VCH86" s="63"/>
      <c r="VCI86" s="63"/>
      <c r="VCJ86" s="63"/>
      <c r="VCK86" s="63"/>
      <c r="VCL86" s="63"/>
      <c r="VCM86" s="63"/>
      <c r="VCN86" s="63"/>
      <c r="VCO86" s="63"/>
      <c r="VCP86" s="63"/>
      <c r="VCQ86" s="63"/>
      <c r="VCR86" s="63"/>
      <c r="VCS86" s="63"/>
      <c r="VCT86" s="63"/>
      <c r="VCU86" s="63"/>
      <c r="VCV86" s="63"/>
      <c r="VCW86" s="63"/>
      <c r="VCX86" s="63"/>
      <c r="VCY86" s="63"/>
      <c r="VCZ86" s="63"/>
      <c r="VDA86" s="63"/>
      <c r="VDB86" s="63"/>
      <c r="VDC86" s="63"/>
      <c r="VDD86" s="63"/>
      <c r="VDE86" s="63"/>
      <c r="VDF86" s="63"/>
      <c r="VDG86" s="63"/>
      <c r="VDH86" s="63"/>
      <c r="VDI86" s="63"/>
      <c r="VDJ86" s="63"/>
      <c r="VDK86" s="63"/>
      <c r="VDL86" s="63"/>
      <c r="VDM86" s="63"/>
      <c r="VDN86" s="63"/>
      <c r="VDO86" s="63"/>
      <c r="VDP86" s="63"/>
      <c r="VDQ86" s="63"/>
      <c r="VDR86" s="63"/>
      <c r="VDS86" s="63"/>
      <c r="VDT86" s="63"/>
      <c r="VDU86" s="63"/>
      <c r="VDV86" s="63"/>
      <c r="VDW86" s="63"/>
      <c r="VDX86" s="63"/>
      <c r="VDY86" s="63"/>
      <c r="VDZ86" s="63"/>
      <c r="VEA86" s="63"/>
      <c r="VEB86" s="63"/>
      <c r="VEC86" s="63"/>
      <c r="VED86" s="63"/>
      <c r="VEE86" s="63"/>
      <c r="VEF86" s="63"/>
      <c r="VEG86" s="63"/>
      <c r="VEH86" s="63"/>
      <c r="VEI86" s="63"/>
      <c r="VEJ86" s="63"/>
      <c r="VEK86" s="63"/>
      <c r="VEL86" s="63"/>
      <c r="VEM86" s="63"/>
      <c r="VEN86" s="63"/>
      <c r="VEO86" s="63"/>
      <c r="VEP86" s="63"/>
      <c r="VEQ86" s="63"/>
      <c r="VER86" s="63"/>
      <c r="VES86" s="63"/>
      <c r="VET86" s="63"/>
      <c r="VEU86" s="63"/>
      <c r="VEV86" s="63"/>
      <c r="VEW86" s="63"/>
      <c r="VEX86" s="63"/>
      <c r="VEY86" s="63"/>
      <c r="VEZ86" s="63"/>
      <c r="VFA86" s="63"/>
      <c r="VFB86" s="63"/>
      <c r="VFC86" s="63"/>
      <c r="VFD86" s="63"/>
      <c r="VFE86" s="63"/>
      <c r="VFF86" s="63"/>
      <c r="VFG86" s="63"/>
      <c r="VFH86" s="63"/>
      <c r="VFI86" s="63"/>
      <c r="VFJ86" s="63"/>
      <c r="VFK86" s="63"/>
      <c r="VFL86" s="63"/>
      <c r="VFM86" s="63"/>
      <c r="VFN86" s="63"/>
      <c r="VFO86" s="63"/>
      <c r="VFP86" s="63"/>
      <c r="VFQ86" s="63"/>
      <c r="VFR86" s="63"/>
      <c r="VFS86" s="63"/>
      <c r="VFT86" s="63"/>
      <c r="VFU86" s="63"/>
      <c r="VFV86" s="63"/>
      <c r="VFW86" s="63"/>
      <c r="VFX86" s="63"/>
      <c r="VFY86" s="63"/>
      <c r="VFZ86" s="63"/>
      <c r="VGA86" s="63"/>
      <c r="VGB86" s="63"/>
      <c r="VGC86" s="63"/>
      <c r="VGD86" s="63"/>
      <c r="VGE86" s="63"/>
      <c r="VGF86" s="63"/>
      <c r="VGG86" s="63"/>
      <c r="VGH86" s="63"/>
      <c r="VGI86" s="63"/>
      <c r="VGJ86" s="63"/>
      <c r="VGK86" s="63"/>
      <c r="VGL86" s="63"/>
      <c r="VGM86" s="63"/>
      <c r="VGN86" s="63"/>
      <c r="VGO86" s="63"/>
      <c r="VGP86" s="63"/>
      <c r="VGQ86" s="63"/>
      <c r="VGR86" s="63"/>
      <c r="VGS86" s="63"/>
      <c r="VGT86" s="63"/>
      <c r="VGU86" s="63"/>
      <c r="VGV86" s="63"/>
      <c r="VGW86" s="63"/>
      <c r="VGX86" s="63"/>
      <c r="VGY86" s="63"/>
      <c r="VGZ86" s="63"/>
      <c r="VHA86" s="63"/>
      <c r="VHB86" s="63"/>
      <c r="VHC86" s="63"/>
      <c r="VHD86" s="63"/>
      <c r="VHE86" s="63"/>
      <c r="VHF86" s="63"/>
      <c r="VHG86" s="63"/>
      <c r="VHH86" s="63"/>
      <c r="VHI86" s="63"/>
      <c r="VHJ86" s="63"/>
      <c r="VHK86" s="63"/>
      <c r="VHL86" s="63"/>
      <c r="VHM86" s="63"/>
      <c r="VHN86" s="63"/>
      <c r="VHO86" s="63"/>
      <c r="VHP86" s="63"/>
      <c r="VHQ86" s="63"/>
      <c r="VHR86" s="63"/>
      <c r="VHS86" s="63"/>
      <c r="VHT86" s="63"/>
      <c r="VHU86" s="63"/>
      <c r="VHV86" s="63"/>
      <c r="VHW86" s="63"/>
      <c r="VHX86" s="63"/>
      <c r="VHY86" s="63"/>
      <c r="VHZ86" s="63"/>
      <c r="VIA86" s="63"/>
      <c r="VIB86" s="63"/>
      <c r="VIC86" s="63"/>
      <c r="VID86" s="63"/>
      <c r="VIE86" s="63"/>
      <c r="VIF86" s="63"/>
      <c r="VIG86" s="63"/>
      <c r="VIH86" s="63"/>
      <c r="VII86" s="63"/>
      <c r="VIJ86" s="63"/>
      <c r="VIK86" s="63"/>
      <c r="VIL86" s="63"/>
      <c r="VIM86" s="63"/>
      <c r="VIN86" s="63"/>
      <c r="VIO86" s="63"/>
      <c r="VIP86" s="63"/>
      <c r="VIQ86" s="63"/>
      <c r="VIR86" s="63"/>
      <c r="VIS86" s="63"/>
      <c r="VIT86" s="63"/>
      <c r="VIU86" s="63"/>
      <c r="VIV86" s="63"/>
      <c r="VIW86" s="63"/>
      <c r="VIX86" s="63"/>
      <c r="VIY86" s="63"/>
      <c r="VIZ86" s="63"/>
      <c r="VJA86" s="63"/>
      <c r="VJB86" s="63"/>
      <c r="VJC86" s="63"/>
      <c r="VJD86" s="63"/>
      <c r="VJE86" s="63"/>
      <c r="VJF86" s="63"/>
      <c r="VJG86" s="63"/>
      <c r="VJH86" s="63"/>
      <c r="VJI86" s="63"/>
      <c r="VJJ86" s="63"/>
      <c r="VJK86" s="63"/>
      <c r="VJL86" s="63"/>
      <c r="VJM86" s="63"/>
      <c r="VJN86" s="63"/>
      <c r="VJO86" s="63"/>
      <c r="VJP86" s="63"/>
      <c r="VJQ86" s="63"/>
      <c r="VJR86" s="63"/>
      <c r="VJS86" s="63"/>
      <c r="VJT86" s="63"/>
      <c r="VJU86" s="63"/>
      <c r="VJV86" s="63"/>
      <c r="VJW86" s="63"/>
      <c r="VJX86" s="63"/>
      <c r="VJY86" s="63"/>
      <c r="VJZ86" s="63"/>
      <c r="VKA86" s="63"/>
      <c r="VKB86" s="63"/>
      <c r="VKC86" s="63"/>
      <c r="VKD86" s="63"/>
      <c r="VKE86" s="63"/>
      <c r="VKF86" s="63"/>
      <c r="VKG86" s="63"/>
      <c r="VKH86" s="63"/>
      <c r="VKI86" s="63"/>
      <c r="VKJ86" s="63"/>
      <c r="VKK86" s="63"/>
      <c r="VKL86" s="63"/>
      <c r="VKM86" s="63"/>
      <c r="VKN86" s="63"/>
      <c r="VKO86" s="63"/>
      <c r="VKP86" s="63"/>
      <c r="VKQ86" s="63"/>
      <c r="VKR86" s="63"/>
      <c r="VKS86" s="63"/>
      <c r="VKT86" s="63"/>
      <c r="VKU86" s="63"/>
      <c r="VKV86" s="63"/>
      <c r="VKW86" s="63"/>
      <c r="VKX86" s="63"/>
      <c r="VKY86" s="63"/>
      <c r="VKZ86" s="63"/>
      <c r="VLA86" s="63"/>
      <c r="VLB86" s="63"/>
      <c r="VLC86" s="63"/>
      <c r="VLD86" s="63"/>
      <c r="VLE86" s="63"/>
      <c r="VLF86" s="63"/>
      <c r="VLG86" s="63"/>
      <c r="VLH86" s="63"/>
      <c r="VLI86" s="63"/>
      <c r="VLJ86" s="63"/>
      <c r="VLK86" s="63"/>
      <c r="VLL86" s="63"/>
      <c r="VLM86" s="63"/>
      <c r="VLN86" s="63"/>
      <c r="VLO86" s="63"/>
      <c r="VLP86" s="63"/>
      <c r="VLQ86" s="63"/>
      <c r="VLR86" s="63"/>
      <c r="VLS86" s="63"/>
      <c r="VLT86" s="63"/>
      <c r="VLU86" s="63"/>
      <c r="VLV86" s="63"/>
      <c r="VLW86" s="63"/>
      <c r="VLX86" s="63"/>
      <c r="VLY86" s="63"/>
      <c r="VLZ86" s="63"/>
      <c r="VMA86" s="63"/>
      <c r="VMB86" s="63"/>
      <c r="VMC86" s="63"/>
      <c r="VMD86" s="63"/>
      <c r="VME86" s="63"/>
      <c r="VMF86" s="63"/>
      <c r="VMG86" s="63"/>
      <c r="VMH86" s="63"/>
      <c r="VMI86" s="63"/>
      <c r="VMJ86" s="63"/>
      <c r="VMK86" s="63"/>
      <c r="VML86" s="63"/>
      <c r="VMM86" s="63"/>
      <c r="VMN86" s="63"/>
      <c r="VMO86" s="63"/>
      <c r="VMP86" s="63"/>
      <c r="VMQ86" s="63"/>
      <c r="VMR86" s="63"/>
      <c r="VMS86" s="63"/>
      <c r="VMT86" s="63"/>
      <c r="VMU86" s="63"/>
      <c r="VMV86" s="63"/>
      <c r="VMW86" s="63"/>
      <c r="VMX86" s="63"/>
      <c r="VMY86" s="63"/>
      <c r="VMZ86" s="63"/>
      <c r="VNA86" s="63"/>
      <c r="VNB86" s="63"/>
      <c r="VNC86" s="63"/>
      <c r="VND86" s="63"/>
      <c r="VNE86" s="63"/>
      <c r="VNF86" s="63"/>
      <c r="VNG86" s="63"/>
      <c r="VNH86" s="63"/>
      <c r="VNI86" s="63"/>
      <c r="VNJ86" s="63"/>
      <c r="VNK86" s="63"/>
      <c r="VNL86" s="63"/>
      <c r="VNM86" s="63"/>
      <c r="VNN86" s="63"/>
      <c r="VNO86" s="63"/>
      <c r="VNP86" s="63"/>
      <c r="VNQ86" s="63"/>
      <c r="VNR86" s="63"/>
      <c r="VNS86" s="63"/>
      <c r="VNT86" s="63"/>
      <c r="VNU86" s="63"/>
      <c r="VNV86" s="63"/>
      <c r="VNW86" s="63"/>
      <c r="VNX86" s="63"/>
      <c r="VNY86" s="63"/>
      <c r="VNZ86" s="63"/>
      <c r="VOA86" s="63"/>
      <c r="VOB86" s="63"/>
      <c r="VOC86" s="63"/>
      <c r="VOD86" s="63"/>
      <c r="VOE86" s="63"/>
      <c r="VOF86" s="63"/>
      <c r="VOG86" s="63"/>
      <c r="VOH86" s="63"/>
      <c r="VOI86" s="63"/>
      <c r="VOJ86" s="63"/>
      <c r="VOK86" s="63"/>
      <c r="VOL86" s="63"/>
      <c r="VOM86" s="63"/>
      <c r="VON86" s="63"/>
      <c r="VOO86" s="63"/>
      <c r="VOP86" s="63"/>
      <c r="VOQ86" s="63"/>
      <c r="VOR86" s="63"/>
      <c r="VOS86" s="63"/>
      <c r="VOT86" s="63"/>
      <c r="VOU86" s="63"/>
      <c r="VOV86" s="63"/>
      <c r="VOW86" s="63"/>
      <c r="VOX86" s="63"/>
      <c r="VOY86" s="63"/>
      <c r="VOZ86" s="63"/>
      <c r="VPA86" s="63"/>
      <c r="VPB86" s="63"/>
      <c r="VPC86" s="63"/>
      <c r="VPD86" s="63"/>
      <c r="VPE86" s="63"/>
      <c r="VPF86" s="63"/>
      <c r="VPG86" s="63"/>
      <c r="VPH86" s="63"/>
      <c r="VPI86" s="63"/>
      <c r="VPJ86" s="63"/>
      <c r="VPK86" s="63"/>
      <c r="VPL86" s="63"/>
      <c r="VPM86" s="63"/>
      <c r="VPN86" s="63"/>
      <c r="VPO86" s="63"/>
      <c r="VPP86" s="63"/>
      <c r="VPQ86" s="63"/>
      <c r="VPR86" s="63"/>
      <c r="VPS86" s="63"/>
      <c r="VPT86" s="63"/>
      <c r="VPU86" s="63"/>
      <c r="VPV86" s="63"/>
      <c r="VPW86" s="63"/>
      <c r="VPX86" s="63"/>
      <c r="VPY86" s="63"/>
      <c r="VPZ86" s="63"/>
      <c r="VQA86" s="63"/>
      <c r="VQB86" s="63"/>
      <c r="VQC86" s="63"/>
      <c r="VQD86" s="63"/>
      <c r="VQE86" s="63"/>
      <c r="VQF86" s="63"/>
      <c r="VQG86" s="63"/>
      <c r="VQH86" s="63"/>
      <c r="VQI86" s="63"/>
      <c r="VQJ86" s="63"/>
      <c r="VQK86" s="63"/>
      <c r="VQL86" s="63"/>
      <c r="VQM86" s="63"/>
      <c r="VQN86" s="63"/>
      <c r="VQO86" s="63"/>
      <c r="VQP86" s="63"/>
      <c r="VQQ86" s="63"/>
      <c r="VQR86" s="63"/>
      <c r="VQS86" s="63"/>
      <c r="VQT86" s="63"/>
      <c r="VQU86" s="63"/>
      <c r="VQV86" s="63"/>
      <c r="VQW86" s="63"/>
      <c r="VQX86" s="63"/>
      <c r="VQY86" s="63"/>
      <c r="VQZ86" s="63"/>
      <c r="VRA86" s="63"/>
      <c r="VRB86" s="63"/>
      <c r="VRC86" s="63"/>
      <c r="VRD86" s="63"/>
      <c r="VRE86" s="63"/>
      <c r="VRF86" s="63"/>
      <c r="VRG86" s="63"/>
      <c r="VRH86" s="63"/>
      <c r="VRI86" s="63"/>
      <c r="VRJ86" s="63"/>
      <c r="VRK86" s="63"/>
      <c r="VRL86" s="63"/>
      <c r="VRM86" s="63"/>
      <c r="VRN86" s="63"/>
      <c r="VRO86" s="63"/>
      <c r="VRP86" s="63"/>
      <c r="VRQ86" s="63"/>
      <c r="VRR86" s="63"/>
      <c r="VRS86" s="63"/>
      <c r="VRT86" s="63"/>
      <c r="VRU86" s="63"/>
      <c r="VRV86" s="63"/>
      <c r="VRW86" s="63"/>
      <c r="VRX86" s="63"/>
      <c r="VRY86" s="63"/>
      <c r="VRZ86" s="63"/>
      <c r="VSA86" s="63"/>
      <c r="VSB86" s="63"/>
      <c r="VSC86" s="63"/>
      <c r="VSD86" s="63"/>
      <c r="VSE86" s="63"/>
      <c r="VSF86" s="63"/>
      <c r="VSG86" s="63"/>
      <c r="VSH86" s="63"/>
      <c r="VSI86" s="63"/>
      <c r="VSJ86" s="63"/>
      <c r="VSK86" s="63"/>
      <c r="VSL86" s="63"/>
      <c r="VSM86" s="63"/>
      <c r="VSN86" s="63"/>
      <c r="VSO86" s="63"/>
      <c r="VSP86" s="63"/>
      <c r="VSQ86" s="63"/>
      <c r="VSR86" s="63"/>
      <c r="VSS86" s="63"/>
      <c r="VST86" s="63"/>
      <c r="VSU86" s="63"/>
      <c r="VSV86" s="63"/>
      <c r="VSW86" s="63"/>
      <c r="VSX86" s="63"/>
      <c r="VSY86" s="63"/>
      <c r="VSZ86" s="63"/>
      <c r="VTA86" s="63"/>
      <c r="VTB86" s="63"/>
      <c r="VTC86" s="63"/>
      <c r="VTD86" s="63"/>
      <c r="VTE86" s="63"/>
      <c r="VTF86" s="63"/>
      <c r="VTG86" s="63"/>
      <c r="VTH86" s="63"/>
      <c r="VTI86" s="63"/>
      <c r="VTJ86" s="63"/>
      <c r="VTK86" s="63"/>
      <c r="VTL86" s="63"/>
      <c r="VTM86" s="63"/>
      <c r="VTN86" s="63"/>
      <c r="VTO86" s="63"/>
      <c r="VTP86" s="63"/>
      <c r="VTQ86" s="63"/>
      <c r="VTR86" s="63"/>
      <c r="VTS86" s="63"/>
      <c r="VTT86" s="63"/>
      <c r="VTU86" s="63"/>
      <c r="VTV86" s="63"/>
      <c r="VTW86" s="63"/>
      <c r="VTX86" s="63"/>
      <c r="VTY86" s="63"/>
      <c r="VTZ86" s="63"/>
      <c r="VUA86" s="63"/>
      <c r="VUB86" s="63"/>
      <c r="VUC86" s="63"/>
      <c r="VUD86" s="63"/>
      <c r="VUE86" s="63"/>
      <c r="VUF86" s="63"/>
      <c r="VUG86" s="63"/>
      <c r="VUH86" s="63"/>
      <c r="VUI86" s="63"/>
      <c r="VUJ86" s="63"/>
      <c r="VUK86" s="63"/>
      <c r="VUL86" s="63"/>
      <c r="VUM86" s="63"/>
      <c r="VUN86" s="63"/>
      <c r="VUO86" s="63"/>
      <c r="VUP86" s="63"/>
      <c r="VUQ86" s="63"/>
      <c r="VUR86" s="63"/>
      <c r="VUS86" s="63"/>
      <c r="VUT86" s="63"/>
      <c r="VUU86" s="63"/>
      <c r="VUV86" s="63"/>
      <c r="VUW86" s="63"/>
      <c r="VUX86" s="63"/>
      <c r="VUY86" s="63"/>
      <c r="VUZ86" s="63"/>
      <c r="VVA86" s="63"/>
      <c r="VVB86" s="63"/>
      <c r="VVC86" s="63"/>
      <c r="VVD86" s="63"/>
      <c r="VVE86" s="63"/>
      <c r="VVF86" s="63"/>
      <c r="VVG86" s="63"/>
      <c r="VVH86" s="63"/>
      <c r="VVI86" s="63"/>
      <c r="VVJ86" s="63"/>
      <c r="VVK86" s="63"/>
      <c r="VVL86" s="63"/>
      <c r="VVM86" s="63"/>
      <c r="VVN86" s="63"/>
      <c r="VVO86" s="63"/>
      <c r="VVP86" s="63"/>
      <c r="VVQ86" s="63"/>
      <c r="VVR86" s="63"/>
      <c r="VVS86" s="63"/>
      <c r="VVT86" s="63"/>
      <c r="VVU86" s="63"/>
      <c r="VVV86" s="63"/>
      <c r="VVW86" s="63"/>
      <c r="VVX86" s="63"/>
      <c r="VVY86" s="63"/>
      <c r="VVZ86" s="63"/>
      <c r="VWA86" s="63"/>
      <c r="VWB86" s="63"/>
      <c r="VWC86" s="63"/>
      <c r="VWD86" s="63"/>
      <c r="VWE86" s="63"/>
      <c r="VWF86" s="63"/>
      <c r="VWG86" s="63"/>
      <c r="VWH86" s="63"/>
      <c r="VWI86" s="63"/>
      <c r="VWJ86" s="63"/>
      <c r="VWK86" s="63"/>
      <c r="VWL86" s="63"/>
      <c r="VWM86" s="63"/>
      <c r="VWN86" s="63"/>
      <c r="VWO86" s="63"/>
      <c r="VWP86" s="63"/>
      <c r="VWQ86" s="63"/>
      <c r="VWR86" s="63"/>
      <c r="VWS86" s="63"/>
      <c r="VWT86" s="63"/>
      <c r="VWU86" s="63"/>
      <c r="VWV86" s="63"/>
      <c r="VWW86" s="63"/>
      <c r="VWX86" s="63"/>
      <c r="VWY86" s="63"/>
      <c r="VWZ86" s="63"/>
      <c r="VXA86" s="63"/>
      <c r="VXB86" s="63"/>
      <c r="VXC86" s="63"/>
      <c r="VXD86" s="63"/>
      <c r="VXE86" s="63"/>
      <c r="VXF86" s="63"/>
      <c r="VXG86" s="63"/>
      <c r="VXH86" s="63"/>
      <c r="VXI86" s="63"/>
      <c r="VXJ86" s="63"/>
      <c r="VXK86" s="63"/>
      <c r="VXL86" s="63"/>
      <c r="VXM86" s="63"/>
      <c r="VXN86" s="63"/>
      <c r="VXO86" s="63"/>
      <c r="VXP86" s="63"/>
      <c r="VXQ86" s="63"/>
      <c r="VXR86" s="63"/>
      <c r="VXS86" s="63"/>
      <c r="VXT86" s="63"/>
      <c r="VXU86" s="63"/>
      <c r="VXV86" s="63"/>
      <c r="VXW86" s="63"/>
      <c r="VXX86" s="63"/>
      <c r="VXY86" s="63"/>
      <c r="VXZ86" s="63"/>
      <c r="VYA86" s="63"/>
      <c r="VYB86" s="63"/>
      <c r="VYC86" s="63"/>
      <c r="VYD86" s="63"/>
      <c r="VYE86" s="63"/>
      <c r="VYF86" s="63"/>
      <c r="VYG86" s="63"/>
      <c r="VYH86" s="63"/>
      <c r="VYI86" s="63"/>
      <c r="VYJ86" s="63"/>
      <c r="VYK86" s="63"/>
      <c r="VYL86" s="63"/>
      <c r="VYM86" s="63"/>
      <c r="VYN86" s="63"/>
      <c r="VYO86" s="63"/>
      <c r="VYP86" s="63"/>
      <c r="VYQ86" s="63"/>
      <c r="VYR86" s="63"/>
      <c r="VYS86" s="63"/>
      <c r="VYT86" s="63"/>
      <c r="VYU86" s="63"/>
      <c r="VYV86" s="63"/>
      <c r="VYW86" s="63"/>
      <c r="VYX86" s="63"/>
      <c r="VYY86" s="63"/>
      <c r="VYZ86" s="63"/>
      <c r="VZA86" s="63"/>
      <c r="VZB86" s="63"/>
      <c r="VZC86" s="63"/>
      <c r="VZD86" s="63"/>
      <c r="VZE86" s="63"/>
      <c r="VZF86" s="63"/>
      <c r="VZG86" s="63"/>
      <c r="VZH86" s="63"/>
      <c r="VZI86" s="63"/>
      <c r="VZJ86" s="63"/>
      <c r="VZK86" s="63"/>
      <c r="VZL86" s="63"/>
      <c r="VZM86" s="63"/>
      <c r="VZN86" s="63"/>
      <c r="VZO86" s="63"/>
      <c r="VZP86" s="63"/>
      <c r="VZQ86" s="63"/>
      <c r="VZR86" s="63"/>
      <c r="VZS86" s="63"/>
      <c r="VZT86" s="63"/>
      <c r="VZU86" s="63"/>
      <c r="VZV86" s="63"/>
      <c r="VZW86" s="63"/>
      <c r="VZX86" s="63"/>
      <c r="VZY86" s="63"/>
      <c r="VZZ86" s="63"/>
      <c r="WAA86" s="63"/>
      <c r="WAB86" s="63"/>
      <c r="WAC86" s="63"/>
      <c r="WAD86" s="63"/>
      <c r="WAE86" s="63"/>
      <c r="WAF86" s="63"/>
      <c r="WAG86" s="63"/>
      <c r="WAH86" s="63"/>
      <c r="WAI86" s="63"/>
      <c r="WAJ86" s="63"/>
      <c r="WAK86" s="63"/>
      <c r="WAL86" s="63"/>
      <c r="WAM86" s="63"/>
      <c r="WAN86" s="63"/>
      <c r="WAO86" s="63"/>
      <c r="WAP86" s="63"/>
      <c r="WAQ86" s="63"/>
      <c r="WAR86" s="63"/>
      <c r="WAS86" s="63"/>
      <c r="WAT86" s="63"/>
      <c r="WAU86" s="63"/>
      <c r="WAV86" s="63"/>
      <c r="WAW86" s="63"/>
      <c r="WAX86" s="63"/>
      <c r="WAY86" s="63"/>
      <c r="WAZ86" s="63"/>
      <c r="WBA86" s="63"/>
      <c r="WBB86" s="63"/>
      <c r="WBC86" s="63"/>
      <c r="WBD86" s="63"/>
      <c r="WBE86" s="63"/>
      <c r="WBF86" s="63"/>
      <c r="WBG86" s="63"/>
      <c r="WBH86" s="63"/>
      <c r="WBI86" s="63"/>
      <c r="WBJ86" s="63"/>
      <c r="WBK86" s="63"/>
      <c r="WBL86" s="63"/>
      <c r="WBM86" s="63"/>
      <c r="WBN86" s="63"/>
      <c r="WBO86" s="63"/>
      <c r="WBP86" s="63"/>
      <c r="WBQ86" s="63"/>
      <c r="WBR86" s="63"/>
      <c r="WBS86" s="63"/>
      <c r="WBT86" s="63"/>
      <c r="WBU86" s="63"/>
      <c r="WBV86" s="63"/>
      <c r="WBW86" s="63"/>
      <c r="WBX86" s="63"/>
      <c r="WBY86" s="63"/>
      <c r="WBZ86" s="63"/>
      <c r="WCA86" s="63"/>
      <c r="WCB86" s="63"/>
      <c r="WCC86" s="63"/>
      <c r="WCD86" s="63"/>
      <c r="WCE86" s="63"/>
      <c r="WCF86" s="63"/>
      <c r="WCG86" s="63"/>
      <c r="WCH86" s="63"/>
      <c r="WCI86" s="63"/>
      <c r="WCJ86" s="63"/>
      <c r="WCK86" s="63"/>
      <c r="WCL86" s="63"/>
      <c r="WCM86" s="63"/>
      <c r="WCN86" s="63"/>
      <c r="WCO86" s="63"/>
      <c r="WCP86" s="63"/>
      <c r="WCQ86" s="63"/>
      <c r="WCR86" s="63"/>
      <c r="WCS86" s="63"/>
      <c r="WCT86" s="63"/>
      <c r="WCU86" s="63"/>
      <c r="WCV86" s="63"/>
      <c r="WCW86" s="63"/>
      <c r="WCX86" s="63"/>
      <c r="WCY86" s="63"/>
      <c r="WCZ86" s="63"/>
      <c r="WDA86" s="63"/>
      <c r="WDB86" s="63"/>
      <c r="WDC86" s="63"/>
      <c r="WDD86" s="63"/>
      <c r="WDE86" s="63"/>
      <c r="WDF86" s="63"/>
      <c r="WDG86" s="63"/>
      <c r="WDH86" s="63"/>
      <c r="WDI86" s="63"/>
      <c r="WDJ86" s="63"/>
      <c r="WDK86" s="63"/>
      <c r="WDL86" s="63"/>
      <c r="WDM86" s="63"/>
      <c r="WDN86" s="63"/>
      <c r="WDO86" s="63"/>
      <c r="WDP86" s="63"/>
      <c r="WDQ86" s="63"/>
      <c r="WDR86" s="63"/>
      <c r="WDS86" s="63"/>
      <c r="WDT86" s="63"/>
      <c r="WDU86" s="63"/>
      <c r="WDV86" s="63"/>
      <c r="WDW86" s="63"/>
      <c r="WDX86" s="63"/>
      <c r="WDY86" s="63"/>
      <c r="WDZ86" s="63"/>
      <c r="WEA86" s="63"/>
      <c r="WEB86" s="63"/>
      <c r="WEC86" s="63"/>
      <c r="WED86" s="63"/>
      <c r="WEE86" s="63"/>
      <c r="WEF86" s="63"/>
      <c r="WEG86" s="63"/>
      <c r="WEH86" s="63"/>
      <c r="WEI86" s="63"/>
      <c r="WEJ86" s="63"/>
      <c r="WEK86" s="63"/>
      <c r="WEL86" s="63"/>
      <c r="WEM86" s="63"/>
      <c r="WEN86" s="63"/>
      <c r="WEO86" s="63"/>
      <c r="WEP86" s="63"/>
      <c r="WEQ86" s="63"/>
      <c r="WER86" s="63"/>
      <c r="WES86" s="63"/>
      <c r="WET86" s="63"/>
      <c r="WEU86" s="63"/>
      <c r="WEV86" s="63"/>
      <c r="WEW86" s="63"/>
      <c r="WEX86" s="63"/>
      <c r="WEY86" s="63"/>
      <c r="WEZ86" s="63"/>
      <c r="WFA86" s="63"/>
      <c r="WFB86" s="63"/>
      <c r="WFC86" s="63"/>
      <c r="WFD86" s="63"/>
      <c r="WFE86" s="63"/>
      <c r="WFF86" s="63"/>
      <c r="WFG86" s="63"/>
      <c r="WFH86" s="63"/>
      <c r="WFI86" s="63"/>
      <c r="WFJ86" s="63"/>
      <c r="WFK86" s="63"/>
      <c r="WFL86" s="63"/>
      <c r="WFM86" s="63"/>
      <c r="WFN86" s="63"/>
      <c r="WFO86" s="63"/>
      <c r="WFP86" s="63"/>
      <c r="WFQ86" s="63"/>
      <c r="WFR86" s="63"/>
      <c r="WFS86" s="63"/>
      <c r="WFT86" s="63"/>
      <c r="WFU86" s="63"/>
      <c r="WFV86" s="63"/>
      <c r="WFW86" s="63"/>
      <c r="WFX86" s="63"/>
      <c r="WFY86" s="63"/>
      <c r="WFZ86" s="63"/>
      <c r="WGA86" s="63"/>
      <c r="WGB86" s="63"/>
      <c r="WGC86" s="63"/>
      <c r="WGD86" s="63"/>
      <c r="WGE86" s="63"/>
      <c r="WGF86" s="63"/>
      <c r="WGG86" s="63"/>
      <c r="WGH86" s="63"/>
      <c r="WGI86" s="63"/>
      <c r="WGJ86" s="63"/>
      <c r="WGK86" s="63"/>
      <c r="WGL86" s="63"/>
      <c r="WGM86" s="63"/>
      <c r="WGN86" s="63"/>
      <c r="WGO86" s="63"/>
      <c r="WGP86" s="63"/>
      <c r="WGQ86" s="63"/>
      <c r="WGR86" s="63"/>
      <c r="WGS86" s="63"/>
      <c r="WGT86" s="63"/>
      <c r="WGU86" s="63"/>
      <c r="WGV86" s="63"/>
      <c r="WGW86" s="63"/>
      <c r="WGX86" s="63"/>
      <c r="WGY86" s="63"/>
      <c r="WGZ86" s="63"/>
      <c r="WHA86" s="63"/>
      <c r="WHB86" s="63"/>
      <c r="WHC86" s="63"/>
      <c r="WHD86" s="63"/>
      <c r="WHE86" s="63"/>
      <c r="WHF86" s="63"/>
      <c r="WHG86" s="63"/>
      <c r="WHH86" s="63"/>
      <c r="WHI86" s="63"/>
      <c r="WHJ86" s="63"/>
      <c r="WHK86" s="63"/>
      <c r="WHL86" s="63"/>
      <c r="WHM86" s="63"/>
      <c r="WHN86" s="63"/>
      <c r="WHO86" s="63"/>
      <c r="WHP86" s="63"/>
      <c r="WHQ86" s="63"/>
      <c r="WHR86" s="63"/>
      <c r="WHS86" s="63"/>
      <c r="WHT86" s="63"/>
      <c r="WHU86" s="63"/>
      <c r="WHV86" s="63"/>
      <c r="WHW86" s="63"/>
      <c r="WHX86" s="63"/>
      <c r="WHY86" s="63"/>
      <c r="WHZ86" s="63"/>
      <c r="WIA86" s="63"/>
      <c r="WIB86" s="63"/>
      <c r="WIC86" s="63"/>
      <c r="WID86" s="63"/>
      <c r="WIE86" s="63"/>
      <c r="WIF86" s="63"/>
      <c r="WIG86" s="63"/>
      <c r="WIH86" s="63"/>
      <c r="WII86" s="63"/>
      <c r="WIJ86" s="63"/>
      <c r="WIK86" s="63"/>
      <c r="WIL86" s="63"/>
      <c r="WIM86" s="63"/>
      <c r="WIN86" s="63"/>
      <c r="WIO86" s="63"/>
      <c r="WIP86" s="63"/>
      <c r="WIQ86" s="63"/>
      <c r="WIR86" s="63"/>
      <c r="WIS86" s="63"/>
      <c r="WIT86" s="63"/>
      <c r="WIU86" s="63"/>
      <c r="WIV86" s="63"/>
      <c r="WIW86" s="63"/>
      <c r="WIX86" s="63"/>
      <c r="WIY86" s="63"/>
      <c r="WIZ86" s="63"/>
      <c r="WJA86" s="63"/>
      <c r="WJB86" s="63"/>
      <c r="WJC86" s="63"/>
      <c r="WJD86" s="63"/>
      <c r="WJE86" s="63"/>
      <c r="WJF86" s="63"/>
      <c r="WJG86" s="63"/>
      <c r="WJH86" s="63"/>
      <c r="WJI86" s="63"/>
      <c r="WJJ86" s="63"/>
      <c r="WJK86" s="63"/>
      <c r="WJL86" s="63"/>
      <c r="WJM86" s="63"/>
      <c r="WJN86" s="63"/>
      <c r="WJO86" s="63"/>
      <c r="WJP86" s="63"/>
      <c r="WJQ86" s="63"/>
      <c r="WJR86" s="63"/>
      <c r="WJS86" s="63"/>
      <c r="WJT86" s="63"/>
      <c r="WJU86" s="63"/>
      <c r="WJV86" s="63"/>
      <c r="WJW86" s="63"/>
      <c r="WJX86" s="63"/>
      <c r="WJY86" s="63"/>
      <c r="WJZ86" s="63"/>
      <c r="WKA86" s="63"/>
      <c r="WKB86" s="63"/>
      <c r="WKC86" s="63"/>
      <c r="WKD86" s="63"/>
      <c r="WKE86" s="63"/>
      <c r="WKF86" s="63"/>
      <c r="WKG86" s="63"/>
      <c r="WKH86" s="63"/>
      <c r="WKI86" s="63"/>
      <c r="WKJ86" s="63"/>
      <c r="WKK86" s="63"/>
      <c r="WKL86" s="63"/>
      <c r="WKM86" s="63"/>
      <c r="WKN86" s="63"/>
      <c r="WKO86" s="63"/>
      <c r="WKP86" s="63"/>
      <c r="WKQ86" s="63"/>
      <c r="WKR86" s="63"/>
      <c r="WKS86" s="63"/>
      <c r="WKT86" s="63"/>
      <c r="WKU86" s="63"/>
      <c r="WKV86" s="63"/>
      <c r="WKW86" s="63"/>
      <c r="WKX86" s="63"/>
      <c r="WKY86" s="63"/>
      <c r="WKZ86" s="63"/>
      <c r="WLA86" s="63"/>
      <c r="WLB86" s="63"/>
      <c r="WLC86" s="63"/>
      <c r="WLD86" s="63"/>
      <c r="WLE86" s="63"/>
      <c r="WLF86" s="63"/>
      <c r="WLG86" s="63"/>
      <c r="WLH86" s="63"/>
      <c r="WLI86" s="63"/>
      <c r="WLJ86" s="63"/>
      <c r="WLK86" s="63"/>
      <c r="WLL86" s="63"/>
      <c r="WLM86" s="63"/>
      <c r="WLN86" s="63"/>
      <c r="WLO86" s="63"/>
      <c r="WLP86" s="63"/>
      <c r="WLQ86" s="63"/>
      <c r="WLR86" s="63"/>
      <c r="WLS86" s="63"/>
      <c r="WLT86" s="63"/>
      <c r="WLU86" s="63"/>
      <c r="WLV86" s="63"/>
      <c r="WLW86" s="63"/>
      <c r="WLX86" s="63"/>
      <c r="WLY86" s="63"/>
      <c r="WLZ86" s="63"/>
      <c r="WMA86" s="63"/>
      <c r="WMB86" s="63"/>
      <c r="WMC86" s="63"/>
      <c r="WMD86" s="63"/>
      <c r="WME86" s="63"/>
      <c r="WMF86" s="63"/>
      <c r="WMG86" s="63"/>
      <c r="WMH86" s="63"/>
      <c r="WMI86" s="63"/>
      <c r="WMJ86" s="63"/>
      <c r="WMK86" s="63"/>
      <c r="WML86" s="63"/>
      <c r="WMM86" s="63"/>
      <c r="WMN86" s="63"/>
      <c r="WMO86" s="63"/>
      <c r="WMP86" s="63"/>
      <c r="WMQ86" s="63"/>
      <c r="WMR86" s="63"/>
      <c r="WMS86" s="63"/>
      <c r="WMT86" s="63"/>
      <c r="WMU86" s="63"/>
      <c r="WMV86" s="63"/>
      <c r="WMW86" s="63"/>
      <c r="WMX86" s="63"/>
      <c r="WMY86" s="63"/>
      <c r="WMZ86" s="63"/>
      <c r="WNA86" s="63"/>
      <c r="WNB86" s="63"/>
      <c r="WNC86" s="63"/>
      <c r="WND86" s="63"/>
      <c r="WNE86" s="63"/>
      <c r="WNF86" s="63"/>
      <c r="WNG86" s="63"/>
      <c r="WNH86" s="63"/>
      <c r="WNI86" s="63"/>
      <c r="WNJ86" s="63"/>
      <c r="WNK86" s="63"/>
      <c r="WNL86" s="63"/>
      <c r="WNM86" s="63"/>
      <c r="WNN86" s="63"/>
      <c r="WNO86" s="63"/>
      <c r="WNP86" s="63"/>
      <c r="WNQ86" s="63"/>
      <c r="WNR86" s="63"/>
      <c r="WNS86" s="63"/>
      <c r="WNT86" s="63"/>
      <c r="WNU86" s="63"/>
      <c r="WNV86" s="63"/>
      <c r="WNW86" s="63"/>
      <c r="WNX86" s="63"/>
      <c r="WNY86" s="63"/>
      <c r="WNZ86" s="63"/>
      <c r="WOA86" s="63"/>
      <c r="WOB86" s="63"/>
      <c r="WOC86" s="63"/>
      <c r="WOD86" s="63"/>
      <c r="WOE86" s="63"/>
      <c r="WOF86" s="63"/>
      <c r="WOG86" s="63"/>
      <c r="WOH86" s="63"/>
      <c r="WOI86" s="63"/>
      <c r="WOJ86" s="63"/>
      <c r="WOK86" s="63"/>
      <c r="WOL86" s="63"/>
      <c r="WOM86" s="63"/>
      <c r="WON86" s="63"/>
      <c r="WOO86" s="63"/>
      <c r="WOP86" s="63"/>
      <c r="WOQ86" s="63"/>
      <c r="WOR86" s="63"/>
      <c r="WOS86" s="63"/>
      <c r="WOT86" s="63"/>
      <c r="WOU86" s="63"/>
      <c r="WOV86" s="63"/>
      <c r="WOW86" s="63"/>
      <c r="WOX86" s="63"/>
      <c r="WOY86" s="63"/>
      <c r="WOZ86" s="63"/>
      <c r="WPA86" s="63"/>
      <c r="WPB86" s="63"/>
      <c r="WPC86" s="63"/>
      <c r="WPD86" s="63"/>
      <c r="WPE86" s="63"/>
      <c r="WPF86" s="63"/>
      <c r="WPG86" s="63"/>
      <c r="WPH86" s="63"/>
      <c r="WPI86" s="63"/>
      <c r="WPJ86" s="63"/>
      <c r="WPK86" s="63"/>
      <c r="WPL86" s="63"/>
      <c r="WPM86" s="63"/>
      <c r="WPN86" s="63"/>
      <c r="WPO86" s="63"/>
      <c r="WPP86" s="63"/>
      <c r="WPQ86" s="63"/>
      <c r="WPR86" s="63"/>
      <c r="WPS86" s="63"/>
      <c r="WPT86" s="63"/>
      <c r="WPU86" s="63"/>
      <c r="WPV86" s="63"/>
      <c r="WPW86" s="63"/>
      <c r="WPX86" s="63"/>
      <c r="WPY86" s="63"/>
      <c r="WPZ86" s="63"/>
      <c r="WQA86" s="63"/>
      <c r="WQB86" s="63"/>
      <c r="WQC86" s="63"/>
      <c r="WQD86" s="63"/>
      <c r="WQE86" s="63"/>
      <c r="WQF86" s="63"/>
      <c r="WQG86" s="63"/>
      <c r="WQH86" s="63"/>
      <c r="WQI86" s="63"/>
      <c r="WQJ86" s="63"/>
      <c r="WQK86" s="63"/>
      <c r="WQL86" s="63"/>
      <c r="WQM86" s="63"/>
      <c r="WQN86" s="63"/>
      <c r="WQO86" s="63"/>
    </row>
    <row r="87" spans="1:16005" ht="13.5" hidden="1" customHeight="1" x14ac:dyDescent="0.2">
      <c r="A87" s="297"/>
      <c r="B87" s="281"/>
      <c r="C87" s="281"/>
      <c r="D87" s="281"/>
      <c r="E87" s="281"/>
      <c r="F87" s="57"/>
      <c r="G87" s="298"/>
      <c r="H87" s="298"/>
      <c r="I87" s="298"/>
      <c r="J87" s="298"/>
      <c r="K87" s="298"/>
      <c r="L87" s="298"/>
      <c r="M87" s="299"/>
      <c r="N87" s="299"/>
      <c r="O87" s="67"/>
      <c r="P87" s="60"/>
    </row>
    <row r="88" spans="1:16005" ht="13.5" hidden="1" customHeight="1" thickBot="1" x14ac:dyDescent="0.25">
      <c r="A88" s="300" t="s">
        <v>443</v>
      </c>
      <c r="B88" s="301"/>
      <c r="C88" s="301"/>
      <c r="D88" s="301"/>
      <c r="E88" s="301"/>
      <c r="F88" s="51"/>
      <c r="G88" s="302"/>
      <c r="H88" s="302"/>
      <c r="I88" s="302"/>
      <c r="J88" s="302"/>
      <c r="K88" s="302"/>
      <c r="L88" s="302"/>
      <c r="M88" s="303"/>
      <c r="N88" s="303"/>
      <c r="O88" s="280"/>
      <c r="P88" s="66"/>
    </row>
    <row r="89" spans="1:16005" ht="15.75" hidden="1" x14ac:dyDescent="0.2">
      <c r="A89" s="986" t="s">
        <v>29</v>
      </c>
      <c r="B89" s="987"/>
      <c r="C89" s="988" t="s">
        <v>444</v>
      </c>
      <c r="D89" s="988"/>
      <c r="E89" s="988"/>
      <c r="F89" s="988"/>
      <c r="G89" s="988"/>
      <c r="H89" s="988"/>
      <c r="I89" s="988"/>
      <c r="J89" s="988"/>
      <c r="K89" s="988"/>
      <c r="L89" s="988"/>
      <c r="M89" s="988"/>
      <c r="N89" s="988"/>
      <c r="O89" s="988"/>
      <c r="P89" s="274" t="s">
        <v>434</v>
      </c>
    </row>
    <row r="90" spans="1:16005" ht="15.75" hidden="1" x14ac:dyDescent="0.2">
      <c r="A90" s="1011" t="s">
        <v>438</v>
      </c>
      <c r="B90" s="1012"/>
      <c r="C90" s="1024"/>
      <c r="D90" s="1024"/>
      <c r="E90" s="1024"/>
      <c r="F90" s="1024"/>
      <c r="G90" s="1024"/>
      <c r="H90" s="1024"/>
      <c r="I90" s="1024"/>
      <c r="J90" s="1024"/>
      <c r="K90" s="1024"/>
      <c r="L90" s="1024"/>
      <c r="M90" s="1024"/>
      <c r="N90" s="1024"/>
      <c r="O90" s="1024"/>
      <c r="P90" s="275">
        <v>12.5</v>
      </c>
    </row>
    <row r="91" spans="1:16005" ht="15.75" hidden="1" x14ac:dyDescent="0.2">
      <c r="A91" s="1033" t="s">
        <v>30</v>
      </c>
      <c r="B91" s="1030" t="s">
        <v>31</v>
      </c>
      <c r="C91" s="1030"/>
      <c r="D91" s="1030"/>
      <c r="E91" s="1030"/>
      <c r="F91" s="1030"/>
      <c r="G91" s="1030" t="s">
        <v>32</v>
      </c>
      <c r="H91" s="1030"/>
      <c r="I91" s="1030"/>
      <c r="J91" s="1030"/>
      <c r="K91" s="1030"/>
      <c r="L91" s="1030" t="s">
        <v>33</v>
      </c>
      <c r="M91" s="1030"/>
      <c r="N91" s="1030"/>
      <c r="O91" s="1030"/>
      <c r="P91" s="1031"/>
    </row>
    <row r="92" spans="1:16005" ht="15.75" hidden="1" x14ac:dyDescent="0.2">
      <c r="A92" s="1002"/>
      <c r="B92" s="79" t="s">
        <v>8</v>
      </c>
      <c r="C92" s="79" t="s">
        <v>7</v>
      </c>
      <c r="D92" s="79" t="s">
        <v>9</v>
      </c>
      <c r="E92" s="79" t="s">
        <v>19</v>
      </c>
      <c r="F92" s="79" t="s">
        <v>20</v>
      </c>
      <c r="G92" s="79" t="s">
        <v>8</v>
      </c>
      <c r="H92" s="79" t="s">
        <v>7</v>
      </c>
      <c r="I92" s="79" t="s">
        <v>9</v>
      </c>
      <c r="J92" s="79" t="s">
        <v>19</v>
      </c>
      <c r="K92" s="79" t="s">
        <v>20</v>
      </c>
      <c r="L92" s="79" t="s">
        <v>8</v>
      </c>
      <c r="M92" s="79" t="s">
        <v>7</v>
      </c>
      <c r="N92" s="79" t="s">
        <v>9</v>
      </c>
      <c r="O92" s="79" t="s">
        <v>19</v>
      </c>
      <c r="P92" s="24" t="s">
        <v>20</v>
      </c>
    </row>
    <row r="93" spans="1:16005" ht="31.5" hidden="1" x14ac:dyDescent="0.2">
      <c r="A93" s="72" t="s">
        <v>445</v>
      </c>
      <c r="B93" s="32" t="s">
        <v>16</v>
      </c>
      <c r="C93" s="73" t="s">
        <v>11</v>
      </c>
      <c r="D93" s="73">
        <v>1</v>
      </c>
      <c r="E93" s="73">
        <f>skilled</f>
        <v>1100</v>
      </c>
      <c r="F93" s="73">
        <f>D93*E93</f>
        <v>1100</v>
      </c>
      <c r="G93" s="32" t="s">
        <v>22</v>
      </c>
      <c r="H93" s="73" t="s">
        <v>250</v>
      </c>
      <c r="I93" s="73">
        <v>0.12</v>
      </c>
      <c r="J93" s="73">
        <f>sand</f>
        <v>2001.47</v>
      </c>
      <c r="K93" s="73">
        <f>I93*J93</f>
        <v>240.18</v>
      </c>
      <c r="L93" s="64" t="s">
        <v>447</v>
      </c>
      <c r="M93" s="1069" t="s">
        <v>263</v>
      </c>
      <c r="N93" s="1070"/>
      <c r="O93" s="1071"/>
      <c r="P93" s="61">
        <f>3%*F96</f>
        <v>220.2</v>
      </c>
    </row>
    <row r="94" spans="1:16005" ht="15.75" hidden="1" x14ac:dyDescent="0.2">
      <c r="A94" s="72"/>
      <c r="B94" s="32" t="s">
        <v>28</v>
      </c>
      <c r="C94" s="73" t="s">
        <v>11</v>
      </c>
      <c r="D94" s="73">
        <v>8</v>
      </c>
      <c r="E94" s="73">
        <f>unskilled</f>
        <v>780</v>
      </c>
      <c r="F94" s="73">
        <f>D94*E94</f>
        <v>6240</v>
      </c>
      <c r="G94" s="32" t="s">
        <v>24</v>
      </c>
      <c r="H94" s="73" t="s">
        <v>132</v>
      </c>
      <c r="I94" s="73">
        <v>0.09</v>
      </c>
      <c r="J94" s="73">
        <f>cement</f>
        <v>15631</v>
      </c>
      <c r="K94" s="73">
        <f>I94*J94</f>
        <v>1406.79</v>
      </c>
      <c r="L94" s="64"/>
      <c r="M94" s="36"/>
      <c r="N94" s="36"/>
      <c r="O94" s="64"/>
      <c r="P94" s="61"/>
    </row>
    <row r="95" spans="1:16005" ht="15.75" hidden="1" x14ac:dyDescent="0.2">
      <c r="A95" s="72"/>
      <c r="B95" s="73"/>
      <c r="C95" s="73"/>
      <c r="D95" s="73"/>
      <c r="E95" s="73"/>
      <c r="F95" s="73"/>
      <c r="G95" s="32" t="s">
        <v>446</v>
      </c>
      <c r="H95" s="73" t="s">
        <v>17</v>
      </c>
      <c r="I95" s="73">
        <v>12.5</v>
      </c>
      <c r="J95" s="73">
        <f>humepipe900mm</f>
        <v>14126.25</v>
      </c>
      <c r="K95" s="73">
        <f>I95*J95</f>
        <v>176578.13</v>
      </c>
      <c r="L95" s="64"/>
      <c r="M95" s="36"/>
      <c r="N95" s="36"/>
      <c r="O95" s="64"/>
      <c r="P95" s="61"/>
    </row>
    <row r="96" spans="1:16005" ht="15.75" hidden="1" x14ac:dyDescent="0.2">
      <c r="A96" s="1005" t="s">
        <v>34</v>
      </c>
      <c r="B96" s="1006"/>
      <c r="C96" s="1006"/>
      <c r="D96" s="1006"/>
      <c r="E96" s="1006"/>
      <c r="F96" s="73">
        <f>SUM(F93:F94)</f>
        <v>7340</v>
      </c>
      <c r="G96" s="1006" t="s">
        <v>35</v>
      </c>
      <c r="H96" s="1006"/>
      <c r="I96" s="1006"/>
      <c r="J96" s="1006"/>
      <c r="K96" s="73">
        <f>SUM(K93:K95)</f>
        <v>178225.1</v>
      </c>
      <c r="L96" s="1006" t="s">
        <v>36</v>
      </c>
      <c r="M96" s="1006"/>
      <c r="N96" s="1006"/>
      <c r="O96" s="1006"/>
      <c r="P96" s="61">
        <f>SUM(P93:P94)</f>
        <v>220.2</v>
      </c>
    </row>
    <row r="97" spans="1:16" ht="15.75" hidden="1" x14ac:dyDescent="0.2">
      <c r="A97" s="1005" t="s">
        <v>487</v>
      </c>
      <c r="B97" s="1006"/>
      <c r="C97" s="1006"/>
      <c r="D97" s="1006"/>
      <c r="E97" s="1006"/>
      <c r="F97" s="74">
        <f>SUM(F96+K96+P96)</f>
        <v>185785.3</v>
      </c>
      <c r="G97" s="1006"/>
      <c r="H97" s="1006"/>
      <c r="I97" s="1006"/>
      <c r="J97" s="1006"/>
      <c r="K97" s="1006"/>
      <c r="L97" s="74"/>
      <c r="M97" s="292"/>
      <c r="N97" s="292"/>
      <c r="O97" s="292"/>
      <c r="P97" s="16"/>
    </row>
    <row r="98" spans="1:16" ht="16.5" hidden="1" thickBot="1" x14ac:dyDescent="0.25">
      <c r="A98" s="293"/>
      <c r="B98" s="999" t="s">
        <v>110</v>
      </c>
      <c r="C98" s="999"/>
      <c r="D98" s="999"/>
      <c r="E98" s="999"/>
      <c r="F98" s="17">
        <f>15%*F97</f>
        <v>27867.8</v>
      </c>
      <c r="G98" s="295"/>
      <c r="H98" s="1037"/>
      <c r="I98" s="1037"/>
      <c r="J98" s="1037"/>
      <c r="K98" s="1037"/>
      <c r="L98" s="17"/>
      <c r="M98" s="295"/>
      <c r="N98" s="1041" t="s">
        <v>53</v>
      </c>
      <c r="O98" s="1042"/>
      <c r="P98" s="18">
        <f>(F98+F97)/P90</f>
        <v>17092.25</v>
      </c>
    </row>
    <row r="99" spans="1:16" ht="15.75" hidden="1" x14ac:dyDescent="0.2">
      <c r="A99" s="1045"/>
      <c r="B99" s="1045"/>
      <c r="C99" s="1045"/>
      <c r="D99" s="1045"/>
      <c r="E99" s="1045"/>
      <c r="F99" s="1045"/>
      <c r="G99" s="1045"/>
      <c r="H99" s="304"/>
      <c r="I99" s="67"/>
      <c r="J99" s="67"/>
      <c r="K99" s="43"/>
      <c r="L99" s="57"/>
      <c r="M99" s="299"/>
      <c r="N99" s="299"/>
      <c r="O99" s="67"/>
      <c r="P99" s="68"/>
    </row>
    <row r="100" spans="1:16" ht="16.5" hidden="1" thickBot="1" x14ac:dyDescent="0.25">
      <c r="A100" s="289" t="s">
        <v>448</v>
      </c>
      <c r="B100" s="305"/>
      <c r="C100" s="305"/>
      <c r="D100" s="305"/>
      <c r="E100" s="305"/>
      <c r="F100" s="305"/>
      <c r="G100" s="305"/>
      <c r="H100" s="296"/>
      <c r="I100" s="69"/>
      <c r="J100" s="69"/>
      <c r="K100" s="30"/>
      <c r="L100" s="19"/>
      <c r="M100" s="306"/>
      <c r="N100" s="306"/>
      <c r="O100" s="69"/>
      <c r="P100" s="20"/>
    </row>
    <row r="101" spans="1:16" ht="15.75" hidden="1" x14ac:dyDescent="0.2">
      <c r="A101" s="1039" t="s">
        <v>29</v>
      </c>
      <c r="B101" s="1040"/>
      <c r="C101" s="988" t="s">
        <v>449</v>
      </c>
      <c r="D101" s="988"/>
      <c r="E101" s="988"/>
      <c r="F101" s="988"/>
      <c r="G101" s="988"/>
      <c r="H101" s="988"/>
      <c r="I101" s="988"/>
      <c r="J101" s="988"/>
      <c r="K101" s="988"/>
      <c r="L101" s="988"/>
      <c r="M101" s="988"/>
      <c r="N101" s="988"/>
      <c r="O101" s="988"/>
      <c r="P101" s="274" t="s">
        <v>434</v>
      </c>
    </row>
    <row r="102" spans="1:16" ht="15.75" hidden="1" x14ac:dyDescent="0.2">
      <c r="A102" s="1011" t="s">
        <v>438</v>
      </c>
      <c r="B102" s="1012"/>
      <c r="C102" s="1024"/>
      <c r="D102" s="1024"/>
      <c r="E102" s="1024"/>
      <c r="F102" s="1024"/>
      <c r="G102" s="1024"/>
      <c r="H102" s="1024"/>
      <c r="I102" s="1024"/>
      <c r="J102" s="1024"/>
      <c r="K102" s="1024"/>
      <c r="L102" s="1024"/>
      <c r="M102" s="1024"/>
      <c r="N102" s="1024"/>
      <c r="O102" s="1024"/>
      <c r="P102" s="275">
        <v>12.5</v>
      </c>
    </row>
    <row r="103" spans="1:16" ht="15.75" hidden="1" x14ac:dyDescent="0.2">
      <c r="A103" s="1002" t="s">
        <v>30</v>
      </c>
      <c r="B103" s="1038" t="s">
        <v>31</v>
      </c>
      <c r="C103" s="1038"/>
      <c r="D103" s="1038"/>
      <c r="E103" s="1038"/>
      <c r="F103" s="1038"/>
      <c r="G103" s="1038" t="s">
        <v>32</v>
      </c>
      <c r="H103" s="1038"/>
      <c r="I103" s="1038"/>
      <c r="J103" s="1038"/>
      <c r="K103" s="1038"/>
      <c r="L103" s="1038" t="s">
        <v>33</v>
      </c>
      <c r="M103" s="1038"/>
      <c r="N103" s="1038"/>
      <c r="O103" s="1038"/>
      <c r="P103" s="1044"/>
    </row>
    <row r="104" spans="1:16" ht="15.75" hidden="1" x14ac:dyDescent="0.2">
      <c r="A104" s="1002"/>
      <c r="B104" s="79" t="s">
        <v>8</v>
      </c>
      <c r="C104" s="79" t="s">
        <v>7</v>
      </c>
      <c r="D104" s="79" t="s">
        <v>9</v>
      </c>
      <c r="E104" s="79" t="s">
        <v>19</v>
      </c>
      <c r="F104" s="79" t="s">
        <v>20</v>
      </c>
      <c r="G104" s="79" t="s">
        <v>8</v>
      </c>
      <c r="H104" s="79" t="s">
        <v>7</v>
      </c>
      <c r="I104" s="79" t="s">
        <v>9</v>
      </c>
      <c r="J104" s="79" t="s">
        <v>19</v>
      </c>
      <c r="K104" s="79" t="s">
        <v>20</v>
      </c>
      <c r="L104" s="79" t="s">
        <v>8</v>
      </c>
      <c r="M104" s="79" t="s">
        <v>7</v>
      </c>
      <c r="N104" s="79" t="s">
        <v>9</v>
      </c>
      <c r="O104" s="79" t="s">
        <v>19</v>
      </c>
      <c r="P104" s="24" t="s">
        <v>20</v>
      </c>
    </row>
    <row r="105" spans="1:16" ht="31.5" hidden="1" x14ac:dyDescent="0.2">
      <c r="A105" s="72" t="s">
        <v>450</v>
      </c>
      <c r="B105" s="32" t="s">
        <v>16</v>
      </c>
      <c r="C105" s="73" t="s">
        <v>11</v>
      </c>
      <c r="D105" s="73">
        <v>1</v>
      </c>
      <c r="E105" s="73">
        <f>skilled</f>
        <v>1100</v>
      </c>
      <c r="F105" s="73">
        <f>D105*E105</f>
        <v>1100</v>
      </c>
      <c r="G105" s="32" t="s">
        <v>22</v>
      </c>
      <c r="H105" s="73" t="s">
        <v>250</v>
      </c>
      <c r="I105" s="73">
        <v>0.12</v>
      </c>
      <c r="J105" s="73">
        <f>sand</f>
        <v>2001.47</v>
      </c>
      <c r="K105" s="73">
        <f>I105*J105</f>
        <v>240.18</v>
      </c>
      <c r="L105" s="64" t="s">
        <v>447</v>
      </c>
      <c r="M105" s="1069" t="s">
        <v>263</v>
      </c>
      <c r="N105" s="1070"/>
      <c r="O105" s="1071"/>
      <c r="P105" s="61">
        <f>3%*F108</f>
        <v>0</v>
      </c>
    </row>
    <row r="106" spans="1:16" ht="15.75" hidden="1" x14ac:dyDescent="0.2">
      <c r="A106" s="72"/>
      <c r="B106" s="32" t="s">
        <v>28</v>
      </c>
      <c r="C106" s="73" t="s">
        <v>11</v>
      </c>
      <c r="D106" s="73">
        <v>8</v>
      </c>
      <c r="E106" s="73">
        <f>unskilled</f>
        <v>780</v>
      </c>
      <c r="F106" s="73">
        <f>D106*E106</f>
        <v>6240</v>
      </c>
      <c r="G106" s="32" t="s">
        <v>24</v>
      </c>
      <c r="H106" s="73" t="s">
        <v>132</v>
      </c>
      <c r="I106" s="73">
        <v>0.09</v>
      </c>
      <c r="J106" s="73">
        <f>cement</f>
        <v>15631</v>
      </c>
      <c r="K106" s="73">
        <f>I106*J106</f>
        <v>1406.79</v>
      </c>
      <c r="L106" s="64"/>
      <c r="M106" s="36"/>
      <c r="N106" s="307"/>
      <c r="O106" s="64"/>
      <c r="P106" s="15"/>
    </row>
    <row r="107" spans="1:16" ht="15.75" hidden="1" x14ac:dyDescent="0.2">
      <c r="A107" s="72"/>
      <c r="B107" s="73"/>
      <c r="C107" s="73"/>
      <c r="D107" s="73"/>
      <c r="E107" s="73"/>
      <c r="F107" s="73"/>
      <c r="G107" s="32" t="s">
        <v>446</v>
      </c>
      <c r="H107" s="73" t="s">
        <v>17</v>
      </c>
      <c r="I107" s="73">
        <v>12.5</v>
      </c>
      <c r="J107" s="73">
        <f>humepipe900mm</f>
        <v>14126.25</v>
      </c>
      <c r="K107" s="73">
        <f>I107*J107</f>
        <v>176578.13</v>
      </c>
      <c r="L107" s="64"/>
      <c r="M107" s="36"/>
      <c r="N107" s="307"/>
      <c r="O107" s="64"/>
      <c r="P107" s="15"/>
    </row>
    <row r="108" spans="1:16" ht="15.75" hidden="1" x14ac:dyDescent="0.2">
      <c r="A108" s="72"/>
      <c r="B108" s="73"/>
      <c r="C108" s="73"/>
      <c r="D108" s="73"/>
      <c r="E108" s="73"/>
      <c r="F108" s="73"/>
      <c r="G108" s="32" t="s">
        <v>452</v>
      </c>
      <c r="H108" s="73" t="s">
        <v>451</v>
      </c>
      <c r="I108" s="73">
        <v>4</v>
      </c>
      <c r="J108" s="73">
        <f>rcccollar_900mm</f>
        <v>6709.35</v>
      </c>
      <c r="K108" s="73">
        <f>I108*J108</f>
        <v>26837.4</v>
      </c>
      <c r="L108" s="64"/>
      <c r="M108" s="36"/>
      <c r="N108" s="307"/>
      <c r="O108" s="64"/>
      <c r="P108" s="15"/>
    </row>
    <row r="109" spans="1:16" ht="15.75" hidden="1" x14ac:dyDescent="0.2">
      <c r="A109" s="1005" t="s">
        <v>34</v>
      </c>
      <c r="B109" s="1006"/>
      <c r="C109" s="1006"/>
      <c r="D109" s="1006"/>
      <c r="E109" s="1006"/>
      <c r="F109" s="73">
        <f>SUM(F105:F106)</f>
        <v>7340</v>
      </c>
      <c r="G109" s="1006" t="s">
        <v>35</v>
      </c>
      <c r="H109" s="1006"/>
      <c r="I109" s="1006"/>
      <c r="J109" s="1006"/>
      <c r="K109" s="73">
        <f>SUM(K105:K108)</f>
        <v>205062.5</v>
      </c>
      <c r="L109" s="1006" t="s">
        <v>36</v>
      </c>
      <c r="M109" s="1006"/>
      <c r="N109" s="1006"/>
      <c r="O109" s="1006"/>
      <c r="P109" s="61">
        <f>SUM(P105:P106)</f>
        <v>0</v>
      </c>
    </row>
    <row r="110" spans="1:16" ht="15.75" hidden="1" x14ac:dyDescent="0.2">
      <c r="A110" s="1005" t="s">
        <v>487</v>
      </c>
      <c r="B110" s="1006"/>
      <c r="C110" s="1006"/>
      <c r="D110" s="1006"/>
      <c r="E110" s="1006"/>
      <c r="F110" s="74">
        <f>F109+K109+P109</f>
        <v>212402.5</v>
      </c>
      <c r="G110" s="1068"/>
      <c r="H110" s="984"/>
      <c r="I110" s="984"/>
      <c r="J110" s="984"/>
      <c r="K110" s="985"/>
      <c r="L110" s="74"/>
      <c r="M110" s="292"/>
      <c r="N110" s="292"/>
      <c r="O110" s="292"/>
      <c r="P110" s="16"/>
    </row>
    <row r="111" spans="1:16" ht="16.5" hidden="1" thickBot="1" x14ac:dyDescent="0.25">
      <c r="A111" s="293"/>
      <c r="B111" s="999" t="s">
        <v>110</v>
      </c>
      <c r="C111" s="999"/>
      <c r="D111" s="999"/>
      <c r="E111" s="999"/>
      <c r="F111" s="17">
        <f>15%*F110</f>
        <v>31860.38</v>
      </c>
      <c r="G111" s="295"/>
      <c r="H111" s="1037"/>
      <c r="I111" s="1037"/>
      <c r="J111" s="1037"/>
      <c r="K111" s="1037"/>
      <c r="L111" s="17"/>
      <c r="M111" s="295"/>
      <c r="N111" s="1041" t="s">
        <v>53</v>
      </c>
      <c r="O111" s="1042"/>
      <c r="P111" s="18">
        <f>(F111+F110)/P102</f>
        <v>19541.03</v>
      </c>
    </row>
    <row r="112" spans="1:16" ht="15.75" x14ac:dyDescent="0.2">
      <c r="A112" s="50"/>
      <c r="B112" s="57"/>
      <c r="C112" s="50"/>
      <c r="D112" s="50"/>
      <c r="E112" s="57"/>
      <c r="F112" s="50"/>
      <c r="G112" s="50"/>
      <c r="H112" s="50"/>
      <c r="I112" s="50"/>
      <c r="J112" s="50"/>
      <c r="K112" s="50"/>
      <c r="L112" s="50"/>
      <c r="M112" s="50"/>
      <c r="N112" s="50"/>
      <c r="O112" s="50"/>
      <c r="P112" s="50"/>
    </row>
    <row r="113" spans="1:16" ht="15.75" x14ac:dyDescent="0.2">
      <c r="A113" s="1009" t="s">
        <v>453</v>
      </c>
      <c r="B113" s="1009"/>
      <c r="C113" s="1009"/>
      <c r="D113" s="1009"/>
      <c r="E113" s="1009"/>
      <c r="F113" s="1009"/>
      <c r="G113" s="1009"/>
      <c r="H113" s="1009"/>
      <c r="I113" s="1009"/>
      <c r="J113" s="1009"/>
      <c r="K113" s="1009"/>
      <c r="L113" s="1009"/>
      <c r="M113" s="1009"/>
      <c r="N113" s="1009"/>
      <c r="O113" s="1009"/>
      <c r="P113" s="1009"/>
    </row>
    <row r="114" spans="1:16" ht="15.75" x14ac:dyDescent="0.2">
      <c r="A114" s="1009" t="s">
        <v>454</v>
      </c>
      <c r="B114" s="1009"/>
      <c r="C114" s="1009"/>
      <c r="D114" s="1009"/>
      <c r="E114" s="1009"/>
      <c r="F114" s="1009"/>
      <c r="G114" s="1009"/>
      <c r="H114" s="1009"/>
      <c r="I114" s="1009"/>
      <c r="J114" s="1009"/>
      <c r="K114" s="1009"/>
      <c r="L114" s="1009"/>
      <c r="M114" s="1009"/>
      <c r="N114" s="1009"/>
      <c r="O114" s="1009"/>
      <c r="P114" s="1009"/>
    </row>
    <row r="115" spans="1:16" ht="16.5" thickBot="1" x14ac:dyDescent="0.25">
      <c r="A115" s="271" t="s">
        <v>455</v>
      </c>
      <c r="B115" s="47"/>
      <c r="C115" s="47"/>
      <c r="D115" s="47"/>
      <c r="E115" s="47"/>
      <c r="F115" s="47"/>
      <c r="G115" s="47"/>
      <c r="H115" s="47"/>
      <c r="I115" s="47"/>
      <c r="J115" s="47"/>
      <c r="K115" s="47"/>
      <c r="L115" s="47"/>
      <c r="M115" s="47"/>
      <c r="N115" s="47"/>
      <c r="O115" s="47"/>
      <c r="P115" s="47"/>
    </row>
    <row r="116" spans="1:16" ht="15.75" x14ac:dyDescent="0.2">
      <c r="A116" s="986" t="s">
        <v>29</v>
      </c>
      <c r="B116" s="987"/>
      <c r="C116" s="988" t="s">
        <v>558</v>
      </c>
      <c r="D116" s="988"/>
      <c r="E116" s="988"/>
      <c r="F116" s="988"/>
      <c r="G116" s="988"/>
      <c r="H116" s="988"/>
      <c r="I116" s="988"/>
      <c r="J116" s="988"/>
      <c r="K116" s="988"/>
      <c r="L116" s="988"/>
      <c r="M116" s="988"/>
      <c r="N116" s="988"/>
      <c r="O116" s="988"/>
      <c r="P116" s="274" t="s">
        <v>433</v>
      </c>
    </row>
    <row r="117" spans="1:16" ht="15.75" x14ac:dyDescent="0.2">
      <c r="A117" s="1011" t="s">
        <v>104</v>
      </c>
      <c r="B117" s="1012"/>
      <c r="C117" s="1024"/>
      <c r="D117" s="1024"/>
      <c r="E117" s="1024"/>
      <c r="F117" s="1024"/>
      <c r="G117" s="1024"/>
      <c r="H117" s="1024"/>
      <c r="I117" s="1024"/>
      <c r="J117" s="1024"/>
      <c r="K117" s="1024"/>
      <c r="L117" s="1024"/>
      <c r="M117" s="1024"/>
      <c r="N117" s="1024"/>
      <c r="O117" s="1024"/>
      <c r="P117" s="275">
        <v>360</v>
      </c>
    </row>
    <row r="118" spans="1:16" ht="15.75" x14ac:dyDescent="0.2">
      <c r="A118" s="1033" t="s">
        <v>30</v>
      </c>
      <c r="B118" s="1030" t="s">
        <v>31</v>
      </c>
      <c r="C118" s="1030"/>
      <c r="D118" s="1030"/>
      <c r="E118" s="1030"/>
      <c r="F118" s="1030"/>
      <c r="G118" s="1030" t="s">
        <v>32</v>
      </c>
      <c r="H118" s="1030"/>
      <c r="I118" s="1030"/>
      <c r="J118" s="1030"/>
      <c r="K118" s="1030"/>
      <c r="L118" s="1030" t="s">
        <v>33</v>
      </c>
      <c r="M118" s="1030"/>
      <c r="N118" s="1030"/>
      <c r="O118" s="1030"/>
      <c r="P118" s="1031"/>
    </row>
    <row r="119" spans="1:16" ht="15.75" x14ac:dyDescent="0.2">
      <c r="A119" s="1002"/>
      <c r="B119" s="79" t="s">
        <v>8</v>
      </c>
      <c r="C119" s="79" t="s">
        <v>7</v>
      </c>
      <c r="D119" s="79" t="s">
        <v>9</v>
      </c>
      <c r="E119" s="79" t="s">
        <v>19</v>
      </c>
      <c r="F119" s="79" t="s">
        <v>20</v>
      </c>
      <c r="G119" s="79" t="s">
        <v>8</v>
      </c>
      <c r="H119" s="79" t="s">
        <v>7</v>
      </c>
      <c r="I119" s="79" t="s">
        <v>9</v>
      </c>
      <c r="J119" s="79" t="s">
        <v>19</v>
      </c>
      <c r="K119" s="79" t="s">
        <v>20</v>
      </c>
      <c r="L119" s="79" t="s">
        <v>8</v>
      </c>
      <c r="M119" s="79" t="s">
        <v>7</v>
      </c>
      <c r="N119" s="79" t="s">
        <v>9</v>
      </c>
      <c r="O119" s="79" t="s">
        <v>19</v>
      </c>
      <c r="P119" s="24" t="s">
        <v>20</v>
      </c>
    </row>
    <row r="120" spans="1:16" ht="15.75" customHeight="1" x14ac:dyDescent="0.2">
      <c r="A120" s="72" t="s">
        <v>456</v>
      </c>
      <c r="B120" s="32" t="s">
        <v>16</v>
      </c>
      <c r="C120" s="73" t="s">
        <v>11</v>
      </c>
      <c r="D120" s="73">
        <v>1</v>
      </c>
      <c r="E120" s="73">
        <f>skilled</f>
        <v>1100</v>
      </c>
      <c r="F120" s="73">
        <f>D120*E120</f>
        <v>1100</v>
      </c>
      <c r="G120" s="73"/>
      <c r="H120" s="73"/>
      <c r="I120" s="73"/>
      <c r="J120" s="73"/>
      <c r="K120" s="73"/>
      <c r="L120" s="64" t="s">
        <v>197</v>
      </c>
      <c r="M120" s="36" t="s">
        <v>13</v>
      </c>
      <c r="N120" s="73">
        <v>6</v>
      </c>
      <c r="O120" s="35">
        <f>excavator</f>
        <v>3357.5</v>
      </c>
      <c r="P120" s="61">
        <f>N120*O120</f>
        <v>20145</v>
      </c>
    </row>
    <row r="121" spans="1:16" ht="15.75" x14ac:dyDescent="0.2">
      <c r="A121" s="72"/>
      <c r="B121" s="32" t="s">
        <v>28</v>
      </c>
      <c r="C121" s="73" t="s">
        <v>11</v>
      </c>
      <c r="D121" s="73">
        <v>3</v>
      </c>
      <c r="E121" s="73">
        <f>unskilled</f>
        <v>780</v>
      </c>
      <c r="F121" s="73">
        <f>D121*E121</f>
        <v>2340</v>
      </c>
      <c r="G121" s="73"/>
      <c r="H121" s="73"/>
      <c r="I121" s="73"/>
      <c r="J121" s="73"/>
      <c r="K121" s="73"/>
      <c r="L121" s="64"/>
      <c r="M121" s="36"/>
      <c r="N121" s="73"/>
      <c r="O121" s="35"/>
      <c r="P121" s="61"/>
    </row>
    <row r="122" spans="1:16" ht="15.75" x14ac:dyDescent="0.2">
      <c r="A122" s="1005" t="s">
        <v>34</v>
      </c>
      <c r="B122" s="1006"/>
      <c r="C122" s="1006"/>
      <c r="D122" s="1006"/>
      <c r="E122" s="1006"/>
      <c r="F122" s="73">
        <f>SUM(F120:F121)</f>
        <v>3440</v>
      </c>
      <c r="G122" s="1006" t="s">
        <v>35</v>
      </c>
      <c r="H122" s="1006"/>
      <c r="I122" s="1006"/>
      <c r="J122" s="1006"/>
      <c r="K122" s="73">
        <f>SUM(K120:K121)</f>
        <v>0</v>
      </c>
      <c r="L122" s="1006" t="s">
        <v>36</v>
      </c>
      <c r="M122" s="1006"/>
      <c r="N122" s="1006"/>
      <c r="O122" s="1006"/>
      <c r="P122" s="61">
        <f>SUM(P120:P121)</f>
        <v>20145</v>
      </c>
    </row>
    <row r="123" spans="1:16" ht="15.75" x14ac:dyDescent="0.2">
      <c r="A123" s="1005" t="s">
        <v>487</v>
      </c>
      <c r="B123" s="1006"/>
      <c r="C123" s="1006"/>
      <c r="D123" s="1006"/>
      <c r="E123" s="1006"/>
      <c r="F123" s="74">
        <f>F122+K122+P122</f>
        <v>23585</v>
      </c>
      <c r="G123" s="1006"/>
      <c r="H123" s="1006"/>
      <c r="I123" s="1006"/>
      <c r="J123" s="1006"/>
      <c r="K123" s="1006"/>
      <c r="L123" s="74"/>
      <c r="M123" s="90"/>
      <c r="N123" s="292"/>
      <c r="O123" s="292"/>
      <c r="P123" s="16"/>
    </row>
    <row r="124" spans="1:16" ht="16.5" thickBot="1" x14ac:dyDescent="0.25">
      <c r="A124" s="308"/>
      <c r="B124" s="999" t="s">
        <v>110</v>
      </c>
      <c r="C124" s="999"/>
      <c r="D124" s="999"/>
      <c r="E124" s="999"/>
      <c r="F124" s="17">
        <f>15%*F123</f>
        <v>3537.75</v>
      </c>
      <c r="G124" s="295"/>
      <c r="H124" s="1037"/>
      <c r="I124" s="1037"/>
      <c r="J124" s="1037"/>
      <c r="K124" s="1037"/>
      <c r="L124" s="17"/>
      <c r="M124" s="295"/>
      <c r="N124" s="1041" t="s">
        <v>53</v>
      </c>
      <c r="O124" s="1042"/>
      <c r="P124" s="18">
        <f>(F124+F123)/P117</f>
        <v>75.34</v>
      </c>
    </row>
    <row r="125" spans="1:16" ht="15.75" x14ac:dyDescent="0.2">
      <c r="A125" s="50"/>
      <c r="B125" s="57"/>
      <c r="C125" s="50"/>
      <c r="D125" s="50"/>
      <c r="E125" s="57"/>
      <c r="F125" s="50"/>
      <c r="G125" s="50"/>
      <c r="H125" s="50"/>
      <c r="I125" s="50"/>
      <c r="J125" s="50"/>
      <c r="K125" s="50"/>
      <c r="L125" s="50"/>
      <c r="M125" s="50"/>
      <c r="N125" s="50"/>
      <c r="O125" s="50"/>
      <c r="P125" s="50"/>
    </row>
    <row r="126" spans="1:16" ht="16.5" thickBot="1" x14ac:dyDescent="0.25">
      <c r="A126" s="271" t="s">
        <v>457</v>
      </c>
      <c r="B126" s="271"/>
      <c r="C126" s="309"/>
      <c r="D126" s="309"/>
      <c r="E126" s="51"/>
      <c r="F126" s="51"/>
      <c r="G126" s="51"/>
      <c r="H126" s="51"/>
      <c r="I126" s="51"/>
      <c r="J126" s="51"/>
      <c r="K126" s="51"/>
      <c r="L126" s="51"/>
      <c r="M126" s="51"/>
      <c r="N126" s="51"/>
      <c r="O126" s="51"/>
      <c r="P126" s="51"/>
    </row>
    <row r="127" spans="1:16" ht="15.75" x14ac:dyDescent="0.2">
      <c r="A127" s="1039" t="s">
        <v>29</v>
      </c>
      <c r="B127" s="1040"/>
      <c r="C127" s="988" t="s">
        <v>559</v>
      </c>
      <c r="D127" s="988"/>
      <c r="E127" s="988"/>
      <c r="F127" s="988"/>
      <c r="G127" s="988"/>
      <c r="H127" s="988"/>
      <c r="I127" s="988"/>
      <c r="J127" s="988"/>
      <c r="K127" s="988"/>
      <c r="L127" s="988"/>
      <c r="M127" s="988"/>
      <c r="N127" s="988"/>
      <c r="O127" s="988"/>
      <c r="P127" s="274" t="s">
        <v>433</v>
      </c>
    </row>
    <row r="128" spans="1:16" ht="15.75" x14ac:dyDescent="0.2">
      <c r="A128" s="1011" t="s">
        <v>104</v>
      </c>
      <c r="B128" s="1012"/>
      <c r="C128" s="1024"/>
      <c r="D128" s="1024"/>
      <c r="E128" s="1024"/>
      <c r="F128" s="1024"/>
      <c r="G128" s="1024"/>
      <c r="H128" s="1024"/>
      <c r="I128" s="1024"/>
      <c r="J128" s="1024"/>
      <c r="K128" s="1024"/>
      <c r="L128" s="1024"/>
      <c r="M128" s="1024"/>
      <c r="N128" s="1024"/>
      <c r="O128" s="1024"/>
      <c r="P128" s="275">
        <v>120</v>
      </c>
    </row>
    <row r="129" spans="1:16" ht="15.75" x14ac:dyDescent="0.2">
      <c r="A129" s="1001" t="s">
        <v>30</v>
      </c>
      <c r="B129" s="1003" t="s">
        <v>31</v>
      </c>
      <c r="C129" s="1003"/>
      <c r="D129" s="1003"/>
      <c r="E129" s="1003"/>
      <c r="F129" s="1003"/>
      <c r="G129" s="1003" t="s">
        <v>32</v>
      </c>
      <c r="H129" s="1003"/>
      <c r="I129" s="1003"/>
      <c r="J129" s="1003"/>
      <c r="K129" s="1003"/>
      <c r="L129" s="1003" t="s">
        <v>33</v>
      </c>
      <c r="M129" s="1003"/>
      <c r="N129" s="1003"/>
      <c r="O129" s="1003"/>
      <c r="P129" s="1004"/>
    </row>
    <row r="130" spans="1:16" ht="15.75" x14ac:dyDescent="0.2">
      <c r="A130" s="1002"/>
      <c r="B130" s="79" t="s">
        <v>8</v>
      </c>
      <c r="C130" s="79" t="s">
        <v>7</v>
      </c>
      <c r="D130" s="79" t="s">
        <v>9</v>
      </c>
      <c r="E130" s="79" t="s">
        <v>19</v>
      </c>
      <c r="F130" s="79" t="s">
        <v>20</v>
      </c>
      <c r="G130" s="79" t="s">
        <v>8</v>
      </c>
      <c r="H130" s="79" t="s">
        <v>7</v>
      </c>
      <c r="I130" s="79" t="s">
        <v>9</v>
      </c>
      <c r="J130" s="79" t="s">
        <v>19</v>
      </c>
      <c r="K130" s="79" t="s">
        <v>20</v>
      </c>
      <c r="L130" s="79" t="s">
        <v>8</v>
      </c>
      <c r="M130" s="79" t="s">
        <v>7</v>
      </c>
      <c r="N130" s="79" t="s">
        <v>9</v>
      </c>
      <c r="O130" s="79" t="s">
        <v>19</v>
      </c>
      <c r="P130" s="24" t="s">
        <v>20</v>
      </c>
    </row>
    <row r="131" spans="1:16" ht="15.75" x14ac:dyDescent="0.2">
      <c r="A131" s="72" t="s">
        <v>458</v>
      </c>
      <c r="B131" s="32" t="s">
        <v>16</v>
      </c>
      <c r="C131" s="73" t="s">
        <v>11</v>
      </c>
      <c r="D131" s="73">
        <v>1</v>
      </c>
      <c r="E131" s="73">
        <f>skilled</f>
        <v>1100</v>
      </c>
      <c r="F131" s="73">
        <f>E131*D131</f>
        <v>1100</v>
      </c>
      <c r="G131" s="73"/>
      <c r="H131" s="73"/>
      <c r="I131" s="73"/>
      <c r="J131" s="78"/>
      <c r="K131" s="73"/>
      <c r="L131" s="70" t="s">
        <v>197</v>
      </c>
      <c r="M131" s="74" t="s">
        <v>13</v>
      </c>
      <c r="N131" s="73">
        <v>6</v>
      </c>
      <c r="O131" s="71">
        <f>excavator</f>
        <v>3357.5</v>
      </c>
      <c r="P131" s="61">
        <f>N131*O131</f>
        <v>20145</v>
      </c>
    </row>
    <row r="132" spans="1:16" ht="15.75" x14ac:dyDescent="0.2">
      <c r="A132" s="72"/>
      <c r="B132" s="32" t="s">
        <v>84</v>
      </c>
      <c r="C132" s="73" t="s">
        <v>11</v>
      </c>
      <c r="D132" s="73">
        <v>3</v>
      </c>
      <c r="E132" s="73">
        <f>unskilled</f>
        <v>780</v>
      </c>
      <c r="F132" s="73">
        <f>E132*D132</f>
        <v>2340</v>
      </c>
      <c r="G132" s="73"/>
      <c r="H132" s="73"/>
      <c r="I132" s="73"/>
      <c r="J132" s="73"/>
      <c r="K132" s="73"/>
      <c r="L132" s="70"/>
      <c r="M132" s="74"/>
      <c r="N132" s="73"/>
      <c r="O132" s="71"/>
      <c r="P132" s="61"/>
    </row>
    <row r="133" spans="1:16" ht="15.75" x14ac:dyDescent="0.2">
      <c r="A133" s="1005" t="s">
        <v>34</v>
      </c>
      <c r="B133" s="1006"/>
      <c r="C133" s="1006"/>
      <c r="D133" s="1006"/>
      <c r="E133" s="1006"/>
      <c r="F133" s="73">
        <f>F131+F132</f>
        <v>3440</v>
      </c>
      <c r="G133" s="1006" t="s">
        <v>35</v>
      </c>
      <c r="H133" s="1006"/>
      <c r="I133" s="1006"/>
      <c r="J133" s="1006"/>
      <c r="K133" s="73">
        <f>K131</f>
        <v>0</v>
      </c>
      <c r="L133" s="1006" t="s">
        <v>36</v>
      </c>
      <c r="M133" s="1006"/>
      <c r="N133" s="1006"/>
      <c r="O133" s="1006"/>
      <c r="P133" s="61">
        <f>SUM(P131)</f>
        <v>20145</v>
      </c>
    </row>
    <row r="134" spans="1:16" ht="15.75" x14ac:dyDescent="0.2">
      <c r="A134" s="1005" t="s">
        <v>487</v>
      </c>
      <c r="B134" s="1006"/>
      <c r="C134" s="1006"/>
      <c r="D134" s="1006"/>
      <c r="E134" s="1006"/>
      <c r="F134" s="74">
        <f>SUM(F133+K133+P133)</f>
        <v>23585</v>
      </c>
      <c r="G134" s="1006"/>
      <c r="H134" s="1006"/>
      <c r="I134" s="1006"/>
      <c r="J134" s="1006"/>
      <c r="K134" s="1006"/>
      <c r="L134" s="74"/>
      <c r="M134" s="1032"/>
      <c r="N134" s="1032"/>
      <c r="O134" s="1032"/>
      <c r="P134" s="16"/>
    </row>
    <row r="135" spans="1:16" ht="16.5" thickBot="1" x14ac:dyDescent="0.25">
      <c r="A135" s="82"/>
      <c r="B135" s="999" t="s">
        <v>110</v>
      </c>
      <c r="C135" s="999"/>
      <c r="D135" s="999"/>
      <c r="E135" s="999"/>
      <c r="F135" s="17">
        <f>15%*F134</f>
        <v>3537.75</v>
      </c>
      <c r="G135" s="83"/>
      <c r="H135" s="83"/>
      <c r="I135" s="83"/>
      <c r="J135" s="83"/>
      <c r="K135" s="83"/>
      <c r="L135" s="17"/>
      <c r="M135" s="295"/>
      <c r="N135" s="1000" t="s">
        <v>53</v>
      </c>
      <c r="O135" s="1000"/>
      <c r="P135" s="18">
        <f>(F135+F134)/P128</f>
        <v>226.02</v>
      </c>
    </row>
    <row r="136" spans="1:16" ht="15.75" x14ac:dyDescent="0.2">
      <c r="A136" s="301"/>
      <c r="B136" s="301"/>
      <c r="C136" s="301"/>
      <c r="D136" s="301"/>
      <c r="E136" s="301"/>
      <c r="F136" s="51"/>
      <c r="G136" s="301"/>
      <c r="H136" s="301"/>
      <c r="I136" s="301"/>
      <c r="J136" s="301"/>
      <c r="K136" s="301"/>
      <c r="L136" s="51"/>
      <c r="M136" s="303"/>
      <c r="N136" s="303"/>
      <c r="O136" s="303"/>
      <c r="P136" s="52"/>
    </row>
    <row r="137" spans="1:16" ht="16.5" thickBot="1" x14ac:dyDescent="0.25">
      <c r="A137" s="271" t="s">
        <v>459</v>
      </c>
      <c r="B137" s="301"/>
      <c r="C137" s="301"/>
      <c r="D137" s="301"/>
      <c r="E137" s="301"/>
      <c r="F137" s="51"/>
      <c r="G137" s="301"/>
      <c r="H137" s="301"/>
      <c r="I137" s="301"/>
      <c r="J137" s="301"/>
      <c r="K137" s="301"/>
      <c r="L137" s="51"/>
      <c r="M137" s="303"/>
      <c r="N137" s="303"/>
      <c r="O137" s="303"/>
      <c r="P137" s="52"/>
    </row>
    <row r="138" spans="1:16" ht="15.75" x14ac:dyDescent="0.2">
      <c r="A138" s="986" t="s">
        <v>29</v>
      </c>
      <c r="B138" s="987"/>
      <c r="C138" s="988" t="s">
        <v>560</v>
      </c>
      <c r="D138" s="988"/>
      <c r="E138" s="988"/>
      <c r="F138" s="988"/>
      <c r="G138" s="988"/>
      <c r="H138" s="988"/>
      <c r="I138" s="988"/>
      <c r="J138" s="988"/>
      <c r="K138" s="988"/>
      <c r="L138" s="988"/>
      <c r="M138" s="988"/>
      <c r="N138" s="988"/>
      <c r="O138" s="988"/>
      <c r="P138" s="274" t="s">
        <v>433</v>
      </c>
    </row>
    <row r="139" spans="1:16" ht="15.75" x14ac:dyDescent="0.2">
      <c r="A139" s="1011" t="s">
        <v>106</v>
      </c>
      <c r="B139" s="1012"/>
      <c r="C139" s="1024"/>
      <c r="D139" s="1024"/>
      <c r="E139" s="1024"/>
      <c r="F139" s="1024"/>
      <c r="G139" s="1024"/>
      <c r="H139" s="1024"/>
      <c r="I139" s="1024"/>
      <c r="J139" s="1024"/>
      <c r="K139" s="1024"/>
      <c r="L139" s="1024"/>
      <c r="M139" s="1024"/>
      <c r="N139" s="1024"/>
      <c r="O139" s="1024"/>
      <c r="P139" s="275">
        <v>210</v>
      </c>
    </row>
    <row r="140" spans="1:16" ht="15.75" x14ac:dyDescent="0.2">
      <c r="A140" s="1033" t="s">
        <v>30</v>
      </c>
      <c r="B140" s="1030" t="s">
        <v>31</v>
      </c>
      <c r="C140" s="1030"/>
      <c r="D140" s="1030"/>
      <c r="E140" s="1030"/>
      <c r="F140" s="1030"/>
      <c r="G140" s="1030" t="s">
        <v>32</v>
      </c>
      <c r="H140" s="1030"/>
      <c r="I140" s="1030"/>
      <c r="J140" s="1030"/>
      <c r="K140" s="1030"/>
      <c r="L140" s="1030" t="s">
        <v>36</v>
      </c>
      <c r="M140" s="1030"/>
      <c r="N140" s="1030"/>
      <c r="O140" s="1030"/>
      <c r="P140" s="1031"/>
    </row>
    <row r="141" spans="1:16" ht="15.75" x14ac:dyDescent="0.2">
      <c r="A141" s="1002"/>
      <c r="B141" s="79" t="s">
        <v>8</v>
      </c>
      <c r="C141" s="79" t="s">
        <v>7</v>
      </c>
      <c r="D141" s="79" t="s">
        <v>9</v>
      </c>
      <c r="E141" s="79" t="s">
        <v>19</v>
      </c>
      <c r="F141" s="79" t="s">
        <v>20</v>
      </c>
      <c r="G141" s="79" t="s">
        <v>8</v>
      </c>
      <c r="H141" s="79" t="s">
        <v>7</v>
      </c>
      <c r="I141" s="79" t="s">
        <v>9</v>
      </c>
      <c r="J141" s="79" t="s">
        <v>19</v>
      </c>
      <c r="K141" s="79" t="s">
        <v>20</v>
      </c>
      <c r="L141" s="79" t="s">
        <v>8</v>
      </c>
      <c r="M141" s="79" t="s">
        <v>7</v>
      </c>
      <c r="N141" s="79" t="s">
        <v>9</v>
      </c>
      <c r="O141" s="79" t="s">
        <v>19</v>
      </c>
      <c r="P141" s="24" t="s">
        <v>20</v>
      </c>
    </row>
    <row r="142" spans="1:16" ht="15.75" x14ac:dyDescent="0.2">
      <c r="A142" s="72" t="s">
        <v>460</v>
      </c>
      <c r="B142" s="32" t="s">
        <v>16</v>
      </c>
      <c r="C142" s="73" t="s">
        <v>11</v>
      </c>
      <c r="D142" s="73">
        <v>1</v>
      </c>
      <c r="E142" s="73">
        <f>skilled</f>
        <v>1100</v>
      </c>
      <c r="F142" s="73">
        <f>E142*D142</f>
        <v>1100</v>
      </c>
      <c r="G142" s="73"/>
      <c r="H142" s="73"/>
      <c r="I142" s="73"/>
      <c r="J142" s="78"/>
      <c r="K142" s="73"/>
      <c r="L142" s="70" t="s">
        <v>197</v>
      </c>
      <c r="M142" s="74" t="s">
        <v>13</v>
      </c>
      <c r="N142" s="73">
        <v>6</v>
      </c>
      <c r="O142" s="71">
        <f>excavator</f>
        <v>3357.5</v>
      </c>
      <c r="P142" s="61">
        <f>N142*O142</f>
        <v>20145</v>
      </c>
    </row>
    <row r="143" spans="1:16" ht="15.75" x14ac:dyDescent="0.2">
      <c r="A143" s="72"/>
      <c r="B143" s="32" t="s">
        <v>28</v>
      </c>
      <c r="C143" s="73" t="s">
        <v>11</v>
      </c>
      <c r="D143" s="73">
        <v>3</v>
      </c>
      <c r="E143" s="73">
        <f>unskilled</f>
        <v>780</v>
      </c>
      <c r="F143" s="73">
        <f>E143*D143</f>
        <v>2340</v>
      </c>
      <c r="G143" s="73"/>
      <c r="H143" s="73"/>
      <c r="I143" s="73"/>
      <c r="J143" s="73"/>
      <c r="K143" s="73"/>
      <c r="L143" s="70"/>
      <c r="M143" s="74"/>
      <c r="N143" s="73"/>
      <c r="O143" s="71"/>
      <c r="P143" s="61"/>
    </row>
    <row r="144" spans="1:16" ht="15.75" x14ac:dyDescent="0.2">
      <c r="A144" s="1005" t="s">
        <v>34</v>
      </c>
      <c r="B144" s="1006"/>
      <c r="C144" s="1006"/>
      <c r="D144" s="1006"/>
      <c r="E144" s="1006"/>
      <c r="F144" s="73">
        <f>F142+F143</f>
        <v>3440</v>
      </c>
      <c r="G144" s="1006" t="s">
        <v>35</v>
      </c>
      <c r="H144" s="1006"/>
      <c r="I144" s="1006"/>
      <c r="J144" s="1006"/>
      <c r="K144" s="73">
        <f>K142</f>
        <v>0</v>
      </c>
      <c r="L144" s="1006" t="s">
        <v>36</v>
      </c>
      <c r="M144" s="1006"/>
      <c r="N144" s="1006"/>
      <c r="O144" s="1006"/>
      <c r="P144" s="61">
        <f>SUM(P142)</f>
        <v>20145</v>
      </c>
    </row>
    <row r="145" spans="1:16" ht="15.75" x14ac:dyDescent="0.2">
      <c r="A145" s="1005" t="s">
        <v>461</v>
      </c>
      <c r="B145" s="1006"/>
      <c r="C145" s="1006"/>
      <c r="D145" s="1006"/>
      <c r="E145" s="1006"/>
      <c r="F145" s="73">
        <f>7.5%*(F144+P144)</f>
        <v>1768.88</v>
      </c>
      <c r="G145" s="150"/>
      <c r="H145" s="150"/>
      <c r="I145" s="150"/>
      <c r="J145" s="150"/>
      <c r="K145" s="73"/>
      <c r="L145" s="150"/>
      <c r="M145" s="150"/>
      <c r="N145" s="150"/>
      <c r="O145" s="150"/>
      <c r="P145" s="61"/>
    </row>
    <row r="146" spans="1:16" ht="15.75" x14ac:dyDescent="0.2">
      <c r="A146" s="1005" t="s">
        <v>487</v>
      </c>
      <c r="B146" s="1006"/>
      <c r="C146" s="1006"/>
      <c r="D146" s="1006"/>
      <c r="E146" s="1006"/>
      <c r="F146" s="74">
        <f>F144+K144+P144+F145</f>
        <v>25353.88</v>
      </c>
      <c r="G146" s="1006"/>
      <c r="H146" s="1006"/>
      <c r="I146" s="1006"/>
      <c r="J146" s="1006"/>
      <c r="K146" s="1006"/>
      <c r="L146" s="74"/>
      <c r="M146" s="1032"/>
      <c r="N146" s="1032"/>
      <c r="O146" s="1032"/>
      <c r="P146" s="16"/>
    </row>
    <row r="147" spans="1:16" ht="16.5" thickBot="1" x14ac:dyDescent="0.25">
      <c r="A147" s="82"/>
      <c r="B147" s="999" t="s">
        <v>110</v>
      </c>
      <c r="C147" s="999"/>
      <c r="D147" s="999"/>
      <c r="E147" s="999"/>
      <c r="F147" s="17">
        <f>15%*F146</f>
        <v>3803.08</v>
      </c>
      <c r="G147" s="83"/>
      <c r="H147" s="83"/>
      <c r="I147" s="83"/>
      <c r="J147" s="83"/>
      <c r="K147" s="83"/>
      <c r="L147" s="17"/>
      <c r="M147" s="295"/>
      <c r="N147" s="1000" t="s">
        <v>53</v>
      </c>
      <c r="O147" s="1000"/>
      <c r="P147" s="18">
        <f>(F147+F146)/P139</f>
        <v>138.84</v>
      </c>
    </row>
    <row r="148" spans="1:16" ht="16.5" thickBot="1" x14ac:dyDescent="0.25">
      <c r="A148" s="301"/>
      <c r="B148" s="1034"/>
      <c r="C148" s="1034"/>
      <c r="D148" s="1034"/>
      <c r="E148" s="1034"/>
      <c r="F148" s="51"/>
      <c r="G148" s="301"/>
      <c r="H148" s="301"/>
      <c r="I148" s="301"/>
      <c r="J148" s="301"/>
      <c r="K148" s="301"/>
      <c r="L148" s="51"/>
      <c r="M148" s="303"/>
      <c r="N148" s="303"/>
      <c r="O148" s="303"/>
      <c r="P148" s="52"/>
    </row>
    <row r="149" spans="1:16" ht="15.75" x14ac:dyDescent="0.2">
      <c r="A149" s="986" t="s">
        <v>29</v>
      </c>
      <c r="B149" s="987"/>
      <c r="C149" s="988" t="s">
        <v>561</v>
      </c>
      <c r="D149" s="988"/>
      <c r="E149" s="988"/>
      <c r="F149" s="988"/>
      <c r="G149" s="988"/>
      <c r="H149" s="988"/>
      <c r="I149" s="988"/>
      <c r="J149" s="988"/>
      <c r="K149" s="988"/>
      <c r="L149" s="988"/>
      <c r="M149" s="988"/>
      <c r="N149" s="988"/>
      <c r="O149" s="988"/>
      <c r="P149" s="274" t="s">
        <v>433</v>
      </c>
    </row>
    <row r="150" spans="1:16" ht="15.75" x14ac:dyDescent="0.2">
      <c r="A150" s="1011" t="s">
        <v>106</v>
      </c>
      <c r="B150" s="1012"/>
      <c r="C150" s="1024"/>
      <c r="D150" s="1024"/>
      <c r="E150" s="1024"/>
      <c r="F150" s="1024"/>
      <c r="G150" s="1024"/>
      <c r="H150" s="1024"/>
      <c r="I150" s="1024"/>
      <c r="J150" s="1024"/>
      <c r="K150" s="1024"/>
      <c r="L150" s="1024"/>
      <c r="M150" s="1024"/>
      <c r="N150" s="1024"/>
      <c r="O150" s="1024"/>
      <c r="P150" s="275">
        <v>90</v>
      </c>
    </row>
    <row r="151" spans="1:16" ht="15.75" x14ac:dyDescent="0.2">
      <c r="A151" s="1033" t="s">
        <v>30</v>
      </c>
      <c r="B151" s="1030" t="s">
        <v>31</v>
      </c>
      <c r="C151" s="1030"/>
      <c r="D151" s="1030"/>
      <c r="E151" s="1030"/>
      <c r="F151" s="1030"/>
      <c r="G151" s="1030" t="s">
        <v>32</v>
      </c>
      <c r="H151" s="1030"/>
      <c r="I151" s="1030"/>
      <c r="J151" s="1030"/>
      <c r="K151" s="1030"/>
      <c r="L151" s="1030" t="s">
        <v>36</v>
      </c>
      <c r="M151" s="1030"/>
      <c r="N151" s="1030"/>
      <c r="O151" s="1030"/>
      <c r="P151" s="1031"/>
    </row>
    <row r="152" spans="1:16" ht="15.75" x14ac:dyDescent="0.2">
      <c r="A152" s="1002"/>
      <c r="B152" s="79" t="s">
        <v>8</v>
      </c>
      <c r="C152" s="79" t="s">
        <v>7</v>
      </c>
      <c r="D152" s="79" t="s">
        <v>9</v>
      </c>
      <c r="E152" s="79" t="s">
        <v>19</v>
      </c>
      <c r="F152" s="79" t="s">
        <v>20</v>
      </c>
      <c r="G152" s="79" t="s">
        <v>8</v>
      </c>
      <c r="H152" s="79" t="s">
        <v>7</v>
      </c>
      <c r="I152" s="79" t="s">
        <v>9</v>
      </c>
      <c r="J152" s="79" t="s">
        <v>19</v>
      </c>
      <c r="K152" s="79" t="s">
        <v>20</v>
      </c>
      <c r="L152" s="79" t="s">
        <v>8</v>
      </c>
      <c r="M152" s="79" t="s">
        <v>7</v>
      </c>
      <c r="N152" s="79" t="s">
        <v>9</v>
      </c>
      <c r="O152" s="79" t="s">
        <v>19</v>
      </c>
      <c r="P152" s="24" t="s">
        <v>20</v>
      </c>
    </row>
    <row r="153" spans="1:16" ht="15.75" x14ac:dyDescent="0.2">
      <c r="A153" s="72" t="s">
        <v>462</v>
      </c>
      <c r="B153" s="32" t="s">
        <v>16</v>
      </c>
      <c r="C153" s="73" t="s">
        <v>11</v>
      </c>
      <c r="D153" s="73">
        <v>1</v>
      </c>
      <c r="E153" s="73">
        <f>skilled</f>
        <v>1100</v>
      </c>
      <c r="F153" s="73">
        <f>E153*D153</f>
        <v>1100</v>
      </c>
      <c r="G153" s="73"/>
      <c r="H153" s="73"/>
      <c r="I153" s="73"/>
      <c r="J153" s="78"/>
      <c r="K153" s="73"/>
      <c r="L153" s="70" t="s">
        <v>197</v>
      </c>
      <c r="M153" s="74" t="s">
        <v>13</v>
      </c>
      <c r="N153" s="73">
        <v>6</v>
      </c>
      <c r="O153" s="71">
        <f>excavator</f>
        <v>3357.5</v>
      </c>
      <c r="P153" s="61">
        <f>N153*O153</f>
        <v>20145</v>
      </c>
    </row>
    <row r="154" spans="1:16" ht="15.75" x14ac:dyDescent="0.2">
      <c r="A154" s="72"/>
      <c r="B154" s="32" t="s">
        <v>28</v>
      </c>
      <c r="C154" s="73" t="s">
        <v>11</v>
      </c>
      <c r="D154" s="73">
        <v>3</v>
      </c>
      <c r="E154" s="73">
        <f>unskilled</f>
        <v>780</v>
      </c>
      <c r="F154" s="73">
        <f>E154*D154</f>
        <v>2340</v>
      </c>
      <c r="G154" s="73"/>
      <c r="H154" s="73"/>
      <c r="I154" s="73"/>
      <c r="J154" s="73"/>
      <c r="K154" s="73"/>
      <c r="L154" s="70"/>
      <c r="M154" s="74"/>
      <c r="N154" s="73"/>
      <c r="O154" s="71"/>
      <c r="P154" s="61"/>
    </row>
    <row r="155" spans="1:16" ht="15.75" x14ac:dyDescent="0.2">
      <c r="A155" s="1005" t="s">
        <v>34</v>
      </c>
      <c r="B155" s="1006"/>
      <c r="C155" s="1006"/>
      <c r="D155" s="1006"/>
      <c r="E155" s="1006"/>
      <c r="F155" s="73">
        <f>F153+F154</f>
        <v>3440</v>
      </c>
      <c r="G155" s="1006" t="s">
        <v>35</v>
      </c>
      <c r="H155" s="1006"/>
      <c r="I155" s="1006"/>
      <c r="J155" s="1006"/>
      <c r="K155" s="73">
        <f>K153</f>
        <v>0</v>
      </c>
      <c r="L155" s="1006" t="s">
        <v>36</v>
      </c>
      <c r="M155" s="1006"/>
      <c r="N155" s="1006"/>
      <c r="O155" s="1006"/>
      <c r="P155" s="61">
        <f>SUM(P153)</f>
        <v>20145</v>
      </c>
    </row>
    <row r="156" spans="1:16" ht="15.75" x14ac:dyDescent="0.2">
      <c r="A156" s="1005" t="s">
        <v>463</v>
      </c>
      <c r="B156" s="1006"/>
      <c r="C156" s="1006"/>
      <c r="D156" s="1006"/>
      <c r="E156" s="1006"/>
      <c r="F156" s="73">
        <f>10%*(F155+P155)</f>
        <v>2358.5</v>
      </c>
      <c r="G156" s="150"/>
      <c r="H156" s="150"/>
      <c r="I156" s="150"/>
      <c r="J156" s="150"/>
      <c r="K156" s="73"/>
      <c r="L156" s="150"/>
      <c r="M156" s="150"/>
      <c r="N156" s="150"/>
      <c r="O156" s="150"/>
      <c r="P156" s="61"/>
    </row>
    <row r="157" spans="1:16" ht="15.75" x14ac:dyDescent="0.2">
      <c r="A157" s="1005" t="s">
        <v>487</v>
      </c>
      <c r="B157" s="1006"/>
      <c r="C157" s="1006"/>
      <c r="D157" s="1006"/>
      <c r="E157" s="1006"/>
      <c r="F157" s="74">
        <f>F155+K155+P155+F156</f>
        <v>25943.5</v>
      </c>
      <c r="G157" s="1006"/>
      <c r="H157" s="1006"/>
      <c r="I157" s="1006"/>
      <c r="J157" s="1006"/>
      <c r="K157" s="1006"/>
      <c r="L157" s="74"/>
      <c r="M157" s="1032"/>
      <c r="N157" s="1032"/>
      <c r="O157" s="1032"/>
      <c r="P157" s="16"/>
    </row>
    <row r="158" spans="1:16" ht="16.5" thickBot="1" x14ac:dyDescent="0.25">
      <c r="A158" s="82"/>
      <c r="B158" s="999" t="s">
        <v>110</v>
      </c>
      <c r="C158" s="999"/>
      <c r="D158" s="999"/>
      <c r="E158" s="999"/>
      <c r="F158" s="17">
        <f>15%*F157</f>
        <v>3891.53</v>
      </c>
      <c r="G158" s="83"/>
      <c r="H158" s="83"/>
      <c r="I158" s="83"/>
      <c r="J158" s="83"/>
      <c r="K158" s="83"/>
      <c r="L158" s="17"/>
      <c r="M158" s="295"/>
      <c r="N158" s="1000" t="s">
        <v>53</v>
      </c>
      <c r="O158" s="1000"/>
      <c r="P158" s="18">
        <f>(F158+F157)/P150</f>
        <v>331.5</v>
      </c>
    </row>
    <row r="159" spans="1:16" ht="15.75" x14ac:dyDescent="0.2">
      <c r="A159" s="301"/>
      <c r="B159" s="1034"/>
      <c r="C159" s="1034"/>
      <c r="D159" s="1034"/>
      <c r="E159" s="1034"/>
      <c r="F159" s="51"/>
      <c r="G159" s="301"/>
      <c r="H159" s="301"/>
      <c r="I159" s="301"/>
      <c r="J159" s="301"/>
      <c r="K159" s="301"/>
      <c r="L159" s="51"/>
      <c r="M159" s="303"/>
      <c r="N159" s="303"/>
      <c r="O159" s="303"/>
      <c r="P159" s="52"/>
    </row>
    <row r="160" spans="1:16" ht="15.75" hidden="1" x14ac:dyDescent="0.2">
      <c r="A160" s="986" t="s">
        <v>29</v>
      </c>
      <c r="B160" s="987"/>
      <c r="C160" s="988" t="s">
        <v>562</v>
      </c>
      <c r="D160" s="988"/>
      <c r="E160" s="988"/>
      <c r="F160" s="988"/>
      <c r="G160" s="988"/>
      <c r="H160" s="988"/>
      <c r="I160" s="988"/>
      <c r="J160" s="988"/>
      <c r="K160" s="988"/>
      <c r="L160" s="988"/>
      <c r="M160" s="988"/>
      <c r="N160" s="988"/>
      <c r="O160" s="988"/>
      <c r="P160" s="274" t="s">
        <v>433</v>
      </c>
    </row>
    <row r="161" spans="1:16" ht="15.75" hidden="1" x14ac:dyDescent="0.2">
      <c r="A161" s="1011" t="s">
        <v>106</v>
      </c>
      <c r="B161" s="1012"/>
      <c r="C161" s="1024"/>
      <c r="D161" s="1024"/>
      <c r="E161" s="1024"/>
      <c r="F161" s="1024"/>
      <c r="G161" s="1024"/>
      <c r="H161" s="1024"/>
      <c r="I161" s="1024"/>
      <c r="J161" s="1024"/>
      <c r="K161" s="1024"/>
      <c r="L161" s="1024"/>
      <c r="M161" s="1024"/>
      <c r="N161" s="1024"/>
      <c r="O161" s="1024"/>
      <c r="P161" s="275">
        <v>10</v>
      </c>
    </row>
    <row r="162" spans="1:16" ht="15.75" hidden="1" x14ac:dyDescent="0.2">
      <c r="A162" s="1033" t="s">
        <v>30</v>
      </c>
      <c r="B162" s="1030" t="s">
        <v>31</v>
      </c>
      <c r="C162" s="1030"/>
      <c r="D162" s="1030"/>
      <c r="E162" s="1030"/>
      <c r="F162" s="1030"/>
      <c r="G162" s="1030" t="s">
        <v>32</v>
      </c>
      <c r="H162" s="1030"/>
      <c r="I162" s="1030"/>
      <c r="J162" s="1030"/>
      <c r="K162" s="1030"/>
      <c r="L162" s="1030" t="s">
        <v>36</v>
      </c>
      <c r="M162" s="1030"/>
      <c r="N162" s="1030"/>
      <c r="O162" s="1030"/>
      <c r="P162" s="1031"/>
    </row>
    <row r="163" spans="1:16" ht="15.75" hidden="1" x14ac:dyDescent="0.2">
      <c r="A163" s="1002"/>
      <c r="B163" s="79" t="s">
        <v>8</v>
      </c>
      <c r="C163" s="79" t="s">
        <v>7</v>
      </c>
      <c r="D163" s="79" t="s">
        <v>9</v>
      </c>
      <c r="E163" s="79" t="s">
        <v>19</v>
      </c>
      <c r="F163" s="79" t="s">
        <v>20</v>
      </c>
      <c r="G163" s="79" t="s">
        <v>8</v>
      </c>
      <c r="H163" s="79" t="s">
        <v>7</v>
      </c>
      <c r="I163" s="79" t="s">
        <v>9</v>
      </c>
      <c r="J163" s="79" t="s">
        <v>19</v>
      </c>
      <c r="K163" s="79" t="s">
        <v>20</v>
      </c>
      <c r="L163" s="79" t="s">
        <v>8</v>
      </c>
      <c r="M163" s="79" t="s">
        <v>7</v>
      </c>
      <c r="N163" s="79" t="s">
        <v>9</v>
      </c>
      <c r="O163" s="79" t="s">
        <v>19</v>
      </c>
      <c r="P163" s="24" t="s">
        <v>20</v>
      </c>
    </row>
    <row r="164" spans="1:16" ht="15.75" hidden="1" x14ac:dyDescent="0.2">
      <c r="A164" s="72" t="s">
        <v>464</v>
      </c>
      <c r="B164" s="32" t="s">
        <v>16</v>
      </c>
      <c r="C164" s="73" t="s">
        <v>11</v>
      </c>
      <c r="D164" s="73">
        <v>1</v>
      </c>
      <c r="E164" s="73">
        <f>skilled</f>
        <v>1100</v>
      </c>
      <c r="F164" s="73">
        <f>E164*D164</f>
        <v>1100</v>
      </c>
      <c r="G164" s="32" t="s">
        <v>467</v>
      </c>
      <c r="H164" s="73" t="s">
        <v>50</v>
      </c>
      <c r="I164" s="73">
        <v>3.5</v>
      </c>
      <c r="J164" s="78">
        <f>gelatin</f>
        <v>204</v>
      </c>
      <c r="K164" s="73">
        <f>J164*I164</f>
        <v>714</v>
      </c>
      <c r="L164" s="70" t="s">
        <v>470</v>
      </c>
      <c r="M164" s="74" t="s">
        <v>13</v>
      </c>
      <c r="N164" s="73">
        <v>1</v>
      </c>
      <c r="O164" s="71">
        <f>aircompressor</f>
        <v>1281</v>
      </c>
      <c r="P164" s="61">
        <f>N164*O164</f>
        <v>1281</v>
      </c>
    </row>
    <row r="165" spans="1:16" ht="15.75" hidden="1" x14ac:dyDescent="0.2">
      <c r="A165" s="72"/>
      <c r="B165" s="32" t="s">
        <v>28</v>
      </c>
      <c r="C165" s="73" t="s">
        <v>11</v>
      </c>
      <c r="D165" s="73">
        <v>12</v>
      </c>
      <c r="E165" s="73">
        <f>unskilled</f>
        <v>780</v>
      </c>
      <c r="F165" s="73">
        <f>E165*D165</f>
        <v>9360</v>
      </c>
      <c r="G165" s="32" t="s">
        <v>468</v>
      </c>
      <c r="H165" s="73" t="s">
        <v>1</v>
      </c>
      <c r="I165" s="73">
        <v>14</v>
      </c>
      <c r="J165" s="73">
        <f>detonator</f>
        <v>7.7</v>
      </c>
      <c r="K165" s="73">
        <f>J165*I165</f>
        <v>107.8</v>
      </c>
      <c r="L165" s="70" t="s">
        <v>471</v>
      </c>
      <c r="M165" s="74" t="s">
        <v>13</v>
      </c>
      <c r="N165" s="73">
        <v>3</v>
      </c>
      <c r="O165" s="71">
        <f>jackhammer</f>
        <v>273</v>
      </c>
      <c r="P165" s="61">
        <f>N165*O165</f>
        <v>819</v>
      </c>
    </row>
    <row r="166" spans="1:16" ht="15.75" hidden="1" x14ac:dyDescent="0.2">
      <c r="A166" s="72"/>
      <c r="B166" s="32" t="s">
        <v>465</v>
      </c>
      <c r="C166" s="73" t="s">
        <v>11</v>
      </c>
      <c r="D166" s="73">
        <v>0.5</v>
      </c>
      <c r="E166" s="73">
        <f>semiskilled</f>
        <v>880</v>
      </c>
      <c r="F166" s="73">
        <f>E166*D166</f>
        <v>440</v>
      </c>
      <c r="G166" s="32" t="s">
        <v>469</v>
      </c>
      <c r="H166" s="73" t="s">
        <v>17</v>
      </c>
      <c r="I166" s="73">
        <v>20</v>
      </c>
      <c r="J166" s="73">
        <f>fusewire</f>
        <v>6.6</v>
      </c>
      <c r="K166" s="73">
        <f>J166*I166</f>
        <v>132</v>
      </c>
      <c r="L166" s="70"/>
      <c r="M166" s="74"/>
      <c r="N166" s="73"/>
      <c r="O166" s="71"/>
      <c r="P166" s="61"/>
    </row>
    <row r="167" spans="1:16" ht="15.75" hidden="1" x14ac:dyDescent="0.2">
      <c r="A167" s="72"/>
      <c r="B167" s="32" t="s">
        <v>466</v>
      </c>
      <c r="C167" s="73" t="s">
        <v>11</v>
      </c>
      <c r="D167" s="73">
        <v>0.25</v>
      </c>
      <c r="E167" s="73">
        <f>semiskilled</f>
        <v>880</v>
      </c>
      <c r="F167" s="73">
        <f>E167*D167</f>
        <v>220</v>
      </c>
      <c r="G167" s="73"/>
      <c r="H167" s="73"/>
      <c r="I167" s="73"/>
      <c r="J167" s="73"/>
      <c r="K167" s="73"/>
      <c r="L167" s="70"/>
      <c r="M167" s="74"/>
      <c r="N167" s="73"/>
      <c r="O167" s="71"/>
      <c r="P167" s="61"/>
    </row>
    <row r="168" spans="1:16" ht="15.75" hidden="1" x14ac:dyDescent="0.2">
      <c r="A168" s="1005" t="s">
        <v>34</v>
      </c>
      <c r="B168" s="1006"/>
      <c r="C168" s="1006"/>
      <c r="D168" s="1006"/>
      <c r="E168" s="1006"/>
      <c r="F168" s="73">
        <f>SUM(F164:F167)</f>
        <v>11120</v>
      </c>
      <c r="G168" s="1006" t="s">
        <v>35</v>
      </c>
      <c r="H168" s="1006"/>
      <c r="I168" s="1006"/>
      <c r="J168" s="1006"/>
      <c r="K168" s="73">
        <f>SUM(K164:K166)</f>
        <v>953.8</v>
      </c>
      <c r="L168" s="1006" t="s">
        <v>36</v>
      </c>
      <c r="M168" s="1006"/>
      <c r="N168" s="1006"/>
      <c r="O168" s="1006"/>
      <c r="P168" s="61">
        <f>SUM(P164:P165)</f>
        <v>2100</v>
      </c>
    </row>
    <row r="169" spans="1:16" ht="15.75" hidden="1" x14ac:dyDescent="0.2">
      <c r="A169" s="1005" t="s">
        <v>463</v>
      </c>
      <c r="B169" s="1006"/>
      <c r="C169" s="1006"/>
      <c r="D169" s="1006"/>
      <c r="E169" s="1006"/>
      <c r="F169" s="73">
        <f>10%*F170</f>
        <v>1417.38</v>
      </c>
      <c r="G169" s="150"/>
      <c r="H169" s="150"/>
      <c r="I169" s="150"/>
      <c r="J169" s="150"/>
      <c r="K169" s="73"/>
      <c r="L169" s="150"/>
      <c r="M169" s="150"/>
      <c r="N169" s="150"/>
      <c r="O169" s="150"/>
      <c r="P169" s="61"/>
    </row>
    <row r="170" spans="1:16" ht="15.75" hidden="1" x14ac:dyDescent="0.2">
      <c r="A170" s="1005" t="s">
        <v>487</v>
      </c>
      <c r="B170" s="1006"/>
      <c r="C170" s="1006"/>
      <c r="D170" s="1006"/>
      <c r="E170" s="1006"/>
      <c r="F170" s="74">
        <f>F168+K168+P168</f>
        <v>14173.8</v>
      </c>
      <c r="G170" s="1006"/>
      <c r="H170" s="1006"/>
      <c r="I170" s="1006"/>
      <c r="J170" s="1006"/>
      <c r="K170" s="1006"/>
      <c r="L170" s="74"/>
      <c r="M170" s="1032"/>
      <c r="N170" s="1032"/>
      <c r="O170" s="1032"/>
      <c r="P170" s="16"/>
    </row>
    <row r="171" spans="1:16" ht="16.5" hidden="1" thickBot="1" x14ac:dyDescent="0.25">
      <c r="A171" s="82"/>
      <c r="B171" s="999" t="s">
        <v>110</v>
      </c>
      <c r="C171" s="999"/>
      <c r="D171" s="999"/>
      <c r="E171" s="999"/>
      <c r="F171" s="17">
        <f>15%*(F170+F169)</f>
        <v>2338.6799999999998</v>
      </c>
      <c r="G171" s="83"/>
      <c r="H171" s="83"/>
      <c r="I171" s="83"/>
      <c r="J171" s="83"/>
      <c r="K171" s="83"/>
      <c r="L171" s="17"/>
      <c r="M171" s="295"/>
      <c r="N171" s="1000" t="s">
        <v>53</v>
      </c>
      <c r="O171" s="1000"/>
      <c r="P171" s="18">
        <f>(F171+F170)/P161</f>
        <v>1651.25</v>
      </c>
    </row>
    <row r="172" spans="1:16" ht="15.75" hidden="1" x14ac:dyDescent="0.2">
      <c r="A172" s="301"/>
      <c r="B172" s="1034"/>
      <c r="C172" s="1034"/>
      <c r="D172" s="1034"/>
      <c r="E172" s="1034"/>
      <c r="F172" s="51"/>
      <c r="G172" s="301"/>
      <c r="H172" s="301"/>
      <c r="I172" s="301"/>
      <c r="J172" s="301"/>
      <c r="K172" s="301"/>
      <c r="L172" s="51"/>
      <c r="M172" s="303"/>
      <c r="N172" s="303"/>
      <c r="O172" s="303"/>
      <c r="P172" s="52"/>
    </row>
    <row r="173" spans="1:16" ht="16.5" thickBot="1" x14ac:dyDescent="0.25">
      <c r="A173" s="271" t="s">
        <v>472</v>
      </c>
      <c r="B173" s="301"/>
      <c r="C173" s="301"/>
      <c r="D173" s="301"/>
      <c r="E173" s="301"/>
      <c r="F173" s="51"/>
      <c r="G173" s="301"/>
      <c r="H173" s="301"/>
      <c r="I173" s="301"/>
      <c r="J173" s="301"/>
      <c r="K173" s="301"/>
      <c r="L173" s="51"/>
      <c r="M173" s="303"/>
      <c r="N173" s="303"/>
      <c r="O173" s="303"/>
      <c r="P173" s="52"/>
    </row>
    <row r="174" spans="1:16" ht="15.75" x14ac:dyDescent="0.2">
      <c r="A174" s="1035" t="s">
        <v>29</v>
      </c>
      <c r="B174" s="1036"/>
      <c r="C174" s="988" t="s">
        <v>473</v>
      </c>
      <c r="D174" s="988"/>
      <c r="E174" s="988"/>
      <c r="F174" s="988"/>
      <c r="G174" s="988"/>
      <c r="H174" s="988"/>
      <c r="I174" s="988"/>
      <c r="J174" s="988"/>
      <c r="K174" s="988"/>
      <c r="L174" s="988"/>
      <c r="M174" s="988"/>
      <c r="N174" s="988"/>
      <c r="O174" s="988"/>
      <c r="P174" s="274" t="s">
        <v>433</v>
      </c>
    </row>
    <row r="175" spans="1:16" ht="15.75" x14ac:dyDescent="0.2">
      <c r="A175" s="1011" t="s">
        <v>159</v>
      </c>
      <c r="B175" s="1012"/>
      <c r="C175" s="1024"/>
      <c r="D175" s="1024"/>
      <c r="E175" s="1024"/>
      <c r="F175" s="1024"/>
      <c r="G175" s="1024"/>
      <c r="H175" s="1024"/>
      <c r="I175" s="1024"/>
      <c r="J175" s="1024"/>
      <c r="K175" s="1024"/>
      <c r="L175" s="1024"/>
      <c r="M175" s="1024"/>
      <c r="N175" s="1024"/>
      <c r="O175" s="1024"/>
      <c r="P175" s="275">
        <v>300</v>
      </c>
    </row>
    <row r="176" spans="1:16" ht="15.75" x14ac:dyDescent="0.2">
      <c r="A176" s="1033" t="s">
        <v>30</v>
      </c>
      <c r="B176" s="1030" t="s">
        <v>31</v>
      </c>
      <c r="C176" s="1030"/>
      <c r="D176" s="1030"/>
      <c r="E176" s="1030"/>
      <c r="F176" s="1030"/>
      <c r="G176" s="1030" t="s">
        <v>32</v>
      </c>
      <c r="H176" s="1030"/>
      <c r="I176" s="1030"/>
      <c r="J176" s="1030"/>
      <c r="K176" s="1030"/>
      <c r="L176" s="1030" t="s">
        <v>33</v>
      </c>
      <c r="M176" s="1030"/>
      <c r="N176" s="1030"/>
      <c r="O176" s="1030"/>
      <c r="P176" s="1031"/>
    </row>
    <row r="177" spans="1:16" ht="15.75" x14ac:dyDescent="0.2">
      <c r="A177" s="1002"/>
      <c r="B177" s="79" t="s">
        <v>8</v>
      </c>
      <c r="C177" s="79" t="s">
        <v>7</v>
      </c>
      <c r="D177" s="79" t="s">
        <v>9</v>
      </c>
      <c r="E177" s="79" t="s">
        <v>19</v>
      </c>
      <c r="F177" s="79" t="s">
        <v>20</v>
      </c>
      <c r="G177" s="79" t="s">
        <v>8</v>
      </c>
      <c r="H177" s="79" t="s">
        <v>7</v>
      </c>
      <c r="I177" s="79" t="s">
        <v>9</v>
      </c>
      <c r="J177" s="79" t="s">
        <v>19</v>
      </c>
      <c r="K177" s="79" t="s">
        <v>20</v>
      </c>
      <c r="L177" s="79" t="s">
        <v>8</v>
      </c>
      <c r="M177" s="79" t="s">
        <v>7</v>
      </c>
      <c r="N177" s="79" t="s">
        <v>9</v>
      </c>
      <c r="O177" s="79" t="s">
        <v>19</v>
      </c>
      <c r="P177" s="24" t="s">
        <v>20</v>
      </c>
    </row>
    <row r="178" spans="1:16" ht="15.75" x14ac:dyDescent="0.2">
      <c r="A178" s="72">
        <v>9.8000000000000007</v>
      </c>
      <c r="B178" s="32" t="s">
        <v>16</v>
      </c>
      <c r="C178" s="73" t="s">
        <v>11</v>
      </c>
      <c r="D178" s="73">
        <v>1</v>
      </c>
      <c r="E178" s="73">
        <f>skilled</f>
        <v>1100</v>
      </c>
      <c r="F178" s="73">
        <f>E178*D178</f>
        <v>1100</v>
      </c>
      <c r="G178" s="32" t="s">
        <v>26</v>
      </c>
      <c r="H178" s="73" t="s">
        <v>474</v>
      </c>
      <c r="I178" s="73">
        <v>72</v>
      </c>
      <c r="J178" s="78">
        <f>water*1000</f>
        <v>410</v>
      </c>
      <c r="K178" s="73">
        <f>I178*J178</f>
        <v>29520</v>
      </c>
      <c r="L178" s="70" t="s">
        <v>197</v>
      </c>
      <c r="M178" s="74" t="s">
        <v>13</v>
      </c>
      <c r="N178" s="73">
        <v>6</v>
      </c>
      <c r="O178" s="71">
        <f>excavator</f>
        <v>3357.5</v>
      </c>
      <c r="P178" s="61">
        <f>N178*O178</f>
        <v>20145</v>
      </c>
    </row>
    <row r="179" spans="1:16" ht="15.75" x14ac:dyDescent="0.2">
      <c r="A179" s="72"/>
      <c r="B179" s="32" t="s">
        <v>28</v>
      </c>
      <c r="C179" s="73" t="s">
        <v>11</v>
      </c>
      <c r="D179" s="73">
        <v>4</v>
      </c>
      <c r="E179" s="73">
        <f>unskilled</f>
        <v>780</v>
      </c>
      <c r="F179" s="73">
        <f>E179*D179</f>
        <v>3120</v>
      </c>
      <c r="G179" s="32" t="s">
        <v>256</v>
      </c>
      <c r="H179" s="73" t="s">
        <v>250</v>
      </c>
      <c r="I179" s="73">
        <v>360</v>
      </c>
      <c r="J179" s="73">
        <f>borrowpitmaterial</f>
        <v>671.97</v>
      </c>
      <c r="K179" s="73">
        <f>I179*J179</f>
        <v>241909.2</v>
      </c>
      <c r="L179" s="70" t="s">
        <v>475</v>
      </c>
      <c r="M179" s="74" t="s">
        <v>13</v>
      </c>
      <c r="N179" s="73">
        <v>12</v>
      </c>
      <c r="O179" s="71">
        <f>tractortrolley</f>
        <v>1039</v>
      </c>
      <c r="P179" s="61">
        <f>N179*O179</f>
        <v>12468</v>
      </c>
    </row>
    <row r="180" spans="1:16" ht="15.75" x14ac:dyDescent="0.2">
      <c r="A180" s="72"/>
      <c r="B180" s="73"/>
      <c r="C180" s="73"/>
      <c r="D180" s="73"/>
      <c r="E180" s="73"/>
      <c r="F180" s="73"/>
      <c r="G180" s="32"/>
      <c r="H180" s="73"/>
      <c r="I180" s="73"/>
      <c r="J180" s="73"/>
      <c r="K180" s="73"/>
      <c r="L180" s="70" t="s">
        <v>363</v>
      </c>
      <c r="M180" s="74" t="s">
        <v>13</v>
      </c>
      <c r="N180" s="73">
        <v>3</v>
      </c>
      <c r="O180" s="73">
        <f>dozer</f>
        <v>4438.5</v>
      </c>
      <c r="P180" s="61">
        <f>N180*O180</f>
        <v>13315.5</v>
      </c>
    </row>
    <row r="181" spans="1:16" ht="15.75" x14ac:dyDescent="0.2">
      <c r="A181" s="72"/>
      <c r="B181" s="73"/>
      <c r="C181" s="73"/>
      <c r="D181" s="73"/>
      <c r="E181" s="73"/>
      <c r="F181" s="73"/>
      <c r="G181" s="32"/>
      <c r="H181" s="73"/>
      <c r="I181" s="73"/>
      <c r="J181" s="73"/>
      <c r="K181" s="73"/>
      <c r="L181" s="70" t="s">
        <v>476</v>
      </c>
      <c r="M181" s="74" t="s">
        <v>13</v>
      </c>
      <c r="N181" s="73">
        <v>3</v>
      </c>
      <c r="O181" s="73">
        <f>motorgrader</f>
        <v>3061</v>
      </c>
      <c r="P181" s="61">
        <f>N181*O181</f>
        <v>9183</v>
      </c>
    </row>
    <row r="182" spans="1:16" ht="15.75" x14ac:dyDescent="0.2">
      <c r="A182" s="72"/>
      <c r="B182" s="73"/>
      <c r="C182" s="73"/>
      <c r="D182" s="73"/>
      <c r="E182" s="73"/>
      <c r="F182" s="73"/>
      <c r="G182" s="32"/>
      <c r="H182" s="73"/>
      <c r="I182" s="73"/>
      <c r="J182" s="73"/>
      <c r="K182" s="73"/>
      <c r="L182" s="70" t="s">
        <v>313</v>
      </c>
      <c r="M182" s="74" t="s">
        <v>13</v>
      </c>
      <c r="N182" s="73">
        <v>6</v>
      </c>
      <c r="O182" s="73">
        <f>vibratoryroller</f>
        <v>1915.5</v>
      </c>
      <c r="P182" s="61">
        <f>N182*O182</f>
        <v>11493</v>
      </c>
    </row>
    <row r="183" spans="1:16" ht="15.75" x14ac:dyDescent="0.2">
      <c r="A183" s="1005" t="s">
        <v>34</v>
      </c>
      <c r="B183" s="1006"/>
      <c r="C183" s="1006"/>
      <c r="D183" s="1006"/>
      <c r="E183" s="1006"/>
      <c r="F183" s="73">
        <f>SUM(F178:F179)</f>
        <v>4220</v>
      </c>
      <c r="G183" s="1006" t="s">
        <v>35</v>
      </c>
      <c r="H183" s="1006"/>
      <c r="I183" s="1006"/>
      <c r="J183" s="1006"/>
      <c r="K183" s="73">
        <f>SUM(K178:K179)</f>
        <v>271429.2</v>
      </c>
      <c r="L183" s="1006" t="s">
        <v>36</v>
      </c>
      <c r="M183" s="1006"/>
      <c r="N183" s="1006"/>
      <c r="O183" s="1006"/>
      <c r="P183" s="61">
        <f>SUM(P178:P182)</f>
        <v>66604.5</v>
      </c>
    </row>
    <row r="184" spans="1:16" ht="15.75" x14ac:dyDescent="0.2">
      <c r="A184" s="1005" t="s">
        <v>487</v>
      </c>
      <c r="B184" s="1006"/>
      <c r="C184" s="1006"/>
      <c r="D184" s="1006"/>
      <c r="E184" s="1006"/>
      <c r="F184" s="74">
        <f>SUM(F183+K183+P183)</f>
        <v>342253.7</v>
      </c>
      <c r="G184" s="1006"/>
      <c r="H184" s="1006"/>
      <c r="I184" s="1006"/>
      <c r="J184" s="1006"/>
      <c r="K184" s="1006"/>
      <c r="L184" s="74"/>
      <c r="M184" s="1032"/>
      <c r="N184" s="1032"/>
      <c r="O184" s="1032"/>
      <c r="P184" s="16"/>
    </row>
    <row r="185" spans="1:16" ht="16.5" thickBot="1" x14ac:dyDescent="0.25">
      <c r="A185" s="82"/>
      <c r="B185" s="999" t="s">
        <v>110</v>
      </c>
      <c r="C185" s="999"/>
      <c r="D185" s="999"/>
      <c r="E185" s="999"/>
      <c r="F185" s="17">
        <f>15%*F184</f>
        <v>51338.06</v>
      </c>
      <c r="G185" s="83"/>
      <c r="H185" s="83"/>
      <c r="I185" s="83"/>
      <c r="J185" s="83"/>
      <c r="K185" s="83"/>
      <c r="L185" s="17"/>
      <c r="M185" s="295"/>
      <c r="N185" s="1000" t="s">
        <v>53</v>
      </c>
      <c r="O185" s="1000"/>
      <c r="P185" s="18">
        <f>(F185+F184)/P175</f>
        <v>1311.97</v>
      </c>
    </row>
    <row r="186" spans="1:16" ht="16.5" thickBot="1" x14ac:dyDescent="0.25">
      <c r="A186" s="301"/>
      <c r="B186" s="1034"/>
      <c r="C186" s="1034"/>
      <c r="D186" s="1034"/>
      <c r="E186" s="1034"/>
      <c r="F186" s="51"/>
      <c r="G186" s="301"/>
      <c r="H186" s="301"/>
      <c r="I186" s="301"/>
      <c r="J186" s="301"/>
      <c r="K186" s="301"/>
      <c r="L186" s="51"/>
      <c r="M186" s="303"/>
      <c r="N186" s="303"/>
      <c r="O186" s="303"/>
      <c r="P186" s="52"/>
    </row>
    <row r="187" spans="1:16" ht="16.5" hidden="1" thickBot="1" x14ac:dyDescent="0.25">
      <c r="A187" s="271" t="s">
        <v>477</v>
      </c>
      <c r="B187" s="301"/>
      <c r="C187" s="301"/>
      <c r="D187" s="301"/>
      <c r="E187" s="301"/>
      <c r="F187" s="51"/>
      <c r="G187" s="301"/>
      <c r="H187" s="301"/>
      <c r="I187" s="301"/>
      <c r="J187" s="301"/>
      <c r="K187" s="301"/>
      <c r="L187" s="51"/>
      <c r="M187" s="303"/>
      <c r="N187" s="303"/>
      <c r="O187" s="303"/>
      <c r="P187" s="52"/>
    </row>
    <row r="188" spans="1:16" ht="15.75" hidden="1" x14ac:dyDescent="0.2">
      <c r="A188" s="1035" t="s">
        <v>29</v>
      </c>
      <c r="B188" s="1036"/>
      <c r="C188" s="988" t="s">
        <v>479</v>
      </c>
      <c r="D188" s="988"/>
      <c r="E188" s="988"/>
      <c r="F188" s="988"/>
      <c r="G188" s="988"/>
      <c r="H188" s="988"/>
      <c r="I188" s="988"/>
      <c r="J188" s="988"/>
      <c r="K188" s="988"/>
      <c r="L188" s="988"/>
      <c r="M188" s="988"/>
      <c r="N188" s="988"/>
      <c r="O188" s="988"/>
      <c r="P188" s="274" t="s">
        <v>433</v>
      </c>
    </row>
    <row r="189" spans="1:16" ht="15.75" hidden="1" x14ac:dyDescent="0.2">
      <c r="A189" s="1011" t="s">
        <v>159</v>
      </c>
      <c r="B189" s="1012"/>
      <c r="C189" s="1024"/>
      <c r="D189" s="1024"/>
      <c r="E189" s="1024"/>
      <c r="F189" s="1024"/>
      <c r="G189" s="1024"/>
      <c r="H189" s="1024"/>
      <c r="I189" s="1024"/>
      <c r="J189" s="1024"/>
      <c r="K189" s="1024"/>
      <c r="L189" s="1024"/>
      <c r="M189" s="1024"/>
      <c r="N189" s="1024"/>
      <c r="O189" s="1024"/>
      <c r="P189" s="275">
        <v>300</v>
      </c>
    </row>
    <row r="190" spans="1:16" ht="15.75" hidden="1" x14ac:dyDescent="0.2">
      <c r="A190" s="1033" t="s">
        <v>30</v>
      </c>
      <c r="B190" s="1030" t="s">
        <v>31</v>
      </c>
      <c r="C190" s="1030"/>
      <c r="D190" s="1030"/>
      <c r="E190" s="1030"/>
      <c r="F190" s="1030"/>
      <c r="G190" s="1030" t="s">
        <v>32</v>
      </c>
      <c r="H190" s="1030"/>
      <c r="I190" s="1030"/>
      <c r="J190" s="1030"/>
      <c r="K190" s="1030"/>
      <c r="L190" s="1030" t="s">
        <v>33</v>
      </c>
      <c r="M190" s="1030"/>
      <c r="N190" s="1030"/>
      <c r="O190" s="1030"/>
      <c r="P190" s="1031"/>
    </row>
    <row r="191" spans="1:16" ht="15.75" hidden="1" x14ac:dyDescent="0.2">
      <c r="A191" s="1002"/>
      <c r="B191" s="79" t="s">
        <v>8</v>
      </c>
      <c r="C191" s="79" t="s">
        <v>7</v>
      </c>
      <c r="D191" s="79" t="s">
        <v>9</v>
      </c>
      <c r="E191" s="79" t="s">
        <v>19</v>
      </c>
      <c r="F191" s="79" t="s">
        <v>20</v>
      </c>
      <c r="G191" s="79" t="s">
        <v>8</v>
      </c>
      <c r="H191" s="79" t="s">
        <v>7</v>
      </c>
      <c r="I191" s="79" t="s">
        <v>9</v>
      </c>
      <c r="J191" s="79" t="s">
        <v>19</v>
      </c>
      <c r="K191" s="79" t="s">
        <v>20</v>
      </c>
      <c r="L191" s="79" t="s">
        <v>8</v>
      </c>
      <c r="M191" s="79" t="s">
        <v>7</v>
      </c>
      <c r="N191" s="79" t="s">
        <v>9</v>
      </c>
      <c r="O191" s="79" t="s">
        <v>19</v>
      </c>
      <c r="P191" s="24" t="s">
        <v>20</v>
      </c>
    </row>
    <row r="192" spans="1:16" ht="15.75" hidden="1" x14ac:dyDescent="0.2">
      <c r="A192" s="72" t="s">
        <v>478</v>
      </c>
      <c r="B192" s="32" t="s">
        <v>16</v>
      </c>
      <c r="C192" s="73" t="s">
        <v>11</v>
      </c>
      <c r="D192" s="73">
        <v>1</v>
      </c>
      <c r="E192" s="73">
        <f>skilled</f>
        <v>1100</v>
      </c>
      <c r="F192" s="73">
        <f>E192*D192</f>
        <v>1100</v>
      </c>
      <c r="G192" s="32" t="s">
        <v>26</v>
      </c>
      <c r="H192" s="73" t="s">
        <v>474</v>
      </c>
      <c r="I192" s="73">
        <v>72</v>
      </c>
      <c r="J192" s="78">
        <f>water*1000</f>
        <v>410</v>
      </c>
      <c r="K192" s="73">
        <f>I192*J192</f>
        <v>29520</v>
      </c>
      <c r="L192" s="70" t="s">
        <v>363</v>
      </c>
      <c r="M192" s="74" t="s">
        <v>13</v>
      </c>
      <c r="N192" s="73">
        <v>6</v>
      </c>
      <c r="O192" s="73">
        <f>dozer</f>
        <v>4438.5</v>
      </c>
      <c r="P192" s="61">
        <f>N192*O192</f>
        <v>26631</v>
      </c>
    </row>
    <row r="193" spans="1:16" ht="15.75" hidden="1" x14ac:dyDescent="0.2">
      <c r="A193" s="72"/>
      <c r="B193" s="32" t="s">
        <v>28</v>
      </c>
      <c r="C193" s="73" t="s">
        <v>11</v>
      </c>
      <c r="D193" s="73">
        <v>10</v>
      </c>
      <c r="E193" s="73">
        <f>unskilled</f>
        <v>780</v>
      </c>
      <c r="F193" s="73">
        <f>E193*D193</f>
        <v>7800</v>
      </c>
      <c r="G193" s="32"/>
      <c r="H193" s="73"/>
      <c r="I193" s="73"/>
      <c r="J193" s="73"/>
      <c r="K193" s="73"/>
      <c r="L193" s="70" t="s">
        <v>476</v>
      </c>
      <c r="M193" s="74" t="s">
        <v>13</v>
      </c>
      <c r="N193" s="73">
        <v>6</v>
      </c>
      <c r="O193" s="73">
        <f>motorgrader</f>
        <v>3061</v>
      </c>
      <c r="P193" s="61">
        <f>N193*O193</f>
        <v>18366</v>
      </c>
    </row>
    <row r="194" spans="1:16" ht="15.75" hidden="1" x14ac:dyDescent="0.2">
      <c r="A194" s="72"/>
      <c r="B194" s="73"/>
      <c r="C194" s="73"/>
      <c r="D194" s="73"/>
      <c r="E194" s="73"/>
      <c r="F194" s="73"/>
      <c r="G194" s="32"/>
      <c r="H194" s="73"/>
      <c r="I194" s="73"/>
      <c r="J194" s="73"/>
      <c r="K194" s="73"/>
      <c r="L194" s="70" t="s">
        <v>313</v>
      </c>
      <c r="M194" s="74" t="s">
        <v>13</v>
      </c>
      <c r="N194" s="73">
        <v>6</v>
      </c>
      <c r="O194" s="73">
        <f>vibratoryroller</f>
        <v>1915.5</v>
      </c>
      <c r="P194" s="61">
        <f>N194*O194</f>
        <v>11493</v>
      </c>
    </row>
    <row r="195" spans="1:16" ht="15.75" hidden="1" x14ac:dyDescent="0.2">
      <c r="A195" s="1005" t="s">
        <v>34</v>
      </c>
      <c r="B195" s="1006"/>
      <c r="C195" s="1006"/>
      <c r="D195" s="1006"/>
      <c r="E195" s="1006"/>
      <c r="F195" s="73">
        <f>SUM(F192:F193)</f>
        <v>8900</v>
      </c>
      <c r="G195" s="1006" t="s">
        <v>35</v>
      </c>
      <c r="H195" s="1006"/>
      <c r="I195" s="1006"/>
      <c r="J195" s="1006"/>
      <c r="K195" s="73">
        <f>SUM(K192:K193)</f>
        <v>29520</v>
      </c>
      <c r="L195" s="1006" t="s">
        <v>36</v>
      </c>
      <c r="M195" s="1006"/>
      <c r="N195" s="1006"/>
      <c r="O195" s="1006"/>
      <c r="P195" s="61">
        <f>SUM(P192:P194)</f>
        <v>56490</v>
      </c>
    </row>
    <row r="196" spans="1:16" ht="15.75" hidden="1" x14ac:dyDescent="0.2">
      <c r="A196" s="1005" t="s">
        <v>487</v>
      </c>
      <c r="B196" s="1006"/>
      <c r="C196" s="1006"/>
      <c r="D196" s="1006"/>
      <c r="E196" s="1006"/>
      <c r="F196" s="74">
        <f>SUM(F195+K195+P195)</f>
        <v>94910</v>
      </c>
      <c r="G196" s="1006"/>
      <c r="H196" s="1006"/>
      <c r="I196" s="1006"/>
      <c r="J196" s="1006"/>
      <c r="K196" s="1006"/>
      <c r="L196" s="74"/>
      <c r="M196" s="1032"/>
      <c r="N196" s="1032"/>
      <c r="O196" s="1032"/>
      <c r="P196" s="16"/>
    </row>
    <row r="197" spans="1:16" ht="16.5" hidden="1" thickBot="1" x14ac:dyDescent="0.25">
      <c r="A197" s="82"/>
      <c r="B197" s="999" t="s">
        <v>110</v>
      </c>
      <c r="C197" s="999"/>
      <c r="D197" s="999"/>
      <c r="E197" s="999"/>
      <c r="F197" s="17">
        <f>15%*F196</f>
        <v>14236.5</v>
      </c>
      <c r="G197" s="83"/>
      <c r="H197" s="83"/>
      <c r="I197" s="83"/>
      <c r="J197" s="83"/>
      <c r="K197" s="83"/>
      <c r="L197" s="17"/>
      <c r="M197" s="295"/>
      <c r="N197" s="1000" t="s">
        <v>53</v>
      </c>
      <c r="O197" s="1000"/>
      <c r="P197" s="18">
        <f>(F197+F196)/P189</f>
        <v>363.82</v>
      </c>
    </row>
    <row r="198" spans="1:16" ht="16.5" hidden="1" thickBot="1" x14ac:dyDescent="0.25">
      <c r="A198" s="301"/>
      <c r="B198" s="301"/>
      <c r="C198" s="301"/>
      <c r="D198" s="301"/>
      <c r="E198" s="301"/>
      <c r="F198" s="51"/>
      <c r="G198" s="301"/>
      <c r="H198" s="301"/>
      <c r="I198" s="301"/>
      <c r="J198" s="301"/>
      <c r="K198" s="301"/>
      <c r="L198" s="51"/>
      <c r="M198" s="303"/>
      <c r="N198" s="303"/>
      <c r="O198" s="303"/>
      <c r="P198" s="52"/>
    </row>
    <row r="199" spans="1:16" ht="15.75" x14ac:dyDescent="0.2">
      <c r="A199" s="310" t="s">
        <v>29</v>
      </c>
      <c r="B199" s="311"/>
      <c r="C199" s="988" t="s">
        <v>481</v>
      </c>
      <c r="D199" s="988"/>
      <c r="E199" s="988"/>
      <c r="F199" s="988"/>
      <c r="G199" s="988"/>
      <c r="H199" s="988"/>
      <c r="I199" s="988"/>
      <c r="J199" s="988"/>
      <c r="K199" s="988"/>
      <c r="L199" s="988"/>
      <c r="M199" s="988"/>
      <c r="N199" s="988"/>
      <c r="O199" s="988"/>
      <c r="P199" s="274" t="s">
        <v>433</v>
      </c>
    </row>
    <row r="200" spans="1:16" ht="15.75" x14ac:dyDescent="0.2">
      <c r="A200" s="1011" t="s">
        <v>158</v>
      </c>
      <c r="B200" s="1012"/>
      <c r="C200" s="1024"/>
      <c r="D200" s="1024"/>
      <c r="E200" s="1024"/>
      <c r="F200" s="1024"/>
      <c r="G200" s="1024"/>
      <c r="H200" s="1024"/>
      <c r="I200" s="1024"/>
      <c r="J200" s="1024"/>
      <c r="K200" s="1024"/>
      <c r="L200" s="1024"/>
      <c r="M200" s="1024"/>
      <c r="N200" s="1024"/>
      <c r="O200" s="1024"/>
      <c r="P200" s="275">
        <v>10</v>
      </c>
    </row>
    <row r="201" spans="1:16" ht="15.75" x14ac:dyDescent="0.2">
      <c r="A201" s="1033" t="s">
        <v>30</v>
      </c>
      <c r="B201" s="1030" t="s">
        <v>31</v>
      </c>
      <c r="C201" s="1030"/>
      <c r="D201" s="1030"/>
      <c r="E201" s="1030"/>
      <c r="F201" s="1030"/>
      <c r="G201" s="1030" t="s">
        <v>32</v>
      </c>
      <c r="H201" s="1030"/>
      <c r="I201" s="1030"/>
      <c r="J201" s="1030"/>
      <c r="K201" s="1030"/>
      <c r="L201" s="1030" t="s">
        <v>33</v>
      </c>
      <c r="M201" s="1030"/>
      <c r="N201" s="1030"/>
      <c r="O201" s="1030"/>
      <c r="P201" s="1031"/>
    </row>
    <row r="202" spans="1:16" ht="15.75" x14ac:dyDescent="0.2">
      <c r="A202" s="1002"/>
      <c r="B202" s="79" t="s">
        <v>8</v>
      </c>
      <c r="C202" s="79" t="s">
        <v>7</v>
      </c>
      <c r="D202" s="79" t="s">
        <v>9</v>
      </c>
      <c r="E202" s="79" t="s">
        <v>19</v>
      </c>
      <c r="F202" s="79" t="s">
        <v>20</v>
      </c>
      <c r="G202" s="79" t="s">
        <v>8</v>
      </c>
      <c r="H202" s="79" t="s">
        <v>7</v>
      </c>
      <c r="I202" s="79" t="s">
        <v>9</v>
      </c>
      <c r="J202" s="79" t="s">
        <v>19</v>
      </c>
      <c r="K202" s="79" t="s">
        <v>20</v>
      </c>
      <c r="L202" s="79" t="s">
        <v>8</v>
      </c>
      <c r="M202" s="79" t="s">
        <v>7</v>
      </c>
      <c r="N202" s="79" t="s">
        <v>9</v>
      </c>
      <c r="O202" s="79" t="s">
        <v>19</v>
      </c>
      <c r="P202" s="24" t="s">
        <v>20</v>
      </c>
    </row>
    <row r="203" spans="1:16" ht="31.5" x14ac:dyDescent="0.2">
      <c r="A203" s="72" t="s">
        <v>480</v>
      </c>
      <c r="B203" s="32" t="s">
        <v>16</v>
      </c>
      <c r="C203" s="73" t="s">
        <v>11</v>
      </c>
      <c r="D203" s="73">
        <v>0.2</v>
      </c>
      <c r="E203" s="73">
        <f>skilled</f>
        <v>1100</v>
      </c>
      <c r="F203" s="73">
        <f>E203*D203</f>
        <v>220</v>
      </c>
      <c r="G203" s="32" t="s">
        <v>204</v>
      </c>
      <c r="H203" s="73" t="s">
        <v>250</v>
      </c>
      <c r="I203" s="73">
        <v>11</v>
      </c>
      <c r="J203" s="78">
        <f>granularmaterial</f>
        <v>1846.22</v>
      </c>
      <c r="K203" s="73">
        <f>I203*J203</f>
        <v>20308.419999999998</v>
      </c>
      <c r="L203" s="70" t="s">
        <v>482</v>
      </c>
      <c r="M203" s="74" t="s">
        <v>13</v>
      </c>
      <c r="N203" s="73">
        <v>2.5</v>
      </c>
      <c r="O203" s="71">
        <f>platecompactor</f>
        <v>438.5</v>
      </c>
      <c r="P203" s="61">
        <f>N203*O203</f>
        <v>1096.25</v>
      </c>
    </row>
    <row r="204" spans="1:16" ht="15.75" x14ac:dyDescent="0.2">
      <c r="A204" s="72"/>
      <c r="B204" s="32" t="s">
        <v>28</v>
      </c>
      <c r="C204" s="73" t="s">
        <v>11</v>
      </c>
      <c r="D204" s="73">
        <v>5</v>
      </c>
      <c r="E204" s="73">
        <f>unskilled</f>
        <v>780</v>
      </c>
      <c r="F204" s="73">
        <f>E204*D204</f>
        <v>3900</v>
      </c>
      <c r="G204" s="32" t="s">
        <v>26</v>
      </c>
      <c r="H204" s="73" t="s">
        <v>474</v>
      </c>
      <c r="I204" s="73">
        <v>1</v>
      </c>
      <c r="J204" s="73">
        <f>water*1000</f>
        <v>410</v>
      </c>
      <c r="K204" s="73">
        <f>I204*J204</f>
        <v>410</v>
      </c>
      <c r="L204" s="70"/>
      <c r="M204" s="74"/>
      <c r="N204" s="73"/>
      <c r="O204" s="71"/>
      <c r="P204" s="61"/>
    </row>
    <row r="205" spans="1:16" ht="15.75" x14ac:dyDescent="0.2">
      <c r="A205" s="1005" t="s">
        <v>34</v>
      </c>
      <c r="B205" s="1006"/>
      <c r="C205" s="1006"/>
      <c r="D205" s="1006"/>
      <c r="E205" s="1006"/>
      <c r="F205" s="73">
        <f>F203+F204</f>
        <v>4120</v>
      </c>
      <c r="G205" s="1006" t="s">
        <v>35</v>
      </c>
      <c r="H205" s="1006"/>
      <c r="I205" s="1006"/>
      <c r="J205" s="1006"/>
      <c r="K205" s="73">
        <f>SUM(K203:K204)</f>
        <v>20718.419999999998</v>
      </c>
      <c r="L205" s="1006" t="s">
        <v>36</v>
      </c>
      <c r="M205" s="1006"/>
      <c r="N205" s="1006"/>
      <c r="O205" s="1006"/>
      <c r="P205" s="61">
        <f>SUM(P203)</f>
        <v>1096.25</v>
      </c>
    </row>
    <row r="206" spans="1:16" ht="15.75" x14ac:dyDescent="0.2">
      <c r="A206" s="1005" t="s">
        <v>487</v>
      </c>
      <c r="B206" s="1006"/>
      <c r="C206" s="1006"/>
      <c r="D206" s="1006"/>
      <c r="E206" s="1006"/>
      <c r="F206" s="74">
        <f>F205+K205+P205</f>
        <v>25934.67</v>
      </c>
      <c r="G206" s="1006"/>
      <c r="H206" s="1006"/>
      <c r="I206" s="1006"/>
      <c r="J206" s="1006"/>
      <c r="K206" s="1006"/>
      <c r="L206" s="74"/>
      <c r="M206" s="1032"/>
      <c r="N206" s="1032"/>
      <c r="O206" s="1032"/>
      <c r="P206" s="16"/>
    </row>
    <row r="207" spans="1:16" ht="16.5" thickBot="1" x14ac:dyDescent="0.25">
      <c r="A207" s="82"/>
      <c r="B207" s="999" t="s">
        <v>110</v>
      </c>
      <c r="C207" s="999"/>
      <c r="D207" s="999"/>
      <c r="E207" s="999"/>
      <c r="F207" s="17">
        <f>15%*F206</f>
        <v>3890.2</v>
      </c>
      <c r="G207" s="83"/>
      <c r="H207" s="83"/>
      <c r="I207" s="83"/>
      <c r="J207" s="83"/>
      <c r="K207" s="83"/>
      <c r="L207" s="17"/>
      <c r="M207" s="295"/>
      <c r="N207" s="1000" t="s">
        <v>53</v>
      </c>
      <c r="O207" s="1000"/>
      <c r="P207" s="18">
        <f>(F207+F206)/P200</f>
        <v>2982.49</v>
      </c>
    </row>
    <row r="208" spans="1:16" ht="15.75" x14ac:dyDescent="0.2">
      <c r="A208" s="312"/>
      <c r="B208" s="301"/>
      <c r="C208" s="301"/>
      <c r="D208" s="301"/>
      <c r="E208" s="301"/>
      <c r="F208" s="51"/>
      <c r="G208" s="301"/>
      <c r="H208" s="301"/>
      <c r="I208" s="301"/>
      <c r="J208" s="301"/>
      <c r="K208" s="301"/>
      <c r="L208" s="51"/>
      <c r="M208" s="303"/>
      <c r="N208" s="303"/>
      <c r="O208" s="303"/>
      <c r="P208" s="52"/>
    </row>
    <row r="209" spans="1:16" ht="24.6" hidden="1" customHeight="1" x14ac:dyDescent="0.2">
      <c r="A209" s="310" t="s">
        <v>29</v>
      </c>
      <c r="B209" s="311"/>
      <c r="C209" s="988" t="s">
        <v>563</v>
      </c>
      <c r="D209" s="988"/>
      <c r="E209" s="988"/>
      <c r="F209" s="988"/>
      <c r="G209" s="988"/>
      <c r="H209" s="988"/>
      <c r="I209" s="988"/>
      <c r="J209" s="988"/>
      <c r="K209" s="988"/>
      <c r="L209" s="988"/>
      <c r="M209" s="988"/>
      <c r="N209" s="988"/>
      <c r="O209" s="988"/>
      <c r="P209" s="274" t="s">
        <v>433</v>
      </c>
    </row>
    <row r="210" spans="1:16" ht="24.6" hidden="1" customHeight="1" x14ac:dyDescent="0.2">
      <c r="A210" s="1011" t="s">
        <v>159</v>
      </c>
      <c r="B210" s="1012"/>
      <c r="C210" s="1024"/>
      <c r="D210" s="1024"/>
      <c r="E210" s="1024"/>
      <c r="F210" s="1024"/>
      <c r="G210" s="1024"/>
      <c r="H210" s="1024"/>
      <c r="I210" s="1024"/>
      <c r="J210" s="1024"/>
      <c r="K210" s="1024"/>
      <c r="L210" s="1024"/>
      <c r="M210" s="1024"/>
      <c r="N210" s="1024"/>
      <c r="O210" s="1024"/>
      <c r="P210" s="275">
        <v>10</v>
      </c>
    </row>
    <row r="211" spans="1:16" ht="15.75" hidden="1" x14ac:dyDescent="0.2">
      <c r="A211" s="1033" t="s">
        <v>30</v>
      </c>
      <c r="B211" s="1030" t="s">
        <v>31</v>
      </c>
      <c r="C211" s="1030"/>
      <c r="D211" s="1030"/>
      <c r="E211" s="1030"/>
      <c r="F211" s="1030"/>
      <c r="G211" s="1030" t="s">
        <v>32</v>
      </c>
      <c r="H211" s="1030"/>
      <c r="I211" s="1030"/>
      <c r="J211" s="1030"/>
      <c r="K211" s="1030"/>
      <c r="L211" s="1030" t="s">
        <v>33</v>
      </c>
      <c r="M211" s="1030"/>
      <c r="N211" s="1030"/>
      <c r="O211" s="1030"/>
      <c r="P211" s="1031"/>
    </row>
    <row r="212" spans="1:16" ht="15.75" hidden="1" x14ac:dyDescent="0.2">
      <c r="A212" s="1002"/>
      <c r="B212" s="79" t="s">
        <v>8</v>
      </c>
      <c r="C212" s="79" t="s">
        <v>7</v>
      </c>
      <c r="D212" s="79" t="s">
        <v>9</v>
      </c>
      <c r="E212" s="79" t="s">
        <v>19</v>
      </c>
      <c r="F212" s="79" t="s">
        <v>20</v>
      </c>
      <c r="G212" s="79" t="s">
        <v>8</v>
      </c>
      <c r="H212" s="79" t="s">
        <v>7</v>
      </c>
      <c r="I212" s="79" t="s">
        <v>9</v>
      </c>
      <c r="J212" s="79" t="s">
        <v>19</v>
      </c>
      <c r="K212" s="79" t="s">
        <v>20</v>
      </c>
      <c r="L212" s="79" t="s">
        <v>8</v>
      </c>
      <c r="M212" s="79" t="s">
        <v>7</v>
      </c>
      <c r="N212" s="79" t="s">
        <v>9</v>
      </c>
      <c r="O212" s="79" t="s">
        <v>19</v>
      </c>
      <c r="P212" s="24" t="s">
        <v>20</v>
      </c>
    </row>
    <row r="213" spans="1:16" ht="15.75" hidden="1" x14ac:dyDescent="0.2">
      <c r="A213" s="72">
        <v>9.1199999999999992</v>
      </c>
      <c r="B213" s="32" t="s">
        <v>16</v>
      </c>
      <c r="C213" s="73" t="s">
        <v>11</v>
      </c>
      <c r="D213" s="73">
        <v>1</v>
      </c>
      <c r="E213" s="73">
        <f>skilled</f>
        <v>1100</v>
      </c>
      <c r="F213" s="73">
        <f>E213*D213</f>
        <v>1100</v>
      </c>
      <c r="G213" s="32" t="s">
        <v>203</v>
      </c>
      <c r="H213" s="73" t="s">
        <v>250</v>
      </c>
      <c r="I213" s="73">
        <v>12</v>
      </c>
      <c r="J213" s="78">
        <f>filtermaterial</f>
        <v>2246.2199999999998</v>
      </c>
      <c r="K213" s="73">
        <f>I213*J213</f>
        <v>26954.639999999999</v>
      </c>
      <c r="L213" s="70"/>
      <c r="M213" s="74"/>
      <c r="N213" s="73"/>
      <c r="O213" s="71"/>
      <c r="P213" s="61"/>
    </row>
    <row r="214" spans="1:16" ht="15.75" hidden="1" x14ac:dyDescent="0.2">
      <c r="A214" s="72"/>
      <c r="B214" s="32" t="s">
        <v>28</v>
      </c>
      <c r="C214" s="73" t="s">
        <v>11</v>
      </c>
      <c r="D214" s="73">
        <v>10</v>
      </c>
      <c r="E214" s="73">
        <f>unskilled</f>
        <v>780</v>
      </c>
      <c r="F214" s="73">
        <f>E214*D214</f>
        <v>7800</v>
      </c>
      <c r="G214" s="32" t="s">
        <v>26</v>
      </c>
      <c r="H214" s="73" t="s">
        <v>474</v>
      </c>
      <c r="I214" s="73">
        <v>1</v>
      </c>
      <c r="J214" s="73">
        <f>water*1000</f>
        <v>410</v>
      </c>
      <c r="K214" s="73"/>
      <c r="L214" s="70"/>
      <c r="M214" s="74"/>
      <c r="N214" s="73"/>
      <c r="O214" s="71"/>
      <c r="P214" s="61"/>
    </row>
    <row r="215" spans="1:16" ht="15.75" hidden="1" x14ac:dyDescent="0.2">
      <c r="A215" s="1005" t="s">
        <v>34</v>
      </c>
      <c r="B215" s="1006"/>
      <c r="C215" s="1006"/>
      <c r="D215" s="1006"/>
      <c r="E215" s="1006"/>
      <c r="F215" s="73">
        <f>F213+F214</f>
        <v>8900</v>
      </c>
      <c r="G215" s="1006" t="s">
        <v>35</v>
      </c>
      <c r="H215" s="1006"/>
      <c r="I215" s="1006"/>
      <c r="J215" s="1006"/>
      <c r="K215" s="73">
        <f>K213</f>
        <v>26954.639999999999</v>
      </c>
      <c r="L215" s="1006" t="s">
        <v>36</v>
      </c>
      <c r="M215" s="1006"/>
      <c r="N215" s="1006"/>
      <c r="O215" s="1006"/>
      <c r="P215" s="61">
        <f>SUM(P213)</f>
        <v>0</v>
      </c>
    </row>
    <row r="216" spans="1:16" ht="15.75" hidden="1" x14ac:dyDescent="0.2">
      <c r="A216" s="1005" t="s">
        <v>487</v>
      </c>
      <c r="B216" s="1006"/>
      <c r="C216" s="1006"/>
      <c r="D216" s="1006"/>
      <c r="E216" s="1006"/>
      <c r="F216" s="74">
        <f>F215+K215+P215</f>
        <v>35854.639999999999</v>
      </c>
      <c r="G216" s="1006"/>
      <c r="H216" s="1006"/>
      <c r="I216" s="1006"/>
      <c r="J216" s="1006"/>
      <c r="K216" s="1006"/>
      <c r="L216" s="74"/>
      <c r="M216" s="1032"/>
      <c r="N216" s="1032"/>
      <c r="O216" s="1032"/>
      <c r="P216" s="16"/>
    </row>
    <row r="217" spans="1:16" ht="16.5" hidden="1" thickBot="1" x14ac:dyDescent="0.25">
      <c r="A217" s="82"/>
      <c r="B217" s="999" t="s">
        <v>110</v>
      </c>
      <c r="C217" s="999"/>
      <c r="D217" s="999"/>
      <c r="E217" s="999"/>
      <c r="F217" s="17">
        <f>15%*F216</f>
        <v>5378.2</v>
      </c>
      <c r="G217" s="83"/>
      <c r="H217" s="83"/>
      <c r="I217" s="83"/>
      <c r="J217" s="83"/>
      <c r="K217" s="83"/>
      <c r="L217" s="17"/>
      <c r="M217" s="295"/>
      <c r="N217" s="1000" t="s">
        <v>53</v>
      </c>
      <c r="O217" s="1000"/>
      <c r="P217" s="18">
        <f>(F217+F216)/5</f>
        <v>8246.57</v>
      </c>
    </row>
    <row r="218" spans="1:16" ht="15.75" hidden="1" x14ac:dyDescent="0.2">
      <c r="A218" s="312"/>
      <c r="B218" s="301"/>
      <c r="C218" s="301"/>
      <c r="D218" s="301"/>
      <c r="E218" s="301"/>
      <c r="F218" s="51"/>
      <c r="G218" s="301"/>
      <c r="H218" s="301"/>
      <c r="I218" s="301"/>
      <c r="J218" s="301"/>
      <c r="K218" s="301"/>
      <c r="L218" s="51"/>
      <c r="M218" s="303"/>
      <c r="N218" s="303"/>
      <c r="O218" s="303"/>
      <c r="P218" s="52"/>
    </row>
    <row r="219" spans="1:16" ht="15.75" x14ac:dyDescent="0.2">
      <c r="A219" s="1009" t="s">
        <v>483</v>
      </c>
      <c r="B219" s="1009"/>
      <c r="C219" s="1009"/>
      <c r="D219" s="1009"/>
      <c r="E219" s="1009"/>
      <c r="F219" s="1009"/>
      <c r="G219" s="1009"/>
      <c r="H219" s="1009"/>
      <c r="I219" s="1009"/>
      <c r="J219" s="1009"/>
      <c r="K219" s="1009"/>
      <c r="L219" s="1009"/>
      <c r="M219" s="1009"/>
      <c r="N219" s="1009"/>
      <c r="O219" s="1009"/>
      <c r="P219" s="1009"/>
    </row>
    <row r="220" spans="1:16" ht="15.75" x14ac:dyDescent="0.2">
      <c r="A220" s="1009" t="s">
        <v>484</v>
      </c>
      <c r="B220" s="1009"/>
      <c r="C220" s="1009"/>
      <c r="D220" s="1009"/>
      <c r="E220" s="1009"/>
      <c r="F220" s="1009"/>
      <c r="G220" s="1009"/>
      <c r="H220" s="1009"/>
      <c r="I220" s="1009"/>
      <c r="J220" s="1009"/>
      <c r="K220" s="1009"/>
      <c r="L220" s="1009"/>
      <c r="M220" s="1009"/>
      <c r="N220" s="1009"/>
      <c r="O220" s="1009"/>
      <c r="P220" s="1009"/>
    </row>
    <row r="221" spans="1:16" ht="16.5" thickBot="1" x14ac:dyDescent="0.25">
      <c r="A221" s="280" t="s">
        <v>485</v>
      </c>
      <c r="B221" s="280"/>
      <c r="C221" s="280"/>
      <c r="D221" s="301"/>
      <c r="E221" s="301"/>
      <c r="F221" s="51"/>
      <c r="G221" s="301"/>
      <c r="H221" s="301"/>
      <c r="I221" s="301"/>
      <c r="J221" s="301"/>
      <c r="K221" s="301"/>
      <c r="L221" s="51"/>
      <c r="M221" s="303"/>
      <c r="N221" s="303"/>
      <c r="O221" s="303"/>
      <c r="P221" s="52"/>
    </row>
    <row r="222" spans="1:16" ht="15.6" customHeight="1" x14ac:dyDescent="0.2">
      <c r="A222" s="310" t="s">
        <v>29</v>
      </c>
      <c r="B222" s="310"/>
      <c r="C222" s="988" t="s">
        <v>486</v>
      </c>
      <c r="D222" s="988"/>
      <c r="E222" s="988"/>
      <c r="F222" s="988"/>
      <c r="G222" s="988"/>
      <c r="H222" s="988"/>
      <c r="I222" s="988"/>
      <c r="J222" s="988"/>
      <c r="K222" s="988"/>
      <c r="L222" s="988"/>
      <c r="M222" s="988"/>
      <c r="N222" s="988"/>
      <c r="O222" s="988"/>
      <c r="P222" s="274" t="s">
        <v>433</v>
      </c>
    </row>
    <row r="223" spans="1:16" ht="15.6" customHeight="1" x14ac:dyDescent="0.2">
      <c r="A223" s="1011" t="s">
        <v>206</v>
      </c>
      <c r="B223" s="1012"/>
      <c r="C223" s="1024"/>
      <c r="D223" s="1024"/>
      <c r="E223" s="1024"/>
      <c r="F223" s="1024"/>
      <c r="G223" s="1024"/>
      <c r="H223" s="1024"/>
      <c r="I223" s="1024"/>
      <c r="J223" s="1024"/>
      <c r="K223" s="1024"/>
      <c r="L223" s="1024"/>
      <c r="M223" s="1024"/>
      <c r="N223" s="1024"/>
      <c r="O223" s="1024"/>
      <c r="P223" s="275">
        <v>600</v>
      </c>
    </row>
    <row r="224" spans="1:16" ht="15.75" x14ac:dyDescent="0.2">
      <c r="A224" s="1001" t="s">
        <v>30</v>
      </c>
      <c r="B224" s="1003" t="s">
        <v>31</v>
      </c>
      <c r="C224" s="1003"/>
      <c r="D224" s="1003"/>
      <c r="E224" s="1003"/>
      <c r="F224" s="1003"/>
      <c r="G224" s="1003" t="s">
        <v>32</v>
      </c>
      <c r="H224" s="1003"/>
      <c r="I224" s="1003"/>
      <c r="J224" s="1003"/>
      <c r="K224" s="1003"/>
      <c r="L224" s="1003" t="s">
        <v>33</v>
      </c>
      <c r="M224" s="1003"/>
      <c r="N224" s="1003"/>
      <c r="O224" s="1003"/>
      <c r="P224" s="1004"/>
    </row>
    <row r="225" spans="1:16" ht="15.75" x14ac:dyDescent="0.2">
      <c r="A225" s="1002"/>
      <c r="B225" s="79" t="s">
        <v>8</v>
      </c>
      <c r="C225" s="79" t="s">
        <v>7</v>
      </c>
      <c r="D225" s="79" t="s">
        <v>9</v>
      </c>
      <c r="E225" s="79" t="s">
        <v>19</v>
      </c>
      <c r="F225" s="79" t="s">
        <v>20</v>
      </c>
      <c r="G225" s="79" t="s">
        <v>8</v>
      </c>
      <c r="H225" s="79" t="s">
        <v>7</v>
      </c>
      <c r="I225" s="79" t="s">
        <v>9</v>
      </c>
      <c r="J225" s="79" t="s">
        <v>19</v>
      </c>
      <c r="K225" s="79" t="s">
        <v>20</v>
      </c>
      <c r="L225" s="79" t="s">
        <v>8</v>
      </c>
      <c r="M225" s="79" t="s">
        <v>7</v>
      </c>
      <c r="N225" s="79" t="s">
        <v>9</v>
      </c>
      <c r="O225" s="79" t="s">
        <v>19</v>
      </c>
      <c r="P225" s="24" t="s">
        <v>20</v>
      </c>
    </row>
    <row r="226" spans="1:16" ht="15.75" x14ac:dyDescent="0.2">
      <c r="A226" s="72">
        <v>10.3</v>
      </c>
      <c r="B226" s="32" t="s">
        <v>16</v>
      </c>
      <c r="C226" s="73" t="s">
        <v>11</v>
      </c>
      <c r="D226" s="73">
        <v>1</v>
      </c>
      <c r="E226" s="73">
        <f>skilled</f>
        <v>1100</v>
      </c>
      <c r="F226" s="73">
        <f>D226*E226</f>
        <v>1100</v>
      </c>
      <c r="G226" s="32" t="s">
        <v>26</v>
      </c>
      <c r="H226" s="73" t="s">
        <v>474</v>
      </c>
      <c r="I226" s="73">
        <v>72</v>
      </c>
      <c r="J226" s="73">
        <f>water*1000</f>
        <v>410</v>
      </c>
      <c r="K226" s="73">
        <f>I226*J226</f>
        <v>29520</v>
      </c>
      <c r="L226" s="70" t="s">
        <v>476</v>
      </c>
      <c r="M226" s="74" t="s">
        <v>13</v>
      </c>
      <c r="N226" s="73">
        <v>6</v>
      </c>
      <c r="O226" s="73">
        <f>motorgrader</f>
        <v>3061</v>
      </c>
      <c r="P226" s="61">
        <f>N226*O226</f>
        <v>18366</v>
      </c>
    </row>
    <row r="227" spans="1:16" ht="15.75" x14ac:dyDescent="0.2">
      <c r="A227" s="72"/>
      <c r="B227" s="32" t="s">
        <v>28</v>
      </c>
      <c r="C227" s="73" t="s">
        <v>11</v>
      </c>
      <c r="D227" s="73">
        <v>6</v>
      </c>
      <c r="E227" s="73">
        <f>unskilled</f>
        <v>780</v>
      </c>
      <c r="F227" s="73">
        <f>D227*E227</f>
        <v>4680</v>
      </c>
      <c r="G227" s="70"/>
      <c r="H227" s="73"/>
      <c r="I227" s="73"/>
      <c r="J227" s="73"/>
      <c r="K227" s="73"/>
      <c r="L227" s="70" t="s">
        <v>313</v>
      </c>
      <c r="M227" s="74" t="s">
        <v>13</v>
      </c>
      <c r="N227" s="73">
        <v>6</v>
      </c>
      <c r="O227" s="73">
        <f>vibratoryroller</f>
        <v>1915.5</v>
      </c>
      <c r="P227" s="61">
        <f>N227*O227</f>
        <v>11493</v>
      </c>
    </row>
    <row r="228" spans="1:16" ht="15.75" x14ac:dyDescent="0.2">
      <c r="A228" s="1005" t="s">
        <v>34</v>
      </c>
      <c r="B228" s="1006"/>
      <c r="C228" s="1006"/>
      <c r="D228" s="1006"/>
      <c r="E228" s="1006"/>
      <c r="F228" s="73">
        <f>SUM(F226:F227)</f>
        <v>5780</v>
      </c>
      <c r="G228" s="1006" t="s">
        <v>35</v>
      </c>
      <c r="H228" s="1006"/>
      <c r="I228" s="1006"/>
      <c r="J228" s="1006"/>
      <c r="K228" s="73">
        <f>SUM(K226:K227)</f>
        <v>29520</v>
      </c>
      <c r="L228" s="1006" t="s">
        <v>36</v>
      </c>
      <c r="M228" s="1006"/>
      <c r="N228" s="1006"/>
      <c r="O228" s="1006"/>
      <c r="P228" s="61">
        <f>SUM(P226:P227)</f>
        <v>29859</v>
      </c>
    </row>
    <row r="229" spans="1:16" ht="15.75" x14ac:dyDescent="0.2">
      <c r="A229" s="1005" t="s">
        <v>487</v>
      </c>
      <c r="B229" s="1006"/>
      <c r="C229" s="1006"/>
      <c r="D229" s="1006"/>
      <c r="E229" s="1006"/>
      <c r="F229" s="74">
        <f>F228+K228+P228</f>
        <v>65159</v>
      </c>
      <c r="G229" s="1006"/>
      <c r="H229" s="1006"/>
      <c r="I229" s="1006"/>
      <c r="J229" s="1006"/>
      <c r="K229" s="1006"/>
      <c r="L229" s="74"/>
      <c r="M229" s="1032"/>
      <c r="N229" s="1032"/>
      <c r="O229" s="1032"/>
      <c r="P229" s="16"/>
    </row>
    <row r="230" spans="1:16" ht="16.5" thickBot="1" x14ac:dyDescent="0.25">
      <c r="A230" s="82"/>
      <c r="B230" s="999" t="s">
        <v>110</v>
      </c>
      <c r="C230" s="999"/>
      <c r="D230" s="999"/>
      <c r="E230" s="999"/>
      <c r="F230" s="17">
        <f>15%*F229</f>
        <v>9773.85</v>
      </c>
      <c r="G230" s="83"/>
      <c r="H230" s="83"/>
      <c r="I230" s="83"/>
      <c r="J230" s="83"/>
      <c r="K230" s="83"/>
      <c r="L230" s="17"/>
      <c r="M230" s="295"/>
      <c r="N230" s="1000" t="s">
        <v>53</v>
      </c>
      <c r="O230" s="1000"/>
      <c r="P230" s="18">
        <f>(F230+F229)/P223*0.15</f>
        <v>18.73</v>
      </c>
    </row>
    <row r="231" spans="1:16" ht="15.75" x14ac:dyDescent="0.2">
      <c r="A231" s="301"/>
      <c r="B231" s="301"/>
      <c r="C231" s="301"/>
      <c r="D231" s="301"/>
      <c r="E231" s="301"/>
      <c r="F231" s="51"/>
      <c r="G231" s="301"/>
      <c r="H231" s="301"/>
      <c r="I231" s="301"/>
      <c r="J231" s="301"/>
      <c r="K231" s="301"/>
      <c r="L231" s="51"/>
      <c r="M231" s="303"/>
      <c r="N231" s="303"/>
      <c r="O231" s="303"/>
      <c r="P231" s="52"/>
    </row>
    <row r="232" spans="1:16" ht="15.6" hidden="1" customHeight="1" x14ac:dyDescent="0.2">
      <c r="A232" s="310" t="s">
        <v>29</v>
      </c>
      <c r="B232" s="310"/>
      <c r="C232" s="988" t="s">
        <v>489</v>
      </c>
      <c r="D232" s="988"/>
      <c r="E232" s="988"/>
      <c r="F232" s="988"/>
      <c r="G232" s="988"/>
      <c r="H232" s="988"/>
      <c r="I232" s="988"/>
      <c r="J232" s="988"/>
      <c r="K232" s="988"/>
      <c r="L232" s="988"/>
      <c r="M232" s="988"/>
      <c r="N232" s="988"/>
      <c r="O232" s="988"/>
      <c r="P232" s="274" t="s">
        <v>433</v>
      </c>
    </row>
    <row r="233" spans="1:16" ht="19.5" hidden="1" customHeight="1" x14ac:dyDescent="0.2">
      <c r="A233" s="1011" t="s">
        <v>488</v>
      </c>
      <c r="B233" s="1012"/>
      <c r="C233" s="1024"/>
      <c r="D233" s="1024"/>
      <c r="E233" s="1024"/>
      <c r="F233" s="1024"/>
      <c r="G233" s="1024"/>
      <c r="H233" s="1024"/>
      <c r="I233" s="1024"/>
      <c r="J233" s="1024"/>
      <c r="K233" s="1024"/>
      <c r="L233" s="1024"/>
      <c r="M233" s="1024"/>
      <c r="N233" s="1024"/>
      <c r="O233" s="1024"/>
      <c r="P233" s="275">
        <v>5</v>
      </c>
    </row>
    <row r="234" spans="1:16" ht="15.75" hidden="1" x14ac:dyDescent="0.2">
      <c r="A234" s="1001" t="s">
        <v>30</v>
      </c>
      <c r="B234" s="1003" t="s">
        <v>31</v>
      </c>
      <c r="C234" s="1003"/>
      <c r="D234" s="1003"/>
      <c r="E234" s="1003"/>
      <c r="F234" s="1003"/>
      <c r="G234" s="1003" t="s">
        <v>32</v>
      </c>
      <c r="H234" s="1003"/>
      <c r="I234" s="1003"/>
      <c r="J234" s="1003"/>
      <c r="K234" s="1003"/>
      <c r="L234" s="1003" t="s">
        <v>33</v>
      </c>
      <c r="M234" s="1003"/>
      <c r="N234" s="1003"/>
      <c r="O234" s="1003"/>
      <c r="P234" s="1004"/>
    </row>
    <row r="235" spans="1:16" ht="15.75" hidden="1" x14ac:dyDescent="0.2">
      <c r="A235" s="1002"/>
      <c r="B235" s="79" t="s">
        <v>8</v>
      </c>
      <c r="C235" s="79" t="s">
        <v>7</v>
      </c>
      <c r="D235" s="79" t="s">
        <v>9</v>
      </c>
      <c r="E235" s="79" t="s">
        <v>19</v>
      </c>
      <c r="F235" s="79" t="s">
        <v>20</v>
      </c>
      <c r="G235" s="79" t="s">
        <v>8</v>
      </c>
      <c r="H235" s="79" t="s">
        <v>7</v>
      </c>
      <c r="I235" s="79" t="s">
        <v>9</v>
      </c>
      <c r="J235" s="79" t="s">
        <v>19</v>
      </c>
      <c r="K235" s="79" t="s">
        <v>20</v>
      </c>
      <c r="L235" s="79" t="s">
        <v>8</v>
      </c>
      <c r="M235" s="79" t="s">
        <v>7</v>
      </c>
      <c r="N235" s="79" t="s">
        <v>9</v>
      </c>
      <c r="O235" s="79" t="s">
        <v>19</v>
      </c>
      <c r="P235" s="24" t="s">
        <v>20</v>
      </c>
    </row>
    <row r="236" spans="1:16" ht="15.75" hidden="1" x14ac:dyDescent="0.2">
      <c r="A236" s="72">
        <v>10.8</v>
      </c>
      <c r="B236" s="75" t="s">
        <v>16</v>
      </c>
      <c r="C236" s="74" t="s">
        <v>11</v>
      </c>
      <c r="D236" s="74">
        <v>6</v>
      </c>
      <c r="E236" s="74">
        <f>skilled</f>
        <v>1100</v>
      </c>
      <c r="F236" s="74">
        <f>D236*E236</f>
        <v>6600</v>
      </c>
      <c r="G236" s="75" t="s">
        <v>60</v>
      </c>
      <c r="H236" s="74" t="s">
        <v>250</v>
      </c>
      <c r="I236" s="74">
        <v>6</v>
      </c>
      <c r="J236" s="74">
        <f>stone</f>
        <v>1516.22</v>
      </c>
      <c r="K236" s="74">
        <f>I236*J236</f>
        <v>9097.32</v>
      </c>
      <c r="L236" s="25"/>
      <c r="M236" s="74"/>
      <c r="N236" s="74"/>
      <c r="O236" s="74"/>
      <c r="P236" s="21"/>
    </row>
    <row r="237" spans="1:16" ht="15.75" hidden="1" x14ac:dyDescent="0.2">
      <c r="A237" s="313"/>
      <c r="B237" s="75" t="s">
        <v>28</v>
      </c>
      <c r="C237" s="74" t="s">
        <v>11</v>
      </c>
      <c r="D237" s="74">
        <v>12</v>
      </c>
      <c r="E237" s="74">
        <f>unskilled</f>
        <v>780</v>
      </c>
      <c r="F237" s="74">
        <f>D237*E237</f>
        <v>9360</v>
      </c>
      <c r="G237" s="79"/>
      <c r="H237" s="79"/>
      <c r="I237" s="79"/>
      <c r="J237" s="79"/>
      <c r="K237" s="79"/>
      <c r="L237" s="79"/>
      <c r="M237" s="79"/>
      <c r="N237" s="79"/>
      <c r="O237" s="79"/>
      <c r="P237" s="24"/>
    </row>
    <row r="238" spans="1:16" ht="15.75" hidden="1" x14ac:dyDescent="0.2">
      <c r="A238" s="1005" t="s">
        <v>34</v>
      </c>
      <c r="B238" s="1006"/>
      <c r="C238" s="1006"/>
      <c r="D238" s="1006"/>
      <c r="E238" s="1006"/>
      <c r="F238" s="73">
        <f>F236+F237</f>
        <v>15960</v>
      </c>
      <c r="G238" s="1006" t="s">
        <v>35</v>
      </c>
      <c r="H238" s="1006"/>
      <c r="I238" s="1006"/>
      <c r="J238" s="1006"/>
      <c r="K238" s="73">
        <f>K236+K237</f>
        <v>9097.32</v>
      </c>
      <c r="L238" s="1006" t="s">
        <v>36</v>
      </c>
      <c r="M238" s="1006"/>
      <c r="N238" s="1006"/>
      <c r="O238" s="1006"/>
      <c r="P238" s="61">
        <f>P236+P237</f>
        <v>0</v>
      </c>
    </row>
    <row r="239" spans="1:16" ht="15.75" hidden="1" x14ac:dyDescent="0.2">
      <c r="A239" s="1005" t="s">
        <v>487</v>
      </c>
      <c r="B239" s="1006"/>
      <c r="C239" s="1006"/>
      <c r="D239" s="1006"/>
      <c r="E239" s="1006"/>
      <c r="F239" s="74">
        <f>F238+K238+P238</f>
        <v>25057.32</v>
      </c>
      <c r="G239" s="150"/>
      <c r="H239" s="150"/>
      <c r="I239" s="150"/>
      <c r="J239" s="150"/>
      <c r="K239" s="73"/>
      <c r="L239" s="150"/>
      <c r="M239" s="150"/>
      <c r="N239" s="150"/>
      <c r="O239" s="150"/>
      <c r="P239" s="61"/>
    </row>
    <row r="240" spans="1:16" ht="16.5" hidden="1" thickBot="1" x14ac:dyDescent="0.25">
      <c r="A240" s="82"/>
      <c r="B240" s="999" t="s">
        <v>110</v>
      </c>
      <c r="C240" s="999"/>
      <c r="D240" s="999"/>
      <c r="E240" s="999"/>
      <c r="F240" s="17">
        <f>15%*F239</f>
        <v>3758.6</v>
      </c>
      <c r="G240" s="83"/>
      <c r="H240" s="83"/>
      <c r="I240" s="83"/>
      <c r="J240" s="83"/>
      <c r="K240" s="83"/>
      <c r="L240" s="17"/>
      <c r="M240" s="295"/>
      <c r="N240" s="1000" t="s">
        <v>53</v>
      </c>
      <c r="O240" s="1000"/>
      <c r="P240" s="18">
        <f>(F240+F239)/P233</f>
        <v>5763.18</v>
      </c>
    </row>
    <row r="241" spans="1:16" ht="15.75" hidden="1" x14ac:dyDescent="0.2">
      <c r="A241" s="301"/>
      <c r="B241" s="301"/>
      <c r="C241" s="301"/>
      <c r="D241" s="301"/>
      <c r="E241" s="301"/>
      <c r="F241" s="51"/>
      <c r="G241" s="301"/>
      <c r="H241" s="301"/>
      <c r="I241" s="301"/>
      <c r="J241" s="301"/>
      <c r="K241" s="301"/>
      <c r="L241" s="51"/>
      <c r="M241" s="303"/>
      <c r="N241" s="303"/>
      <c r="O241" s="303"/>
      <c r="P241" s="52"/>
    </row>
    <row r="242" spans="1:16" ht="15.75" x14ac:dyDescent="0.2">
      <c r="A242" s="1009" t="s">
        <v>490</v>
      </c>
      <c r="B242" s="1009"/>
      <c r="C242" s="1009"/>
      <c r="D242" s="1009"/>
      <c r="E242" s="1009"/>
      <c r="F242" s="1009"/>
      <c r="G242" s="1009"/>
      <c r="H242" s="1009"/>
      <c r="I242" s="1009"/>
      <c r="J242" s="1009"/>
      <c r="K242" s="1009"/>
      <c r="L242" s="1009"/>
      <c r="M242" s="1009"/>
      <c r="N242" s="1009"/>
      <c r="O242" s="1009"/>
      <c r="P242" s="1009"/>
    </row>
    <row r="243" spans="1:16" ht="15.75" x14ac:dyDescent="0.2">
      <c r="A243" s="1009" t="s">
        <v>491</v>
      </c>
      <c r="B243" s="1009"/>
      <c r="C243" s="1009"/>
      <c r="D243" s="1009"/>
      <c r="E243" s="1009"/>
      <c r="F243" s="1009"/>
      <c r="G243" s="1009"/>
      <c r="H243" s="1009"/>
      <c r="I243" s="1009"/>
      <c r="J243" s="1009"/>
      <c r="K243" s="1009"/>
      <c r="L243" s="1009"/>
      <c r="M243" s="1009"/>
      <c r="N243" s="1009"/>
      <c r="O243" s="1009"/>
      <c r="P243" s="1009"/>
    </row>
    <row r="244" spans="1:16" ht="16.5" thickBot="1" x14ac:dyDescent="0.25">
      <c r="A244" s="271" t="s">
        <v>492</v>
      </c>
      <c r="B244" s="47"/>
      <c r="C244" s="47"/>
      <c r="D244" s="47"/>
      <c r="E244" s="47"/>
      <c r="F244" s="47"/>
      <c r="G244" s="47"/>
      <c r="H244" s="47"/>
      <c r="I244" s="47"/>
      <c r="J244" s="47"/>
      <c r="K244" s="47"/>
      <c r="L244" s="47"/>
      <c r="M244" s="47"/>
      <c r="N244" s="47"/>
      <c r="O244" s="47"/>
      <c r="P244" s="47"/>
    </row>
    <row r="245" spans="1:16" ht="15.6" customHeight="1" x14ac:dyDescent="0.2">
      <c r="A245" s="310" t="s">
        <v>29</v>
      </c>
      <c r="B245" s="310"/>
      <c r="C245" s="988" t="s">
        <v>495</v>
      </c>
      <c r="D245" s="988"/>
      <c r="E245" s="988"/>
      <c r="F245" s="988"/>
      <c r="G245" s="988"/>
      <c r="H245" s="988"/>
      <c r="I245" s="988"/>
      <c r="J245" s="988"/>
      <c r="K245" s="988"/>
      <c r="L245" s="988"/>
      <c r="M245" s="988"/>
      <c r="N245" s="988"/>
      <c r="O245" s="988"/>
      <c r="P245" s="274" t="s">
        <v>433</v>
      </c>
    </row>
    <row r="246" spans="1:16" ht="15.75" x14ac:dyDescent="0.2">
      <c r="A246" s="1011" t="s">
        <v>493</v>
      </c>
      <c r="B246" s="1012"/>
      <c r="C246" s="1024"/>
      <c r="D246" s="1024"/>
      <c r="E246" s="1024"/>
      <c r="F246" s="1024"/>
      <c r="G246" s="1024"/>
      <c r="H246" s="1024"/>
      <c r="I246" s="1024"/>
      <c r="J246" s="1024"/>
      <c r="K246" s="1024"/>
      <c r="L246" s="1024"/>
      <c r="M246" s="1024"/>
      <c r="N246" s="1024"/>
      <c r="O246" s="1024"/>
      <c r="P246" s="275">
        <v>300</v>
      </c>
    </row>
    <row r="247" spans="1:16" ht="15.75" x14ac:dyDescent="0.2">
      <c r="A247" s="1001" t="s">
        <v>30</v>
      </c>
      <c r="B247" s="1003" t="s">
        <v>31</v>
      </c>
      <c r="C247" s="1003"/>
      <c r="D247" s="1003"/>
      <c r="E247" s="1003"/>
      <c r="F247" s="1003"/>
      <c r="G247" s="1003" t="s">
        <v>32</v>
      </c>
      <c r="H247" s="1003"/>
      <c r="I247" s="1003"/>
      <c r="J247" s="1003"/>
      <c r="K247" s="1003"/>
      <c r="L247" s="1003" t="s">
        <v>33</v>
      </c>
      <c r="M247" s="1003"/>
      <c r="N247" s="1003"/>
      <c r="O247" s="1003"/>
      <c r="P247" s="1004"/>
    </row>
    <row r="248" spans="1:16" ht="15.75" x14ac:dyDescent="0.2">
      <c r="A248" s="1002"/>
      <c r="B248" s="79" t="s">
        <v>8</v>
      </c>
      <c r="C248" s="79" t="s">
        <v>7</v>
      </c>
      <c r="D248" s="79" t="s">
        <v>9</v>
      </c>
      <c r="E248" s="79" t="s">
        <v>19</v>
      </c>
      <c r="F248" s="79" t="s">
        <v>20</v>
      </c>
      <c r="G248" s="79" t="s">
        <v>8</v>
      </c>
      <c r="H248" s="79" t="s">
        <v>7</v>
      </c>
      <c r="I248" s="79" t="s">
        <v>9</v>
      </c>
      <c r="J248" s="79" t="s">
        <v>19</v>
      </c>
      <c r="K248" s="79" t="s">
        <v>20</v>
      </c>
      <c r="L248" s="79" t="s">
        <v>8</v>
      </c>
      <c r="M248" s="79" t="s">
        <v>7</v>
      </c>
      <c r="N248" s="79" t="s">
        <v>9</v>
      </c>
      <c r="O248" s="79" t="s">
        <v>19</v>
      </c>
      <c r="P248" s="24" t="s">
        <v>20</v>
      </c>
    </row>
    <row r="249" spans="1:16" ht="15.75" x14ac:dyDescent="0.2">
      <c r="A249" s="72" t="s">
        <v>494</v>
      </c>
      <c r="B249" s="75" t="s">
        <v>16</v>
      </c>
      <c r="C249" s="74" t="s">
        <v>11</v>
      </c>
      <c r="D249" s="74">
        <v>2</v>
      </c>
      <c r="E249" s="74">
        <f>skilled</f>
        <v>1100</v>
      </c>
      <c r="F249" s="74">
        <f>D249*E249</f>
        <v>2200</v>
      </c>
      <c r="G249" s="75" t="s">
        <v>262</v>
      </c>
      <c r="H249" s="74" t="s">
        <v>250</v>
      </c>
      <c r="I249" s="74">
        <v>384</v>
      </c>
      <c r="J249" s="74">
        <f>J236</f>
        <v>1516.22</v>
      </c>
      <c r="K249" s="74">
        <f>I249*J249</f>
        <v>582228.47999999998</v>
      </c>
      <c r="L249" s="151" t="s">
        <v>476</v>
      </c>
      <c r="M249" s="74" t="s">
        <v>13</v>
      </c>
      <c r="N249" s="74">
        <v>6</v>
      </c>
      <c r="O249" s="74">
        <f>motorgrader</f>
        <v>3061</v>
      </c>
      <c r="P249" s="21">
        <f>N249*O249</f>
        <v>18366</v>
      </c>
    </row>
    <row r="250" spans="1:16" ht="15.75" x14ac:dyDescent="0.2">
      <c r="A250" s="313"/>
      <c r="B250" s="75" t="s">
        <v>28</v>
      </c>
      <c r="C250" s="74" t="s">
        <v>11</v>
      </c>
      <c r="D250" s="74">
        <v>12</v>
      </c>
      <c r="E250" s="74">
        <f>unskilled</f>
        <v>780</v>
      </c>
      <c r="F250" s="74">
        <f>D250*E250</f>
        <v>9360</v>
      </c>
      <c r="G250" s="75" t="s">
        <v>26</v>
      </c>
      <c r="H250" s="74" t="s">
        <v>474</v>
      </c>
      <c r="I250" s="74">
        <v>18</v>
      </c>
      <c r="J250" s="74">
        <f>water*1000</f>
        <v>410</v>
      </c>
      <c r="K250" s="74">
        <f>I250*J250</f>
        <v>7380</v>
      </c>
      <c r="L250" s="75" t="s">
        <v>313</v>
      </c>
      <c r="M250" s="74" t="s">
        <v>13</v>
      </c>
      <c r="N250" s="74">
        <v>12</v>
      </c>
      <c r="O250" s="74">
        <f>vibratoryroller</f>
        <v>1915.5</v>
      </c>
      <c r="P250" s="21">
        <f>N250*O250</f>
        <v>22986</v>
      </c>
    </row>
    <row r="251" spans="1:16" ht="15.75" x14ac:dyDescent="0.2">
      <c r="A251" s="313"/>
      <c r="B251" s="75"/>
      <c r="C251" s="74"/>
      <c r="D251" s="74"/>
      <c r="E251" s="74"/>
      <c r="F251" s="74"/>
      <c r="G251" s="75"/>
      <c r="H251" s="74"/>
      <c r="I251" s="74"/>
      <c r="J251" s="74"/>
      <c r="K251" s="74"/>
      <c r="L251" s="75" t="s">
        <v>4</v>
      </c>
      <c r="M251" s="74" t="s">
        <v>13</v>
      </c>
      <c r="N251" s="74">
        <v>12</v>
      </c>
      <c r="O251" s="74">
        <f>tractortrolley</f>
        <v>1039</v>
      </c>
      <c r="P251" s="21">
        <f>N251*O251</f>
        <v>12468</v>
      </c>
    </row>
    <row r="252" spans="1:16" ht="15.75" x14ac:dyDescent="0.2">
      <c r="A252" s="1005" t="s">
        <v>34</v>
      </c>
      <c r="B252" s="1006"/>
      <c r="C252" s="1006"/>
      <c r="D252" s="1006"/>
      <c r="E252" s="1006"/>
      <c r="F252" s="73">
        <f>SUM(F249:F250)</f>
        <v>11560</v>
      </c>
      <c r="G252" s="1006" t="s">
        <v>35</v>
      </c>
      <c r="H252" s="1006"/>
      <c r="I252" s="1006"/>
      <c r="J252" s="1006"/>
      <c r="K252" s="73">
        <f>SUM(K249:K250)</f>
        <v>589608.48</v>
      </c>
      <c r="L252" s="1006" t="s">
        <v>36</v>
      </c>
      <c r="M252" s="1006"/>
      <c r="N252" s="1006"/>
      <c r="O252" s="1006"/>
      <c r="P252" s="61">
        <f>SUM(P249:P251)</f>
        <v>53820</v>
      </c>
    </row>
    <row r="253" spans="1:16" ht="15.75" x14ac:dyDescent="0.2">
      <c r="A253" s="1005" t="s">
        <v>487</v>
      </c>
      <c r="B253" s="1006"/>
      <c r="C253" s="1006"/>
      <c r="D253" s="1006"/>
      <c r="E253" s="1006"/>
      <c r="F253" s="74">
        <f>F252+K252+P252</f>
        <v>654988.48</v>
      </c>
      <c r="G253" s="150"/>
      <c r="H253" s="150"/>
      <c r="I253" s="150"/>
      <c r="J253" s="150"/>
      <c r="K253" s="73"/>
      <c r="L253" s="150"/>
      <c r="M253" s="150"/>
      <c r="N253" s="150"/>
      <c r="O253" s="150"/>
      <c r="P253" s="61"/>
    </row>
    <row r="254" spans="1:16" ht="16.5" thickBot="1" x14ac:dyDescent="0.25">
      <c r="A254" s="82"/>
      <c r="B254" s="999" t="s">
        <v>110</v>
      </c>
      <c r="C254" s="999"/>
      <c r="D254" s="999"/>
      <c r="E254" s="999"/>
      <c r="F254" s="17">
        <f>15%*F253</f>
        <v>98248.27</v>
      </c>
      <c r="G254" s="83"/>
      <c r="H254" s="83"/>
      <c r="I254" s="83"/>
      <c r="J254" s="83"/>
      <c r="K254" s="83"/>
      <c r="L254" s="17"/>
      <c r="M254" s="295"/>
      <c r="N254" s="1000" t="s">
        <v>53</v>
      </c>
      <c r="O254" s="1000"/>
      <c r="P254" s="18">
        <f>(F254+F253)/P246</f>
        <v>2510.79</v>
      </c>
    </row>
    <row r="255" spans="1:16" ht="15.75" x14ac:dyDescent="0.2">
      <c r="A255" s="301"/>
      <c r="B255" s="301"/>
      <c r="C255" s="301"/>
      <c r="D255" s="301"/>
      <c r="E255" s="301"/>
      <c r="F255" s="51"/>
      <c r="G255" s="301"/>
      <c r="H255" s="301"/>
      <c r="I255" s="301"/>
      <c r="J255" s="301"/>
      <c r="K255" s="301"/>
      <c r="L255" s="51"/>
      <c r="M255" s="303"/>
      <c r="N255" s="303"/>
      <c r="O255" s="303"/>
      <c r="P255" s="52"/>
    </row>
    <row r="256" spans="1:16" s="514" customFormat="1" ht="16.5" thickBot="1" x14ac:dyDescent="0.25">
      <c r="A256" s="540" t="s">
        <v>1188</v>
      </c>
      <c r="B256" s="400"/>
      <c r="C256" s="400"/>
      <c r="D256" s="400"/>
      <c r="E256" s="400"/>
      <c r="F256" s="400"/>
      <c r="G256" s="400"/>
      <c r="H256" s="400"/>
      <c r="I256" s="400"/>
      <c r="J256" s="400"/>
      <c r="K256" s="400"/>
      <c r="L256" s="400"/>
      <c r="M256" s="400"/>
      <c r="N256" s="400"/>
      <c r="O256" s="400"/>
      <c r="P256" s="400"/>
    </row>
    <row r="257" spans="1:3264" s="514" customFormat="1" ht="15.75" x14ac:dyDescent="0.2">
      <c r="A257" s="541" t="s">
        <v>29</v>
      </c>
      <c r="B257" s="541"/>
      <c r="C257" s="1089" t="s">
        <v>1184</v>
      </c>
      <c r="D257" s="1089"/>
      <c r="E257" s="1089"/>
      <c r="F257" s="1089"/>
      <c r="G257" s="1089"/>
      <c r="H257" s="1089"/>
      <c r="I257" s="1089"/>
      <c r="J257" s="1089"/>
      <c r="K257" s="1089"/>
      <c r="L257" s="1089"/>
      <c r="M257" s="1089"/>
      <c r="N257" s="1089"/>
      <c r="O257" s="1089"/>
      <c r="P257" s="515" t="s">
        <v>433</v>
      </c>
    </row>
    <row r="258" spans="1:3264" s="514" customFormat="1" ht="36.75" customHeight="1" x14ac:dyDescent="0.2">
      <c r="A258" s="1104" t="s">
        <v>1189</v>
      </c>
      <c r="B258" s="1105"/>
      <c r="C258" s="1103"/>
      <c r="D258" s="1103"/>
      <c r="E258" s="1103"/>
      <c r="F258" s="1103"/>
      <c r="G258" s="1103"/>
      <c r="H258" s="1103"/>
      <c r="I258" s="1103"/>
      <c r="J258" s="1103"/>
      <c r="K258" s="1103"/>
      <c r="L258" s="1103"/>
      <c r="M258" s="1103"/>
      <c r="N258" s="1103"/>
      <c r="O258" s="1103"/>
      <c r="P258" s="516">
        <v>300</v>
      </c>
    </row>
    <row r="259" spans="1:3264" s="514" customFormat="1" ht="15.75" x14ac:dyDescent="0.2">
      <c r="A259" s="1106" t="s">
        <v>30</v>
      </c>
      <c r="B259" s="1108" t="s">
        <v>31</v>
      </c>
      <c r="C259" s="1108"/>
      <c r="D259" s="1108"/>
      <c r="E259" s="1108"/>
      <c r="F259" s="1108"/>
      <c r="G259" s="1108" t="s">
        <v>32</v>
      </c>
      <c r="H259" s="1108"/>
      <c r="I259" s="1108"/>
      <c r="J259" s="1108"/>
      <c r="K259" s="1108"/>
      <c r="L259" s="1108" t="s">
        <v>33</v>
      </c>
      <c r="M259" s="1108"/>
      <c r="N259" s="1108"/>
      <c r="O259" s="1108"/>
      <c r="P259" s="1109"/>
    </row>
    <row r="260" spans="1:3264" s="514" customFormat="1" ht="15.75" x14ac:dyDescent="0.2">
      <c r="A260" s="1107"/>
      <c r="B260" s="542" t="s">
        <v>8</v>
      </c>
      <c r="C260" s="542" t="s">
        <v>7</v>
      </c>
      <c r="D260" s="542" t="s">
        <v>9</v>
      </c>
      <c r="E260" s="542" t="s">
        <v>19</v>
      </c>
      <c r="F260" s="542" t="s">
        <v>20</v>
      </c>
      <c r="G260" s="542" t="s">
        <v>8</v>
      </c>
      <c r="H260" s="542" t="s">
        <v>7</v>
      </c>
      <c r="I260" s="542" t="s">
        <v>9</v>
      </c>
      <c r="J260" s="542" t="s">
        <v>19</v>
      </c>
      <c r="K260" s="542" t="s">
        <v>20</v>
      </c>
      <c r="L260" s="542" t="s">
        <v>8</v>
      </c>
      <c r="M260" s="542" t="s">
        <v>7</v>
      </c>
      <c r="N260" s="542" t="s">
        <v>9</v>
      </c>
      <c r="O260" s="542" t="s">
        <v>19</v>
      </c>
      <c r="P260" s="543" t="s">
        <v>20</v>
      </c>
    </row>
    <row r="261" spans="1:3264" s="514" customFormat="1" ht="15.75" x14ac:dyDescent="0.2">
      <c r="A261" s="72" t="s">
        <v>1187</v>
      </c>
      <c r="B261" s="524" t="s">
        <v>16</v>
      </c>
      <c r="C261" s="544" t="s">
        <v>11</v>
      </c>
      <c r="D261" s="74">
        <v>3</v>
      </c>
      <c r="E261" s="74">
        <f>skilled</f>
        <v>1100</v>
      </c>
      <c r="F261" s="74">
        <f>D261*E261</f>
        <v>3300</v>
      </c>
      <c r="G261" s="524" t="s">
        <v>1190</v>
      </c>
      <c r="H261" s="544" t="s">
        <v>250</v>
      </c>
      <c r="I261" s="74">
        <v>435.6</v>
      </c>
      <c r="J261" s="74">
        <f>(aggregate10mm+aggregate20mm+aggregate40mm)/3</f>
        <v>1529.3</v>
      </c>
      <c r="K261" s="74">
        <f>I261*J261</f>
        <v>666163.07999999996</v>
      </c>
      <c r="L261" s="545" t="s">
        <v>476</v>
      </c>
      <c r="M261" s="544" t="s">
        <v>13</v>
      </c>
      <c r="N261" s="74">
        <v>6</v>
      </c>
      <c r="O261" s="74">
        <f>motorgrader</f>
        <v>3061</v>
      </c>
      <c r="P261" s="21">
        <f>N261*O261</f>
        <v>18366</v>
      </c>
    </row>
    <row r="262" spans="1:3264" s="514" customFormat="1" ht="31.5" x14ac:dyDescent="0.2">
      <c r="A262" s="546"/>
      <c r="B262" s="524" t="s">
        <v>28</v>
      </c>
      <c r="C262" s="544" t="s">
        <v>11</v>
      </c>
      <c r="D262" s="74">
        <v>15</v>
      </c>
      <c r="E262" s="74">
        <f>unskilled</f>
        <v>780</v>
      </c>
      <c r="F262" s="74">
        <f>D262*E262</f>
        <v>11700</v>
      </c>
      <c r="G262" s="545" t="s">
        <v>1191</v>
      </c>
      <c r="H262" s="544" t="s">
        <v>250</v>
      </c>
      <c r="I262" s="74">
        <v>57.6</v>
      </c>
      <c r="J262" s="74">
        <f>aggregate10mm</f>
        <v>1420.97</v>
      </c>
      <c r="K262" s="74">
        <f>I262*J262</f>
        <v>81847.87</v>
      </c>
      <c r="L262" s="75" t="s">
        <v>313</v>
      </c>
      <c r="M262" s="74" t="s">
        <v>13</v>
      </c>
      <c r="N262" s="74">
        <v>12</v>
      </c>
      <c r="O262" s="74">
        <f>vibratoryroller</f>
        <v>1915.5</v>
      </c>
      <c r="P262" s="21">
        <f>N262*O262</f>
        <v>22986</v>
      </c>
    </row>
    <row r="263" spans="1:3264" s="514" customFormat="1" ht="15.75" x14ac:dyDescent="0.2">
      <c r="A263" s="546"/>
      <c r="B263" s="524"/>
      <c r="C263" s="544"/>
      <c r="D263" s="74"/>
      <c r="E263" s="74"/>
      <c r="F263" s="74"/>
      <c r="G263" s="524" t="s">
        <v>26</v>
      </c>
      <c r="H263" s="544" t="s">
        <v>474</v>
      </c>
      <c r="I263" s="74">
        <v>144</v>
      </c>
      <c r="J263" s="74">
        <f>water</f>
        <v>0.41</v>
      </c>
      <c r="K263" s="74">
        <f>I263*J263</f>
        <v>59.04</v>
      </c>
      <c r="L263" s="75"/>
      <c r="M263" s="74"/>
      <c r="N263" s="74"/>
      <c r="O263" s="74"/>
      <c r="P263" s="21"/>
    </row>
    <row r="264" spans="1:3264" s="514" customFormat="1" ht="15.75" x14ac:dyDescent="0.2">
      <c r="A264" s="1005" t="s">
        <v>34</v>
      </c>
      <c r="B264" s="1006"/>
      <c r="C264" s="1006"/>
      <c r="D264" s="1006"/>
      <c r="E264" s="1006"/>
      <c r="F264" s="73">
        <f>SUM(F261:F262)</f>
        <v>15000</v>
      </c>
      <c r="G264" s="1006" t="s">
        <v>35</v>
      </c>
      <c r="H264" s="1006"/>
      <c r="I264" s="1006"/>
      <c r="J264" s="1006"/>
      <c r="K264" s="73">
        <f>SUM(K261:K263)</f>
        <v>748069.99</v>
      </c>
      <c r="L264" s="1006" t="s">
        <v>36</v>
      </c>
      <c r="M264" s="1006"/>
      <c r="N264" s="1006"/>
      <c r="O264" s="1006"/>
      <c r="P264" s="61">
        <f>SUM(P261:P263)</f>
        <v>41352</v>
      </c>
    </row>
    <row r="265" spans="1:3264" s="514" customFormat="1" ht="15.75" x14ac:dyDescent="0.2">
      <c r="A265" s="1005" t="s">
        <v>487</v>
      </c>
      <c r="B265" s="1006"/>
      <c r="C265" s="1006"/>
      <c r="D265" s="1006"/>
      <c r="E265" s="1006"/>
      <c r="F265" s="74">
        <f>F264+K264+P264</f>
        <v>804421.99</v>
      </c>
      <c r="G265" s="150"/>
      <c r="H265" s="150"/>
      <c r="I265" s="150"/>
      <c r="J265" s="150"/>
      <c r="K265" s="73"/>
      <c r="L265" s="150"/>
      <c r="M265" s="150"/>
      <c r="N265" s="150"/>
      <c r="O265" s="150"/>
      <c r="P265" s="61"/>
    </row>
    <row r="266" spans="1:3264" s="514" customFormat="1" ht="16.5" thickBot="1" x14ac:dyDescent="0.25">
      <c r="A266" s="547"/>
      <c r="B266" s="1100" t="s">
        <v>110</v>
      </c>
      <c r="C266" s="1100"/>
      <c r="D266" s="1100"/>
      <c r="E266" s="1100"/>
      <c r="F266" s="17">
        <f>15%*F265</f>
        <v>120663.3</v>
      </c>
      <c r="G266" s="527"/>
      <c r="H266" s="527"/>
      <c r="I266" s="527"/>
      <c r="J266" s="527"/>
      <c r="K266" s="527"/>
      <c r="L266" s="17"/>
      <c r="M266" s="548"/>
      <c r="N266" s="1101" t="s">
        <v>53</v>
      </c>
      <c r="O266" s="1101"/>
      <c r="P266" s="18">
        <f>(F266+F265)/P258</f>
        <v>3083.62</v>
      </c>
    </row>
    <row r="267" spans="1:3264" ht="15.75" x14ac:dyDescent="0.2">
      <c r="A267" s="1009" t="s">
        <v>496</v>
      </c>
      <c r="B267" s="1009"/>
      <c r="C267" s="1009"/>
      <c r="D267" s="1009"/>
      <c r="E267" s="1009"/>
      <c r="F267" s="1009"/>
      <c r="G267" s="1009"/>
      <c r="H267" s="1009"/>
      <c r="I267" s="1009"/>
      <c r="J267" s="1009"/>
      <c r="K267" s="1009"/>
      <c r="L267" s="1009"/>
      <c r="M267" s="1009"/>
      <c r="N267" s="1009"/>
      <c r="O267" s="1009"/>
      <c r="P267" s="1009"/>
    </row>
    <row r="268" spans="1:3264" ht="15.75" x14ac:dyDescent="0.2">
      <c r="A268" s="1009" t="s">
        <v>497</v>
      </c>
      <c r="B268" s="1009"/>
      <c r="C268" s="1009"/>
      <c r="D268" s="1009"/>
      <c r="E268" s="1009"/>
      <c r="F268" s="1009"/>
      <c r="G268" s="1009"/>
      <c r="H268" s="1009"/>
      <c r="I268" s="1009"/>
      <c r="J268" s="1009"/>
      <c r="K268" s="1009"/>
      <c r="L268" s="1009"/>
      <c r="M268" s="1009"/>
      <c r="N268" s="1009"/>
      <c r="O268" s="1009"/>
      <c r="P268" s="1009"/>
    </row>
    <row r="269" spans="1:3264" ht="16.5" thickBot="1" x14ac:dyDescent="0.25">
      <c r="A269" s="271" t="s">
        <v>498</v>
      </c>
      <c r="B269" s="47"/>
      <c r="C269" s="47"/>
      <c r="D269" s="47"/>
      <c r="E269" s="47"/>
      <c r="F269" s="47"/>
      <c r="G269" s="47"/>
      <c r="H269" s="47"/>
      <c r="I269" s="47"/>
      <c r="J269" s="47"/>
      <c r="K269" s="47"/>
      <c r="L269" s="47"/>
      <c r="M269" s="47"/>
      <c r="N269" s="47"/>
      <c r="O269" s="47"/>
      <c r="P269" s="47"/>
    </row>
    <row r="270" spans="1:3264" ht="15.6" customHeight="1" x14ac:dyDescent="0.2">
      <c r="A270" s="310" t="s">
        <v>29</v>
      </c>
      <c r="B270" s="310"/>
      <c r="C270" s="988" t="s">
        <v>500</v>
      </c>
      <c r="D270" s="988"/>
      <c r="E270" s="988"/>
      <c r="F270" s="988"/>
      <c r="G270" s="988"/>
      <c r="H270" s="988"/>
      <c r="I270" s="988"/>
      <c r="J270" s="988"/>
      <c r="K270" s="988"/>
      <c r="L270" s="988"/>
      <c r="M270" s="988"/>
      <c r="N270" s="988"/>
      <c r="O270" s="988"/>
      <c r="P270" s="274" t="s">
        <v>433</v>
      </c>
    </row>
    <row r="271" spans="1:3264" ht="15.75" x14ac:dyDescent="0.2">
      <c r="A271" s="1011" t="s">
        <v>499</v>
      </c>
      <c r="B271" s="1012"/>
      <c r="C271" s="1024"/>
      <c r="D271" s="1024"/>
      <c r="E271" s="1024"/>
      <c r="F271" s="1024"/>
      <c r="G271" s="1024"/>
      <c r="H271" s="1024"/>
      <c r="I271" s="1024"/>
      <c r="J271" s="1024"/>
      <c r="K271" s="1024"/>
      <c r="L271" s="1024"/>
      <c r="M271" s="1024"/>
      <c r="N271" s="1024"/>
      <c r="O271" s="1024"/>
      <c r="P271" s="275">
        <v>95.5</v>
      </c>
    </row>
    <row r="272" spans="1:3264" ht="15.75" x14ac:dyDescent="0.2">
      <c r="A272" s="1001" t="s">
        <v>30</v>
      </c>
      <c r="B272" s="1003" t="s">
        <v>31</v>
      </c>
      <c r="C272" s="1003"/>
      <c r="D272" s="1003"/>
      <c r="E272" s="1003"/>
      <c r="F272" s="1003"/>
      <c r="G272" s="1003" t="s">
        <v>32</v>
      </c>
      <c r="H272" s="1003"/>
      <c r="I272" s="1003"/>
      <c r="J272" s="1003"/>
      <c r="K272" s="1003"/>
      <c r="L272" s="1003" t="s">
        <v>33</v>
      </c>
      <c r="M272" s="1003"/>
      <c r="N272" s="1003"/>
      <c r="O272" s="1003"/>
      <c r="P272" s="1004"/>
      <c r="Q272" s="1047"/>
      <c r="R272" s="1046"/>
      <c r="S272" s="1046"/>
      <c r="T272" s="1046"/>
      <c r="U272" s="1046"/>
      <c r="V272" s="1046"/>
      <c r="W272" s="1046"/>
      <c r="X272" s="1046"/>
      <c r="Y272" s="1046"/>
      <c r="Z272" s="1046"/>
      <c r="AA272" s="1046"/>
      <c r="AB272" s="1046"/>
      <c r="AC272" s="1046"/>
      <c r="AD272" s="1046"/>
      <c r="AE272" s="1046"/>
      <c r="AF272" s="1046"/>
      <c r="AG272" s="1046"/>
      <c r="AH272" s="1046"/>
      <c r="AI272" s="1046"/>
      <c r="AJ272" s="1046"/>
      <c r="AK272" s="1046"/>
      <c r="AL272" s="1046"/>
      <c r="AM272" s="1046"/>
      <c r="AN272" s="1046"/>
      <c r="AO272" s="1046"/>
      <c r="AP272" s="1046"/>
      <c r="AQ272" s="1046"/>
      <c r="AR272" s="1046"/>
      <c r="AS272" s="1046"/>
      <c r="AT272" s="1046"/>
      <c r="AU272" s="1046"/>
      <c r="AV272" s="1046"/>
      <c r="AW272" s="1046"/>
      <c r="AX272" s="1046"/>
      <c r="AY272" s="1046"/>
      <c r="AZ272" s="1046"/>
      <c r="BA272" s="1046"/>
      <c r="BB272" s="1046"/>
      <c r="BC272" s="1046"/>
      <c r="BD272" s="1046"/>
      <c r="BE272" s="1046"/>
      <c r="BF272" s="1046"/>
      <c r="BG272" s="1046"/>
      <c r="BH272" s="1046"/>
      <c r="BI272" s="1046"/>
      <c r="BJ272" s="1046"/>
      <c r="BK272" s="1046"/>
      <c r="BL272" s="1046"/>
      <c r="BM272" s="1046"/>
      <c r="BN272" s="1046"/>
      <c r="BO272" s="1046"/>
      <c r="BP272" s="1046"/>
      <c r="BQ272" s="1046"/>
      <c r="BR272" s="1046"/>
      <c r="BS272" s="1046"/>
      <c r="BT272" s="1046"/>
      <c r="BU272" s="1046"/>
      <c r="BV272" s="1046"/>
      <c r="BW272" s="1046"/>
      <c r="BX272" s="1046"/>
      <c r="BY272" s="1046"/>
      <c r="BZ272" s="1046"/>
      <c r="CA272" s="1046"/>
      <c r="CB272" s="1046"/>
      <c r="CC272" s="1046"/>
      <c r="CD272" s="1046"/>
      <c r="CE272" s="1046"/>
      <c r="CF272" s="1046"/>
      <c r="CG272" s="1046"/>
      <c r="CH272" s="1046"/>
      <c r="CI272" s="1046"/>
      <c r="CJ272" s="1046"/>
      <c r="CK272" s="1046"/>
      <c r="CL272" s="1046"/>
      <c r="CM272" s="1046"/>
      <c r="CN272" s="1046"/>
      <c r="CO272" s="1046"/>
      <c r="CP272" s="1046"/>
      <c r="CQ272" s="1046"/>
      <c r="CR272" s="1046"/>
      <c r="CS272" s="1046"/>
      <c r="CT272" s="1046"/>
      <c r="CU272" s="1046"/>
      <c r="CV272" s="1046"/>
      <c r="CW272" s="1046"/>
      <c r="CX272" s="1046"/>
      <c r="CY272" s="1046"/>
      <c r="CZ272" s="1046"/>
      <c r="DA272" s="1046"/>
      <c r="DB272" s="1046"/>
      <c r="DC272" s="1046"/>
      <c r="DD272" s="1046"/>
      <c r="DE272" s="1046"/>
      <c r="DF272" s="1046"/>
      <c r="DG272" s="1046"/>
      <c r="DH272" s="1046"/>
      <c r="DI272" s="1046"/>
      <c r="DJ272" s="1046"/>
      <c r="DK272" s="1046"/>
      <c r="DL272" s="1046"/>
      <c r="DM272" s="1046"/>
      <c r="DN272" s="1046"/>
      <c r="DO272" s="1046"/>
      <c r="DP272" s="1046"/>
      <c r="DQ272" s="1046"/>
      <c r="DR272" s="1046"/>
      <c r="DS272" s="1046"/>
      <c r="DT272" s="1046"/>
      <c r="DU272" s="1046"/>
      <c r="DV272" s="1046"/>
      <c r="DW272" s="1046"/>
      <c r="DX272" s="1046"/>
      <c r="DY272" s="1046"/>
      <c r="DZ272" s="1046"/>
      <c r="EA272" s="1046"/>
      <c r="EB272" s="1046"/>
      <c r="EC272" s="1046"/>
      <c r="ED272" s="1046"/>
      <c r="EE272" s="1046"/>
      <c r="EF272" s="1046"/>
      <c r="EG272" s="1046"/>
      <c r="EH272" s="1046"/>
      <c r="EI272" s="1046"/>
      <c r="EJ272" s="1046"/>
      <c r="EK272" s="1046"/>
      <c r="EL272" s="1046"/>
      <c r="EM272" s="1046"/>
      <c r="EN272" s="1046"/>
      <c r="EO272" s="1046"/>
      <c r="EP272" s="1046"/>
      <c r="EQ272" s="1046"/>
      <c r="ER272" s="1046"/>
      <c r="ES272" s="1046"/>
      <c r="ET272" s="1046"/>
      <c r="EU272" s="1046"/>
      <c r="EV272" s="1046"/>
      <c r="EW272" s="1046"/>
      <c r="EX272" s="1046"/>
      <c r="EY272" s="1046"/>
      <c r="EZ272" s="1046"/>
      <c r="FA272" s="1046"/>
      <c r="FB272" s="1046"/>
      <c r="FC272" s="1046"/>
      <c r="FD272" s="1046"/>
      <c r="FE272" s="1046"/>
      <c r="FF272" s="1046"/>
      <c r="FG272" s="1046"/>
      <c r="FH272" s="1046"/>
      <c r="FI272" s="1046"/>
      <c r="FJ272" s="1046"/>
      <c r="FK272" s="1046"/>
      <c r="FL272" s="1046"/>
      <c r="FM272" s="1046"/>
      <c r="FN272" s="1046"/>
      <c r="FO272" s="1046"/>
      <c r="FP272" s="1046"/>
      <c r="FQ272" s="1046"/>
      <c r="FR272" s="1046"/>
      <c r="FS272" s="1046"/>
      <c r="FT272" s="1046"/>
      <c r="FU272" s="1046"/>
      <c r="FV272" s="1046"/>
      <c r="FW272" s="1046"/>
      <c r="FX272" s="1046"/>
      <c r="FY272" s="1046"/>
      <c r="FZ272" s="1046"/>
      <c r="GA272" s="1046"/>
      <c r="GB272" s="1046"/>
      <c r="GC272" s="1046"/>
      <c r="GD272" s="1046"/>
      <c r="GE272" s="1046"/>
      <c r="GF272" s="1046"/>
      <c r="GG272" s="1046"/>
      <c r="GH272" s="1046"/>
      <c r="GI272" s="1046"/>
      <c r="GJ272" s="1046"/>
      <c r="GK272" s="1046"/>
      <c r="GL272" s="1046"/>
      <c r="GM272" s="1046"/>
      <c r="GN272" s="1046"/>
      <c r="GO272" s="1046"/>
      <c r="GP272" s="1046"/>
      <c r="GQ272" s="1046"/>
      <c r="GR272" s="1046"/>
      <c r="GS272" s="1046"/>
      <c r="GT272" s="1046"/>
      <c r="GU272" s="1046"/>
      <c r="GV272" s="1046"/>
      <c r="GW272" s="1046"/>
      <c r="GX272" s="1046"/>
      <c r="GY272" s="1046"/>
      <c r="GZ272" s="1046"/>
      <c r="HA272" s="1046"/>
      <c r="HB272" s="1046"/>
      <c r="HC272" s="1046"/>
      <c r="HD272" s="1046"/>
      <c r="HE272" s="1046"/>
      <c r="HF272" s="1046"/>
      <c r="HG272" s="1046"/>
      <c r="HH272" s="1046"/>
      <c r="HI272" s="1046"/>
      <c r="HJ272" s="1046"/>
      <c r="HK272" s="1046"/>
      <c r="HL272" s="1046"/>
      <c r="HM272" s="1046"/>
      <c r="HN272" s="1046"/>
      <c r="HO272" s="1046"/>
      <c r="HP272" s="1046"/>
      <c r="HQ272" s="1046"/>
      <c r="HR272" s="1046"/>
      <c r="HS272" s="1046"/>
      <c r="HT272" s="1046"/>
      <c r="HU272" s="1046"/>
      <c r="HV272" s="1046"/>
      <c r="HW272" s="1046"/>
      <c r="HX272" s="1046"/>
      <c r="HY272" s="1046"/>
      <c r="HZ272" s="1046"/>
      <c r="IA272" s="1046"/>
      <c r="IB272" s="1046"/>
      <c r="IC272" s="1046"/>
      <c r="ID272" s="1046"/>
      <c r="IE272" s="1046"/>
      <c r="IF272" s="1046"/>
      <c r="IG272" s="1046"/>
      <c r="IH272" s="1046"/>
      <c r="II272" s="1046"/>
      <c r="IJ272" s="1046"/>
      <c r="IK272" s="1046"/>
      <c r="IL272" s="1046"/>
      <c r="IM272" s="1046"/>
      <c r="IN272" s="1046"/>
      <c r="IO272" s="1046"/>
      <c r="IP272" s="1046"/>
      <c r="IQ272" s="1046"/>
      <c r="IR272" s="1046"/>
      <c r="IS272" s="1046"/>
      <c r="IT272" s="1046"/>
      <c r="IU272" s="1046"/>
      <c r="IV272" s="1046"/>
      <c r="IW272" s="1046"/>
      <c r="IX272" s="1046"/>
      <c r="IY272" s="1046"/>
      <c r="IZ272" s="1046"/>
      <c r="JA272" s="1046"/>
      <c r="JB272" s="1046"/>
      <c r="JC272" s="1046"/>
      <c r="JD272" s="1046"/>
      <c r="JE272" s="1046"/>
      <c r="JF272" s="1046"/>
      <c r="JG272" s="1046"/>
      <c r="JH272" s="1046"/>
      <c r="JI272" s="1046"/>
      <c r="JJ272" s="1046"/>
      <c r="JK272" s="1046"/>
      <c r="JL272" s="1046"/>
      <c r="JM272" s="1046"/>
      <c r="JN272" s="1046"/>
      <c r="JO272" s="1046"/>
      <c r="JP272" s="1046"/>
      <c r="JQ272" s="1046"/>
      <c r="JR272" s="1046"/>
      <c r="JS272" s="1046"/>
      <c r="JT272" s="1046"/>
      <c r="JU272" s="1046"/>
      <c r="JV272" s="1046"/>
      <c r="JW272" s="1046"/>
      <c r="JX272" s="1046"/>
      <c r="JY272" s="1046"/>
      <c r="JZ272" s="1046"/>
      <c r="KA272" s="1046"/>
      <c r="KB272" s="1046"/>
      <c r="KC272" s="1046"/>
      <c r="KD272" s="1046"/>
      <c r="KE272" s="1046"/>
      <c r="KF272" s="1046"/>
      <c r="KG272" s="1046"/>
      <c r="KH272" s="1046"/>
      <c r="KI272" s="1046"/>
      <c r="KJ272" s="1046"/>
      <c r="KK272" s="1046"/>
      <c r="KL272" s="1046"/>
      <c r="KM272" s="1046"/>
      <c r="KN272" s="1046"/>
      <c r="KO272" s="1046"/>
      <c r="KP272" s="1046"/>
      <c r="KQ272" s="1046"/>
      <c r="KR272" s="1046"/>
      <c r="KS272" s="1046"/>
      <c r="KT272" s="1046"/>
      <c r="KU272" s="1046"/>
      <c r="KV272" s="1046"/>
      <c r="KW272" s="1046"/>
      <c r="KX272" s="1046"/>
      <c r="KY272" s="1046"/>
      <c r="KZ272" s="1046"/>
      <c r="LA272" s="1046"/>
      <c r="LB272" s="1046"/>
      <c r="LC272" s="1046"/>
      <c r="LD272" s="1046"/>
      <c r="LE272" s="1046"/>
      <c r="LF272" s="1046"/>
      <c r="LG272" s="1046"/>
      <c r="LH272" s="1046"/>
      <c r="LI272" s="1046"/>
      <c r="LJ272" s="1046"/>
      <c r="LK272" s="1046"/>
      <c r="LL272" s="1046"/>
      <c r="LM272" s="1046"/>
      <c r="LN272" s="1046"/>
      <c r="LO272" s="1046"/>
      <c r="LP272" s="1046"/>
      <c r="LQ272" s="1046"/>
      <c r="LR272" s="1046"/>
      <c r="LS272" s="1046"/>
      <c r="LT272" s="1046"/>
      <c r="LU272" s="1046"/>
      <c r="LV272" s="1046"/>
      <c r="LW272" s="1046"/>
      <c r="LX272" s="1046"/>
      <c r="LY272" s="1046"/>
      <c r="LZ272" s="1046"/>
      <c r="MA272" s="1046"/>
      <c r="MB272" s="1046"/>
      <c r="MC272" s="1046"/>
      <c r="MD272" s="1046"/>
      <c r="ME272" s="1046"/>
      <c r="MF272" s="1046"/>
      <c r="MG272" s="1046"/>
      <c r="MH272" s="1046"/>
      <c r="MI272" s="1046"/>
      <c r="MJ272" s="1046"/>
      <c r="MK272" s="1046"/>
      <c r="ML272" s="1046"/>
      <c r="MM272" s="1046"/>
      <c r="MN272" s="1046"/>
      <c r="MO272" s="1046"/>
      <c r="MP272" s="1046"/>
      <c r="MQ272" s="1046"/>
      <c r="MR272" s="1046"/>
      <c r="MS272" s="1046"/>
      <c r="MT272" s="1046"/>
      <c r="MU272" s="1046"/>
      <c r="MV272" s="1046"/>
      <c r="MW272" s="1046"/>
      <c r="MX272" s="1046"/>
      <c r="MY272" s="1046"/>
      <c r="MZ272" s="1046"/>
      <c r="NA272" s="1046"/>
      <c r="NB272" s="1046"/>
      <c r="NC272" s="1046"/>
      <c r="ND272" s="1046"/>
      <c r="NE272" s="1046"/>
      <c r="NF272" s="1046"/>
      <c r="NG272" s="1046"/>
      <c r="NH272" s="1046"/>
      <c r="NI272" s="1046"/>
      <c r="NJ272" s="1046"/>
      <c r="NK272" s="1046"/>
      <c r="NL272" s="1046"/>
      <c r="NM272" s="1046"/>
      <c r="NN272" s="1046"/>
      <c r="NO272" s="1046"/>
      <c r="NP272" s="1046"/>
      <c r="NQ272" s="1046"/>
      <c r="NR272" s="1046"/>
      <c r="NS272" s="1046"/>
      <c r="NT272" s="1046"/>
      <c r="NU272" s="1046"/>
      <c r="NV272" s="1046"/>
      <c r="NW272" s="1046"/>
      <c r="NX272" s="1046"/>
      <c r="NY272" s="1046"/>
      <c r="NZ272" s="1046"/>
      <c r="OA272" s="1046"/>
      <c r="OB272" s="1046"/>
      <c r="OC272" s="1046"/>
      <c r="OD272" s="1046"/>
      <c r="OE272" s="1046"/>
      <c r="OF272" s="1046"/>
      <c r="OG272" s="1046"/>
      <c r="OH272" s="1046"/>
      <c r="OI272" s="1046"/>
      <c r="OJ272" s="1046"/>
      <c r="OK272" s="1046"/>
      <c r="OL272" s="1046"/>
      <c r="OM272" s="1046"/>
      <c r="ON272" s="1046"/>
      <c r="OO272" s="1046"/>
      <c r="OP272" s="1046"/>
      <c r="OQ272" s="1046"/>
      <c r="OR272" s="1046"/>
      <c r="OS272" s="1046"/>
      <c r="OT272" s="1046"/>
      <c r="OU272" s="1046"/>
      <c r="OV272" s="1046"/>
      <c r="OW272" s="1046"/>
      <c r="OX272" s="1046"/>
      <c r="OY272" s="1046"/>
      <c r="OZ272" s="1046"/>
      <c r="PA272" s="1046"/>
      <c r="PB272" s="1046"/>
      <c r="PC272" s="1046"/>
      <c r="PD272" s="1046"/>
      <c r="PE272" s="1046"/>
      <c r="PF272" s="1046"/>
      <c r="PG272" s="1046"/>
      <c r="PH272" s="1046"/>
      <c r="PI272" s="1046"/>
      <c r="PJ272" s="1046"/>
      <c r="PK272" s="1046"/>
      <c r="PL272" s="1046"/>
      <c r="PM272" s="1046"/>
      <c r="PN272" s="1046"/>
      <c r="PO272" s="1046"/>
      <c r="PP272" s="1046"/>
      <c r="PQ272" s="1046"/>
      <c r="PR272" s="1046"/>
      <c r="PS272" s="1046"/>
      <c r="PT272" s="1046"/>
      <c r="PU272" s="1046"/>
      <c r="PV272" s="1046"/>
      <c r="PW272" s="1046"/>
      <c r="PX272" s="1046"/>
      <c r="PY272" s="1046"/>
      <c r="PZ272" s="1046"/>
      <c r="QA272" s="1046"/>
      <c r="QB272" s="1046"/>
      <c r="QC272" s="1046"/>
      <c r="QD272" s="1046"/>
      <c r="QE272" s="1046"/>
      <c r="QF272" s="1046"/>
      <c r="QG272" s="1046"/>
      <c r="QH272" s="1046"/>
      <c r="QI272" s="1046"/>
      <c r="QJ272" s="1046"/>
      <c r="QK272" s="1046"/>
      <c r="QL272" s="1046"/>
      <c r="QM272" s="1046"/>
      <c r="QN272" s="1046"/>
      <c r="QO272" s="1046"/>
      <c r="QP272" s="1046"/>
      <c r="QQ272" s="1046"/>
      <c r="QR272" s="1046"/>
      <c r="QS272" s="1046"/>
      <c r="QT272" s="1046"/>
      <c r="QU272" s="1046"/>
      <c r="QV272" s="1046"/>
      <c r="QW272" s="1046"/>
      <c r="QX272" s="1046"/>
      <c r="QY272" s="1046"/>
      <c r="QZ272" s="1046"/>
      <c r="RA272" s="1046"/>
      <c r="RB272" s="1046"/>
      <c r="RC272" s="1046"/>
      <c r="RD272" s="1046"/>
      <c r="RE272" s="1046"/>
      <c r="RF272" s="1046"/>
      <c r="RG272" s="1046"/>
      <c r="RH272" s="1046"/>
      <c r="RI272" s="1046"/>
      <c r="RJ272" s="1046"/>
      <c r="RK272" s="1046"/>
      <c r="RL272" s="1046"/>
      <c r="RM272" s="1046"/>
      <c r="RN272" s="1046"/>
      <c r="RO272" s="1046"/>
      <c r="RP272" s="1046"/>
      <c r="RQ272" s="1046"/>
      <c r="RR272" s="1046"/>
      <c r="RS272" s="1046"/>
      <c r="RT272" s="1046"/>
      <c r="RU272" s="1046"/>
      <c r="RV272" s="1046"/>
      <c r="RW272" s="1046"/>
      <c r="RX272" s="1046"/>
      <c r="RY272" s="1046"/>
      <c r="RZ272" s="1046"/>
      <c r="SA272" s="1046"/>
      <c r="SB272" s="1046"/>
      <c r="SC272" s="1046"/>
      <c r="SD272" s="1046"/>
      <c r="SE272" s="1046"/>
      <c r="SF272" s="1046"/>
      <c r="SG272" s="1046"/>
      <c r="SH272" s="1046"/>
      <c r="SI272" s="1046"/>
      <c r="SJ272" s="1046"/>
      <c r="SK272" s="1046"/>
      <c r="SL272" s="1046"/>
      <c r="SM272" s="1046"/>
      <c r="SN272" s="1046"/>
      <c r="SO272" s="1046"/>
      <c r="SP272" s="1046"/>
      <c r="SQ272" s="1046"/>
      <c r="SR272" s="1046"/>
      <c r="SS272" s="1046"/>
      <c r="ST272" s="1046"/>
      <c r="SU272" s="1046"/>
      <c r="SV272" s="1046"/>
      <c r="SW272" s="1046"/>
      <c r="SX272" s="1046"/>
      <c r="SY272" s="1046"/>
      <c r="SZ272" s="1046"/>
      <c r="TA272" s="1046"/>
      <c r="TB272" s="1046"/>
      <c r="TC272" s="1046"/>
      <c r="TD272" s="1046"/>
      <c r="TE272" s="1046"/>
      <c r="TF272" s="1046"/>
      <c r="TG272" s="1046"/>
      <c r="TH272" s="1046"/>
      <c r="TI272" s="1046"/>
      <c r="TJ272" s="1046"/>
      <c r="TK272" s="1046"/>
      <c r="TL272" s="1046"/>
      <c r="TM272" s="1046"/>
      <c r="TN272" s="1046"/>
      <c r="TO272" s="1046"/>
      <c r="TP272" s="1046"/>
      <c r="TQ272" s="1046"/>
      <c r="TR272" s="1046"/>
      <c r="TS272" s="1046"/>
      <c r="TT272" s="1046"/>
      <c r="TU272" s="1046"/>
      <c r="TV272" s="1046"/>
      <c r="TW272" s="1046"/>
      <c r="TX272" s="1046"/>
      <c r="TY272" s="1046"/>
      <c r="TZ272" s="1046"/>
      <c r="UA272" s="1046"/>
      <c r="UB272" s="1046"/>
      <c r="UC272" s="1046"/>
      <c r="UD272" s="1046"/>
      <c r="UE272" s="1046"/>
      <c r="UF272" s="1046"/>
      <c r="UG272" s="1046"/>
      <c r="UH272" s="1046"/>
      <c r="UI272" s="1046"/>
      <c r="UJ272" s="1046"/>
      <c r="UK272" s="1046"/>
      <c r="UL272" s="1046"/>
      <c r="UM272" s="1046"/>
      <c r="UN272" s="1046"/>
      <c r="UO272" s="1046"/>
      <c r="UP272" s="1046"/>
      <c r="UQ272" s="1046"/>
      <c r="UR272" s="1046"/>
      <c r="US272" s="1046"/>
      <c r="UT272" s="1046"/>
      <c r="UU272" s="1046"/>
      <c r="UV272" s="1046"/>
      <c r="UW272" s="1046"/>
      <c r="UX272" s="1046"/>
      <c r="UY272" s="1046"/>
      <c r="UZ272" s="1046"/>
      <c r="VA272" s="1046"/>
      <c r="VB272" s="1046"/>
      <c r="VC272" s="1046"/>
      <c r="VD272" s="1046"/>
      <c r="VE272" s="1046"/>
      <c r="VF272" s="1046"/>
      <c r="VG272" s="1046"/>
      <c r="VH272" s="1046"/>
      <c r="VI272" s="1046"/>
      <c r="VJ272" s="1046"/>
      <c r="VK272" s="1046"/>
      <c r="VL272" s="1046"/>
      <c r="VM272" s="1046"/>
      <c r="VN272" s="1046"/>
      <c r="VO272" s="1046"/>
      <c r="VP272" s="1046"/>
      <c r="VQ272" s="1046"/>
      <c r="VR272" s="1046"/>
      <c r="VS272" s="1046"/>
      <c r="VT272" s="1046"/>
      <c r="VU272" s="1046"/>
      <c r="VV272" s="1046"/>
      <c r="VW272" s="1046"/>
      <c r="VX272" s="1046"/>
      <c r="VY272" s="1046"/>
      <c r="VZ272" s="1046"/>
      <c r="WA272" s="1046"/>
      <c r="WB272" s="1046"/>
      <c r="WC272" s="1046"/>
      <c r="WD272" s="1046"/>
      <c r="WE272" s="1046"/>
      <c r="WF272" s="1046"/>
      <c r="WG272" s="1046"/>
      <c r="WH272" s="1046"/>
      <c r="WI272" s="1046"/>
      <c r="WJ272" s="1046"/>
      <c r="WK272" s="1046"/>
      <c r="WL272" s="1046"/>
      <c r="WM272" s="1046"/>
      <c r="WN272" s="1046"/>
      <c r="WO272" s="1046"/>
      <c r="WP272" s="1046"/>
      <c r="WQ272" s="1046"/>
      <c r="WR272" s="1046"/>
      <c r="WS272" s="1046"/>
      <c r="WT272" s="1046"/>
      <c r="WU272" s="1046"/>
      <c r="WV272" s="1046"/>
      <c r="WW272" s="1046"/>
      <c r="WX272" s="1046"/>
      <c r="WY272" s="1046"/>
      <c r="WZ272" s="1046"/>
      <c r="XA272" s="1046"/>
      <c r="XB272" s="1046"/>
      <c r="XC272" s="1046"/>
      <c r="XD272" s="1046"/>
      <c r="XE272" s="1046"/>
      <c r="XF272" s="1046"/>
      <c r="XG272" s="1046"/>
      <c r="XH272" s="1046"/>
      <c r="XI272" s="1046"/>
      <c r="XJ272" s="1046"/>
      <c r="XK272" s="1046"/>
      <c r="XL272" s="1046"/>
      <c r="XM272" s="1046"/>
      <c r="XN272" s="1046"/>
      <c r="XO272" s="1046"/>
      <c r="XP272" s="1046"/>
      <c r="XQ272" s="1046"/>
      <c r="XR272" s="1046"/>
      <c r="XS272" s="1046"/>
      <c r="XT272" s="1046"/>
      <c r="XU272" s="1046"/>
      <c r="XV272" s="1046"/>
      <c r="XW272" s="1046"/>
      <c r="XX272" s="1046"/>
      <c r="XY272" s="1046"/>
      <c r="XZ272" s="1046"/>
      <c r="YA272" s="1046"/>
      <c r="YB272" s="1046"/>
      <c r="YC272" s="1046"/>
      <c r="YD272" s="1046"/>
      <c r="YE272" s="1046"/>
      <c r="YF272" s="1046"/>
      <c r="YG272" s="1046"/>
      <c r="YH272" s="1046"/>
      <c r="YI272" s="1046"/>
      <c r="YJ272" s="1046"/>
      <c r="YK272" s="1046"/>
      <c r="YL272" s="1046"/>
      <c r="YM272" s="1046"/>
      <c r="YN272" s="1046"/>
      <c r="YO272" s="1046"/>
      <c r="YP272" s="1046"/>
      <c r="YQ272" s="1046"/>
      <c r="YR272" s="1046"/>
      <c r="YS272" s="1046"/>
      <c r="YT272" s="1046"/>
      <c r="YU272" s="1046"/>
      <c r="YV272" s="1046"/>
      <c r="YW272" s="1046"/>
      <c r="YX272" s="1046"/>
      <c r="YY272" s="1046"/>
      <c r="YZ272" s="1046"/>
      <c r="ZA272" s="1046"/>
      <c r="ZB272" s="1046"/>
      <c r="ZC272" s="1046"/>
      <c r="ZD272" s="1046"/>
      <c r="ZE272" s="1046"/>
      <c r="ZF272" s="1046"/>
      <c r="ZG272" s="1046"/>
      <c r="ZH272" s="1046"/>
      <c r="ZI272" s="1046"/>
      <c r="ZJ272" s="1046"/>
      <c r="ZK272" s="1046"/>
      <c r="ZL272" s="1046"/>
      <c r="ZM272" s="1046"/>
      <c r="ZN272" s="1046"/>
      <c r="ZO272" s="1046"/>
      <c r="ZP272" s="1046"/>
      <c r="ZQ272" s="1046"/>
      <c r="ZR272" s="1046"/>
      <c r="ZS272" s="1046"/>
      <c r="ZT272" s="1046"/>
      <c r="ZU272" s="1046"/>
      <c r="ZV272" s="1046"/>
      <c r="ZW272" s="1046"/>
      <c r="ZX272" s="1046"/>
      <c r="ZY272" s="1046"/>
      <c r="ZZ272" s="1046"/>
      <c r="AAA272" s="1046"/>
      <c r="AAB272" s="1046"/>
      <c r="AAC272" s="1046"/>
      <c r="AAD272" s="1046"/>
      <c r="AAE272" s="1046"/>
      <c r="AAF272" s="1046"/>
      <c r="AAG272" s="1046"/>
      <c r="AAH272" s="1046"/>
      <c r="AAI272" s="1046"/>
      <c r="AAJ272" s="1046"/>
      <c r="AAK272" s="1046"/>
      <c r="AAL272" s="1046"/>
      <c r="AAM272" s="1046"/>
      <c r="AAN272" s="1046"/>
      <c r="AAO272" s="1046"/>
      <c r="AAP272" s="1046"/>
      <c r="AAQ272" s="1046"/>
      <c r="AAR272" s="1046"/>
      <c r="AAS272" s="1046"/>
      <c r="AAT272" s="1046"/>
      <c r="AAU272" s="1046"/>
      <c r="AAV272" s="1046"/>
      <c r="AAW272" s="1046"/>
      <c r="AAX272" s="1046"/>
      <c r="AAY272" s="1046"/>
      <c r="AAZ272" s="1046"/>
      <c r="ABA272" s="1046"/>
      <c r="ABB272" s="1046"/>
      <c r="ABC272" s="1046"/>
      <c r="ABD272" s="1046"/>
      <c r="ABE272" s="1046"/>
      <c r="ABF272" s="1046"/>
      <c r="ABG272" s="1046"/>
      <c r="ABH272" s="1046"/>
      <c r="ABI272" s="1046"/>
      <c r="ABJ272" s="1046"/>
      <c r="ABK272" s="1046"/>
      <c r="ABL272" s="1046"/>
      <c r="ABM272" s="1046"/>
      <c r="ABN272" s="1046"/>
      <c r="ABO272" s="1046"/>
      <c r="ABP272" s="1046"/>
      <c r="ABQ272" s="1046"/>
      <c r="ABR272" s="1046"/>
      <c r="ABS272" s="1046"/>
      <c r="ABT272" s="1046"/>
      <c r="ABU272" s="1046"/>
      <c r="ABV272" s="1046"/>
      <c r="ABW272" s="1046"/>
      <c r="ABX272" s="1046"/>
      <c r="ABY272" s="1046"/>
      <c r="ABZ272" s="1046"/>
      <c r="ACA272" s="1046"/>
      <c r="ACB272" s="1046"/>
      <c r="ACC272" s="1046"/>
      <c r="ACD272" s="1046"/>
      <c r="ACE272" s="1046"/>
      <c r="ACF272" s="1046"/>
      <c r="ACG272" s="1046"/>
      <c r="ACH272" s="1046"/>
      <c r="ACI272" s="1046"/>
      <c r="ACJ272" s="1046"/>
      <c r="ACK272" s="1046"/>
      <c r="ACL272" s="1046"/>
      <c r="ACM272" s="1046"/>
      <c r="ACN272" s="1046"/>
      <c r="ACO272" s="1046"/>
      <c r="ACP272" s="1046"/>
      <c r="ACQ272" s="1046"/>
      <c r="ACR272" s="1046"/>
      <c r="ACS272" s="1046"/>
      <c r="ACT272" s="1046"/>
      <c r="ACU272" s="1046"/>
      <c r="ACV272" s="1046"/>
      <c r="ACW272" s="1046"/>
      <c r="ACX272" s="1046"/>
      <c r="ACY272" s="1046"/>
      <c r="ACZ272" s="1046"/>
      <c r="ADA272" s="1046"/>
      <c r="ADB272" s="1046"/>
      <c r="ADC272" s="1046"/>
      <c r="ADD272" s="1046"/>
      <c r="ADE272" s="1046"/>
      <c r="ADF272" s="1046"/>
      <c r="ADG272" s="1046"/>
      <c r="ADH272" s="1046"/>
      <c r="ADI272" s="1046"/>
      <c r="ADJ272" s="1046"/>
      <c r="ADK272" s="1046"/>
      <c r="ADL272" s="1046"/>
      <c r="ADM272" s="1046"/>
      <c r="ADN272" s="1046"/>
      <c r="ADO272" s="1046"/>
      <c r="ADP272" s="1046"/>
      <c r="ADQ272" s="1046"/>
      <c r="ADR272" s="1046"/>
      <c r="ADS272" s="1046"/>
      <c r="ADT272" s="1046"/>
      <c r="ADU272" s="1046"/>
      <c r="ADV272" s="1046"/>
      <c r="ADW272" s="1046"/>
      <c r="ADX272" s="1046"/>
      <c r="ADY272" s="1046"/>
      <c r="ADZ272" s="1046"/>
      <c r="AEA272" s="1046"/>
      <c r="AEB272" s="1046"/>
      <c r="AEC272" s="1046"/>
      <c r="AED272" s="1046"/>
      <c r="AEE272" s="1046"/>
      <c r="AEF272" s="1046"/>
      <c r="AEG272" s="1046"/>
      <c r="AEH272" s="1046"/>
      <c r="AEI272" s="1046"/>
      <c r="AEJ272" s="1046"/>
      <c r="AEK272" s="1046"/>
      <c r="AEL272" s="1046"/>
      <c r="AEM272" s="1046"/>
      <c r="AEN272" s="1046"/>
      <c r="AEO272" s="1046"/>
      <c r="AEP272" s="1046"/>
      <c r="AEQ272" s="1046"/>
      <c r="AER272" s="1046"/>
      <c r="AES272" s="1046"/>
      <c r="AET272" s="1046"/>
      <c r="AEU272" s="1046"/>
      <c r="AEV272" s="1046"/>
      <c r="AEW272" s="1046"/>
      <c r="AEX272" s="1046"/>
      <c r="AEY272" s="1046"/>
      <c r="AEZ272" s="1046"/>
      <c r="AFA272" s="1046"/>
      <c r="AFB272" s="1046"/>
      <c r="AFC272" s="1046"/>
      <c r="AFD272" s="1046"/>
      <c r="AFE272" s="1046"/>
      <c r="AFF272" s="1046"/>
      <c r="AFG272" s="1046"/>
      <c r="AFH272" s="1046"/>
      <c r="AFI272" s="1046"/>
      <c r="AFJ272" s="1046"/>
      <c r="AFK272" s="1046"/>
      <c r="AFL272" s="1046"/>
      <c r="AFM272" s="1046"/>
      <c r="AFN272" s="1046"/>
      <c r="AFO272" s="1046"/>
      <c r="AFP272" s="1046"/>
      <c r="AFQ272" s="1046"/>
      <c r="AFR272" s="1046"/>
      <c r="AFS272" s="1046"/>
      <c r="AFT272" s="1046"/>
      <c r="AFU272" s="1046"/>
      <c r="AFV272" s="1046"/>
      <c r="AFW272" s="1046"/>
      <c r="AFX272" s="1046"/>
      <c r="AFY272" s="1046"/>
      <c r="AFZ272" s="1046"/>
      <c r="AGA272" s="1046"/>
      <c r="AGB272" s="1046"/>
      <c r="AGC272" s="1046"/>
      <c r="AGD272" s="1046"/>
      <c r="AGE272" s="1046"/>
      <c r="AGF272" s="1046"/>
      <c r="AGG272" s="1046"/>
      <c r="AGH272" s="1046"/>
      <c r="AGI272" s="1046"/>
      <c r="AGJ272" s="1046"/>
      <c r="AGK272" s="1046"/>
      <c r="AGL272" s="1046"/>
      <c r="AGM272" s="1046"/>
      <c r="AGN272" s="1046"/>
      <c r="AGO272" s="1046"/>
      <c r="AGP272" s="1046"/>
      <c r="AGQ272" s="1046"/>
      <c r="AGR272" s="1046"/>
      <c r="AGS272" s="1046"/>
      <c r="AGT272" s="1046"/>
      <c r="AGU272" s="1046"/>
      <c r="AGV272" s="1046"/>
      <c r="AGW272" s="1046"/>
      <c r="AGX272" s="1046"/>
      <c r="AGY272" s="1046"/>
      <c r="AGZ272" s="1046"/>
      <c r="AHA272" s="1046"/>
      <c r="AHB272" s="1046"/>
      <c r="AHC272" s="1046"/>
      <c r="AHD272" s="1046"/>
      <c r="AHE272" s="1046"/>
      <c r="AHF272" s="1046"/>
      <c r="AHG272" s="1046"/>
      <c r="AHH272" s="1046"/>
      <c r="AHI272" s="1046"/>
      <c r="AHJ272" s="1046"/>
      <c r="AHK272" s="1046"/>
      <c r="AHL272" s="1046"/>
      <c r="AHM272" s="1046"/>
      <c r="AHN272" s="1046"/>
      <c r="AHO272" s="1046"/>
      <c r="AHP272" s="1046"/>
      <c r="AHQ272" s="1046"/>
      <c r="AHR272" s="1046"/>
      <c r="AHS272" s="1046"/>
      <c r="AHT272" s="1046"/>
      <c r="AHU272" s="1046"/>
      <c r="AHV272" s="1046"/>
      <c r="AHW272" s="1046"/>
      <c r="AHX272" s="1046"/>
      <c r="AHY272" s="1046"/>
      <c r="AHZ272" s="1046"/>
      <c r="AIA272" s="1046"/>
      <c r="AIB272" s="1046"/>
      <c r="AIC272" s="1046"/>
      <c r="AID272" s="1046"/>
      <c r="AIE272" s="1046"/>
      <c r="AIF272" s="1046"/>
      <c r="AIG272" s="1046"/>
      <c r="AIH272" s="1046"/>
      <c r="AII272" s="1046"/>
      <c r="AIJ272" s="1046"/>
      <c r="AIK272" s="1046"/>
      <c r="AIL272" s="1046"/>
      <c r="AIM272" s="1046"/>
      <c r="AIN272" s="1046"/>
      <c r="AIO272" s="1046"/>
      <c r="AIP272" s="1046"/>
      <c r="AIQ272" s="1046"/>
      <c r="AIR272" s="1046"/>
      <c r="AIS272" s="1046"/>
      <c r="AIT272" s="1046"/>
      <c r="AIU272" s="1046"/>
      <c r="AIV272" s="1046"/>
      <c r="AIW272" s="1046"/>
      <c r="AIX272" s="1046"/>
      <c r="AIY272" s="1046"/>
      <c r="AIZ272" s="1046"/>
      <c r="AJA272" s="1046"/>
      <c r="AJB272" s="1046"/>
      <c r="AJC272" s="1046"/>
      <c r="AJD272" s="1046"/>
      <c r="AJE272" s="1046"/>
      <c r="AJF272" s="1046"/>
      <c r="AJG272" s="1046"/>
      <c r="AJH272" s="1046"/>
      <c r="AJI272" s="1046"/>
      <c r="AJJ272" s="1046"/>
      <c r="AJK272" s="1046"/>
      <c r="AJL272" s="1046"/>
      <c r="AJM272" s="1046"/>
      <c r="AJN272" s="1046"/>
      <c r="AJO272" s="1046"/>
      <c r="AJP272" s="1046"/>
      <c r="AJQ272" s="1046"/>
      <c r="AJR272" s="1046"/>
      <c r="AJS272" s="1046"/>
      <c r="AJT272" s="1046"/>
      <c r="AJU272" s="1046"/>
      <c r="AJV272" s="1046"/>
      <c r="AJW272" s="1046"/>
      <c r="AJX272" s="1046"/>
      <c r="AJY272" s="1046"/>
      <c r="AJZ272" s="1046"/>
      <c r="AKA272" s="1046"/>
      <c r="AKB272" s="1046"/>
      <c r="AKC272" s="1046"/>
      <c r="AKD272" s="1046"/>
      <c r="AKE272" s="1046"/>
      <c r="AKF272" s="1046"/>
      <c r="AKG272" s="1046"/>
      <c r="AKH272" s="1046"/>
      <c r="AKI272" s="1046"/>
      <c r="AKJ272" s="1046"/>
      <c r="AKK272" s="1046"/>
      <c r="AKL272" s="1046"/>
      <c r="AKM272" s="1046"/>
      <c r="AKN272" s="1046"/>
      <c r="AKO272" s="1046"/>
      <c r="AKP272" s="1046"/>
      <c r="AKQ272" s="1046"/>
      <c r="AKR272" s="1046"/>
      <c r="AKS272" s="1046"/>
      <c r="AKT272" s="1046"/>
      <c r="AKU272" s="1046"/>
      <c r="AKV272" s="1046"/>
      <c r="AKW272" s="1046"/>
      <c r="AKX272" s="1046"/>
      <c r="AKY272" s="1046"/>
      <c r="AKZ272" s="1046"/>
      <c r="ALA272" s="1046"/>
      <c r="ALB272" s="1046"/>
      <c r="ALC272" s="1046"/>
      <c r="ALD272" s="1046"/>
      <c r="ALE272" s="1046"/>
      <c r="ALF272" s="1046"/>
      <c r="ALG272" s="1046"/>
      <c r="ALH272" s="1046"/>
      <c r="ALI272" s="1046"/>
      <c r="ALJ272" s="1046"/>
      <c r="ALK272" s="1046"/>
      <c r="ALL272" s="1046"/>
      <c r="ALM272" s="1046"/>
      <c r="ALN272" s="1046"/>
      <c r="ALO272" s="1046"/>
      <c r="ALP272" s="1046"/>
      <c r="ALQ272" s="1046"/>
      <c r="ALR272" s="1046"/>
      <c r="ALS272" s="1046"/>
      <c r="ALT272" s="1046"/>
      <c r="ALU272" s="1046"/>
      <c r="ALV272" s="1046"/>
      <c r="ALW272" s="1046"/>
      <c r="ALX272" s="1046"/>
      <c r="ALY272" s="1046"/>
      <c r="ALZ272" s="1046"/>
      <c r="AMA272" s="1046"/>
      <c r="AMB272" s="1046"/>
      <c r="AMC272" s="1046"/>
      <c r="AMD272" s="1046"/>
      <c r="AME272" s="1046"/>
      <c r="AMF272" s="1046"/>
      <c r="AMG272" s="1046"/>
      <c r="AMH272" s="1046"/>
      <c r="AMI272" s="1046"/>
      <c r="AMJ272" s="1046"/>
      <c r="AMK272" s="1046"/>
      <c r="AML272" s="1046"/>
      <c r="AMM272" s="1046"/>
      <c r="AMN272" s="1046"/>
      <c r="AMO272" s="1046"/>
      <c r="AMP272" s="1046"/>
      <c r="AMQ272" s="1046"/>
      <c r="AMR272" s="1046"/>
      <c r="AMS272" s="1046"/>
      <c r="AMT272" s="1046"/>
      <c r="AMU272" s="1046"/>
      <c r="AMV272" s="1046"/>
      <c r="AMW272" s="1046"/>
      <c r="AMX272" s="1046"/>
      <c r="AMY272" s="1046"/>
      <c r="AMZ272" s="1046"/>
      <c r="ANA272" s="1046"/>
      <c r="ANB272" s="1046"/>
      <c r="ANC272" s="1046"/>
      <c r="AND272" s="1046"/>
      <c r="ANE272" s="1046"/>
      <c r="ANF272" s="1046"/>
      <c r="ANG272" s="1046"/>
      <c r="ANH272" s="1046"/>
      <c r="ANI272" s="1046"/>
      <c r="ANJ272" s="1046"/>
      <c r="ANK272" s="1046"/>
      <c r="ANL272" s="1046"/>
      <c r="ANM272" s="1046"/>
      <c r="ANN272" s="1046"/>
      <c r="ANO272" s="1046"/>
      <c r="ANP272" s="1046"/>
      <c r="ANQ272" s="1046"/>
      <c r="ANR272" s="1046"/>
      <c r="ANS272" s="1046"/>
      <c r="ANT272" s="1046"/>
      <c r="ANU272" s="1046"/>
      <c r="ANV272" s="1046"/>
      <c r="ANW272" s="1046"/>
      <c r="ANX272" s="1046"/>
      <c r="ANY272" s="1046"/>
      <c r="ANZ272" s="1046"/>
      <c r="AOA272" s="1046"/>
      <c r="AOB272" s="1046"/>
      <c r="AOC272" s="1046"/>
      <c r="AOD272" s="1046"/>
      <c r="AOE272" s="1046"/>
      <c r="AOF272" s="1046"/>
      <c r="AOG272" s="1046"/>
      <c r="AOH272" s="1046"/>
      <c r="AOI272" s="1046"/>
      <c r="AOJ272" s="1046"/>
      <c r="AOK272" s="1046"/>
      <c r="AOL272" s="1046"/>
      <c r="AOM272" s="1046"/>
      <c r="AON272" s="1046"/>
      <c r="AOO272" s="1046"/>
      <c r="AOP272" s="1046"/>
      <c r="AOQ272" s="1046"/>
      <c r="AOR272" s="1046"/>
      <c r="AOS272" s="1046"/>
      <c r="AOT272" s="1046"/>
      <c r="AOU272" s="1046"/>
      <c r="AOV272" s="1046"/>
      <c r="AOW272" s="1046"/>
      <c r="AOX272" s="1046"/>
      <c r="AOY272" s="1046"/>
      <c r="AOZ272" s="1046"/>
      <c r="APA272" s="1046"/>
      <c r="APB272" s="1046"/>
      <c r="APC272" s="1046"/>
      <c r="APD272" s="1046"/>
      <c r="APE272" s="1046"/>
      <c r="APF272" s="1046"/>
      <c r="APG272" s="1046"/>
      <c r="APH272" s="1046"/>
      <c r="API272" s="1046"/>
      <c r="APJ272" s="1046"/>
      <c r="APK272" s="1046"/>
      <c r="APL272" s="1046"/>
      <c r="APM272" s="1046"/>
      <c r="APN272" s="1046"/>
      <c r="APO272" s="1046"/>
      <c r="APP272" s="1046"/>
      <c r="APQ272" s="1046"/>
      <c r="APR272" s="1046"/>
      <c r="APS272" s="1046"/>
      <c r="APT272" s="1046"/>
      <c r="APU272" s="1046"/>
      <c r="APV272" s="1046"/>
      <c r="APW272" s="1046"/>
      <c r="APX272" s="1046"/>
      <c r="APY272" s="1046"/>
      <c r="APZ272" s="1046"/>
      <c r="AQA272" s="1046"/>
      <c r="AQB272" s="1046"/>
      <c r="AQC272" s="1046"/>
      <c r="AQD272" s="1046"/>
      <c r="AQE272" s="1046"/>
      <c r="AQF272" s="1046"/>
      <c r="AQG272" s="1046"/>
      <c r="AQH272" s="1046"/>
      <c r="AQI272" s="1046"/>
      <c r="AQJ272" s="1046"/>
      <c r="AQK272" s="1046"/>
      <c r="AQL272" s="1046"/>
      <c r="AQM272" s="1046"/>
      <c r="AQN272" s="1046"/>
      <c r="AQO272" s="1046"/>
      <c r="AQP272" s="1046"/>
      <c r="AQQ272" s="1046"/>
      <c r="AQR272" s="1046"/>
      <c r="AQS272" s="1046"/>
      <c r="AQT272" s="1046"/>
      <c r="AQU272" s="1046"/>
      <c r="AQV272" s="1046"/>
      <c r="AQW272" s="1046"/>
      <c r="AQX272" s="1046"/>
      <c r="AQY272" s="1046"/>
      <c r="AQZ272" s="1046"/>
      <c r="ARA272" s="1046"/>
      <c r="ARB272" s="1046"/>
      <c r="ARC272" s="1046"/>
      <c r="ARD272" s="1046"/>
      <c r="ARE272" s="1046"/>
      <c r="ARF272" s="1046"/>
      <c r="ARG272" s="1046"/>
      <c r="ARH272" s="1046"/>
      <c r="ARI272" s="1046"/>
      <c r="ARJ272" s="1046"/>
      <c r="ARK272" s="1046"/>
      <c r="ARL272" s="1046"/>
      <c r="ARM272" s="1046"/>
      <c r="ARN272" s="1046"/>
      <c r="ARO272" s="1046"/>
      <c r="ARP272" s="1046"/>
      <c r="ARQ272" s="1046"/>
      <c r="ARR272" s="1046"/>
      <c r="ARS272" s="1046"/>
      <c r="ART272" s="1046"/>
      <c r="ARU272" s="1046"/>
      <c r="ARV272" s="1046"/>
      <c r="ARW272" s="1046"/>
      <c r="ARX272" s="1046"/>
      <c r="ARY272" s="1046"/>
      <c r="ARZ272" s="1046"/>
      <c r="ASA272" s="1046"/>
      <c r="ASB272" s="1046"/>
      <c r="ASC272" s="1046"/>
      <c r="ASD272" s="1046"/>
      <c r="ASE272" s="1046"/>
      <c r="ASF272" s="1046"/>
      <c r="ASG272" s="1046"/>
      <c r="ASH272" s="1046"/>
      <c r="ASI272" s="1046"/>
      <c r="ASJ272" s="1046"/>
      <c r="ASK272" s="1046"/>
      <c r="ASL272" s="1046"/>
      <c r="ASM272" s="1046"/>
      <c r="ASN272" s="1046"/>
      <c r="ASO272" s="1046"/>
      <c r="ASP272" s="1046"/>
      <c r="ASQ272" s="1046"/>
      <c r="ASR272" s="1046"/>
      <c r="ASS272" s="1046"/>
      <c r="AST272" s="1046"/>
      <c r="ASU272" s="1046"/>
      <c r="ASV272" s="1046"/>
      <c r="ASW272" s="1046"/>
      <c r="ASX272" s="1046"/>
      <c r="ASY272" s="1046"/>
      <c r="ASZ272" s="1046"/>
      <c r="ATA272" s="1046"/>
      <c r="ATB272" s="1046"/>
      <c r="ATC272" s="1046"/>
      <c r="ATD272" s="1046"/>
      <c r="ATE272" s="1046"/>
      <c r="ATF272" s="1046"/>
      <c r="ATG272" s="1046"/>
      <c r="ATH272" s="1046"/>
      <c r="ATI272" s="1046"/>
      <c r="ATJ272" s="1046"/>
      <c r="ATK272" s="1046"/>
      <c r="ATL272" s="1046"/>
      <c r="ATM272" s="1046"/>
      <c r="ATN272" s="1046"/>
      <c r="ATO272" s="1046"/>
      <c r="ATP272" s="1046"/>
      <c r="ATQ272" s="1046"/>
      <c r="ATR272" s="1046"/>
      <c r="ATS272" s="1046"/>
      <c r="ATT272" s="1046"/>
      <c r="ATU272" s="1046"/>
      <c r="ATV272" s="1046"/>
      <c r="ATW272" s="1046"/>
      <c r="ATX272" s="1046"/>
      <c r="ATY272" s="1046"/>
      <c r="ATZ272" s="1046"/>
      <c r="AUA272" s="1046"/>
      <c r="AUB272" s="1046"/>
      <c r="AUC272" s="1046"/>
      <c r="AUD272" s="1046"/>
      <c r="AUE272" s="1046"/>
      <c r="AUF272" s="1046"/>
      <c r="AUG272" s="1046"/>
      <c r="AUH272" s="1046"/>
      <c r="AUI272" s="1046"/>
      <c r="AUJ272" s="1046"/>
      <c r="AUK272" s="1046"/>
      <c r="AUL272" s="1046"/>
      <c r="AUM272" s="1046"/>
      <c r="AUN272" s="1046"/>
      <c r="AUO272" s="1046"/>
      <c r="AUP272" s="1046"/>
      <c r="AUQ272" s="1046"/>
      <c r="AUR272" s="1046"/>
      <c r="AUS272" s="1046"/>
      <c r="AUT272" s="1046"/>
      <c r="AUU272" s="1046"/>
      <c r="AUV272" s="1046"/>
      <c r="AUW272" s="1046"/>
      <c r="AUX272" s="1046"/>
      <c r="AUY272" s="1046"/>
      <c r="AUZ272" s="1046"/>
      <c r="AVA272" s="1046"/>
      <c r="AVB272" s="1046"/>
      <c r="AVC272" s="1046"/>
      <c r="AVD272" s="1046"/>
      <c r="AVE272" s="1046"/>
      <c r="AVF272" s="1046"/>
      <c r="AVG272" s="1046"/>
      <c r="AVH272" s="1046"/>
      <c r="AVI272" s="1046"/>
      <c r="AVJ272" s="1046"/>
      <c r="AVK272" s="1046"/>
      <c r="AVL272" s="1046"/>
      <c r="AVM272" s="1046"/>
      <c r="AVN272" s="1046"/>
      <c r="AVO272" s="1046"/>
      <c r="AVP272" s="1046"/>
      <c r="AVQ272" s="1046"/>
      <c r="AVR272" s="1046"/>
      <c r="AVS272" s="1046"/>
      <c r="AVT272" s="1046"/>
      <c r="AVU272" s="1046"/>
      <c r="AVV272" s="1046"/>
      <c r="AVW272" s="1046"/>
      <c r="AVX272" s="1046"/>
      <c r="AVY272" s="1046"/>
      <c r="AVZ272" s="1046"/>
      <c r="AWA272" s="1046"/>
      <c r="AWB272" s="1046"/>
      <c r="AWC272" s="1046"/>
      <c r="AWD272" s="1046"/>
      <c r="AWE272" s="1046"/>
      <c r="AWF272" s="1046"/>
      <c r="AWG272" s="1046"/>
      <c r="AWH272" s="1046"/>
      <c r="AWI272" s="1046"/>
      <c r="AWJ272" s="1046"/>
      <c r="AWK272" s="1046"/>
      <c r="AWL272" s="1046"/>
      <c r="AWM272" s="1046"/>
      <c r="AWN272" s="1046"/>
      <c r="AWO272" s="1046"/>
      <c r="AWP272" s="1046"/>
      <c r="AWQ272" s="1046"/>
      <c r="AWR272" s="1046"/>
      <c r="AWS272" s="1046"/>
      <c r="AWT272" s="1046"/>
      <c r="AWU272" s="1046"/>
      <c r="AWV272" s="1046"/>
      <c r="AWW272" s="1046"/>
      <c r="AWX272" s="1046"/>
      <c r="AWY272" s="1046"/>
      <c r="AWZ272" s="1046"/>
      <c r="AXA272" s="1046"/>
      <c r="AXB272" s="1046"/>
      <c r="AXC272" s="1046"/>
      <c r="AXD272" s="1046"/>
      <c r="AXE272" s="1046"/>
      <c r="AXF272" s="1046"/>
      <c r="AXG272" s="1046"/>
      <c r="AXH272" s="1046"/>
      <c r="AXI272" s="1046"/>
      <c r="AXJ272" s="1046"/>
      <c r="AXK272" s="1046"/>
      <c r="AXL272" s="1046"/>
      <c r="AXM272" s="1046"/>
      <c r="AXN272" s="1046"/>
      <c r="AXO272" s="1046"/>
      <c r="AXP272" s="1046"/>
      <c r="AXQ272" s="1046"/>
      <c r="AXR272" s="1046"/>
      <c r="AXS272" s="1046"/>
      <c r="AXT272" s="1046"/>
      <c r="AXU272" s="1046"/>
      <c r="AXV272" s="1046"/>
      <c r="AXW272" s="1046"/>
      <c r="AXX272" s="1046"/>
      <c r="AXY272" s="1046"/>
      <c r="AXZ272" s="1046"/>
      <c r="AYA272" s="1046"/>
      <c r="AYB272" s="1046"/>
      <c r="AYC272" s="1046"/>
      <c r="AYD272" s="1046"/>
      <c r="AYE272" s="1046"/>
      <c r="AYF272" s="1046"/>
      <c r="AYG272" s="1046"/>
      <c r="AYH272" s="1046"/>
      <c r="AYI272" s="1046"/>
      <c r="AYJ272" s="1046"/>
      <c r="AYK272" s="1046"/>
      <c r="AYL272" s="1046"/>
      <c r="AYM272" s="1046"/>
      <c r="AYN272" s="1046"/>
      <c r="AYO272" s="1046"/>
      <c r="AYP272" s="1046"/>
      <c r="AYQ272" s="1046"/>
      <c r="AYR272" s="1046"/>
      <c r="AYS272" s="1046"/>
      <c r="AYT272" s="1046"/>
      <c r="AYU272" s="1046"/>
      <c r="AYV272" s="1046"/>
      <c r="AYW272" s="1046"/>
      <c r="AYX272" s="1046"/>
      <c r="AYY272" s="1046"/>
      <c r="AYZ272" s="1046"/>
      <c r="AZA272" s="1046"/>
      <c r="AZB272" s="1046"/>
      <c r="AZC272" s="1046"/>
      <c r="AZD272" s="1046"/>
      <c r="AZE272" s="1046"/>
      <c r="AZF272" s="1046"/>
      <c r="AZG272" s="1046"/>
      <c r="AZH272" s="1046"/>
      <c r="AZI272" s="1046"/>
      <c r="AZJ272" s="1046"/>
      <c r="AZK272" s="1046"/>
      <c r="AZL272" s="1046"/>
      <c r="AZM272" s="1046"/>
      <c r="AZN272" s="1046"/>
      <c r="AZO272" s="1046"/>
      <c r="AZP272" s="1046"/>
      <c r="AZQ272" s="1046"/>
      <c r="AZR272" s="1046"/>
      <c r="AZS272" s="1046"/>
      <c r="AZT272" s="1046"/>
      <c r="AZU272" s="1046"/>
      <c r="AZV272" s="1046"/>
      <c r="AZW272" s="1046"/>
      <c r="AZX272" s="1046"/>
      <c r="AZY272" s="1046"/>
      <c r="AZZ272" s="1046"/>
      <c r="BAA272" s="1046"/>
      <c r="BAB272" s="1046"/>
      <c r="BAC272" s="1046"/>
      <c r="BAD272" s="1046"/>
      <c r="BAE272" s="1046"/>
      <c r="BAF272" s="1046"/>
      <c r="BAG272" s="1046"/>
      <c r="BAH272" s="1046"/>
      <c r="BAI272" s="1046"/>
      <c r="BAJ272" s="1046"/>
      <c r="BAK272" s="1046"/>
      <c r="BAL272" s="1046"/>
      <c r="BAM272" s="1046"/>
      <c r="BAN272" s="1046"/>
      <c r="BAO272" s="1046"/>
      <c r="BAP272" s="1046"/>
      <c r="BAQ272" s="1046"/>
      <c r="BAR272" s="1046"/>
      <c r="BAS272" s="1046"/>
      <c r="BAT272" s="1046"/>
      <c r="BAU272" s="1046"/>
      <c r="BAV272" s="1046"/>
      <c r="BAW272" s="1046"/>
      <c r="BAX272" s="1046"/>
      <c r="BAY272" s="1046"/>
      <c r="BAZ272" s="1046"/>
      <c r="BBA272" s="1046"/>
      <c r="BBB272" s="1046"/>
      <c r="BBC272" s="1046"/>
      <c r="BBD272" s="1046"/>
      <c r="BBE272" s="1046"/>
      <c r="BBF272" s="1046"/>
      <c r="BBG272" s="1046"/>
      <c r="BBH272" s="1046"/>
      <c r="BBI272" s="1046"/>
      <c r="BBJ272" s="1046"/>
      <c r="BBK272" s="1046"/>
      <c r="BBL272" s="1046"/>
      <c r="BBM272" s="1046"/>
      <c r="BBN272" s="1046"/>
      <c r="BBO272" s="1046"/>
      <c r="BBP272" s="1046"/>
      <c r="BBQ272" s="1046"/>
      <c r="BBR272" s="1046"/>
      <c r="BBS272" s="1046"/>
      <c r="BBT272" s="1046"/>
      <c r="BBU272" s="1046"/>
      <c r="BBV272" s="1046"/>
      <c r="BBW272" s="1046"/>
      <c r="BBX272" s="1046"/>
      <c r="BBY272" s="1046"/>
      <c r="BBZ272" s="1046"/>
      <c r="BCA272" s="1046"/>
      <c r="BCB272" s="1046"/>
      <c r="BCC272" s="1046"/>
      <c r="BCD272" s="1046"/>
      <c r="BCE272" s="1046"/>
      <c r="BCF272" s="1046"/>
      <c r="BCG272" s="1046"/>
      <c r="BCH272" s="1046"/>
      <c r="BCI272" s="1046"/>
      <c r="BCJ272" s="1046"/>
      <c r="BCK272" s="1046"/>
      <c r="BCL272" s="1046"/>
      <c r="BCM272" s="1046"/>
      <c r="BCN272" s="1046"/>
      <c r="BCO272" s="1046"/>
      <c r="BCP272" s="1046"/>
      <c r="BCQ272" s="1046"/>
      <c r="BCR272" s="1046"/>
      <c r="BCS272" s="1046"/>
      <c r="BCT272" s="1046"/>
      <c r="BCU272" s="1046"/>
      <c r="BCV272" s="1046"/>
      <c r="BCW272" s="1046"/>
      <c r="BCX272" s="1046"/>
      <c r="BCY272" s="1046"/>
      <c r="BCZ272" s="1046"/>
      <c r="BDA272" s="1046"/>
      <c r="BDB272" s="1046"/>
      <c r="BDC272" s="1046"/>
      <c r="BDD272" s="1046"/>
      <c r="BDE272" s="1046"/>
      <c r="BDF272" s="1046"/>
      <c r="BDG272" s="1046"/>
      <c r="BDH272" s="1046"/>
      <c r="BDI272" s="1046"/>
      <c r="BDJ272" s="1046"/>
      <c r="BDK272" s="1046"/>
      <c r="BDL272" s="1046"/>
      <c r="BDM272" s="1046"/>
      <c r="BDN272" s="1046"/>
      <c r="BDO272" s="1046"/>
      <c r="BDP272" s="1046"/>
      <c r="BDQ272" s="1046"/>
      <c r="BDR272" s="1046"/>
      <c r="BDS272" s="1046"/>
      <c r="BDT272" s="1046"/>
      <c r="BDU272" s="1046"/>
      <c r="BDV272" s="1046"/>
      <c r="BDW272" s="1046"/>
      <c r="BDX272" s="1046"/>
      <c r="BDY272" s="1046"/>
      <c r="BDZ272" s="1046"/>
      <c r="BEA272" s="1046"/>
      <c r="BEB272" s="1046"/>
      <c r="BEC272" s="1046"/>
      <c r="BED272" s="1046"/>
      <c r="BEE272" s="1046"/>
      <c r="BEF272" s="1046"/>
      <c r="BEG272" s="1046"/>
      <c r="BEH272" s="1046"/>
      <c r="BEI272" s="1046"/>
      <c r="BEJ272" s="1046"/>
      <c r="BEK272" s="1046"/>
      <c r="BEL272" s="1046"/>
      <c r="BEM272" s="1046"/>
      <c r="BEN272" s="1046"/>
      <c r="BEO272" s="1046"/>
      <c r="BEP272" s="1046"/>
      <c r="BEQ272" s="1046"/>
      <c r="BER272" s="1046"/>
      <c r="BES272" s="1046"/>
      <c r="BET272" s="1046"/>
      <c r="BEU272" s="1046"/>
      <c r="BEV272" s="1046"/>
      <c r="BEW272" s="1046"/>
      <c r="BEX272" s="1046"/>
      <c r="BEY272" s="1046"/>
      <c r="BEZ272" s="1046"/>
      <c r="BFA272" s="1046"/>
      <c r="BFB272" s="1046"/>
      <c r="BFC272" s="1046"/>
      <c r="BFD272" s="1046"/>
      <c r="BFE272" s="1046"/>
      <c r="BFF272" s="1046"/>
      <c r="BFG272" s="1046"/>
      <c r="BFH272" s="1046"/>
      <c r="BFI272" s="1046"/>
      <c r="BFJ272" s="1046"/>
      <c r="BFK272" s="1046"/>
      <c r="BFL272" s="1046"/>
      <c r="BFM272" s="1046"/>
      <c r="BFN272" s="1046"/>
      <c r="BFO272" s="1046"/>
      <c r="BFP272" s="1046"/>
      <c r="BFQ272" s="1046"/>
      <c r="BFR272" s="1046"/>
      <c r="BFS272" s="1046"/>
      <c r="BFT272" s="1046"/>
      <c r="BFU272" s="1046"/>
      <c r="BFV272" s="1046"/>
      <c r="BFW272" s="1046"/>
      <c r="BFX272" s="1046"/>
      <c r="BFY272" s="1046"/>
      <c r="BFZ272" s="1046"/>
      <c r="BGA272" s="1046"/>
      <c r="BGB272" s="1046"/>
      <c r="BGC272" s="1046"/>
      <c r="BGD272" s="1046"/>
      <c r="BGE272" s="1046"/>
      <c r="BGF272" s="1046"/>
      <c r="BGG272" s="1046"/>
      <c r="BGH272" s="1046"/>
      <c r="BGI272" s="1046"/>
      <c r="BGJ272" s="1046"/>
      <c r="BGK272" s="1046"/>
      <c r="BGL272" s="1046"/>
      <c r="BGM272" s="1046"/>
      <c r="BGN272" s="1046"/>
      <c r="BGO272" s="1046"/>
      <c r="BGP272" s="1046"/>
      <c r="BGQ272" s="1046"/>
      <c r="BGR272" s="1046"/>
      <c r="BGS272" s="1046"/>
      <c r="BGT272" s="1046"/>
      <c r="BGU272" s="1046"/>
      <c r="BGV272" s="1046"/>
      <c r="BGW272" s="1046"/>
      <c r="BGX272" s="1046"/>
      <c r="BGY272" s="1046"/>
      <c r="BGZ272" s="1046"/>
      <c r="BHA272" s="1046"/>
      <c r="BHB272" s="1046"/>
      <c r="BHC272" s="1046"/>
      <c r="BHD272" s="1046"/>
      <c r="BHE272" s="1046"/>
      <c r="BHF272" s="1046"/>
      <c r="BHG272" s="1046"/>
      <c r="BHH272" s="1046"/>
      <c r="BHI272" s="1046"/>
      <c r="BHJ272" s="1046"/>
      <c r="BHK272" s="1046"/>
      <c r="BHL272" s="1046"/>
      <c r="BHM272" s="1046"/>
      <c r="BHN272" s="1046"/>
      <c r="BHO272" s="1046"/>
      <c r="BHP272" s="1046"/>
      <c r="BHQ272" s="1046"/>
      <c r="BHR272" s="1046"/>
      <c r="BHS272" s="1046"/>
      <c r="BHT272" s="1046"/>
      <c r="BHU272" s="1046"/>
      <c r="BHV272" s="1046"/>
      <c r="BHW272" s="1046"/>
      <c r="BHX272" s="1046"/>
      <c r="BHY272" s="1046"/>
      <c r="BHZ272" s="1046"/>
      <c r="BIA272" s="1046"/>
      <c r="BIB272" s="1046"/>
      <c r="BIC272" s="1046"/>
      <c r="BID272" s="1046"/>
      <c r="BIE272" s="1046"/>
      <c r="BIF272" s="1046"/>
      <c r="BIG272" s="1046"/>
      <c r="BIH272" s="1046"/>
      <c r="BII272" s="1046"/>
      <c r="BIJ272" s="1046"/>
      <c r="BIK272" s="1046"/>
      <c r="BIL272" s="1046"/>
      <c r="BIM272" s="1046"/>
      <c r="BIN272" s="1046"/>
      <c r="BIO272" s="1046"/>
      <c r="BIP272" s="1046"/>
      <c r="BIQ272" s="1046"/>
      <c r="BIR272" s="1046"/>
      <c r="BIS272" s="1046"/>
      <c r="BIT272" s="1046"/>
      <c r="BIU272" s="1046"/>
      <c r="BIV272" s="1046"/>
      <c r="BIW272" s="1046"/>
      <c r="BIX272" s="1046"/>
      <c r="BIY272" s="1046"/>
      <c r="BIZ272" s="1046"/>
      <c r="BJA272" s="1046"/>
      <c r="BJB272" s="1046"/>
      <c r="BJC272" s="1046"/>
      <c r="BJD272" s="1046"/>
      <c r="BJE272" s="1046"/>
      <c r="BJF272" s="1046"/>
      <c r="BJG272" s="1046"/>
      <c r="BJH272" s="1046"/>
      <c r="BJI272" s="1046"/>
      <c r="BJJ272" s="1046"/>
      <c r="BJK272" s="1046"/>
      <c r="BJL272" s="1046"/>
      <c r="BJM272" s="1046"/>
      <c r="BJN272" s="1046"/>
      <c r="BJO272" s="1046"/>
      <c r="BJP272" s="1046"/>
      <c r="BJQ272" s="1046"/>
      <c r="BJR272" s="1046"/>
      <c r="BJS272" s="1046"/>
      <c r="BJT272" s="1046"/>
      <c r="BJU272" s="1046"/>
      <c r="BJV272" s="1046"/>
      <c r="BJW272" s="1046"/>
      <c r="BJX272" s="1046"/>
      <c r="BJY272" s="1046"/>
      <c r="BJZ272" s="1046"/>
      <c r="BKA272" s="1046"/>
      <c r="BKB272" s="1046"/>
      <c r="BKC272" s="1046"/>
      <c r="BKD272" s="1046"/>
      <c r="BKE272" s="1046"/>
      <c r="BKF272" s="1046"/>
      <c r="BKG272" s="1046"/>
      <c r="BKH272" s="1046"/>
      <c r="BKI272" s="1046"/>
      <c r="BKJ272" s="1046"/>
      <c r="BKK272" s="1046"/>
      <c r="BKL272" s="1046"/>
      <c r="BKM272" s="1046"/>
      <c r="BKN272" s="1046"/>
      <c r="BKO272" s="1046"/>
      <c r="BKP272" s="1046"/>
      <c r="BKQ272" s="1046"/>
      <c r="BKR272" s="1046"/>
      <c r="BKS272" s="1046"/>
      <c r="BKT272" s="1046"/>
      <c r="BKU272" s="1046"/>
      <c r="BKV272" s="1046"/>
      <c r="BKW272" s="1046"/>
      <c r="BKX272" s="1046"/>
      <c r="BKY272" s="1046"/>
      <c r="BKZ272" s="1046"/>
      <c r="BLA272" s="1046"/>
      <c r="BLB272" s="1046"/>
      <c r="BLC272" s="1046"/>
      <c r="BLD272" s="1046"/>
      <c r="BLE272" s="1046"/>
      <c r="BLF272" s="1046"/>
      <c r="BLG272" s="1046"/>
      <c r="BLH272" s="1046"/>
      <c r="BLI272" s="1046"/>
      <c r="BLJ272" s="1046"/>
      <c r="BLK272" s="1046"/>
      <c r="BLL272" s="1046"/>
      <c r="BLM272" s="1046"/>
      <c r="BLN272" s="1046"/>
      <c r="BLO272" s="1046"/>
      <c r="BLP272" s="1046"/>
      <c r="BLQ272" s="1046"/>
      <c r="BLR272" s="1046"/>
      <c r="BLS272" s="1046"/>
      <c r="BLT272" s="1046"/>
      <c r="BLU272" s="1046"/>
      <c r="BLV272" s="1046"/>
      <c r="BLW272" s="1046"/>
      <c r="BLX272" s="1046"/>
      <c r="BLY272" s="1046"/>
      <c r="BLZ272" s="1046"/>
      <c r="BMA272" s="1046"/>
      <c r="BMB272" s="1046"/>
      <c r="BMC272" s="1046"/>
      <c r="BMD272" s="1046"/>
      <c r="BME272" s="1046"/>
      <c r="BMF272" s="1046"/>
      <c r="BMG272" s="1046"/>
      <c r="BMH272" s="1046"/>
      <c r="BMI272" s="1046"/>
      <c r="BMJ272" s="1046"/>
      <c r="BMK272" s="1046"/>
      <c r="BML272" s="1046"/>
      <c r="BMM272" s="1046"/>
      <c r="BMN272" s="1046"/>
      <c r="BMO272" s="1046"/>
      <c r="BMP272" s="1046"/>
      <c r="BMQ272" s="1046"/>
      <c r="BMR272" s="1046"/>
      <c r="BMS272" s="1046"/>
      <c r="BMT272" s="1046"/>
      <c r="BMU272" s="1046"/>
      <c r="BMV272" s="1046"/>
      <c r="BMW272" s="1046"/>
      <c r="BMX272" s="1046"/>
      <c r="BMY272" s="1046"/>
      <c r="BMZ272" s="1046"/>
      <c r="BNA272" s="1046"/>
      <c r="BNB272" s="1046"/>
      <c r="BNC272" s="1046"/>
      <c r="BND272" s="1046"/>
      <c r="BNE272" s="1046"/>
      <c r="BNF272" s="1046"/>
      <c r="BNG272" s="1046"/>
      <c r="BNH272" s="1046"/>
      <c r="BNI272" s="1046"/>
      <c r="BNJ272" s="1046"/>
      <c r="BNK272" s="1046"/>
      <c r="BNL272" s="1046"/>
      <c r="BNM272" s="1046"/>
      <c r="BNN272" s="1046"/>
      <c r="BNO272" s="1046"/>
      <c r="BNP272" s="1046"/>
      <c r="BNQ272" s="1046"/>
      <c r="BNR272" s="1046"/>
      <c r="BNS272" s="1046"/>
      <c r="BNT272" s="1046"/>
      <c r="BNU272" s="1046"/>
      <c r="BNV272" s="1046"/>
      <c r="BNW272" s="1046"/>
      <c r="BNX272" s="1046"/>
      <c r="BNY272" s="1046"/>
      <c r="BNZ272" s="1046"/>
      <c r="BOA272" s="1046"/>
      <c r="BOB272" s="1046"/>
      <c r="BOC272" s="1046"/>
      <c r="BOD272" s="1046"/>
      <c r="BOE272" s="1046"/>
      <c r="BOF272" s="1046"/>
      <c r="BOG272" s="1046"/>
      <c r="BOH272" s="1046"/>
      <c r="BOI272" s="1046"/>
      <c r="BOJ272" s="1046"/>
      <c r="BOK272" s="1046"/>
      <c r="BOL272" s="1046"/>
      <c r="BOM272" s="1046"/>
      <c r="BON272" s="1046"/>
      <c r="BOO272" s="1046"/>
      <c r="BOP272" s="1046"/>
      <c r="BOQ272" s="1046"/>
      <c r="BOR272" s="1046"/>
      <c r="BOS272" s="1046"/>
      <c r="BOT272" s="1046"/>
      <c r="BOU272" s="1046"/>
      <c r="BOV272" s="1046"/>
      <c r="BOW272" s="1046"/>
      <c r="BOX272" s="1046"/>
      <c r="BOY272" s="1046"/>
      <c r="BOZ272" s="1046"/>
      <c r="BPA272" s="1046"/>
      <c r="BPB272" s="1046"/>
      <c r="BPC272" s="1046"/>
      <c r="BPD272" s="1046"/>
      <c r="BPE272" s="1046"/>
      <c r="BPF272" s="1046"/>
      <c r="BPG272" s="1046"/>
      <c r="BPH272" s="1046"/>
      <c r="BPI272" s="1046"/>
      <c r="BPJ272" s="1046"/>
      <c r="BPK272" s="1046"/>
      <c r="BPL272" s="1046"/>
      <c r="BPM272" s="1046"/>
      <c r="BPN272" s="1046"/>
      <c r="BPO272" s="1046"/>
      <c r="BPP272" s="1046"/>
      <c r="BPQ272" s="1046"/>
      <c r="BPR272" s="1046"/>
      <c r="BPS272" s="1046"/>
      <c r="BPT272" s="1046"/>
      <c r="BPU272" s="1046"/>
      <c r="BPV272" s="1046"/>
      <c r="BPW272" s="1046"/>
      <c r="BPX272" s="1046"/>
      <c r="BPY272" s="1046"/>
      <c r="BPZ272" s="1046"/>
      <c r="BQA272" s="1046"/>
      <c r="BQB272" s="1046"/>
      <c r="BQC272" s="1046"/>
      <c r="BQD272" s="1046"/>
      <c r="BQE272" s="1046"/>
      <c r="BQF272" s="1046"/>
      <c r="BQG272" s="1046"/>
      <c r="BQH272" s="1046"/>
      <c r="BQI272" s="1046"/>
      <c r="BQJ272" s="1046"/>
      <c r="BQK272" s="1046"/>
      <c r="BQL272" s="1046"/>
      <c r="BQM272" s="1046"/>
      <c r="BQN272" s="1046"/>
      <c r="BQO272" s="1046"/>
      <c r="BQP272" s="1046"/>
      <c r="BQQ272" s="1046"/>
      <c r="BQR272" s="1046"/>
      <c r="BQS272" s="1046"/>
      <c r="BQT272" s="1046"/>
      <c r="BQU272" s="1046"/>
      <c r="BQV272" s="1046"/>
      <c r="BQW272" s="1046"/>
      <c r="BQX272" s="1046"/>
      <c r="BQY272" s="1046"/>
      <c r="BQZ272" s="1046"/>
      <c r="BRA272" s="1046"/>
      <c r="BRB272" s="1046"/>
      <c r="BRC272" s="1046"/>
      <c r="BRD272" s="1046"/>
      <c r="BRE272" s="1046"/>
      <c r="BRF272" s="1046"/>
      <c r="BRG272" s="1046"/>
      <c r="BRH272" s="1046"/>
      <c r="BRI272" s="1046"/>
      <c r="BRJ272" s="1046"/>
      <c r="BRK272" s="1046"/>
      <c r="BRL272" s="1046"/>
      <c r="BRM272" s="1046"/>
      <c r="BRN272" s="1046"/>
      <c r="BRO272" s="1046"/>
      <c r="BRP272" s="1046"/>
      <c r="BRQ272" s="1046"/>
      <c r="BRR272" s="1046"/>
      <c r="BRS272" s="1046"/>
      <c r="BRT272" s="1046"/>
      <c r="BRU272" s="1046"/>
      <c r="BRV272" s="1046"/>
      <c r="BRW272" s="1046"/>
      <c r="BRX272" s="1046"/>
      <c r="BRY272" s="1046"/>
      <c r="BRZ272" s="1046"/>
      <c r="BSA272" s="1046"/>
      <c r="BSB272" s="1046"/>
      <c r="BSC272" s="1046"/>
      <c r="BSD272" s="1046"/>
      <c r="BSE272" s="1046"/>
      <c r="BSF272" s="1046"/>
      <c r="BSG272" s="1046"/>
      <c r="BSH272" s="1046"/>
      <c r="BSI272" s="1046"/>
      <c r="BSJ272" s="1046"/>
      <c r="BSK272" s="1046"/>
      <c r="BSL272" s="1046"/>
      <c r="BSM272" s="1046"/>
      <c r="BSN272" s="1046"/>
      <c r="BSO272" s="1046"/>
      <c r="BSP272" s="1046"/>
      <c r="BSQ272" s="1046"/>
      <c r="BSR272" s="1046"/>
      <c r="BSS272" s="1046"/>
      <c r="BST272" s="1046"/>
      <c r="BSU272" s="1046"/>
      <c r="BSV272" s="1046"/>
      <c r="BSW272" s="1046"/>
      <c r="BSX272" s="1046"/>
      <c r="BSY272" s="1046"/>
      <c r="BSZ272" s="1046"/>
      <c r="BTA272" s="1046"/>
      <c r="BTB272" s="1046"/>
      <c r="BTC272" s="1046"/>
      <c r="BTD272" s="1046"/>
      <c r="BTE272" s="1046"/>
      <c r="BTF272" s="1046"/>
      <c r="BTG272" s="1046"/>
      <c r="BTH272" s="1046"/>
      <c r="BTI272" s="1046"/>
      <c r="BTJ272" s="1046"/>
      <c r="BTK272" s="1046"/>
      <c r="BTL272" s="1046"/>
      <c r="BTM272" s="1046"/>
      <c r="BTN272" s="1046"/>
      <c r="BTO272" s="1046"/>
      <c r="BTP272" s="1046"/>
      <c r="BTQ272" s="1046"/>
      <c r="BTR272" s="1046"/>
      <c r="BTS272" s="1046"/>
      <c r="BTT272" s="1046"/>
      <c r="BTU272" s="1046"/>
      <c r="BTV272" s="1046"/>
      <c r="BTW272" s="1046"/>
      <c r="BTX272" s="1046"/>
      <c r="BTY272" s="1046"/>
      <c r="BTZ272" s="1046"/>
      <c r="BUA272" s="1046"/>
      <c r="BUB272" s="1046"/>
      <c r="BUC272" s="1046"/>
      <c r="BUD272" s="1046"/>
      <c r="BUE272" s="1046"/>
      <c r="BUF272" s="1046"/>
      <c r="BUG272" s="1046"/>
      <c r="BUH272" s="1046"/>
      <c r="BUI272" s="1046"/>
      <c r="BUJ272" s="1046"/>
      <c r="BUK272" s="1046"/>
      <c r="BUL272" s="1046"/>
      <c r="BUM272" s="1046"/>
      <c r="BUN272" s="1046"/>
      <c r="BUO272" s="1046"/>
      <c r="BUP272" s="1046"/>
      <c r="BUQ272" s="1046"/>
      <c r="BUR272" s="1046"/>
      <c r="BUS272" s="1046"/>
      <c r="BUT272" s="1046"/>
      <c r="BUU272" s="1046"/>
      <c r="BUV272" s="1046"/>
      <c r="BUW272" s="1046"/>
      <c r="BUX272" s="1046"/>
      <c r="BUY272" s="1046"/>
      <c r="BUZ272" s="1046"/>
      <c r="BVA272" s="1046"/>
      <c r="BVB272" s="1046"/>
      <c r="BVC272" s="1046"/>
      <c r="BVD272" s="1046"/>
      <c r="BVE272" s="1046"/>
      <c r="BVF272" s="1046"/>
      <c r="BVG272" s="1046"/>
      <c r="BVH272" s="1046"/>
      <c r="BVI272" s="1046"/>
      <c r="BVJ272" s="1046"/>
      <c r="BVK272" s="1046"/>
      <c r="BVL272" s="1046"/>
      <c r="BVM272" s="1046"/>
      <c r="BVN272" s="1046"/>
      <c r="BVO272" s="1046"/>
      <c r="BVP272" s="1046"/>
      <c r="BVQ272" s="1046"/>
      <c r="BVR272" s="1046"/>
      <c r="BVS272" s="1046"/>
      <c r="BVT272" s="1046"/>
      <c r="BVU272" s="1046"/>
      <c r="BVV272" s="1046"/>
      <c r="BVW272" s="1046"/>
      <c r="BVX272" s="1046"/>
      <c r="BVY272" s="1046"/>
      <c r="BVZ272" s="1046"/>
      <c r="BWA272" s="1046"/>
      <c r="BWB272" s="1046"/>
      <c r="BWC272" s="1046"/>
      <c r="BWD272" s="1046"/>
      <c r="BWE272" s="1046"/>
      <c r="BWF272" s="1046"/>
      <c r="BWG272" s="1046"/>
      <c r="BWH272" s="1046"/>
      <c r="BWI272" s="1046"/>
      <c r="BWJ272" s="1046"/>
      <c r="BWK272" s="1046"/>
      <c r="BWL272" s="1046"/>
      <c r="BWM272" s="1046"/>
      <c r="BWN272" s="1046"/>
      <c r="BWO272" s="1046"/>
      <c r="BWP272" s="1046"/>
      <c r="BWQ272" s="1046"/>
      <c r="BWR272" s="1046"/>
      <c r="BWS272" s="1046"/>
      <c r="BWT272" s="1046"/>
      <c r="BWU272" s="1046"/>
      <c r="BWV272" s="1046"/>
      <c r="BWW272" s="1046"/>
      <c r="BWX272" s="1046"/>
      <c r="BWY272" s="1046"/>
      <c r="BWZ272" s="1046"/>
      <c r="BXA272" s="1046"/>
      <c r="BXB272" s="1046"/>
      <c r="BXC272" s="1046"/>
      <c r="BXD272" s="1046"/>
      <c r="BXE272" s="1046"/>
      <c r="BXF272" s="1046"/>
      <c r="BXG272" s="1046"/>
      <c r="BXH272" s="1046"/>
      <c r="BXI272" s="1046"/>
      <c r="BXJ272" s="1046"/>
      <c r="BXK272" s="1046"/>
      <c r="BXL272" s="1046"/>
      <c r="BXM272" s="1046"/>
      <c r="BXN272" s="1046"/>
      <c r="BXO272" s="1046"/>
      <c r="BXP272" s="1046"/>
      <c r="BXQ272" s="1046"/>
      <c r="BXR272" s="1046"/>
      <c r="BXS272" s="1046"/>
      <c r="BXT272" s="1046"/>
      <c r="BXU272" s="1046"/>
      <c r="BXV272" s="1046"/>
      <c r="BXW272" s="1046"/>
      <c r="BXX272" s="1046"/>
      <c r="BXY272" s="1046"/>
      <c r="BXZ272" s="1046"/>
      <c r="BYA272" s="1046"/>
      <c r="BYB272" s="1046"/>
      <c r="BYC272" s="1046"/>
      <c r="BYD272" s="1046"/>
      <c r="BYE272" s="1046"/>
      <c r="BYF272" s="1046"/>
      <c r="BYG272" s="1046"/>
      <c r="BYH272" s="1046"/>
      <c r="BYI272" s="1046"/>
      <c r="BYJ272" s="1046"/>
      <c r="BYK272" s="1046"/>
      <c r="BYL272" s="1046"/>
      <c r="BYM272" s="1046"/>
      <c r="BYN272" s="1046"/>
      <c r="BYO272" s="1046"/>
      <c r="BYP272" s="1046"/>
      <c r="BYQ272" s="1046"/>
      <c r="BYR272" s="1046"/>
      <c r="BYS272" s="1046"/>
      <c r="BYT272" s="1046"/>
      <c r="BYU272" s="1046"/>
      <c r="BYV272" s="1046"/>
      <c r="BYW272" s="1046"/>
      <c r="BYX272" s="1046"/>
      <c r="BYY272" s="1046"/>
      <c r="BYZ272" s="1046"/>
      <c r="BZA272" s="1046"/>
      <c r="BZB272" s="1046"/>
      <c r="BZC272" s="1046"/>
      <c r="BZD272" s="1046"/>
      <c r="BZE272" s="1046"/>
      <c r="BZF272" s="1046"/>
      <c r="BZG272" s="1046"/>
      <c r="BZH272" s="1046"/>
      <c r="BZI272" s="1046"/>
      <c r="BZJ272" s="1046"/>
      <c r="BZK272" s="1046"/>
      <c r="BZL272" s="1046"/>
      <c r="BZM272" s="1046"/>
      <c r="BZN272" s="1046"/>
      <c r="BZO272" s="1046"/>
      <c r="BZP272" s="1046"/>
      <c r="BZQ272" s="1046"/>
      <c r="BZR272" s="1046"/>
      <c r="BZS272" s="1046"/>
      <c r="BZT272" s="1046"/>
      <c r="BZU272" s="1046"/>
      <c r="BZV272" s="1046"/>
      <c r="BZW272" s="1046"/>
      <c r="BZX272" s="1046"/>
      <c r="BZY272" s="1046"/>
      <c r="BZZ272" s="1046"/>
      <c r="CAA272" s="1046"/>
      <c r="CAB272" s="1046"/>
      <c r="CAC272" s="1046"/>
      <c r="CAD272" s="1046"/>
      <c r="CAE272" s="1046"/>
      <c r="CAF272" s="1046"/>
      <c r="CAG272" s="1046"/>
      <c r="CAH272" s="1046"/>
      <c r="CAI272" s="1046"/>
      <c r="CAJ272" s="1046"/>
      <c r="CAK272" s="1046"/>
      <c r="CAL272" s="1046"/>
      <c r="CAM272" s="1046"/>
      <c r="CAN272" s="1046"/>
      <c r="CAO272" s="1046"/>
      <c r="CAP272" s="1046"/>
      <c r="CAQ272" s="1046"/>
      <c r="CAR272" s="1046"/>
      <c r="CAS272" s="1046"/>
      <c r="CAT272" s="1046"/>
      <c r="CAU272" s="1046"/>
      <c r="CAV272" s="1046"/>
      <c r="CAW272" s="1046"/>
      <c r="CAX272" s="1046"/>
      <c r="CAY272" s="1046"/>
      <c r="CAZ272" s="1046"/>
      <c r="CBA272" s="1046"/>
      <c r="CBB272" s="1046"/>
      <c r="CBC272" s="1046"/>
      <c r="CBD272" s="1046"/>
      <c r="CBE272" s="1046"/>
      <c r="CBF272" s="1046"/>
      <c r="CBG272" s="1046"/>
      <c r="CBH272" s="1046"/>
      <c r="CBI272" s="1046"/>
      <c r="CBJ272" s="1046"/>
      <c r="CBK272" s="1046"/>
      <c r="CBL272" s="1046"/>
      <c r="CBM272" s="1046"/>
      <c r="CBN272" s="1046"/>
      <c r="CBO272" s="1046"/>
      <c r="CBP272" s="1046"/>
      <c r="CBQ272" s="1046"/>
      <c r="CBR272" s="1046"/>
      <c r="CBS272" s="1046"/>
      <c r="CBT272" s="1046"/>
      <c r="CBU272" s="1046"/>
      <c r="CBV272" s="1046"/>
      <c r="CBW272" s="1046"/>
      <c r="CBX272" s="1046"/>
      <c r="CBY272" s="1046"/>
      <c r="CBZ272" s="1046"/>
      <c r="CCA272" s="1046"/>
      <c r="CCB272" s="1046"/>
      <c r="CCC272" s="1046"/>
      <c r="CCD272" s="1046"/>
      <c r="CCE272" s="1046"/>
      <c r="CCF272" s="1046"/>
      <c r="CCG272" s="1046"/>
      <c r="CCH272" s="1046"/>
      <c r="CCI272" s="1046"/>
      <c r="CCJ272" s="1046"/>
      <c r="CCK272" s="1046"/>
      <c r="CCL272" s="1046"/>
      <c r="CCM272" s="1046"/>
      <c r="CCN272" s="1046"/>
      <c r="CCO272" s="1046"/>
      <c r="CCP272" s="1046"/>
      <c r="CCQ272" s="1046"/>
      <c r="CCR272" s="1046"/>
      <c r="CCS272" s="1046"/>
      <c r="CCT272" s="1046"/>
      <c r="CCU272" s="1046"/>
      <c r="CCV272" s="1046"/>
      <c r="CCW272" s="1046"/>
      <c r="CCX272" s="1046"/>
      <c r="CCY272" s="1046"/>
      <c r="CCZ272" s="1046"/>
      <c r="CDA272" s="1046"/>
      <c r="CDB272" s="1046"/>
      <c r="CDC272" s="1046"/>
      <c r="CDD272" s="1046"/>
      <c r="CDE272" s="1046"/>
      <c r="CDF272" s="1046"/>
      <c r="CDG272" s="1046"/>
      <c r="CDH272" s="1046"/>
      <c r="CDI272" s="1046"/>
      <c r="CDJ272" s="1046"/>
      <c r="CDK272" s="1046"/>
      <c r="CDL272" s="1046"/>
      <c r="CDM272" s="1046"/>
      <c r="CDN272" s="1046"/>
      <c r="CDO272" s="1046"/>
      <c r="CDP272" s="1046"/>
      <c r="CDQ272" s="1046"/>
      <c r="CDR272" s="1046"/>
      <c r="CDS272" s="1046"/>
      <c r="CDT272" s="1046"/>
      <c r="CDU272" s="1046"/>
      <c r="CDV272" s="1046"/>
      <c r="CDW272" s="1046"/>
      <c r="CDX272" s="1046"/>
      <c r="CDY272" s="1046"/>
      <c r="CDZ272" s="1046"/>
      <c r="CEA272" s="1046"/>
      <c r="CEB272" s="1046"/>
      <c r="CEC272" s="1046"/>
      <c r="CED272" s="1046"/>
      <c r="CEE272" s="1046"/>
      <c r="CEF272" s="1046"/>
      <c r="CEG272" s="1046"/>
      <c r="CEH272" s="1046"/>
      <c r="CEI272" s="1046"/>
      <c r="CEJ272" s="1046"/>
      <c r="CEK272" s="1046"/>
      <c r="CEL272" s="1046"/>
      <c r="CEM272" s="1046"/>
      <c r="CEN272" s="1046"/>
      <c r="CEO272" s="1046"/>
      <c r="CEP272" s="1046"/>
      <c r="CEQ272" s="1046"/>
      <c r="CER272" s="1046"/>
      <c r="CES272" s="1046"/>
      <c r="CET272" s="1046"/>
      <c r="CEU272" s="1046"/>
      <c r="CEV272" s="1046"/>
      <c r="CEW272" s="1046"/>
      <c r="CEX272" s="1046"/>
      <c r="CEY272" s="1046"/>
      <c r="CEZ272" s="1046"/>
      <c r="CFA272" s="1046"/>
      <c r="CFB272" s="1046"/>
      <c r="CFC272" s="1046"/>
      <c r="CFD272" s="1046"/>
      <c r="CFE272" s="1046"/>
      <c r="CFF272" s="1046"/>
      <c r="CFG272" s="1046"/>
      <c r="CFH272" s="1046"/>
      <c r="CFI272" s="1046"/>
      <c r="CFJ272" s="1046"/>
      <c r="CFK272" s="1046"/>
      <c r="CFL272" s="1046"/>
      <c r="CFM272" s="1046"/>
      <c r="CFN272" s="1046"/>
      <c r="CFO272" s="1046"/>
      <c r="CFP272" s="1046"/>
      <c r="CFQ272" s="1046"/>
      <c r="CFR272" s="1046"/>
      <c r="CFS272" s="1046"/>
      <c r="CFT272" s="1046"/>
      <c r="CFU272" s="1046"/>
      <c r="CFV272" s="1046"/>
      <c r="CFW272" s="1046"/>
      <c r="CFX272" s="1046"/>
      <c r="CFY272" s="1046"/>
      <c r="CFZ272" s="1046"/>
      <c r="CGA272" s="1046"/>
      <c r="CGB272" s="1046"/>
      <c r="CGC272" s="1046"/>
      <c r="CGD272" s="1046"/>
      <c r="CGE272" s="1046"/>
      <c r="CGF272" s="1046"/>
      <c r="CGG272" s="1046"/>
      <c r="CGH272" s="1046"/>
      <c r="CGI272" s="1046"/>
      <c r="CGJ272" s="1046"/>
      <c r="CGK272" s="1046"/>
      <c r="CGL272" s="1046"/>
      <c r="CGM272" s="1046"/>
      <c r="CGN272" s="1046"/>
      <c r="CGO272" s="1046"/>
      <c r="CGP272" s="1046"/>
      <c r="CGQ272" s="1046"/>
      <c r="CGR272" s="1046"/>
      <c r="CGS272" s="1046"/>
      <c r="CGT272" s="1046"/>
      <c r="CGU272" s="1046"/>
      <c r="CGV272" s="1046"/>
      <c r="CGW272" s="1046"/>
      <c r="CGX272" s="1046"/>
      <c r="CGY272" s="1046"/>
      <c r="CGZ272" s="1046"/>
      <c r="CHA272" s="1046"/>
      <c r="CHB272" s="1046"/>
      <c r="CHC272" s="1046"/>
      <c r="CHD272" s="1046"/>
      <c r="CHE272" s="1046"/>
      <c r="CHF272" s="1046"/>
      <c r="CHG272" s="1046"/>
      <c r="CHH272" s="1046"/>
      <c r="CHI272" s="1046"/>
      <c r="CHJ272" s="1046"/>
      <c r="CHK272" s="1046"/>
      <c r="CHL272" s="1046"/>
      <c r="CHM272" s="1046"/>
      <c r="CHN272" s="1046"/>
      <c r="CHO272" s="1046"/>
      <c r="CHP272" s="1046"/>
      <c r="CHQ272" s="1046"/>
      <c r="CHR272" s="1046"/>
      <c r="CHS272" s="1046"/>
      <c r="CHT272" s="1046"/>
      <c r="CHU272" s="1046"/>
      <c r="CHV272" s="1046"/>
      <c r="CHW272" s="1046"/>
      <c r="CHX272" s="1046"/>
      <c r="CHY272" s="1046"/>
      <c r="CHZ272" s="1046"/>
      <c r="CIA272" s="1046"/>
      <c r="CIB272" s="1046"/>
      <c r="CIC272" s="1046"/>
      <c r="CID272" s="1046"/>
      <c r="CIE272" s="1046"/>
      <c r="CIF272" s="1046"/>
      <c r="CIG272" s="1046"/>
      <c r="CIH272" s="1046"/>
      <c r="CII272" s="1046"/>
      <c r="CIJ272" s="1046"/>
      <c r="CIK272" s="1046"/>
      <c r="CIL272" s="1046"/>
      <c r="CIM272" s="1046"/>
      <c r="CIN272" s="1046"/>
      <c r="CIO272" s="1046"/>
      <c r="CIP272" s="1046"/>
      <c r="CIQ272" s="1046"/>
      <c r="CIR272" s="1046"/>
      <c r="CIS272" s="1046"/>
      <c r="CIT272" s="1046"/>
      <c r="CIU272" s="1046"/>
      <c r="CIV272" s="1046"/>
      <c r="CIW272" s="1046"/>
      <c r="CIX272" s="1046"/>
      <c r="CIY272" s="1046"/>
      <c r="CIZ272" s="1046"/>
      <c r="CJA272" s="1046"/>
      <c r="CJB272" s="1046"/>
      <c r="CJC272" s="1046"/>
      <c r="CJD272" s="1046"/>
      <c r="CJE272" s="1046"/>
      <c r="CJF272" s="1046"/>
      <c r="CJG272" s="1046"/>
      <c r="CJH272" s="1046"/>
      <c r="CJI272" s="1046"/>
      <c r="CJJ272" s="1046"/>
      <c r="CJK272" s="1046"/>
      <c r="CJL272" s="1046"/>
      <c r="CJM272" s="1046"/>
      <c r="CJN272" s="1046"/>
      <c r="CJO272" s="1046"/>
      <c r="CJP272" s="1046"/>
      <c r="CJQ272" s="1046"/>
      <c r="CJR272" s="1046"/>
      <c r="CJS272" s="1046"/>
      <c r="CJT272" s="1046"/>
      <c r="CJU272" s="1046"/>
      <c r="CJV272" s="1046"/>
      <c r="CJW272" s="1046"/>
      <c r="CJX272" s="1046"/>
      <c r="CJY272" s="1046"/>
      <c r="CJZ272" s="1046"/>
      <c r="CKA272" s="1046"/>
      <c r="CKB272" s="1046"/>
      <c r="CKC272" s="1046"/>
      <c r="CKD272" s="1046"/>
      <c r="CKE272" s="1046"/>
      <c r="CKF272" s="1046"/>
      <c r="CKG272" s="1046"/>
      <c r="CKH272" s="1046"/>
      <c r="CKI272" s="1046"/>
      <c r="CKJ272" s="1046"/>
      <c r="CKK272" s="1046"/>
      <c r="CKL272" s="1046"/>
      <c r="CKM272" s="1046"/>
      <c r="CKN272" s="1046"/>
      <c r="CKO272" s="1046"/>
      <c r="CKP272" s="1046"/>
      <c r="CKQ272" s="1046"/>
      <c r="CKR272" s="1046"/>
      <c r="CKS272" s="1046"/>
      <c r="CKT272" s="1046"/>
      <c r="CKU272" s="1046"/>
      <c r="CKV272" s="1046"/>
      <c r="CKW272" s="1046"/>
      <c r="CKX272" s="1046"/>
      <c r="CKY272" s="1046"/>
      <c r="CKZ272" s="1046"/>
      <c r="CLA272" s="1046"/>
      <c r="CLB272" s="1046"/>
      <c r="CLC272" s="1046"/>
      <c r="CLD272" s="1046"/>
      <c r="CLE272" s="1046"/>
      <c r="CLF272" s="1046"/>
      <c r="CLG272" s="1046"/>
      <c r="CLH272" s="1046"/>
      <c r="CLI272" s="1046"/>
      <c r="CLJ272" s="1046"/>
      <c r="CLK272" s="1046"/>
      <c r="CLL272" s="1046"/>
      <c r="CLM272" s="1046"/>
      <c r="CLN272" s="1046"/>
      <c r="CLO272" s="1046"/>
      <c r="CLP272" s="1046"/>
      <c r="CLQ272" s="1046"/>
      <c r="CLR272" s="1046"/>
      <c r="CLS272" s="1046"/>
      <c r="CLT272" s="1046"/>
      <c r="CLU272" s="1046"/>
      <c r="CLV272" s="1046"/>
      <c r="CLW272" s="1046"/>
      <c r="CLX272" s="1046"/>
      <c r="CLY272" s="1046"/>
      <c r="CLZ272" s="1046"/>
      <c r="CMA272" s="1046"/>
      <c r="CMB272" s="1046"/>
      <c r="CMC272" s="1046"/>
      <c r="CMD272" s="1046"/>
      <c r="CME272" s="1046"/>
      <c r="CMF272" s="1046"/>
      <c r="CMG272" s="1046"/>
      <c r="CMH272" s="1046"/>
      <c r="CMI272" s="1046"/>
      <c r="CMJ272" s="1046"/>
      <c r="CMK272" s="1046"/>
      <c r="CML272" s="1046"/>
      <c r="CMM272" s="1046"/>
      <c r="CMN272" s="1046"/>
      <c r="CMO272" s="1046"/>
      <c r="CMP272" s="1046"/>
      <c r="CMQ272" s="1046"/>
      <c r="CMR272" s="1046"/>
      <c r="CMS272" s="1046"/>
      <c r="CMT272" s="1046"/>
      <c r="CMU272" s="1046"/>
      <c r="CMV272" s="1046"/>
      <c r="CMW272" s="1046"/>
      <c r="CMX272" s="1046"/>
      <c r="CMY272" s="1046"/>
      <c r="CMZ272" s="1046"/>
      <c r="CNA272" s="1046"/>
      <c r="CNB272" s="1046"/>
      <c r="CNC272" s="1046"/>
      <c r="CND272" s="1046"/>
      <c r="CNE272" s="1046"/>
      <c r="CNF272" s="1046"/>
      <c r="CNG272" s="1046"/>
      <c r="CNH272" s="1046"/>
      <c r="CNI272" s="1046"/>
      <c r="CNJ272" s="1046"/>
      <c r="CNK272" s="1046"/>
      <c r="CNL272" s="1046"/>
      <c r="CNM272" s="1046"/>
      <c r="CNN272" s="1046"/>
      <c r="CNO272" s="1046"/>
      <c r="CNP272" s="1046"/>
      <c r="CNQ272" s="1046"/>
      <c r="CNR272" s="1046"/>
      <c r="CNS272" s="1046"/>
      <c r="CNT272" s="1046"/>
      <c r="CNU272" s="1046"/>
      <c r="CNV272" s="1046"/>
      <c r="CNW272" s="1046"/>
      <c r="CNX272" s="1046"/>
      <c r="CNY272" s="1046"/>
      <c r="CNZ272" s="1046"/>
      <c r="COA272" s="1046"/>
      <c r="COB272" s="1046"/>
      <c r="COC272" s="1046"/>
      <c r="COD272" s="1046"/>
      <c r="COE272" s="1046"/>
      <c r="COF272" s="1046"/>
      <c r="COG272" s="1046"/>
      <c r="COH272" s="1046"/>
      <c r="COI272" s="1046"/>
      <c r="COJ272" s="1046"/>
      <c r="COK272" s="1046"/>
      <c r="COL272" s="1046"/>
      <c r="COM272" s="1046"/>
      <c r="CON272" s="1046"/>
      <c r="COO272" s="1046"/>
      <c r="COP272" s="1046"/>
      <c r="COQ272" s="1046"/>
      <c r="COR272" s="1046"/>
      <c r="COS272" s="1046"/>
      <c r="COT272" s="1046"/>
      <c r="COU272" s="1046"/>
      <c r="COV272" s="1046"/>
      <c r="COW272" s="1046"/>
      <c r="COX272" s="1046"/>
      <c r="COY272" s="1046"/>
      <c r="COZ272" s="1046"/>
      <c r="CPA272" s="1046"/>
      <c r="CPB272" s="1046"/>
      <c r="CPC272" s="1046"/>
      <c r="CPD272" s="1046"/>
      <c r="CPE272" s="1046"/>
      <c r="CPF272" s="1046"/>
      <c r="CPG272" s="1046"/>
      <c r="CPH272" s="1046"/>
      <c r="CPI272" s="1046"/>
      <c r="CPJ272" s="1046"/>
      <c r="CPK272" s="1046"/>
      <c r="CPL272" s="1046"/>
      <c r="CPM272" s="1046"/>
      <c r="CPN272" s="1046"/>
      <c r="CPO272" s="1046"/>
      <c r="CPP272" s="1046"/>
      <c r="CPQ272" s="1046"/>
      <c r="CPR272" s="1046"/>
      <c r="CPS272" s="1046"/>
      <c r="CPT272" s="1046"/>
      <c r="CPU272" s="1046"/>
      <c r="CPV272" s="1046"/>
      <c r="CPW272" s="1046"/>
      <c r="CPX272" s="1046"/>
      <c r="CPY272" s="1046"/>
      <c r="CPZ272" s="1046"/>
      <c r="CQA272" s="1046"/>
      <c r="CQB272" s="1046"/>
      <c r="CQC272" s="1046"/>
      <c r="CQD272" s="1046"/>
      <c r="CQE272" s="1046"/>
      <c r="CQF272" s="1046"/>
      <c r="CQG272" s="1046"/>
      <c r="CQH272" s="1046"/>
      <c r="CQI272" s="1046"/>
      <c r="CQJ272" s="1046"/>
      <c r="CQK272" s="1046"/>
      <c r="CQL272" s="1046"/>
      <c r="CQM272" s="1046"/>
      <c r="CQN272" s="1046"/>
      <c r="CQO272" s="1046"/>
      <c r="CQP272" s="1046"/>
      <c r="CQQ272" s="1046"/>
      <c r="CQR272" s="1046"/>
      <c r="CQS272" s="1046"/>
      <c r="CQT272" s="1046"/>
      <c r="CQU272" s="1046"/>
      <c r="CQV272" s="1046"/>
      <c r="CQW272" s="1046"/>
      <c r="CQX272" s="1046"/>
      <c r="CQY272" s="1046"/>
      <c r="CQZ272" s="1046"/>
      <c r="CRA272" s="1046"/>
      <c r="CRB272" s="1046"/>
      <c r="CRC272" s="1046"/>
      <c r="CRD272" s="1046"/>
      <c r="CRE272" s="1046"/>
      <c r="CRF272" s="1046"/>
      <c r="CRG272" s="1046"/>
      <c r="CRH272" s="1046"/>
      <c r="CRI272" s="1046"/>
      <c r="CRJ272" s="1046"/>
      <c r="CRK272" s="1046"/>
      <c r="CRL272" s="1046"/>
      <c r="CRM272" s="1046"/>
      <c r="CRN272" s="1046"/>
      <c r="CRO272" s="1046"/>
      <c r="CRP272" s="1046"/>
      <c r="CRQ272" s="1046"/>
      <c r="CRR272" s="1046"/>
      <c r="CRS272" s="1046"/>
      <c r="CRT272" s="1046"/>
      <c r="CRU272" s="1046"/>
      <c r="CRV272" s="1046"/>
      <c r="CRW272" s="1046"/>
      <c r="CRX272" s="1046"/>
      <c r="CRY272" s="1046"/>
      <c r="CRZ272" s="1046"/>
      <c r="CSA272" s="1046"/>
      <c r="CSB272" s="1046"/>
      <c r="CSC272" s="1046"/>
      <c r="CSD272" s="1046"/>
      <c r="CSE272" s="1046"/>
      <c r="CSF272" s="1046"/>
      <c r="CSG272" s="1046"/>
      <c r="CSH272" s="1046"/>
      <c r="CSI272" s="1046"/>
      <c r="CSJ272" s="1046"/>
      <c r="CSK272" s="1046"/>
      <c r="CSL272" s="1046"/>
      <c r="CSM272" s="1046"/>
      <c r="CSN272" s="1046"/>
      <c r="CSO272" s="1046"/>
      <c r="CSP272" s="1046"/>
      <c r="CSQ272" s="1046"/>
      <c r="CSR272" s="1046"/>
      <c r="CSS272" s="1046"/>
      <c r="CST272" s="1046"/>
      <c r="CSU272" s="1046"/>
      <c r="CSV272" s="1046"/>
      <c r="CSW272" s="1046"/>
      <c r="CSX272" s="1046"/>
      <c r="CSY272" s="1046"/>
      <c r="CSZ272" s="1046"/>
      <c r="CTA272" s="1046"/>
      <c r="CTB272" s="1046"/>
      <c r="CTC272" s="1046"/>
      <c r="CTD272" s="1046"/>
      <c r="CTE272" s="1046"/>
      <c r="CTF272" s="1046"/>
      <c r="CTG272" s="1046"/>
      <c r="CTH272" s="1046"/>
      <c r="CTI272" s="1046"/>
      <c r="CTJ272" s="1046"/>
      <c r="CTK272" s="1046"/>
      <c r="CTL272" s="1046"/>
      <c r="CTM272" s="1046"/>
      <c r="CTN272" s="1046"/>
      <c r="CTO272" s="1046"/>
      <c r="CTP272" s="1046"/>
      <c r="CTQ272" s="1046"/>
      <c r="CTR272" s="1046"/>
      <c r="CTS272" s="1046"/>
      <c r="CTT272" s="1046"/>
      <c r="CTU272" s="1046"/>
      <c r="CTV272" s="1046"/>
      <c r="CTW272" s="1046"/>
      <c r="CTX272" s="1046"/>
      <c r="CTY272" s="1046"/>
      <c r="CTZ272" s="1046"/>
      <c r="CUA272" s="1046"/>
      <c r="CUB272" s="1046"/>
      <c r="CUC272" s="1046"/>
      <c r="CUD272" s="1046"/>
      <c r="CUE272" s="1046"/>
      <c r="CUF272" s="1046"/>
      <c r="CUG272" s="1046"/>
      <c r="CUH272" s="1046"/>
      <c r="CUI272" s="1046"/>
      <c r="CUJ272" s="1046"/>
      <c r="CUK272" s="1046"/>
      <c r="CUL272" s="1046"/>
      <c r="CUM272" s="1046"/>
      <c r="CUN272" s="1046"/>
      <c r="CUO272" s="1046"/>
      <c r="CUP272" s="1046"/>
      <c r="CUQ272" s="1046"/>
      <c r="CUR272" s="1046"/>
      <c r="CUS272" s="1046"/>
      <c r="CUT272" s="1046"/>
      <c r="CUU272" s="1046"/>
      <c r="CUV272" s="1046"/>
      <c r="CUW272" s="1046"/>
      <c r="CUX272" s="1046"/>
      <c r="CUY272" s="1046"/>
      <c r="CUZ272" s="1046"/>
      <c r="CVA272" s="1046"/>
      <c r="CVB272" s="1046"/>
      <c r="CVC272" s="1046"/>
      <c r="CVD272" s="1046"/>
      <c r="CVE272" s="1046"/>
      <c r="CVF272" s="1046"/>
      <c r="CVG272" s="1046"/>
      <c r="CVH272" s="1046"/>
      <c r="CVI272" s="1046"/>
      <c r="CVJ272" s="1046"/>
      <c r="CVK272" s="1046"/>
      <c r="CVL272" s="1046"/>
      <c r="CVM272" s="1046"/>
      <c r="CVN272" s="1046"/>
      <c r="CVO272" s="1046"/>
      <c r="CVP272" s="1046"/>
      <c r="CVQ272" s="1046"/>
      <c r="CVR272" s="1046"/>
      <c r="CVS272" s="1046"/>
      <c r="CVT272" s="1046"/>
      <c r="CVU272" s="1046"/>
      <c r="CVV272" s="1046"/>
      <c r="CVW272" s="1046"/>
      <c r="CVX272" s="1046"/>
      <c r="CVY272" s="1046"/>
      <c r="CVZ272" s="1046"/>
      <c r="CWA272" s="1046"/>
      <c r="CWB272" s="1046"/>
      <c r="CWC272" s="1046"/>
      <c r="CWD272" s="1046"/>
      <c r="CWE272" s="1046"/>
      <c r="CWF272" s="1046"/>
      <c r="CWG272" s="1046"/>
      <c r="CWH272" s="1046"/>
      <c r="CWI272" s="1046"/>
      <c r="CWJ272" s="1046"/>
      <c r="CWK272" s="1046"/>
      <c r="CWL272" s="1046"/>
      <c r="CWM272" s="1046"/>
      <c r="CWN272" s="1046"/>
      <c r="CWO272" s="1046"/>
      <c r="CWP272" s="1046"/>
      <c r="CWQ272" s="1046"/>
      <c r="CWR272" s="1046"/>
      <c r="CWS272" s="1046"/>
      <c r="CWT272" s="1046"/>
      <c r="CWU272" s="1046"/>
      <c r="CWV272" s="1046"/>
      <c r="CWW272" s="1046"/>
      <c r="CWX272" s="1046"/>
      <c r="CWY272" s="1046"/>
      <c r="CWZ272" s="1046"/>
      <c r="CXA272" s="1046"/>
      <c r="CXB272" s="1046"/>
      <c r="CXC272" s="1046"/>
      <c r="CXD272" s="1046"/>
      <c r="CXE272" s="1046"/>
      <c r="CXF272" s="1046"/>
      <c r="CXG272" s="1046"/>
      <c r="CXH272" s="1046"/>
      <c r="CXI272" s="1046"/>
      <c r="CXJ272" s="1046"/>
      <c r="CXK272" s="1046"/>
      <c r="CXL272" s="1046"/>
      <c r="CXM272" s="1046"/>
      <c r="CXN272" s="1046"/>
      <c r="CXO272" s="1046"/>
      <c r="CXP272" s="1046"/>
      <c r="CXQ272" s="1046"/>
      <c r="CXR272" s="1046"/>
      <c r="CXS272" s="1046"/>
      <c r="CXT272" s="1046"/>
      <c r="CXU272" s="1046"/>
      <c r="CXV272" s="1046"/>
      <c r="CXW272" s="1046"/>
      <c r="CXX272" s="1046"/>
      <c r="CXY272" s="1046"/>
      <c r="CXZ272" s="1046"/>
      <c r="CYA272" s="1046"/>
      <c r="CYB272" s="1046"/>
      <c r="CYC272" s="1046"/>
      <c r="CYD272" s="1046"/>
      <c r="CYE272" s="1046"/>
      <c r="CYF272" s="1046"/>
      <c r="CYG272" s="1046"/>
      <c r="CYH272" s="1046"/>
      <c r="CYI272" s="1046"/>
      <c r="CYJ272" s="1046"/>
      <c r="CYK272" s="1046"/>
      <c r="CYL272" s="1046"/>
      <c r="CYM272" s="1046"/>
      <c r="CYN272" s="1046"/>
      <c r="CYO272" s="1046"/>
      <c r="CYP272" s="1046"/>
      <c r="CYQ272" s="1046"/>
      <c r="CYR272" s="1046"/>
      <c r="CYS272" s="1046"/>
      <c r="CYT272" s="1046"/>
      <c r="CYU272" s="1046"/>
      <c r="CYV272" s="1046"/>
      <c r="CYW272" s="1046"/>
      <c r="CYX272" s="1046"/>
      <c r="CYY272" s="1046"/>
      <c r="CYZ272" s="1046"/>
      <c r="CZA272" s="1046"/>
      <c r="CZB272" s="1046"/>
      <c r="CZC272" s="1046"/>
      <c r="CZD272" s="1046"/>
      <c r="CZE272" s="1046"/>
      <c r="CZF272" s="1046"/>
      <c r="CZG272" s="1046"/>
      <c r="CZH272" s="1046"/>
      <c r="CZI272" s="1046"/>
      <c r="CZJ272" s="1046"/>
      <c r="CZK272" s="1046"/>
      <c r="CZL272" s="1046"/>
      <c r="CZM272" s="1046"/>
      <c r="CZN272" s="1046"/>
      <c r="CZO272" s="1046"/>
      <c r="CZP272" s="1046"/>
      <c r="CZQ272" s="1046"/>
      <c r="CZR272" s="1046"/>
      <c r="CZS272" s="1046"/>
      <c r="CZT272" s="1046"/>
      <c r="CZU272" s="1046"/>
      <c r="CZV272" s="1046"/>
      <c r="CZW272" s="1046"/>
      <c r="CZX272" s="1046"/>
      <c r="CZY272" s="1046"/>
      <c r="CZZ272" s="1046"/>
      <c r="DAA272" s="1046"/>
      <c r="DAB272" s="1046"/>
      <c r="DAC272" s="1046"/>
      <c r="DAD272" s="1046"/>
      <c r="DAE272" s="1046"/>
      <c r="DAF272" s="1046"/>
      <c r="DAG272" s="1046"/>
      <c r="DAH272" s="1046"/>
      <c r="DAI272" s="1046"/>
      <c r="DAJ272" s="1046"/>
      <c r="DAK272" s="1046"/>
      <c r="DAL272" s="1046"/>
      <c r="DAM272" s="1046"/>
      <c r="DAN272" s="1046"/>
      <c r="DAO272" s="1046"/>
      <c r="DAP272" s="1046"/>
      <c r="DAQ272" s="1046"/>
      <c r="DAR272" s="1046"/>
      <c r="DAS272" s="1046"/>
      <c r="DAT272" s="1046"/>
      <c r="DAU272" s="1046"/>
      <c r="DAV272" s="1046"/>
      <c r="DAW272" s="1046"/>
      <c r="DAX272" s="1046"/>
      <c r="DAY272" s="1046"/>
      <c r="DAZ272" s="1046"/>
      <c r="DBA272" s="1046"/>
      <c r="DBB272" s="1046"/>
      <c r="DBC272" s="1046"/>
      <c r="DBD272" s="1046"/>
      <c r="DBE272" s="1046"/>
      <c r="DBF272" s="1046"/>
      <c r="DBG272" s="1046"/>
      <c r="DBH272" s="1046"/>
      <c r="DBI272" s="1046"/>
      <c r="DBJ272" s="1046"/>
      <c r="DBK272" s="1046"/>
      <c r="DBL272" s="1046"/>
      <c r="DBM272" s="1046"/>
      <c r="DBN272" s="1046"/>
      <c r="DBO272" s="1046"/>
      <c r="DBP272" s="1046"/>
      <c r="DBQ272" s="1046"/>
      <c r="DBR272" s="1046"/>
      <c r="DBS272" s="1046"/>
      <c r="DBT272" s="1046"/>
      <c r="DBU272" s="1046"/>
      <c r="DBV272" s="1046"/>
      <c r="DBW272" s="1046"/>
      <c r="DBX272" s="1046"/>
      <c r="DBY272" s="1046"/>
      <c r="DBZ272" s="1046"/>
      <c r="DCA272" s="1046"/>
      <c r="DCB272" s="1046"/>
      <c r="DCC272" s="1046"/>
      <c r="DCD272" s="1046"/>
      <c r="DCE272" s="1046"/>
      <c r="DCF272" s="1046"/>
      <c r="DCG272" s="1046"/>
      <c r="DCH272" s="1046"/>
      <c r="DCI272" s="1046"/>
      <c r="DCJ272" s="1046"/>
      <c r="DCK272" s="1046"/>
      <c r="DCL272" s="1046"/>
      <c r="DCM272" s="1046"/>
      <c r="DCN272" s="1046"/>
      <c r="DCO272" s="1046"/>
      <c r="DCP272" s="1046"/>
      <c r="DCQ272" s="1046"/>
      <c r="DCR272" s="1046"/>
      <c r="DCS272" s="1046"/>
      <c r="DCT272" s="1046"/>
      <c r="DCU272" s="1046"/>
      <c r="DCV272" s="1046"/>
      <c r="DCW272" s="1046"/>
      <c r="DCX272" s="1046"/>
      <c r="DCY272" s="1046"/>
      <c r="DCZ272" s="1046"/>
      <c r="DDA272" s="1046"/>
      <c r="DDB272" s="1046"/>
      <c r="DDC272" s="1046"/>
      <c r="DDD272" s="1046"/>
      <c r="DDE272" s="1046"/>
      <c r="DDF272" s="1046"/>
      <c r="DDG272" s="1046"/>
      <c r="DDH272" s="1046"/>
      <c r="DDI272" s="1046"/>
      <c r="DDJ272" s="1046"/>
      <c r="DDK272" s="1046"/>
      <c r="DDL272" s="1046"/>
      <c r="DDM272" s="1046"/>
      <c r="DDN272" s="1046"/>
      <c r="DDO272" s="1046"/>
      <c r="DDP272" s="1046"/>
      <c r="DDQ272" s="1046"/>
      <c r="DDR272" s="1046"/>
      <c r="DDS272" s="1046"/>
      <c r="DDT272" s="1046"/>
      <c r="DDU272" s="1046"/>
      <c r="DDV272" s="1046"/>
      <c r="DDW272" s="1046"/>
      <c r="DDX272" s="1046"/>
      <c r="DDY272" s="1046"/>
      <c r="DDZ272" s="1046"/>
      <c r="DEA272" s="1046"/>
      <c r="DEB272" s="1046"/>
      <c r="DEC272" s="1046"/>
      <c r="DED272" s="1046"/>
      <c r="DEE272" s="1046"/>
      <c r="DEF272" s="1046"/>
      <c r="DEG272" s="1046"/>
      <c r="DEH272" s="1046"/>
      <c r="DEI272" s="1046"/>
      <c r="DEJ272" s="1046"/>
      <c r="DEK272" s="1046"/>
      <c r="DEL272" s="1046"/>
      <c r="DEM272" s="1046"/>
      <c r="DEN272" s="1046"/>
      <c r="DEO272" s="1046"/>
      <c r="DEP272" s="1046"/>
      <c r="DEQ272" s="1046"/>
      <c r="DER272" s="1046"/>
      <c r="DES272" s="1046"/>
      <c r="DET272" s="1046"/>
      <c r="DEU272" s="1046"/>
      <c r="DEV272" s="1046"/>
      <c r="DEW272" s="1046"/>
      <c r="DEX272" s="1046"/>
      <c r="DEY272" s="1046"/>
      <c r="DEZ272" s="1046"/>
      <c r="DFA272" s="1046"/>
      <c r="DFB272" s="1046"/>
      <c r="DFC272" s="1046"/>
      <c r="DFD272" s="1046"/>
      <c r="DFE272" s="1046"/>
      <c r="DFF272" s="1046"/>
      <c r="DFG272" s="1046"/>
      <c r="DFH272" s="1046"/>
      <c r="DFI272" s="1046"/>
      <c r="DFJ272" s="1046"/>
      <c r="DFK272" s="1046"/>
      <c r="DFL272" s="1046"/>
      <c r="DFM272" s="1046"/>
      <c r="DFN272" s="1046"/>
      <c r="DFO272" s="1046"/>
      <c r="DFP272" s="1046"/>
      <c r="DFQ272" s="1046"/>
      <c r="DFR272" s="1046"/>
      <c r="DFS272" s="1046"/>
      <c r="DFT272" s="1046"/>
      <c r="DFU272" s="1046"/>
      <c r="DFV272" s="1046"/>
      <c r="DFW272" s="1046"/>
      <c r="DFX272" s="1046"/>
      <c r="DFY272" s="1046"/>
      <c r="DFZ272" s="1046"/>
      <c r="DGA272" s="1046"/>
      <c r="DGB272" s="1046"/>
      <c r="DGC272" s="1046"/>
      <c r="DGD272" s="1046"/>
      <c r="DGE272" s="1046"/>
      <c r="DGF272" s="1046"/>
      <c r="DGG272" s="1046"/>
      <c r="DGH272" s="1046"/>
      <c r="DGI272" s="1046"/>
      <c r="DGJ272" s="1046"/>
      <c r="DGK272" s="1046"/>
      <c r="DGL272" s="1046"/>
      <c r="DGM272" s="1046"/>
      <c r="DGN272" s="1046"/>
      <c r="DGO272" s="1046"/>
      <c r="DGP272" s="1046"/>
      <c r="DGQ272" s="1046"/>
      <c r="DGR272" s="1046"/>
      <c r="DGS272" s="1046"/>
      <c r="DGT272" s="1046"/>
      <c r="DGU272" s="1046"/>
      <c r="DGV272" s="1046"/>
      <c r="DGW272" s="1046"/>
      <c r="DGX272" s="1046"/>
      <c r="DGY272" s="1046"/>
      <c r="DGZ272" s="1046"/>
      <c r="DHA272" s="1046"/>
      <c r="DHB272" s="1046"/>
      <c r="DHC272" s="1046"/>
      <c r="DHD272" s="1046"/>
      <c r="DHE272" s="1046"/>
      <c r="DHF272" s="1046"/>
      <c r="DHG272" s="1046"/>
      <c r="DHH272" s="1046"/>
      <c r="DHI272" s="1046"/>
      <c r="DHJ272" s="1046"/>
      <c r="DHK272" s="1046"/>
      <c r="DHL272" s="1046"/>
      <c r="DHM272" s="1046"/>
      <c r="DHN272" s="1046"/>
      <c r="DHO272" s="1046"/>
      <c r="DHP272" s="1046"/>
      <c r="DHQ272" s="1046"/>
      <c r="DHR272" s="1046"/>
      <c r="DHS272" s="1046"/>
      <c r="DHT272" s="1046"/>
      <c r="DHU272" s="1046"/>
      <c r="DHV272" s="1046"/>
      <c r="DHW272" s="1046"/>
      <c r="DHX272" s="1046"/>
      <c r="DHY272" s="1046"/>
      <c r="DHZ272" s="1046"/>
      <c r="DIA272" s="1046"/>
      <c r="DIB272" s="1046"/>
      <c r="DIC272" s="1046"/>
      <c r="DID272" s="1046"/>
      <c r="DIE272" s="1046"/>
      <c r="DIF272" s="1046"/>
      <c r="DIG272" s="1046"/>
      <c r="DIH272" s="1046"/>
      <c r="DII272" s="1046"/>
      <c r="DIJ272" s="1046"/>
      <c r="DIK272" s="1046"/>
      <c r="DIL272" s="1046"/>
      <c r="DIM272" s="1046"/>
      <c r="DIN272" s="1046"/>
      <c r="DIO272" s="1046"/>
      <c r="DIP272" s="1046"/>
      <c r="DIQ272" s="1046"/>
      <c r="DIR272" s="1046"/>
      <c r="DIS272" s="1046"/>
      <c r="DIT272" s="1046"/>
      <c r="DIU272" s="1046"/>
      <c r="DIV272" s="1046"/>
      <c r="DIW272" s="1046"/>
      <c r="DIX272" s="1046"/>
      <c r="DIY272" s="1046"/>
      <c r="DIZ272" s="1046"/>
      <c r="DJA272" s="1046"/>
      <c r="DJB272" s="1046"/>
      <c r="DJC272" s="1046"/>
      <c r="DJD272" s="1046"/>
      <c r="DJE272" s="1046"/>
      <c r="DJF272" s="1046"/>
      <c r="DJG272" s="1046"/>
      <c r="DJH272" s="1046"/>
      <c r="DJI272" s="1046"/>
      <c r="DJJ272" s="1046"/>
      <c r="DJK272" s="1046"/>
      <c r="DJL272" s="1046"/>
      <c r="DJM272" s="1046"/>
      <c r="DJN272" s="1046"/>
      <c r="DJO272" s="1046"/>
      <c r="DJP272" s="1046"/>
      <c r="DJQ272" s="1046"/>
      <c r="DJR272" s="1046"/>
      <c r="DJS272" s="1046"/>
      <c r="DJT272" s="1046"/>
      <c r="DJU272" s="1046"/>
      <c r="DJV272" s="1046"/>
      <c r="DJW272" s="1046"/>
      <c r="DJX272" s="1046"/>
      <c r="DJY272" s="1046"/>
      <c r="DJZ272" s="1046"/>
      <c r="DKA272" s="1046"/>
      <c r="DKB272" s="1046"/>
      <c r="DKC272" s="1046"/>
      <c r="DKD272" s="1046"/>
      <c r="DKE272" s="1046"/>
      <c r="DKF272" s="1046"/>
      <c r="DKG272" s="1046"/>
      <c r="DKH272" s="1046"/>
      <c r="DKI272" s="1046"/>
      <c r="DKJ272" s="1046"/>
      <c r="DKK272" s="1046"/>
      <c r="DKL272" s="1046"/>
      <c r="DKM272" s="1046"/>
      <c r="DKN272" s="1046"/>
      <c r="DKO272" s="1046"/>
      <c r="DKP272" s="1046"/>
      <c r="DKQ272" s="1046"/>
      <c r="DKR272" s="1046"/>
      <c r="DKS272" s="1046"/>
      <c r="DKT272" s="1046"/>
      <c r="DKU272" s="1046"/>
      <c r="DKV272" s="1046"/>
      <c r="DKW272" s="1046"/>
      <c r="DKX272" s="1046"/>
      <c r="DKY272" s="1046"/>
      <c r="DKZ272" s="1046"/>
      <c r="DLA272" s="1046"/>
      <c r="DLB272" s="1046"/>
      <c r="DLC272" s="1046"/>
      <c r="DLD272" s="1046"/>
      <c r="DLE272" s="1046"/>
      <c r="DLF272" s="1046"/>
      <c r="DLG272" s="1046"/>
      <c r="DLH272" s="1046"/>
      <c r="DLI272" s="1046"/>
      <c r="DLJ272" s="1046"/>
      <c r="DLK272" s="1046"/>
      <c r="DLL272" s="1046"/>
      <c r="DLM272" s="1046"/>
      <c r="DLN272" s="1046"/>
      <c r="DLO272" s="1046"/>
      <c r="DLP272" s="1046"/>
      <c r="DLQ272" s="1046"/>
      <c r="DLR272" s="1046"/>
      <c r="DLS272" s="1046"/>
      <c r="DLT272" s="1046"/>
      <c r="DLU272" s="1046"/>
      <c r="DLV272" s="1046"/>
      <c r="DLW272" s="1046"/>
      <c r="DLX272" s="1046"/>
      <c r="DLY272" s="1046"/>
      <c r="DLZ272" s="1046"/>
      <c r="DMA272" s="1046"/>
      <c r="DMB272" s="1046"/>
      <c r="DMC272" s="1046"/>
      <c r="DMD272" s="1046"/>
      <c r="DME272" s="1046"/>
      <c r="DMF272" s="1046"/>
      <c r="DMG272" s="1046"/>
      <c r="DMH272" s="1046"/>
      <c r="DMI272" s="1046"/>
      <c r="DMJ272" s="1046"/>
      <c r="DMK272" s="1046"/>
      <c r="DML272" s="1046"/>
      <c r="DMM272" s="1046"/>
      <c r="DMN272" s="1046"/>
      <c r="DMO272" s="1046"/>
      <c r="DMP272" s="1046"/>
      <c r="DMQ272" s="1046"/>
      <c r="DMR272" s="1046"/>
      <c r="DMS272" s="1046"/>
      <c r="DMT272" s="1046"/>
      <c r="DMU272" s="1046"/>
      <c r="DMV272" s="1046"/>
      <c r="DMW272" s="1046"/>
      <c r="DMX272" s="1046"/>
      <c r="DMY272" s="1046"/>
      <c r="DMZ272" s="1046"/>
      <c r="DNA272" s="1046"/>
      <c r="DNB272" s="1046"/>
      <c r="DNC272" s="1046"/>
      <c r="DND272" s="1046"/>
      <c r="DNE272" s="1046"/>
      <c r="DNF272" s="1046"/>
      <c r="DNG272" s="1046"/>
      <c r="DNH272" s="1046"/>
      <c r="DNI272" s="1046"/>
      <c r="DNJ272" s="1046"/>
      <c r="DNK272" s="1046"/>
      <c r="DNL272" s="1046"/>
      <c r="DNM272" s="1046"/>
      <c r="DNN272" s="1046"/>
      <c r="DNO272" s="1046"/>
      <c r="DNP272" s="1046"/>
      <c r="DNQ272" s="1046"/>
      <c r="DNR272" s="1046"/>
      <c r="DNS272" s="1046"/>
      <c r="DNT272" s="1046"/>
      <c r="DNU272" s="1046"/>
      <c r="DNV272" s="1046"/>
      <c r="DNW272" s="1046"/>
      <c r="DNX272" s="1046"/>
      <c r="DNY272" s="1046"/>
      <c r="DNZ272" s="1046"/>
      <c r="DOA272" s="1046"/>
      <c r="DOB272" s="1046"/>
      <c r="DOC272" s="1046"/>
      <c r="DOD272" s="1046"/>
      <c r="DOE272" s="1046"/>
      <c r="DOF272" s="1046"/>
      <c r="DOG272" s="1046"/>
      <c r="DOH272" s="1046"/>
      <c r="DOI272" s="1046"/>
      <c r="DOJ272" s="1046"/>
      <c r="DOK272" s="1046"/>
      <c r="DOL272" s="1046"/>
      <c r="DOM272" s="1046"/>
      <c r="DON272" s="1046"/>
      <c r="DOO272" s="1046"/>
      <c r="DOP272" s="1046"/>
      <c r="DOQ272" s="1046"/>
      <c r="DOR272" s="1046"/>
      <c r="DOS272" s="1046"/>
      <c r="DOT272" s="1046"/>
      <c r="DOU272" s="1046"/>
      <c r="DOV272" s="1046"/>
      <c r="DOW272" s="1046"/>
      <c r="DOX272" s="1046"/>
      <c r="DOY272" s="1046"/>
      <c r="DOZ272" s="1046"/>
      <c r="DPA272" s="1046"/>
      <c r="DPB272" s="1046"/>
      <c r="DPC272" s="1046"/>
      <c r="DPD272" s="1046"/>
      <c r="DPE272" s="1046"/>
      <c r="DPF272" s="1046"/>
      <c r="DPG272" s="1046"/>
      <c r="DPH272" s="1046"/>
      <c r="DPI272" s="1046"/>
      <c r="DPJ272" s="1046"/>
      <c r="DPK272" s="1046"/>
      <c r="DPL272" s="1046"/>
      <c r="DPM272" s="1046"/>
      <c r="DPN272" s="1046"/>
      <c r="DPO272" s="1046"/>
      <c r="DPP272" s="1046"/>
      <c r="DPQ272" s="1046"/>
      <c r="DPR272" s="1046"/>
      <c r="DPS272" s="1046"/>
      <c r="DPT272" s="1046"/>
      <c r="DPU272" s="1046"/>
      <c r="DPV272" s="1046"/>
      <c r="DPW272" s="1046"/>
      <c r="DPX272" s="1046"/>
      <c r="DPY272" s="1046"/>
      <c r="DPZ272" s="1046"/>
      <c r="DQA272" s="1046"/>
      <c r="DQB272" s="1046"/>
      <c r="DQC272" s="1046"/>
      <c r="DQD272" s="1046"/>
      <c r="DQE272" s="1046"/>
      <c r="DQF272" s="1046"/>
      <c r="DQG272" s="1046"/>
      <c r="DQH272" s="1046"/>
      <c r="DQI272" s="1046"/>
      <c r="DQJ272" s="1046"/>
      <c r="DQK272" s="1046"/>
      <c r="DQL272" s="1046"/>
      <c r="DQM272" s="1046"/>
      <c r="DQN272" s="1046"/>
      <c r="DQO272" s="1046"/>
      <c r="DQP272" s="1046"/>
      <c r="DQQ272" s="1046"/>
      <c r="DQR272" s="1046"/>
      <c r="DQS272" s="1046"/>
      <c r="DQT272" s="1046"/>
      <c r="DQU272" s="1046"/>
      <c r="DQV272" s="1046"/>
      <c r="DQW272" s="1046"/>
      <c r="DQX272" s="1046"/>
      <c r="DQY272" s="1046"/>
      <c r="DQZ272" s="1046"/>
      <c r="DRA272" s="1046"/>
      <c r="DRB272" s="1046"/>
      <c r="DRC272" s="1046"/>
      <c r="DRD272" s="1046"/>
      <c r="DRE272" s="1046"/>
      <c r="DRF272" s="1046"/>
      <c r="DRG272" s="1046"/>
      <c r="DRH272" s="1046"/>
      <c r="DRI272" s="1046"/>
      <c r="DRJ272" s="1046"/>
      <c r="DRK272" s="1046"/>
      <c r="DRL272" s="1046"/>
      <c r="DRM272" s="1046"/>
      <c r="DRN272" s="1046"/>
      <c r="DRO272" s="1046"/>
      <c r="DRP272" s="1046"/>
      <c r="DRQ272" s="1046"/>
      <c r="DRR272" s="1046"/>
      <c r="DRS272" s="1046"/>
      <c r="DRT272" s="1046"/>
      <c r="DRU272" s="1046"/>
      <c r="DRV272" s="1046"/>
      <c r="DRW272" s="1046"/>
      <c r="DRX272" s="1046"/>
      <c r="DRY272" s="1046"/>
      <c r="DRZ272" s="1046"/>
      <c r="DSA272" s="1046"/>
      <c r="DSB272" s="1046"/>
      <c r="DSC272" s="1046"/>
      <c r="DSD272" s="1046"/>
      <c r="DSE272" s="1046"/>
      <c r="DSF272" s="1046"/>
      <c r="DSG272" s="1046"/>
      <c r="DSH272" s="1046"/>
      <c r="DSI272" s="1046"/>
      <c r="DSJ272" s="1046"/>
      <c r="DSK272" s="1046"/>
      <c r="DSL272" s="1046"/>
      <c r="DSM272" s="1046"/>
      <c r="DSN272" s="1046"/>
      <c r="DSO272" s="1046"/>
      <c r="DSP272" s="1046"/>
      <c r="DSQ272" s="1046"/>
      <c r="DSR272" s="1046"/>
      <c r="DSS272" s="1046"/>
      <c r="DST272" s="1046"/>
      <c r="DSU272" s="1046"/>
      <c r="DSV272" s="1046"/>
      <c r="DSW272" s="1046"/>
      <c r="DSX272" s="1046"/>
      <c r="DSY272" s="1046"/>
      <c r="DSZ272" s="1046"/>
      <c r="DTA272" s="1046"/>
      <c r="DTB272" s="1046"/>
      <c r="DTC272" s="1046"/>
      <c r="DTD272" s="1046"/>
      <c r="DTE272" s="1046"/>
      <c r="DTF272" s="1046"/>
      <c r="DTG272" s="1046"/>
      <c r="DTH272" s="1046"/>
      <c r="DTI272" s="1046"/>
      <c r="DTJ272" s="1046"/>
      <c r="DTK272" s="1046"/>
      <c r="DTL272" s="1046"/>
      <c r="DTM272" s="1046"/>
      <c r="DTN272" s="1046"/>
      <c r="DTO272" s="1046"/>
      <c r="DTP272" s="1046"/>
      <c r="DTQ272" s="1046"/>
      <c r="DTR272" s="1046"/>
      <c r="DTS272" s="1046"/>
      <c r="DTT272" s="1046"/>
      <c r="DTU272" s="1046"/>
      <c r="DTV272" s="1046"/>
      <c r="DTW272" s="1046"/>
      <c r="DTX272" s="1046"/>
      <c r="DTY272" s="1046"/>
      <c r="DTZ272" s="1046"/>
      <c r="DUA272" s="1046"/>
      <c r="DUB272" s="1046"/>
      <c r="DUC272" s="1046"/>
      <c r="DUD272" s="1046"/>
      <c r="DUE272" s="1046"/>
      <c r="DUF272" s="1046"/>
      <c r="DUG272" s="1046"/>
      <c r="DUH272" s="1046"/>
      <c r="DUI272" s="1046"/>
      <c r="DUJ272" s="1046"/>
      <c r="DUK272" s="1046"/>
      <c r="DUL272" s="1046"/>
      <c r="DUM272" s="1046"/>
      <c r="DUN272" s="1046"/>
    </row>
    <row r="273" spans="1:3264" ht="15.75" x14ac:dyDescent="0.2">
      <c r="A273" s="1002"/>
      <c r="B273" s="79" t="s">
        <v>8</v>
      </c>
      <c r="C273" s="79" t="s">
        <v>7</v>
      </c>
      <c r="D273" s="79" t="s">
        <v>9</v>
      </c>
      <c r="E273" s="79" t="s">
        <v>19</v>
      </c>
      <c r="F273" s="79" t="s">
        <v>20</v>
      </c>
      <c r="G273" s="79" t="s">
        <v>8</v>
      </c>
      <c r="H273" s="79" t="s">
        <v>7</v>
      </c>
      <c r="I273" s="79" t="s">
        <v>9</v>
      </c>
      <c r="J273" s="79" t="s">
        <v>19</v>
      </c>
      <c r="K273" s="79" t="s">
        <v>20</v>
      </c>
      <c r="L273" s="79" t="s">
        <v>8</v>
      </c>
      <c r="M273" s="79" t="s">
        <v>7</v>
      </c>
      <c r="N273" s="79" t="s">
        <v>9</v>
      </c>
      <c r="O273" s="79" t="s">
        <v>19</v>
      </c>
      <c r="P273" s="24" t="s">
        <v>20</v>
      </c>
      <c r="Q273" s="1047"/>
      <c r="R273" s="314"/>
      <c r="S273" s="314"/>
      <c r="T273" s="314"/>
      <c r="U273" s="314"/>
      <c r="V273" s="314"/>
      <c r="W273" s="314"/>
      <c r="X273" s="314"/>
      <c r="Y273" s="314"/>
      <c r="Z273" s="314"/>
      <c r="AA273" s="314"/>
      <c r="AB273" s="314"/>
      <c r="AC273" s="314"/>
      <c r="AD273" s="314"/>
      <c r="AE273" s="314"/>
      <c r="AF273" s="314"/>
      <c r="AG273" s="1046"/>
      <c r="AH273" s="314"/>
      <c r="AI273" s="314"/>
      <c r="AJ273" s="314"/>
      <c r="AK273" s="314"/>
      <c r="AL273" s="314"/>
      <c r="AM273" s="314"/>
      <c r="AN273" s="314"/>
      <c r="AO273" s="314"/>
      <c r="AP273" s="314"/>
      <c r="AQ273" s="314"/>
      <c r="AR273" s="314"/>
      <c r="AS273" s="314"/>
      <c r="AT273" s="314"/>
      <c r="AU273" s="314"/>
      <c r="AV273" s="314"/>
      <c r="AW273" s="1046"/>
      <c r="AX273" s="314"/>
      <c r="AY273" s="314"/>
      <c r="AZ273" s="314"/>
      <c r="BA273" s="314"/>
      <c r="BB273" s="314"/>
      <c r="BC273" s="314"/>
      <c r="BD273" s="314"/>
      <c r="BE273" s="314"/>
      <c r="BF273" s="314"/>
      <c r="BG273" s="314"/>
      <c r="BH273" s="314"/>
      <c r="BI273" s="314"/>
      <c r="BJ273" s="314"/>
      <c r="BK273" s="314"/>
      <c r="BL273" s="314"/>
      <c r="BM273" s="1046"/>
      <c r="BN273" s="314"/>
      <c r="BO273" s="314"/>
      <c r="BP273" s="314"/>
      <c r="BQ273" s="314"/>
      <c r="BR273" s="314"/>
      <c r="BS273" s="314"/>
      <c r="BT273" s="314"/>
      <c r="BU273" s="314"/>
      <c r="BV273" s="314"/>
      <c r="BW273" s="314"/>
      <c r="BX273" s="314"/>
      <c r="BY273" s="314"/>
      <c r="BZ273" s="314"/>
      <c r="CA273" s="314"/>
      <c r="CB273" s="314"/>
      <c r="CC273" s="1046"/>
      <c r="CD273" s="314"/>
      <c r="CE273" s="314"/>
      <c r="CF273" s="314"/>
      <c r="CG273" s="314"/>
      <c r="CH273" s="314"/>
      <c r="CI273" s="314"/>
      <c r="CJ273" s="314"/>
      <c r="CK273" s="314"/>
      <c r="CL273" s="314"/>
      <c r="CM273" s="314"/>
      <c r="CN273" s="314"/>
      <c r="CO273" s="314"/>
      <c r="CP273" s="314"/>
      <c r="CQ273" s="314"/>
      <c r="CR273" s="314"/>
      <c r="CS273" s="1046"/>
      <c r="CT273" s="314"/>
      <c r="CU273" s="314"/>
      <c r="CV273" s="314"/>
      <c r="CW273" s="314"/>
      <c r="CX273" s="314"/>
      <c r="CY273" s="314"/>
      <c r="CZ273" s="314"/>
      <c r="DA273" s="314"/>
      <c r="DB273" s="314"/>
      <c r="DC273" s="314"/>
      <c r="DD273" s="314"/>
      <c r="DE273" s="314"/>
      <c r="DF273" s="314"/>
      <c r="DG273" s="314"/>
      <c r="DH273" s="314"/>
      <c r="DI273" s="1046"/>
      <c r="DJ273" s="314"/>
      <c r="DK273" s="314"/>
      <c r="DL273" s="314"/>
      <c r="DM273" s="314"/>
      <c r="DN273" s="314"/>
      <c r="DO273" s="314"/>
      <c r="DP273" s="314"/>
      <c r="DQ273" s="314"/>
      <c r="DR273" s="314"/>
      <c r="DS273" s="314"/>
      <c r="DT273" s="314"/>
      <c r="DU273" s="314"/>
      <c r="DV273" s="314"/>
      <c r="DW273" s="314"/>
      <c r="DX273" s="314"/>
      <c r="DY273" s="1046"/>
      <c r="DZ273" s="314"/>
      <c r="EA273" s="314"/>
      <c r="EB273" s="314"/>
      <c r="EC273" s="314"/>
      <c r="ED273" s="314"/>
      <c r="EE273" s="314"/>
      <c r="EF273" s="314"/>
      <c r="EG273" s="314"/>
      <c r="EH273" s="314"/>
      <c r="EI273" s="314"/>
      <c r="EJ273" s="314"/>
      <c r="EK273" s="314"/>
      <c r="EL273" s="314"/>
      <c r="EM273" s="314"/>
      <c r="EN273" s="314"/>
      <c r="EO273" s="1046"/>
      <c r="EP273" s="314"/>
      <c r="EQ273" s="314"/>
      <c r="ER273" s="314"/>
      <c r="ES273" s="314"/>
      <c r="ET273" s="314"/>
      <c r="EU273" s="314"/>
      <c r="EV273" s="314"/>
      <c r="EW273" s="314"/>
      <c r="EX273" s="314"/>
      <c r="EY273" s="314"/>
      <c r="EZ273" s="314"/>
      <c r="FA273" s="314"/>
      <c r="FB273" s="314"/>
      <c r="FC273" s="314"/>
      <c r="FD273" s="314"/>
      <c r="FE273" s="1046"/>
      <c r="FF273" s="314"/>
      <c r="FG273" s="314"/>
      <c r="FH273" s="314"/>
      <c r="FI273" s="314"/>
      <c r="FJ273" s="314"/>
      <c r="FK273" s="314"/>
      <c r="FL273" s="314"/>
      <c r="FM273" s="314"/>
      <c r="FN273" s="314"/>
      <c r="FO273" s="314"/>
      <c r="FP273" s="314"/>
      <c r="FQ273" s="314"/>
      <c r="FR273" s="314"/>
      <c r="FS273" s="314"/>
      <c r="FT273" s="314"/>
      <c r="FU273" s="1046"/>
      <c r="FV273" s="314"/>
      <c r="FW273" s="314"/>
      <c r="FX273" s="314"/>
      <c r="FY273" s="314"/>
      <c r="FZ273" s="314"/>
      <c r="GA273" s="314"/>
      <c r="GB273" s="314"/>
      <c r="GC273" s="314"/>
      <c r="GD273" s="314"/>
      <c r="GE273" s="314"/>
      <c r="GF273" s="314"/>
      <c r="GG273" s="314"/>
      <c r="GH273" s="314"/>
      <c r="GI273" s="314"/>
      <c r="GJ273" s="314"/>
      <c r="GK273" s="1046"/>
      <c r="GL273" s="314"/>
      <c r="GM273" s="314"/>
      <c r="GN273" s="314"/>
      <c r="GO273" s="314"/>
      <c r="GP273" s="314"/>
      <c r="GQ273" s="314"/>
      <c r="GR273" s="314"/>
      <c r="GS273" s="314"/>
      <c r="GT273" s="314"/>
      <c r="GU273" s="314"/>
      <c r="GV273" s="314"/>
      <c r="GW273" s="314"/>
      <c r="GX273" s="314"/>
      <c r="GY273" s="314"/>
      <c r="GZ273" s="314"/>
      <c r="HA273" s="1046"/>
      <c r="HB273" s="314"/>
      <c r="HC273" s="314"/>
      <c r="HD273" s="314"/>
      <c r="HE273" s="314"/>
      <c r="HF273" s="314"/>
      <c r="HG273" s="314"/>
      <c r="HH273" s="314"/>
      <c r="HI273" s="314"/>
      <c r="HJ273" s="314"/>
      <c r="HK273" s="314"/>
      <c r="HL273" s="314"/>
      <c r="HM273" s="314"/>
      <c r="HN273" s="314"/>
      <c r="HO273" s="314"/>
      <c r="HP273" s="314"/>
      <c r="HQ273" s="1046"/>
      <c r="HR273" s="314"/>
      <c r="HS273" s="314"/>
      <c r="HT273" s="314"/>
      <c r="HU273" s="314"/>
      <c r="HV273" s="314"/>
      <c r="HW273" s="314"/>
      <c r="HX273" s="314"/>
      <c r="HY273" s="314"/>
      <c r="HZ273" s="314"/>
      <c r="IA273" s="314"/>
      <c r="IB273" s="314"/>
      <c r="IC273" s="314"/>
      <c r="ID273" s="314"/>
      <c r="IE273" s="314"/>
      <c r="IF273" s="314"/>
      <c r="IG273" s="1046"/>
      <c r="IH273" s="314"/>
      <c r="II273" s="314"/>
      <c r="IJ273" s="314"/>
      <c r="IK273" s="314"/>
      <c r="IL273" s="314"/>
      <c r="IM273" s="314"/>
      <c r="IN273" s="314"/>
      <c r="IO273" s="314"/>
      <c r="IP273" s="314"/>
      <c r="IQ273" s="314"/>
      <c r="IR273" s="314"/>
      <c r="IS273" s="314"/>
      <c r="IT273" s="314"/>
      <c r="IU273" s="314"/>
      <c r="IV273" s="314"/>
      <c r="IW273" s="1046"/>
      <c r="IX273" s="314"/>
      <c r="IY273" s="314"/>
      <c r="IZ273" s="314"/>
      <c r="JA273" s="314"/>
      <c r="JB273" s="314"/>
      <c r="JC273" s="314"/>
      <c r="JD273" s="314"/>
      <c r="JE273" s="314"/>
      <c r="JF273" s="314"/>
      <c r="JG273" s="314"/>
      <c r="JH273" s="314"/>
      <c r="JI273" s="314"/>
      <c r="JJ273" s="314"/>
      <c r="JK273" s="314"/>
      <c r="JL273" s="314"/>
      <c r="JM273" s="1046"/>
      <c r="JN273" s="314"/>
      <c r="JO273" s="314"/>
      <c r="JP273" s="314"/>
      <c r="JQ273" s="314"/>
      <c r="JR273" s="314"/>
      <c r="JS273" s="314"/>
      <c r="JT273" s="314"/>
      <c r="JU273" s="314"/>
      <c r="JV273" s="314"/>
      <c r="JW273" s="314"/>
      <c r="JX273" s="314"/>
      <c r="JY273" s="314"/>
      <c r="JZ273" s="314"/>
      <c r="KA273" s="314"/>
      <c r="KB273" s="314"/>
      <c r="KC273" s="1046"/>
      <c r="KD273" s="314"/>
      <c r="KE273" s="314"/>
      <c r="KF273" s="314"/>
      <c r="KG273" s="314"/>
      <c r="KH273" s="314"/>
      <c r="KI273" s="314"/>
      <c r="KJ273" s="314"/>
      <c r="KK273" s="314"/>
      <c r="KL273" s="314"/>
      <c r="KM273" s="314"/>
      <c r="KN273" s="314"/>
      <c r="KO273" s="314"/>
      <c r="KP273" s="314"/>
      <c r="KQ273" s="314"/>
      <c r="KR273" s="314"/>
      <c r="KS273" s="1046"/>
      <c r="KT273" s="314"/>
      <c r="KU273" s="314"/>
      <c r="KV273" s="314"/>
      <c r="KW273" s="314"/>
      <c r="KX273" s="314"/>
      <c r="KY273" s="314"/>
      <c r="KZ273" s="314"/>
      <c r="LA273" s="314"/>
      <c r="LB273" s="314"/>
      <c r="LC273" s="314"/>
      <c r="LD273" s="314"/>
      <c r="LE273" s="314"/>
      <c r="LF273" s="314"/>
      <c r="LG273" s="314"/>
      <c r="LH273" s="314"/>
      <c r="LI273" s="1046"/>
      <c r="LJ273" s="314"/>
      <c r="LK273" s="314"/>
      <c r="LL273" s="314"/>
      <c r="LM273" s="314"/>
      <c r="LN273" s="314"/>
      <c r="LO273" s="314"/>
      <c r="LP273" s="314"/>
      <c r="LQ273" s="314"/>
      <c r="LR273" s="314"/>
      <c r="LS273" s="314"/>
      <c r="LT273" s="314"/>
      <c r="LU273" s="314"/>
      <c r="LV273" s="314"/>
      <c r="LW273" s="314"/>
      <c r="LX273" s="314"/>
      <c r="LY273" s="1046"/>
      <c r="LZ273" s="314"/>
      <c r="MA273" s="314"/>
      <c r="MB273" s="314"/>
      <c r="MC273" s="314"/>
      <c r="MD273" s="314"/>
      <c r="ME273" s="314"/>
      <c r="MF273" s="314"/>
      <c r="MG273" s="314"/>
      <c r="MH273" s="314"/>
      <c r="MI273" s="314"/>
      <c r="MJ273" s="314"/>
      <c r="MK273" s="314"/>
      <c r="ML273" s="314"/>
      <c r="MM273" s="314"/>
      <c r="MN273" s="314"/>
      <c r="MO273" s="1046"/>
      <c r="MP273" s="314"/>
      <c r="MQ273" s="314"/>
      <c r="MR273" s="314"/>
      <c r="MS273" s="314"/>
      <c r="MT273" s="314"/>
      <c r="MU273" s="314"/>
      <c r="MV273" s="314"/>
      <c r="MW273" s="314"/>
      <c r="MX273" s="314"/>
      <c r="MY273" s="314"/>
      <c r="MZ273" s="314"/>
      <c r="NA273" s="314"/>
      <c r="NB273" s="314"/>
      <c r="NC273" s="314"/>
      <c r="ND273" s="314"/>
      <c r="NE273" s="1046"/>
      <c r="NF273" s="314"/>
      <c r="NG273" s="314"/>
      <c r="NH273" s="314"/>
      <c r="NI273" s="314"/>
      <c r="NJ273" s="314"/>
      <c r="NK273" s="314"/>
      <c r="NL273" s="314"/>
      <c r="NM273" s="314"/>
      <c r="NN273" s="314"/>
      <c r="NO273" s="314"/>
      <c r="NP273" s="314"/>
      <c r="NQ273" s="314"/>
      <c r="NR273" s="314"/>
      <c r="NS273" s="314"/>
      <c r="NT273" s="314"/>
      <c r="NU273" s="1046"/>
      <c r="NV273" s="314"/>
      <c r="NW273" s="314"/>
      <c r="NX273" s="314"/>
      <c r="NY273" s="314"/>
      <c r="NZ273" s="314"/>
      <c r="OA273" s="314"/>
      <c r="OB273" s="314"/>
      <c r="OC273" s="314"/>
      <c r="OD273" s="314"/>
      <c r="OE273" s="314"/>
      <c r="OF273" s="314"/>
      <c r="OG273" s="314"/>
      <c r="OH273" s="314"/>
      <c r="OI273" s="314"/>
      <c r="OJ273" s="314"/>
      <c r="OK273" s="1046"/>
      <c r="OL273" s="314"/>
      <c r="OM273" s="314"/>
      <c r="ON273" s="314"/>
      <c r="OO273" s="314"/>
      <c r="OP273" s="314"/>
      <c r="OQ273" s="314"/>
      <c r="OR273" s="314"/>
      <c r="OS273" s="314"/>
      <c r="OT273" s="314"/>
      <c r="OU273" s="314"/>
      <c r="OV273" s="314"/>
      <c r="OW273" s="314"/>
      <c r="OX273" s="314"/>
      <c r="OY273" s="314"/>
      <c r="OZ273" s="314"/>
      <c r="PA273" s="1046"/>
      <c r="PB273" s="314"/>
      <c r="PC273" s="314"/>
      <c r="PD273" s="314"/>
      <c r="PE273" s="314"/>
      <c r="PF273" s="314"/>
      <c r="PG273" s="314"/>
      <c r="PH273" s="314"/>
      <c r="PI273" s="314"/>
      <c r="PJ273" s="314"/>
      <c r="PK273" s="314"/>
      <c r="PL273" s="314"/>
      <c r="PM273" s="314"/>
      <c r="PN273" s="314"/>
      <c r="PO273" s="314"/>
      <c r="PP273" s="314"/>
      <c r="PQ273" s="1046"/>
      <c r="PR273" s="314"/>
      <c r="PS273" s="314"/>
      <c r="PT273" s="314"/>
      <c r="PU273" s="314"/>
      <c r="PV273" s="314"/>
      <c r="PW273" s="314"/>
      <c r="PX273" s="314"/>
      <c r="PY273" s="314"/>
      <c r="PZ273" s="314"/>
      <c r="QA273" s="314"/>
      <c r="QB273" s="314"/>
      <c r="QC273" s="314"/>
      <c r="QD273" s="314"/>
      <c r="QE273" s="314"/>
      <c r="QF273" s="314"/>
      <c r="QG273" s="1046"/>
      <c r="QH273" s="314"/>
      <c r="QI273" s="314"/>
      <c r="QJ273" s="314"/>
      <c r="QK273" s="314"/>
      <c r="QL273" s="314"/>
      <c r="QM273" s="314"/>
      <c r="QN273" s="314"/>
      <c r="QO273" s="314"/>
      <c r="QP273" s="314"/>
      <c r="QQ273" s="314"/>
      <c r="QR273" s="314"/>
      <c r="QS273" s="314"/>
      <c r="QT273" s="314"/>
      <c r="QU273" s="314"/>
      <c r="QV273" s="314"/>
      <c r="QW273" s="1046"/>
      <c r="QX273" s="314"/>
      <c r="QY273" s="314"/>
      <c r="QZ273" s="314"/>
      <c r="RA273" s="314"/>
      <c r="RB273" s="314"/>
      <c r="RC273" s="314"/>
      <c r="RD273" s="314"/>
      <c r="RE273" s="314"/>
      <c r="RF273" s="314"/>
      <c r="RG273" s="314"/>
      <c r="RH273" s="314"/>
      <c r="RI273" s="314"/>
      <c r="RJ273" s="314"/>
      <c r="RK273" s="314"/>
      <c r="RL273" s="314"/>
      <c r="RM273" s="1046"/>
      <c r="RN273" s="314"/>
      <c r="RO273" s="314"/>
      <c r="RP273" s="314"/>
      <c r="RQ273" s="314"/>
      <c r="RR273" s="314"/>
      <c r="RS273" s="314"/>
      <c r="RT273" s="314"/>
      <c r="RU273" s="314"/>
      <c r="RV273" s="314"/>
      <c r="RW273" s="314"/>
      <c r="RX273" s="314"/>
      <c r="RY273" s="314"/>
      <c r="RZ273" s="314"/>
      <c r="SA273" s="314"/>
      <c r="SB273" s="314"/>
      <c r="SC273" s="1046"/>
      <c r="SD273" s="314"/>
      <c r="SE273" s="314"/>
      <c r="SF273" s="314"/>
      <c r="SG273" s="314"/>
      <c r="SH273" s="314"/>
      <c r="SI273" s="314"/>
      <c r="SJ273" s="314"/>
      <c r="SK273" s="314"/>
      <c r="SL273" s="314"/>
      <c r="SM273" s="314"/>
      <c r="SN273" s="314"/>
      <c r="SO273" s="314"/>
      <c r="SP273" s="314"/>
      <c r="SQ273" s="314"/>
      <c r="SR273" s="314"/>
      <c r="SS273" s="1046"/>
      <c r="ST273" s="314"/>
      <c r="SU273" s="314"/>
      <c r="SV273" s="314"/>
      <c r="SW273" s="314"/>
      <c r="SX273" s="314"/>
      <c r="SY273" s="314"/>
      <c r="SZ273" s="314"/>
      <c r="TA273" s="314"/>
      <c r="TB273" s="314"/>
      <c r="TC273" s="314"/>
      <c r="TD273" s="314"/>
      <c r="TE273" s="314"/>
      <c r="TF273" s="314"/>
      <c r="TG273" s="314"/>
      <c r="TH273" s="314"/>
      <c r="TI273" s="1046"/>
      <c r="TJ273" s="314"/>
      <c r="TK273" s="314"/>
      <c r="TL273" s="314"/>
      <c r="TM273" s="314"/>
      <c r="TN273" s="314"/>
      <c r="TO273" s="314"/>
      <c r="TP273" s="314"/>
      <c r="TQ273" s="314"/>
      <c r="TR273" s="314"/>
      <c r="TS273" s="314"/>
      <c r="TT273" s="314"/>
      <c r="TU273" s="314"/>
      <c r="TV273" s="314"/>
      <c r="TW273" s="314"/>
      <c r="TX273" s="314"/>
      <c r="TY273" s="1046"/>
      <c r="TZ273" s="314"/>
      <c r="UA273" s="314"/>
      <c r="UB273" s="314"/>
      <c r="UC273" s="314"/>
      <c r="UD273" s="314"/>
      <c r="UE273" s="314"/>
      <c r="UF273" s="314"/>
      <c r="UG273" s="314"/>
      <c r="UH273" s="314"/>
      <c r="UI273" s="314"/>
      <c r="UJ273" s="314"/>
      <c r="UK273" s="314"/>
      <c r="UL273" s="314"/>
      <c r="UM273" s="314"/>
      <c r="UN273" s="314"/>
      <c r="UO273" s="1046"/>
      <c r="UP273" s="314"/>
      <c r="UQ273" s="314"/>
      <c r="UR273" s="314"/>
      <c r="US273" s="314"/>
      <c r="UT273" s="314"/>
      <c r="UU273" s="314"/>
      <c r="UV273" s="314"/>
      <c r="UW273" s="314"/>
      <c r="UX273" s="314"/>
      <c r="UY273" s="314"/>
      <c r="UZ273" s="314"/>
      <c r="VA273" s="314"/>
      <c r="VB273" s="314"/>
      <c r="VC273" s="314"/>
      <c r="VD273" s="314"/>
      <c r="VE273" s="1046"/>
      <c r="VF273" s="314"/>
      <c r="VG273" s="314"/>
      <c r="VH273" s="314"/>
      <c r="VI273" s="314"/>
      <c r="VJ273" s="314"/>
      <c r="VK273" s="314"/>
      <c r="VL273" s="314"/>
      <c r="VM273" s="314"/>
      <c r="VN273" s="314"/>
      <c r="VO273" s="314"/>
      <c r="VP273" s="314"/>
      <c r="VQ273" s="314"/>
      <c r="VR273" s="314"/>
      <c r="VS273" s="314"/>
      <c r="VT273" s="314"/>
      <c r="VU273" s="1046"/>
      <c r="VV273" s="314"/>
      <c r="VW273" s="314"/>
      <c r="VX273" s="314"/>
      <c r="VY273" s="314"/>
      <c r="VZ273" s="314"/>
      <c r="WA273" s="314"/>
      <c r="WB273" s="314"/>
      <c r="WC273" s="314"/>
      <c r="WD273" s="314"/>
      <c r="WE273" s="314"/>
      <c r="WF273" s="314"/>
      <c r="WG273" s="314"/>
      <c r="WH273" s="314"/>
      <c r="WI273" s="314"/>
      <c r="WJ273" s="314"/>
      <c r="WK273" s="1046"/>
      <c r="WL273" s="314"/>
      <c r="WM273" s="314"/>
      <c r="WN273" s="314"/>
      <c r="WO273" s="314"/>
      <c r="WP273" s="314"/>
      <c r="WQ273" s="314"/>
      <c r="WR273" s="314"/>
      <c r="WS273" s="314"/>
      <c r="WT273" s="314"/>
      <c r="WU273" s="314"/>
      <c r="WV273" s="314"/>
      <c r="WW273" s="314"/>
      <c r="WX273" s="314"/>
      <c r="WY273" s="314"/>
      <c r="WZ273" s="314"/>
      <c r="XA273" s="1046"/>
      <c r="XB273" s="314"/>
      <c r="XC273" s="314"/>
      <c r="XD273" s="314"/>
      <c r="XE273" s="314"/>
      <c r="XF273" s="314"/>
      <c r="XG273" s="314"/>
      <c r="XH273" s="314"/>
      <c r="XI273" s="314"/>
      <c r="XJ273" s="314"/>
      <c r="XK273" s="314"/>
      <c r="XL273" s="314"/>
      <c r="XM273" s="314"/>
      <c r="XN273" s="314"/>
      <c r="XO273" s="314"/>
      <c r="XP273" s="314"/>
      <c r="XQ273" s="1046"/>
      <c r="XR273" s="314"/>
      <c r="XS273" s="314"/>
      <c r="XT273" s="314"/>
      <c r="XU273" s="314"/>
      <c r="XV273" s="314"/>
      <c r="XW273" s="314"/>
      <c r="XX273" s="314"/>
      <c r="XY273" s="314"/>
      <c r="XZ273" s="314"/>
      <c r="YA273" s="314"/>
      <c r="YB273" s="314"/>
      <c r="YC273" s="314"/>
      <c r="YD273" s="314"/>
      <c r="YE273" s="314"/>
      <c r="YF273" s="314"/>
      <c r="YG273" s="1046"/>
      <c r="YH273" s="314"/>
      <c r="YI273" s="314"/>
      <c r="YJ273" s="314"/>
      <c r="YK273" s="314"/>
      <c r="YL273" s="314"/>
      <c r="YM273" s="314"/>
      <c r="YN273" s="314"/>
      <c r="YO273" s="314"/>
      <c r="YP273" s="314"/>
      <c r="YQ273" s="314"/>
      <c r="YR273" s="314"/>
      <c r="YS273" s="314"/>
      <c r="YT273" s="314"/>
      <c r="YU273" s="314"/>
      <c r="YV273" s="314"/>
      <c r="YW273" s="1046"/>
      <c r="YX273" s="314"/>
      <c r="YY273" s="314"/>
      <c r="YZ273" s="314"/>
      <c r="ZA273" s="314"/>
      <c r="ZB273" s="314"/>
      <c r="ZC273" s="314"/>
      <c r="ZD273" s="314"/>
      <c r="ZE273" s="314"/>
      <c r="ZF273" s="314"/>
      <c r="ZG273" s="314"/>
      <c r="ZH273" s="314"/>
      <c r="ZI273" s="314"/>
      <c r="ZJ273" s="314"/>
      <c r="ZK273" s="314"/>
      <c r="ZL273" s="314"/>
      <c r="ZM273" s="1046"/>
      <c r="ZN273" s="314"/>
      <c r="ZO273" s="314"/>
      <c r="ZP273" s="314"/>
      <c r="ZQ273" s="314"/>
      <c r="ZR273" s="314"/>
      <c r="ZS273" s="314"/>
      <c r="ZT273" s="314"/>
      <c r="ZU273" s="314"/>
      <c r="ZV273" s="314"/>
      <c r="ZW273" s="314"/>
      <c r="ZX273" s="314"/>
      <c r="ZY273" s="314"/>
      <c r="ZZ273" s="314"/>
      <c r="AAA273" s="314"/>
      <c r="AAB273" s="314"/>
      <c r="AAC273" s="1046"/>
      <c r="AAD273" s="314"/>
      <c r="AAE273" s="314"/>
      <c r="AAF273" s="314"/>
      <c r="AAG273" s="314"/>
      <c r="AAH273" s="314"/>
      <c r="AAI273" s="314"/>
      <c r="AAJ273" s="314"/>
      <c r="AAK273" s="314"/>
      <c r="AAL273" s="314"/>
      <c r="AAM273" s="314"/>
      <c r="AAN273" s="314"/>
      <c r="AAO273" s="314"/>
      <c r="AAP273" s="314"/>
      <c r="AAQ273" s="314"/>
      <c r="AAR273" s="314"/>
      <c r="AAS273" s="1046"/>
      <c r="AAT273" s="314"/>
      <c r="AAU273" s="314"/>
      <c r="AAV273" s="314"/>
      <c r="AAW273" s="314"/>
      <c r="AAX273" s="314"/>
      <c r="AAY273" s="314"/>
      <c r="AAZ273" s="314"/>
      <c r="ABA273" s="314"/>
      <c r="ABB273" s="314"/>
      <c r="ABC273" s="314"/>
      <c r="ABD273" s="314"/>
      <c r="ABE273" s="314"/>
      <c r="ABF273" s="314"/>
      <c r="ABG273" s="314"/>
      <c r="ABH273" s="314"/>
      <c r="ABI273" s="1046"/>
      <c r="ABJ273" s="314"/>
      <c r="ABK273" s="314"/>
      <c r="ABL273" s="314"/>
      <c r="ABM273" s="314"/>
      <c r="ABN273" s="314"/>
      <c r="ABO273" s="314"/>
      <c r="ABP273" s="314"/>
      <c r="ABQ273" s="314"/>
      <c r="ABR273" s="314"/>
      <c r="ABS273" s="314"/>
      <c r="ABT273" s="314"/>
      <c r="ABU273" s="314"/>
      <c r="ABV273" s="314"/>
      <c r="ABW273" s="314"/>
      <c r="ABX273" s="314"/>
      <c r="ABY273" s="1046"/>
      <c r="ABZ273" s="314"/>
      <c r="ACA273" s="314"/>
      <c r="ACB273" s="314"/>
      <c r="ACC273" s="314"/>
      <c r="ACD273" s="314"/>
      <c r="ACE273" s="314"/>
      <c r="ACF273" s="314"/>
      <c r="ACG273" s="314"/>
      <c r="ACH273" s="314"/>
      <c r="ACI273" s="314"/>
      <c r="ACJ273" s="314"/>
      <c r="ACK273" s="314"/>
      <c r="ACL273" s="314"/>
      <c r="ACM273" s="314"/>
      <c r="ACN273" s="314"/>
      <c r="ACO273" s="1046"/>
      <c r="ACP273" s="314"/>
      <c r="ACQ273" s="314"/>
      <c r="ACR273" s="314"/>
      <c r="ACS273" s="314"/>
      <c r="ACT273" s="314"/>
      <c r="ACU273" s="314"/>
      <c r="ACV273" s="314"/>
      <c r="ACW273" s="314"/>
      <c r="ACX273" s="314"/>
      <c r="ACY273" s="314"/>
      <c r="ACZ273" s="314"/>
      <c r="ADA273" s="314"/>
      <c r="ADB273" s="314"/>
      <c r="ADC273" s="314"/>
      <c r="ADD273" s="314"/>
      <c r="ADE273" s="1046"/>
      <c r="ADF273" s="314"/>
      <c r="ADG273" s="314"/>
      <c r="ADH273" s="314"/>
      <c r="ADI273" s="314"/>
      <c r="ADJ273" s="314"/>
      <c r="ADK273" s="314"/>
      <c r="ADL273" s="314"/>
      <c r="ADM273" s="314"/>
      <c r="ADN273" s="314"/>
      <c r="ADO273" s="314"/>
      <c r="ADP273" s="314"/>
      <c r="ADQ273" s="314"/>
      <c r="ADR273" s="314"/>
      <c r="ADS273" s="314"/>
      <c r="ADT273" s="314"/>
      <c r="ADU273" s="1046"/>
      <c r="ADV273" s="314"/>
      <c r="ADW273" s="314"/>
      <c r="ADX273" s="314"/>
      <c r="ADY273" s="314"/>
      <c r="ADZ273" s="314"/>
      <c r="AEA273" s="314"/>
      <c r="AEB273" s="314"/>
      <c r="AEC273" s="314"/>
      <c r="AED273" s="314"/>
      <c r="AEE273" s="314"/>
      <c r="AEF273" s="314"/>
      <c r="AEG273" s="314"/>
      <c r="AEH273" s="314"/>
      <c r="AEI273" s="314"/>
      <c r="AEJ273" s="314"/>
      <c r="AEK273" s="1046"/>
      <c r="AEL273" s="314"/>
      <c r="AEM273" s="314"/>
      <c r="AEN273" s="314"/>
      <c r="AEO273" s="314"/>
      <c r="AEP273" s="314"/>
      <c r="AEQ273" s="314"/>
      <c r="AER273" s="314"/>
      <c r="AES273" s="314"/>
      <c r="AET273" s="314"/>
      <c r="AEU273" s="314"/>
      <c r="AEV273" s="314"/>
      <c r="AEW273" s="314"/>
      <c r="AEX273" s="314"/>
      <c r="AEY273" s="314"/>
      <c r="AEZ273" s="314"/>
      <c r="AFA273" s="1046"/>
      <c r="AFB273" s="314"/>
      <c r="AFC273" s="314"/>
      <c r="AFD273" s="314"/>
      <c r="AFE273" s="314"/>
      <c r="AFF273" s="314"/>
      <c r="AFG273" s="314"/>
      <c r="AFH273" s="314"/>
      <c r="AFI273" s="314"/>
      <c r="AFJ273" s="314"/>
      <c r="AFK273" s="314"/>
      <c r="AFL273" s="314"/>
      <c r="AFM273" s="314"/>
      <c r="AFN273" s="314"/>
      <c r="AFO273" s="314"/>
      <c r="AFP273" s="314"/>
      <c r="AFQ273" s="1046"/>
      <c r="AFR273" s="314"/>
      <c r="AFS273" s="314"/>
      <c r="AFT273" s="314"/>
      <c r="AFU273" s="314"/>
      <c r="AFV273" s="314"/>
      <c r="AFW273" s="314"/>
      <c r="AFX273" s="314"/>
      <c r="AFY273" s="314"/>
      <c r="AFZ273" s="314"/>
      <c r="AGA273" s="314"/>
      <c r="AGB273" s="314"/>
      <c r="AGC273" s="314"/>
      <c r="AGD273" s="314"/>
      <c r="AGE273" s="314"/>
      <c r="AGF273" s="314"/>
      <c r="AGG273" s="1046"/>
      <c r="AGH273" s="314"/>
      <c r="AGI273" s="314"/>
      <c r="AGJ273" s="314"/>
      <c r="AGK273" s="314"/>
      <c r="AGL273" s="314"/>
      <c r="AGM273" s="314"/>
      <c r="AGN273" s="314"/>
      <c r="AGO273" s="314"/>
      <c r="AGP273" s="314"/>
      <c r="AGQ273" s="314"/>
      <c r="AGR273" s="314"/>
      <c r="AGS273" s="314"/>
      <c r="AGT273" s="314"/>
      <c r="AGU273" s="314"/>
      <c r="AGV273" s="314"/>
      <c r="AGW273" s="1046"/>
      <c r="AGX273" s="314"/>
      <c r="AGY273" s="314"/>
      <c r="AGZ273" s="314"/>
      <c r="AHA273" s="314"/>
      <c r="AHB273" s="314"/>
      <c r="AHC273" s="314"/>
      <c r="AHD273" s="314"/>
      <c r="AHE273" s="314"/>
      <c r="AHF273" s="314"/>
      <c r="AHG273" s="314"/>
      <c r="AHH273" s="314"/>
      <c r="AHI273" s="314"/>
      <c r="AHJ273" s="314"/>
      <c r="AHK273" s="314"/>
      <c r="AHL273" s="314"/>
      <c r="AHM273" s="1046"/>
      <c r="AHN273" s="314"/>
      <c r="AHO273" s="314"/>
      <c r="AHP273" s="314"/>
      <c r="AHQ273" s="314"/>
      <c r="AHR273" s="314"/>
      <c r="AHS273" s="314"/>
      <c r="AHT273" s="314"/>
      <c r="AHU273" s="314"/>
      <c r="AHV273" s="314"/>
      <c r="AHW273" s="314"/>
      <c r="AHX273" s="314"/>
      <c r="AHY273" s="314"/>
      <c r="AHZ273" s="314"/>
      <c r="AIA273" s="314"/>
      <c r="AIB273" s="314"/>
      <c r="AIC273" s="1046"/>
      <c r="AID273" s="314"/>
      <c r="AIE273" s="314"/>
      <c r="AIF273" s="314"/>
      <c r="AIG273" s="314"/>
      <c r="AIH273" s="314"/>
      <c r="AII273" s="314"/>
      <c r="AIJ273" s="314"/>
      <c r="AIK273" s="314"/>
      <c r="AIL273" s="314"/>
      <c r="AIM273" s="314"/>
      <c r="AIN273" s="314"/>
      <c r="AIO273" s="314"/>
      <c r="AIP273" s="314"/>
      <c r="AIQ273" s="314"/>
      <c r="AIR273" s="314"/>
      <c r="AIS273" s="1046"/>
      <c r="AIT273" s="314"/>
      <c r="AIU273" s="314"/>
      <c r="AIV273" s="314"/>
      <c r="AIW273" s="314"/>
      <c r="AIX273" s="314"/>
      <c r="AIY273" s="314"/>
      <c r="AIZ273" s="314"/>
      <c r="AJA273" s="314"/>
      <c r="AJB273" s="314"/>
      <c r="AJC273" s="314"/>
      <c r="AJD273" s="314"/>
      <c r="AJE273" s="314"/>
      <c r="AJF273" s="314"/>
      <c r="AJG273" s="314"/>
      <c r="AJH273" s="314"/>
      <c r="AJI273" s="1046"/>
      <c r="AJJ273" s="314"/>
      <c r="AJK273" s="314"/>
      <c r="AJL273" s="314"/>
      <c r="AJM273" s="314"/>
      <c r="AJN273" s="314"/>
      <c r="AJO273" s="314"/>
      <c r="AJP273" s="314"/>
      <c r="AJQ273" s="314"/>
      <c r="AJR273" s="314"/>
      <c r="AJS273" s="314"/>
      <c r="AJT273" s="314"/>
      <c r="AJU273" s="314"/>
      <c r="AJV273" s="314"/>
      <c r="AJW273" s="314"/>
      <c r="AJX273" s="314"/>
      <c r="AJY273" s="1046"/>
      <c r="AJZ273" s="314"/>
      <c r="AKA273" s="314"/>
      <c r="AKB273" s="314"/>
      <c r="AKC273" s="314"/>
      <c r="AKD273" s="314"/>
      <c r="AKE273" s="314"/>
      <c r="AKF273" s="314"/>
      <c r="AKG273" s="314"/>
      <c r="AKH273" s="314"/>
      <c r="AKI273" s="314"/>
      <c r="AKJ273" s="314"/>
      <c r="AKK273" s="314"/>
      <c r="AKL273" s="314"/>
      <c r="AKM273" s="314"/>
      <c r="AKN273" s="314"/>
      <c r="AKO273" s="1046"/>
      <c r="AKP273" s="314"/>
      <c r="AKQ273" s="314"/>
      <c r="AKR273" s="314"/>
      <c r="AKS273" s="314"/>
      <c r="AKT273" s="314"/>
      <c r="AKU273" s="314"/>
      <c r="AKV273" s="314"/>
      <c r="AKW273" s="314"/>
      <c r="AKX273" s="314"/>
      <c r="AKY273" s="314"/>
      <c r="AKZ273" s="314"/>
      <c r="ALA273" s="314"/>
      <c r="ALB273" s="314"/>
      <c r="ALC273" s="314"/>
      <c r="ALD273" s="314"/>
      <c r="ALE273" s="1046"/>
      <c r="ALF273" s="314"/>
      <c r="ALG273" s="314"/>
      <c r="ALH273" s="314"/>
      <c r="ALI273" s="314"/>
      <c r="ALJ273" s="314"/>
      <c r="ALK273" s="314"/>
      <c r="ALL273" s="314"/>
      <c r="ALM273" s="314"/>
      <c r="ALN273" s="314"/>
      <c r="ALO273" s="314"/>
      <c r="ALP273" s="314"/>
      <c r="ALQ273" s="314"/>
      <c r="ALR273" s="314"/>
      <c r="ALS273" s="314"/>
      <c r="ALT273" s="314"/>
      <c r="ALU273" s="1046"/>
      <c r="ALV273" s="314"/>
      <c r="ALW273" s="314"/>
      <c r="ALX273" s="314"/>
      <c r="ALY273" s="314"/>
      <c r="ALZ273" s="314"/>
      <c r="AMA273" s="314"/>
      <c r="AMB273" s="314"/>
      <c r="AMC273" s="314"/>
      <c r="AMD273" s="314"/>
      <c r="AME273" s="314"/>
      <c r="AMF273" s="314"/>
      <c r="AMG273" s="314"/>
      <c r="AMH273" s="314"/>
      <c r="AMI273" s="314"/>
      <c r="AMJ273" s="314"/>
      <c r="AMK273" s="1046"/>
      <c r="AML273" s="314"/>
      <c r="AMM273" s="314"/>
      <c r="AMN273" s="314"/>
      <c r="AMO273" s="314"/>
      <c r="AMP273" s="314"/>
      <c r="AMQ273" s="314"/>
      <c r="AMR273" s="314"/>
      <c r="AMS273" s="314"/>
      <c r="AMT273" s="314"/>
      <c r="AMU273" s="314"/>
      <c r="AMV273" s="314"/>
      <c r="AMW273" s="314"/>
      <c r="AMX273" s="314"/>
      <c r="AMY273" s="314"/>
      <c r="AMZ273" s="314"/>
      <c r="ANA273" s="1046"/>
      <c r="ANB273" s="314"/>
      <c r="ANC273" s="314"/>
      <c r="AND273" s="314"/>
      <c r="ANE273" s="314"/>
      <c r="ANF273" s="314"/>
      <c r="ANG273" s="314"/>
      <c r="ANH273" s="314"/>
      <c r="ANI273" s="314"/>
      <c r="ANJ273" s="314"/>
      <c r="ANK273" s="314"/>
      <c r="ANL273" s="314"/>
      <c r="ANM273" s="314"/>
      <c r="ANN273" s="314"/>
      <c r="ANO273" s="314"/>
      <c r="ANP273" s="314"/>
      <c r="ANQ273" s="1046"/>
      <c r="ANR273" s="314"/>
      <c r="ANS273" s="314"/>
      <c r="ANT273" s="314"/>
      <c r="ANU273" s="314"/>
      <c r="ANV273" s="314"/>
      <c r="ANW273" s="314"/>
      <c r="ANX273" s="314"/>
      <c r="ANY273" s="314"/>
      <c r="ANZ273" s="314"/>
      <c r="AOA273" s="314"/>
      <c r="AOB273" s="314"/>
      <c r="AOC273" s="314"/>
      <c r="AOD273" s="314"/>
      <c r="AOE273" s="314"/>
      <c r="AOF273" s="314"/>
      <c r="AOG273" s="1046"/>
      <c r="AOH273" s="314"/>
      <c r="AOI273" s="314"/>
      <c r="AOJ273" s="314"/>
      <c r="AOK273" s="314"/>
      <c r="AOL273" s="314"/>
      <c r="AOM273" s="314"/>
      <c r="AON273" s="314"/>
      <c r="AOO273" s="314"/>
      <c r="AOP273" s="314"/>
      <c r="AOQ273" s="314"/>
      <c r="AOR273" s="314"/>
      <c r="AOS273" s="314"/>
      <c r="AOT273" s="314"/>
      <c r="AOU273" s="314"/>
      <c r="AOV273" s="314"/>
      <c r="AOW273" s="1046"/>
      <c r="AOX273" s="314"/>
      <c r="AOY273" s="314"/>
      <c r="AOZ273" s="314"/>
      <c r="APA273" s="314"/>
      <c r="APB273" s="314"/>
      <c r="APC273" s="314"/>
      <c r="APD273" s="314"/>
      <c r="APE273" s="314"/>
      <c r="APF273" s="314"/>
      <c r="APG273" s="314"/>
      <c r="APH273" s="314"/>
      <c r="API273" s="314"/>
      <c r="APJ273" s="314"/>
      <c r="APK273" s="314"/>
      <c r="APL273" s="314"/>
      <c r="APM273" s="1046"/>
      <c r="APN273" s="314"/>
      <c r="APO273" s="314"/>
      <c r="APP273" s="314"/>
      <c r="APQ273" s="314"/>
      <c r="APR273" s="314"/>
      <c r="APS273" s="314"/>
      <c r="APT273" s="314"/>
      <c r="APU273" s="314"/>
      <c r="APV273" s="314"/>
      <c r="APW273" s="314"/>
      <c r="APX273" s="314"/>
      <c r="APY273" s="314"/>
      <c r="APZ273" s="314"/>
      <c r="AQA273" s="314"/>
      <c r="AQB273" s="314"/>
      <c r="AQC273" s="1046"/>
      <c r="AQD273" s="314"/>
      <c r="AQE273" s="314"/>
      <c r="AQF273" s="314"/>
      <c r="AQG273" s="314"/>
      <c r="AQH273" s="314"/>
      <c r="AQI273" s="314"/>
      <c r="AQJ273" s="314"/>
      <c r="AQK273" s="314"/>
      <c r="AQL273" s="314"/>
      <c r="AQM273" s="314"/>
      <c r="AQN273" s="314"/>
      <c r="AQO273" s="314"/>
      <c r="AQP273" s="314"/>
      <c r="AQQ273" s="314"/>
      <c r="AQR273" s="314"/>
      <c r="AQS273" s="1046"/>
      <c r="AQT273" s="314"/>
      <c r="AQU273" s="314"/>
      <c r="AQV273" s="314"/>
      <c r="AQW273" s="314"/>
      <c r="AQX273" s="314"/>
      <c r="AQY273" s="314"/>
      <c r="AQZ273" s="314"/>
      <c r="ARA273" s="314"/>
      <c r="ARB273" s="314"/>
      <c r="ARC273" s="314"/>
      <c r="ARD273" s="314"/>
      <c r="ARE273" s="314"/>
      <c r="ARF273" s="314"/>
      <c r="ARG273" s="314"/>
      <c r="ARH273" s="314"/>
      <c r="ARI273" s="1046"/>
      <c r="ARJ273" s="314"/>
      <c r="ARK273" s="314"/>
      <c r="ARL273" s="314"/>
      <c r="ARM273" s="314"/>
      <c r="ARN273" s="314"/>
      <c r="ARO273" s="314"/>
      <c r="ARP273" s="314"/>
      <c r="ARQ273" s="314"/>
      <c r="ARR273" s="314"/>
      <c r="ARS273" s="314"/>
      <c r="ART273" s="314"/>
      <c r="ARU273" s="314"/>
      <c r="ARV273" s="314"/>
      <c r="ARW273" s="314"/>
      <c r="ARX273" s="314"/>
      <c r="ARY273" s="1046"/>
      <c r="ARZ273" s="314"/>
      <c r="ASA273" s="314"/>
      <c r="ASB273" s="314"/>
      <c r="ASC273" s="314"/>
      <c r="ASD273" s="314"/>
      <c r="ASE273" s="314"/>
      <c r="ASF273" s="314"/>
      <c r="ASG273" s="314"/>
      <c r="ASH273" s="314"/>
      <c r="ASI273" s="314"/>
      <c r="ASJ273" s="314"/>
      <c r="ASK273" s="314"/>
      <c r="ASL273" s="314"/>
      <c r="ASM273" s="314"/>
      <c r="ASN273" s="314"/>
      <c r="ASO273" s="1046"/>
      <c r="ASP273" s="314"/>
      <c r="ASQ273" s="314"/>
      <c r="ASR273" s="314"/>
      <c r="ASS273" s="314"/>
      <c r="AST273" s="314"/>
      <c r="ASU273" s="314"/>
      <c r="ASV273" s="314"/>
      <c r="ASW273" s="314"/>
      <c r="ASX273" s="314"/>
      <c r="ASY273" s="314"/>
      <c r="ASZ273" s="314"/>
      <c r="ATA273" s="314"/>
      <c r="ATB273" s="314"/>
      <c r="ATC273" s="314"/>
      <c r="ATD273" s="314"/>
      <c r="ATE273" s="1046"/>
      <c r="ATF273" s="314"/>
      <c r="ATG273" s="314"/>
      <c r="ATH273" s="314"/>
      <c r="ATI273" s="314"/>
      <c r="ATJ273" s="314"/>
      <c r="ATK273" s="314"/>
      <c r="ATL273" s="314"/>
      <c r="ATM273" s="314"/>
      <c r="ATN273" s="314"/>
      <c r="ATO273" s="314"/>
      <c r="ATP273" s="314"/>
      <c r="ATQ273" s="314"/>
      <c r="ATR273" s="314"/>
      <c r="ATS273" s="314"/>
      <c r="ATT273" s="314"/>
      <c r="ATU273" s="1046"/>
      <c r="ATV273" s="314"/>
      <c r="ATW273" s="314"/>
      <c r="ATX273" s="314"/>
      <c r="ATY273" s="314"/>
      <c r="ATZ273" s="314"/>
      <c r="AUA273" s="314"/>
      <c r="AUB273" s="314"/>
      <c r="AUC273" s="314"/>
      <c r="AUD273" s="314"/>
      <c r="AUE273" s="314"/>
      <c r="AUF273" s="314"/>
      <c r="AUG273" s="314"/>
      <c r="AUH273" s="314"/>
      <c r="AUI273" s="314"/>
      <c r="AUJ273" s="314"/>
      <c r="AUK273" s="1046"/>
      <c r="AUL273" s="314"/>
      <c r="AUM273" s="314"/>
      <c r="AUN273" s="314"/>
      <c r="AUO273" s="314"/>
      <c r="AUP273" s="314"/>
      <c r="AUQ273" s="314"/>
      <c r="AUR273" s="314"/>
      <c r="AUS273" s="314"/>
      <c r="AUT273" s="314"/>
      <c r="AUU273" s="314"/>
      <c r="AUV273" s="314"/>
      <c r="AUW273" s="314"/>
      <c r="AUX273" s="314"/>
      <c r="AUY273" s="314"/>
      <c r="AUZ273" s="314"/>
      <c r="AVA273" s="1046"/>
      <c r="AVB273" s="314"/>
      <c r="AVC273" s="314"/>
      <c r="AVD273" s="314"/>
      <c r="AVE273" s="314"/>
      <c r="AVF273" s="314"/>
      <c r="AVG273" s="314"/>
      <c r="AVH273" s="314"/>
      <c r="AVI273" s="314"/>
      <c r="AVJ273" s="314"/>
      <c r="AVK273" s="314"/>
      <c r="AVL273" s="314"/>
      <c r="AVM273" s="314"/>
      <c r="AVN273" s="314"/>
      <c r="AVO273" s="314"/>
      <c r="AVP273" s="314"/>
      <c r="AVQ273" s="1046"/>
      <c r="AVR273" s="314"/>
      <c r="AVS273" s="314"/>
      <c r="AVT273" s="314"/>
      <c r="AVU273" s="314"/>
      <c r="AVV273" s="314"/>
      <c r="AVW273" s="314"/>
      <c r="AVX273" s="314"/>
      <c r="AVY273" s="314"/>
      <c r="AVZ273" s="314"/>
      <c r="AWA273" s="314"/>
      <c r="AWB273" s="314"/>
      <c r="AWC273" s="314"/>
      <c r="AWD273" s="314"/>
      <c r="AWE273" s="314"/>
      <c r="AWF273" s="314"/>
      <c r="AWG273" s="1046"/>
      <c r="AWH273" s="314"/>
      <c r="AWI273" s="314"/>
      <c r="AWJ273" s="314"/>
      <c r="AWK273" s="314"/>
      <c r="AWL273" s="314"/>
      <c r="AWM273" s="314"/>
      <c r="AWN273" s="314"/>
      <c r="AWO273" s="314"/>
      <c r="AWP273" s="314"/>
      <c r="AWQ273" s="314"/>
      <c r="AWR273" s="314"/>
      <c r="AWS273" s="314"/>
      <c r="AWT273" s="314"/>
      <c r="AWU273" s="314"/>
      <c r="AWV273" s="314"/>
      <c r="AWW273" s="1046"/>
      <c r="AWX273" s="314"/>
      <c r="AWY273" s="314"/>
      <c r="AWZ273" s="314"/>
      <c r="AXA273" s="314"/>
      <c r="AXB273" s="314"/>
      <c r="AXC273" s="314"/>
      <c r="AXD273" s="314"/>
      <c r="AXE273" s="314"/>
      <c r="AXF273" s="314"/>
      <c r="AXG273" s="314"/>
      <c r="AXH273" s="314"/>
      <c r="AXI273" s="314"/>
      <c r="AXJ273" s="314"/>
      <c r="AXK273" s="314"/>
      <c r="AXL273" s="314"/>
      <c r="AXM273" s="1046"/>
      <c r="AXN273" s="314"/>
      <c r="AXO273" s="314"/>
      <c r="AXP273" s="314"/>
      <c r="AXQ273" s="314"/>
      <c r="AXR273" s="314"/>
      <c r="AXS273" s="314"/>
      <c r="AXT273" s="314"/>
      <c r="AXU273" s="314"/>
      <c r="AXV273" s="314"/>
      <c r="AXW273" s="314"/>
      <c r="AXX273" s="314"/>
      <c r="AXY273" s="314"/>
      <c r="AXZ273" s="314"/>
      <c r="AYA273" s="314"/>
      <c r="AYB273" s="314"/>
      <c r="AYC273" s="1046"/>
      <c r="AYD273" s="314"/>
      <c r="AYE273" s="314"/>
      <c r="AYF273" s="314"/>
      <c r="AYG273" s="314"/>
      <c r="AYH273" s="314"/>
      <c r="AYI273" s="314"/>
      <c r="AYJ273" s="314"/>
      <c r="AYK273" s="314"/>
      <c r="AYL273" s="314"/>
      <c r="AYM273" s="314"/>
      <c r="AYN273" s="314"/>
      <c r="AYO273" s="314"/>
      <c r="AYP273" s="314"/>
      <c r="AYQ273" s="314"/>
      <c r="AYR273" s="314"/>
      <c r="AYS273" s="1046"/>
      <c r="AYT273" s="314"/>
      <c r="AYU273" s="314"/>
      <c r="AYV273" s="314"/>
      <c r="AYW273" s="314"/>
      <c r="AYX273" s="314"/>
      <c r="AYY273" s="314"/>
      <c r="AYZ273" s="314"/>
      <c r="AZA273" s="314"/>
      <c r="AZB273" s="314"/>
      <c r="AZC273" s="314"/>
      <c r="AZD273" s="314"/>
      <c r="AZE273" s="314"/>
      <c r="AZF273" s="314"/>
      <c r="AZG273" s="314"/>
      <c r="AZH273" s="314"/>
      <c r="AZI273" s="1046"/>
      <c r="AZJ273" s="314"/>
      <c r="AZK273" s="314"/>
      <c r="AZL273" s="314"/>
      <c r="AZM273" s="314"/>
      <c r="AZN273" s="314"/>
      <c r="AZO273" s="314"/>
      <c r="AZP273" s="314"/>
      <c r="AZQ273" s="314"/>
      <c r="AZR273" s="314"/>
      <c r="AZS273" s="314"/>
      <c r="AZT273" s="314"/>
      <c r="AZU273" s="314"/>
      <c r="AZV273" s="314"/>
      <c r="AZW273" s="314"/>
      <c r="AZX273" s="314"/>
      <c r="AZY273" s="1046"/>
      <c r="AZZ273" s="314"/>
      <c r="BAA273" s="314"/>
      <c r="BAB273" s="314"/>
      <c r="BAC273" s="314"/>
      <c r="BAD273" s="314"/>
      <c r="BAE273" s="314"/>
      <c r="BAF273" s="314"/>
      <c r="BAG273" s="314"/>
      <c r="BAH273" s="314"/>
      <c r="BAI273" s="314"/>
      <c r="BAJ273" s="314"/>
      <c r="BAK273" s="314"/>
      <c r="BAL273" s="314"/>
      <c r="BAM273" s="314"/>
      <c r="BAN273" s="314"/>
      <c r="BAO273" s="1046"/>
      <c r="BAP273" s="314"/>
      <c r="BAQ273" s="314"/>
      <c r="BAR273" s="314"/>
      <c r="BAS273" s="314"/>
      <c r="BAT273" s="314"/>
      <c r="BAU273" s="314"/>
      <c r="BAV273" s="314"/>
      <c r="BAW273" s="314"/>
      <c r="BAX273" s="314"/>
      <c r="BAY273" s="314"/>
      <c r="BAZ273" s="314"/>
      <c r="BBA273" s="314"/>
      <c r="BBB273" s="314"/>
      <c r="BBC273" s="314"/>
      <c r="BBD273" s="314"/>
      <c r="BBE273" s="1046"/>
      <c r="BBF273" s="314"/>
      <c r="BBG273" s="314"/>
      <c r="BBH273" s="314"/>
      <c r="BBI273" s="314"/>
      <c r="BBJ273" s="314"/>
      <c r="BBK273" s="314"/>
      <c r="BBL273" s="314"/>
      <c r="BBM273" s="314"/>
      <c r="BBN273" s="314"/>
      <c r="BBO273" s="314"/>
      <c r="BBP273" s="314"/>
      <c r="BBQ273" s="314"/>
      <c r="BBR273" s="314"/>
      <c r="BBS273" s="314"/>
      <c r="BBT273" s="314"/>
      <c r="BBU273" s="1046"/>
      <c r="BBV273" s="314"/>
      <c r="BBW273" s="314"/>
      <c r="BBX273" s="314"/>
      <c r="BBY273" s="314"/>
      <c r="BBZ273" s="314"/>
      <c r="BCA273" s="314"/>
      <c r="BCB273" s="314"/>
      <c r="BCC273" s="314"/>
      <c r="BCD273" s="314"/>
      <c r="BCE273" s="314"/>
      <c r="BCF273" s="314"/>
      <c r="BCG273" s="314"/>
      <c r="BCH273" s="314"/>
      <c r="BCI273" s="314"/>
      <c r="BCJ273" s="314"/>
      <c r="BCK273" s="1046"/>
      <c r="BCL273" s="314"/>
      <c r="BCM273" s="314"/>
      <c r="BCN273" s="314"/>
      <c r="BCO273" s="314"/>
      <c r="BCP273" s="314"/>
      <c r="BCQ273" s="314"/>
      <c r="BCR273" s="314"/>
      <c r="BCS273" s="314"/>
      <c r="BCT273" s="314"/>
      <c r="BCU273" s="314"/>
      <c r="BCV273" s="314"/>
      <c r="BCW273" s="314"/>
      <c r="BCX273" s="314"/>
      <c r="BCY273" s="314"/>
      <c r="BCZ273" s="314"/>
      <c r="BDA273" s="1046"/>
      <c r="BDB273" s="314"/>
      <c r="BDC273" s="314"/>
      <c r="BDD273" s="314"/>
      <c r="BDE273" s="314"/>
      <c r="BDF273" s="314"/>
      <c r="BDG273" s="314"/>
      <c r="BDH273" s="314"/>
      <c r="BDI273" s="314"/>
      <c r="BDJ273" s="314"/>
      <c r="BDK273" s="314"/>
      <c r="BDL273" s="314"/>
      <c r="BDM273" s="314"/>
      <c r="BDN273" s="314"/>
      <c r="BDO273" s="314"/>
      <c r="BDP273" s="314"/>
      <c r="BDQ273" s="1046"/>
      <c r="BDR273" s="314"/>
      <c r="BDS273" s="314"/>
      <c r="BDT273" s="314"/>
      <c r="BDU273" s="314"/>
      <c r="BDV273" s="314"/>
      <c r="BDW273" s="314"/>
      <c r="BDX273" s="314"/>
      <c r="BDY273" s="314"/>
      <c r="BDZ273" s="314"/>
      <c r="BEA273" s="314"/>
      <c r="BEB273" s="314"/>
      <c r="BEC273" s="314"/>
      <c r="BED273" s="314"/>
      <c r="BEE273" s="314"/>
      <c r="BEF273" s="314"/>
      <c r="BEG273" s="1046"/>
      <c r="BEH273" s="314"/>
      <c r="BEI273" s="314"/>
      <c r="BEJ273" s="314"/>
      <c r="BEK273" s="314"/>
      <c r="BEL273" s="314"/>
      <c r="BEM273" s="314"/>
      <c r="BEN273" s="314"/>
      <c r="BEO273" s="314"/>
      <c r="BEP273" s="314"/>
      <c r="BEQ273" s="314"/>
      <c r="BER273" s="314"/>
      <c r="BES273" s="314"/>
      <c r="BET273" s="314"/>
      <c r="BEU273" s="314"/>
      <c r="BEV273" s="314"/>
      <c r="BEW273" s="1046"/>
      <c r="BEX273" s="314"/>
      <c r="BEY273" s="314"/>
      <c r="BEZ273" s="314"/>
      <c r="BFA273" s="314"/>
      <c r="BFB273" s="314"/>
      <c r="BFC273" s="314"/>
      <c r="BFD273" s="314"/>
      <c r="BFE273" s="314"/>
      <c r="BFF273" s="314"/>
      <c r="BFG273" s="314"/>
      <c r="BFH273" s="314"/>
      <c r="BFI273" s="314"/>
      <c r="BFJ273" s="314"/>
      <c r="BFK273" s="314"/>
      <c r="BFL273" s="314"/>
      <c r="BFM273" s="1046"/>
      <c r="BFN273" s="314"/>
      <c r="BFO273" s="314"/>
      <c r="BFP273" s="314"/>
      <c r="BFQ273" s="314"/>
      <c r="BFR273" s="314"/>
      <c r="BFS273" s="314"/>
      <c r="BFT273" s="314"/>
      <c r="BFU273" s="314"/>
      <c r="BFV273" s="314"/>
      <c r="BFW273" s="314"/>
      <c r="BFX273" s="314"/>
      <c r="BFY273" s="314"/>
      <c r="BFZ273" s="314"/>
      <c r="BGA273" s="314"/>
      <c r="BGB273" s="314"/>
      <c r="BGC273" s="1046"/>
      <c r="BGD273" s="314"/>
      <c r="BGE273" s="314"/>
      <c r="BGF273" s="314"/>
      <c r="BGG273" s="314"/>
      <c r="BGH273" s="314"/>
      <c r="BGI273" s="314"/>
      <c r="BGJ273" s="314"/>
      <c r="BGK273" s="314"/>
      <c r="BGL273" s="314"/>
      <c r="BGM273" s="314"/>
      <c r="BGN273" s="314"/>
      <c r="BGO273" s="314"/>
      <c r="BGP273" s="314"/>
      <c r="BGQ273" s="314"/>
      <c r="BGR273" s="314"/>
      <c r="BGS273" s="1046"/>
      <c r="BGT273" s="314"/>
      <c r="BGU273" s="314"/>
      <c r="BGV273" s="314"/>
      <c r="BGW273" s="314"/>
      <c r="BGX273" s="314"/>
      <c r="BGY273" s="314"/>
      <c r="BGZ273" s="314"/>
      <c r="BHA273" s="314"/>
      <c r="BHB273" s="314"/>
      <c r="BHC273" s="314"/>
      <c r="BHD273" s="314"/>
      <c r="BHE273" s="314"/>
      <c r="BHF273" s="314"/>
      <c r="BHG273" s="314"/>
      <c r="BHH273" s="314"/>
      <c r="BHI273" s="1046"/>
      <c r="BHJ273" s="314"/>
      <c r="BHK273" s="314"/>
      <c r="BHL273" s="314"/>
      <c r="BHM273" s="314"/>
      <c r="BHN273" s="314"/>
      <c r="BHO273" s="314"/>
      <c r="BHP273" s="314"/>
      <c r="BHQ273" s="314"/>
      <c r="BHR273" s="314"/>
      <c r="BHS273" s="314"/>
      <c r="BHT273" s="314"/>
      <c r="BHU273" s="314"/>
      <c r="BHV273" s="314"/>
      <c r="BHW273" s="314"/>
      <c r="BHX273" s="314"/>
      <c r="BHY273" s="1046"/>
      <c r="BHZ273" s="314"/>
      <c r="BIA273" s="314"/>
      <c r="BIB273" s="314"/>
      <c r="BIC273" s="314"/>
      <c r="BID273" s="314"/>
      <c r="BIE273" s="314"/>
      <c r="BIF273" s="314"/>
      <c r="BIG273" s="314"/>
      <c r="BIH273" s="314"/>
      <c r="BII273" s="314"/>
      <c r="BIJ273" s="314"/>
      <c r="BIK273" s="314"/>
      <c r="BIL273" s="314"/>
      <c r="BIM273" s="314"/>
      <c r="BIN273" s="314"/>
      <c r="BIO273" s="1046"/>
      <c r="BIP273" s="314"/>
      <c r="BIQ273" s="314"/>
      <c r="BIR273" s="314"/>
      <c r="BIS273" s="314"/>
      <c r="BIT273" s="314"/>
      <c r="BIU273" s="314"/>
      <c r="BIV273" s="314"/>
      <c r="BIW273" s="314"/>
      <c r="BIX273" s="314"/>
      <c r="BIY273" s="314"/>
      <c r="BIZ273" s="314"/>
      <c r="BJA273" s="314"/>
      <c r="BJB273" s="314"/>
      <c r="BJC273" s="314"/>
      <c r="BJD273" s="314"/>
      <c r="BJE273" s="1046"/>
      <c r="BJF273" s="314"/>
      <c r="BJG273" s="314"/>
      <c r="BJH273" s="314"/>
      <c r="BJI273" s="314"/>
      <c r="BJJ273" s="314"/>
      <c r="BJK273" s="314"/>
      <c r="BJL273" s="314"/>
      <c r="BJM273" s="314"/>
      <c r="BJN273" s="314"/>
      <c r="BJO273" s="314"/>
      <c r="BJP273" s="314"/>
      <c r="BJQ273" s="314"/>
      <c r="BJR273" s="314"/>
      <c r="BJS273" s="314"/>
      <c r="BJT273" s="314"/>
      <c r="BJU273" s="1046"/>
      <c r="BJV273" s="314"/>
      <c r="BJW273" s="314"/>
      <c r="BJX273" s="314"/>
      <c r="BJY273" s="314"/>
      <c r="BJZ273" s="314"/>
      <c r="BKA273" s="314"/>
      <c r="BKB273" s="314"/>
      <c r="BKC273" s="314"/>
      <c r="BKD273" s="314"/>
      <c r="BKE273" s="314"/>
      <c r="BKF273" s="314"/>
      <c r="BKG273" s="314"/>
      <c r="BKH273" s="314"/>
      <c r="BKI273" s="314"/>
      <c r="BKJ273" s="314"/>
      <c r="BKK273" s="1046"/>
      <c r="BKL273" s="314"/>
      <c r="BKM273" s="314"/>
      <c r="BKN273" s="314"/>
      <c r="BKO273" s="314"/>
      <c r="BKP273" s="314"/>
      <c r="BKQ273" s="314"/>
      <c r="BKR273" s="314"/>
      <c r="BKS273" s="314"/>
      <c r="BKT273" s="314"/>
      <c r="BKU273" s="314"/>
      <c r="BKV273" s="314"/>
      <c r="BKW273" s="314"/>
      <c r="BKX273" s="314"/>
      <c r="BKY273" s="314"/>
      <c r="BKZ273" s="314"/>
      <c r="BLA273" s="1046"/>
      <c r="BLB273" s="314"/>
      <c r="BLC273" s="314"/>
      <c r="BLD273" s="314"/>
      <c r="BLE273" s="314"/>
      <c r="BLF273" s="314"/>
      <c r="BLG273" s="314"/>
      <c r="BLH273" s="314"/>
      <c r="BLI273" s="314"/>
      <c r="BLJ273" s="314"/>
      <c r="BLK273" s="314"/>
      <c r="BLL273" s="314"/>
      <c r="BLM273" s="314"/>
      <c r="BLN273" s="314"/>
      <c r="BLO273" s="314"/>
      <c r="BLP273" s="314"/>
      <c r="BLQ273" s="1046"/>
      <c r="BLR273" s="314"/>
      <c r="BLS273" s="314"/>
      <c r="BLT273" s="314"/>
      <c r="BLU273" s="314"/>
      <c r="BLV273" s="314"/>
      <c r="BLW273" s="314"/>
      <c r="BLX273" s="314"/>
      <c r="BLY273" s="314"/>
      <c r="BLZ273" s="314"/>
      <c r="BMA273" s="314"/>
      <c r="BMB273" s="314"/>
      <c r="BMC273" s="314"/>
      <c r="BMD273" s="314"/>
      <c r="BME273" s="314"/>
      <c r="BMF273" s="314"/>
      <c r="BMG273" s="1046"/>
      <c r="BMH273" s="314"/>
      <c r="BMI273" s="314"/>
      <c r="BMJ273" s="314"/>
      <c r="BMK273" s="314"/>
      <c r="BML273" s="314"/>
      <c r="BMM273" s="314"/>
      <c r="BMN273" s="314"/>
      <c r="BMO273" s="314"/>
      <c r="BMP273" s="314"/>
      <c r="BMQ273" s="314"/>
      <c r="BMR273" s="314"/>
      <c r="BMS273" s="314"/>
      <c r="BMT273" s="314"/>
      <c r="BMU273" s="314"/>
      <c r="BMV273" s="314"/>
      <c r="BMW273" s="1046"/>
      <c r="BMX273" s="314"/>
      <c r="BMY273" s="314"/>
      <c r="BMZ273" s="314"/>
      <c r="BNA273" s="314"/>
      <c r="BNB273" s="314"/>
      <c r="BNC273" s="314"/>
      <c r="BND273" s="314"/>
      <c r="BNE273" s="314"/>
      <c r="BNF273" s="314"/>
      <c r="BNG273" s="314"/>
      <c r="BNH273" s="314"/>
      <c r="BNI273" s="314"/>
      <c r="BNJ273" s="314"/>
      <c r="BNK273" s="314"/>
      <c r="BNL273" s="314"/>
      <c r="BNM273" s="1046"/>
      <c r="BNN273" s="314"/>
      <c r="BNO273" s="314"/>
      <c r="BNP273" s="314"/>
      <c r="BNQ273" s="314"/>
      <c r="BNR273" s="314"/>
      <c r="BNS273" s="314"/>
      <c r="BNT273" s="314"/>
      <c r="BNU273" s="314"/>
      <c r="BNV273" s="314"/>
      <c r="BNW273" s="314"/>
      <c r="BNX273" s="314"/>
      <c r="BNY273" s="314"/>
      <c r="BNZ273" s="314"/>
      <c r="BOA273" s="314"/>
      <c r="BOB273" s="314"/>
      <c r="BOC273" s="1046"/>
      <c r="BOD273" s="314"/>
      <c r="BOE273" s="314"/>
      <c r="BOF273" s="314"/>
      <c r="BOG273" s="314"/>
      <c r="BOH273" s="314"/>
      <c r="BOI273" s="314"/>
      <c r="BOJ273" s="314"/>
      <c r="BOK273" s="314"/>
      <c r="BOL273" s="314"/>
      <c r="BOM273" s="314"/>
      <c r="BON273" s="314"/>
      <c r="BOO273" s="314"/>
      <c r="BOP273" s="314"/>
      <c r="BOQ273" s="314"/>
      <c r="BOR273" s="314"/>
      <c r="BOS273" s="1046"/>
      <c r="BOT273" s="314"/>
      <c r="BOU273" s="314"/>
      <c r="BOV273" s="314"/>
      <c r="BOW273" s="314"/>
      <c r="BOX273" s="314"/>
      <c r="BOY273" s="314"/>
      <c r="BOZ273" s="314"/>
      <c r="BPA273" s="314"/>
      <c r="BPB273" s="314"/>
      <c r="BPC273" s="314"/>
      <c r="BPD273" s="314"/>
      <c r="BPE273" s="314"/>
      <c r="BPF273" s="314"/>
      <c r="BPG273" s="314"/>
      <c r="BPH273" s="314"/>
      <c r="BPI273" s="1046"/>
      <c r="BPJ273" s="314"/>
      <c r="BPK273" s="314"/>
      <c r="BPL273" s="314"/>
      <c r="BPM273" s="314"/>
      <c r="BPN273" s="314"/>
      <c r="BPO273" s="314"/>
      <c r="BPP273" s="314"/>
      <c r="BPQ273" s="314"/>
      <c r="BPR273" s="314"/>
      <c r="BPS273" s="314"/>
      <c r="BPT273" s="314"/>
      <c r="BPU273" s="314"/>
      <c r="BPV273" s="314"/>
      <c r="BPW273" s="314"/>
      <c r="BPX273" s="314"/>
      <c r="BPY273" s="1046"/>
      <c r="BPZ273" s="314"/>
      <c r="BQA273" s="314"/>
      <c r="BQB273" s="314"/>
      <c r="BQC273" s="314"/>
      <c r="BQD273" s="314"/>
      <c r="BQE273" s="314"/>
      <c r="BQF273" s="314"/>
      <c r="BQG273" s="314"/>
      <c r="BQH273" s="314"/>
      <c r="BQI273" s="314"/>
      <c r="BQJ273" s="314"/>
      <c r="BQK273" s="314"/>
      <c r="BQL273" s="314"/>
      <c r="BQM273" s="314"/>
      <c r="BQN273" s="314"/>
      <c r="BQO273" s="1046"/>
      <c r="BQP273" s="314"/>
      <c r="BQQ273" s="314"/>
      <c r="BQR273" s="314"/>
      <c r="BQS273" s="314"/>
      <c r="BQT273" s="314"/>
      <c r="BQU273" s="314"/>
      <c r="BQV273" s="314"/>
      <c r="BQW273" s="314"/>
      <c r="BQX273" s="314"/>
      <c r="BQY273" s="314"/>
      <c r="BQZ273" s="314"/>
      <c r="BRA273" s="314"/>
      <c r="BRB273" s="314"/>
      <c r="BRC273" s="314"/>
      <c r="BRD273" s="314"/>
      <c r="BRE273" s="1046"/>
      <c r="BRF273" s="314"/>
      <c r="BRG273" s="314"/>
      <c r="BRH273" s="314"/>
      <c r="BRI273" s="314"/>
      <c r="BRJ273" s="314"/>
      <c r="BRK273" s="314"/>
      <c r="BRL273" s="314"/>
      <c r="BRM273" s="314"/>
      <c r="BRN273" s="314"/>
      <c r="BRO273" s="314"/>
      <c r="BRP273" s="314"/>
      <c r="BRQ273" s="314"/>
      <c r="BRR273" s="314"/>
      <c r="BRS273" s="314"/>
      <c r="BRT273" s="314"/>
      <c r="BRU273" s="1046"/>
      <c r="BRV273" s="314"/>
      <c r="BRW273" s="314"/>
      <c r="BRX273" s="314"/>
      <c r="BRY273" s="314"/>
      <c r="BRZ273" s="314"/>
      <c r="BSA273" s="314"/>
      <c r="BSB273" s="314"/>
      <c r="BSC273" s="314"/>
      <c r="BSD273" s="314"/>
      <c r="BSE273" s="314"/>
      <c r="BSF273" s="314"/>
      <c r="BSG273" s="314"/>
      <c r="BSH273" s="314"/>
      <c r="BSI273" s="314"/>
      <c r="BSJ273" s="314"/>
      <c r="BSK273" s="1046"/>
      <c r="BSL273" s="314"/>
      <c r="BSM273" s="314"/>
      <c r="BSN273" s="314"/>
      <c r="BSO273" s="314"/>
      <c r="BSP273" s="314"/>
      <c r="BSQ273" s="314"/>
      <c r="BSR273" s="314"/>
      <c r="BSS273" s="314"/>
      <c r="BST273" s="314"/>
      <c r="BSU273" s="314"/>
      <c r="BSV273" s="314"/>
      <c r="BSW273" s="314"/>
      <c r="BSX273" s="314"/>
      <c r="BSY273" s="314"/>
      <c r="BSZ273" s="314"/>
      <c r="BTA273" s="1046"/>
      <c r="BTB273" s="314"/>
      <c r="BTC273" s="314"/>
      <c r="BTD273" s="314"/>
      <c r="BTE273" s="314"/>
      <c r="BTF273" s="314"/>
      <c r="BTG273" s="314"/>
      <c r="BTH273" s="314"/>
      <c r="BTI273" s="314"/>
      <c r="BTJ273" s="314"/>
      <c r="BTK273" s="314"/>
      <c r="BTL273" s="314"/>
      <c r="BTM273" s="314"/>
      <c r="BTN273" s="314"/>
      <c r="BTO273" s="314"/>
      <c r="BTP273" s="314"/>
      <c r="BTQ273" s="1046"/>
      <c r="BTR273" s="314"/>
      <c r="BTS273" s="314"/>
      <c r="BTT273" s="314"/>
      <c r="BTU273" s="314"/>
      <c r="BTV273" s="314"/>
      <c r="BTW273" s="314"/>
      <c r="BTX273" s="314"/>
      <c r="BTY273" s="314"/>
      <c r="BTZ273" s="314"/>
      <c r="BUA273" s="314"/>
      <c r="BUB273" s="314"/>
      <c r="BUC273" s="314"/>
      <c r="BUD273" s="314"/>
      <c r="BUE273" s="314"/>
      <c r="BUF273" s="314"/>
      <c r="BUG273" s="1046"/>
      <c r="BUH273" s="314"/>
      <c r="BUI273" s="314"/>
      <c r="BUJ273" s="314"/>
      <c r="BUK273" s="314"/>
      <c r="BUL273" s="314"/>
      <c r="BUM273" s="314"/>
      <c r="BUN273" s="314"/>
      <c r="BUO273" s="314"/>
      <c r="BUP273" s="314"/>
      <c r="BUQ273" s="314"/>
      <c r="BUR273" s="314"/>
      <c r="BUS273" s="314"/>
      <c r="BUT273" s="314"/>
      <c r="BUU273" s="314"/>
      <c r="BUV273" s="314"/>
      <c r="BUW273" s="1046"/>
      <c r="BUX273" s="314"/>
      <c r="BUY273" s="314"/>
      <c r="BUZ273" s="314"/>
      <c r="BVA273" s="314"/>
      <c r="BVB273" s="314"/>
      <c r="BVC273" s="314"/>
      <c r="BVD273" s="314"/>
      <c r="BVE273" s="314"/>
      <c r="BVF273" s="314"/>
      <c r="BVG273" s="314"/>
      <c r="BVH273" s="314"/>
      <c r="BVI273" s="314"/>
      <c r="BVJ273" s="314"/>
      <c r="BVK273" s="314"/>
      <c r="BVL273" s="314"/>
      <c r="BVM273" s="1046"/>
      <c r="BVN273" s="314"/>
      <c r="BVO273" s="314"/>
      <c r="BVP273" s="314"/>
      <c r="BVQ273" s="314"/>
      <c r="BVR273" s="314"/>
      <c r="BVS273" s="314"/>
      <c r="BVT273" s="314"/>
      <c r="BVU273" s="314"/>
      <c r="BVV273" s="314"/>
      <c r="BVW273" s="314"/>
      <c r="BVX273" s="314"/>
      <c r="BVY273" s="314"/>
      <c r="BVZ273" s="314"/>
      <c r="BWA273" s="314"/>
      <c r="BWB273" s="314"/>
      <c r="BWC273" s="1046"/>
      <c r="BWD273" s="314"/>
      <c r="BWE273" s="314"/>
      <c r="BWF273" s="314"/>
      <c r="BWG273" s="314"/>
      <c r="BWH273" s="314"/>
      <c r="BWI273" s="314"/>
      <c r="BWJ273" s="314"/>
      <c r="BWK273" s="314"/>
      <c r="BWL273" s="314"/>
      <c r="BWM273" s="314"/>
      <c r="BWN273" s="314"/>
      <c r="BWO273" s="314"/>
      <c r="BWP273" s="314"/>
      <c r="BWQ273" s="314"/>
      <c r="BWR273" s="314"/>
      <c r="BWS273" s="1046"/>
      <c r="BWT273" s="314"/>
      <c r="BWU273" s="314"/>
      <c r="BWV273" s="314"/>
      <c r="BWW273" s="314"/>
      <c r="BWX273" s="314"/>
      <c r="BWY273" s="314"/>
      <c r="BWZ273" s="314"/>
      <c r="BXA273" s="314"/>
      <c r="BXB273" s="314"/>
      <c r="BXC273" s="314"/>
      <c r="BXD273" s="314"/>
      <c r="BXE273" s="314"/>
      <c r="BXF273" s="314"/>
      <c r="BXG273" s="314"/>
      <c r="BXH273" s="314"/>
      <c r="BXI273" s="1046"/>
      <c r="BXJ273" s="314"/>
      <c r="BXK273" s="314"/>
      <c r="BXL273" s="314"/>
      <c r="BXM273" s="314"/>
      <c r="BXN273" s="314"/>
      <c r="BXO273" s="314"/>
      <c r="BXP273" s="314"/>
      <c r="BXQ273" s="314"/>
      <c r="BXR273" s="314"/>
      <c r="BXS273" s="314"/>
      <c r="BXT273" s="314"/>
      <c r="BXU273" s="314"/>
      <c r="BXV273" s="314"/>
      <c r="BXW273" s="314"/>
      <c r="BXX273" s="314"/>
      <c r="BXY273" s="1046"/>
      <c r="BXZ273" s="314"/>
      <c r="BYA273" s="314"/>
      <c r="BYB273" s="314"/>
      <c r="BYC273" s="314"/>
      <c r="BYD273" s="314"/>
      <c r="BYE273" s="314"/>
      <c r="BYF273" s="314"/>
      <c r="BYG273" s="314"/>
      <c r="BYH273" s="314"/>
      <c r="BYI273" s="314"/>
      <c r="BYJ273" s="314"/>
      <c r="BYK273" s="314"/>
      <c r="BYL273" s="314"/>
      <c r="BYM273" s="314"/>
      <c r="BYN273" s="314"/>
      <c r="BYO273" s="1046"/>
      <c r="BYP273" s="314"/>
      <c r="BYQ273" s="314"/>
      <c r="BYR273" s="314"/>
      <c r="BYS273" s="314"/>
      <c r="BYT273" s="314"/>
      <c r="BYU273" s="314"/>
      <c r="BYV273" s="314"/>
      <c r="BYW273" s="314"/>
      <c r="BYX273" s="314"/>
      <c r="BYY273" s="314"/>
      <c r="BYZ273" s="314"/>
      <c r="BZA273" s="314"/>
      <c r="BZB273" s="314"/>
      <c r="BZC273" s="314"/>
      <c r="BZD273" s="314"/>
      <c r="BZE273" s="1046"/>
      <c r="BZF273" s="314"/>
      <c r="BZG273" s="314"/>
      <c r="BZH273" s="314"/>
      <c r="BZI273" s="314"/>
      <c r="BZJ273" s="314"/>
      <c r="BZK273" s="314"/>
      <c r="BZL273" s="314"/>
      <c r="BZM273" s="314"/>
      <c r="BZN273" s="314"/>
      <c r="BZO273" s="314"/>
      <c r="BZP273" s="314"/>
      <c r="BZQ273" s="314"/>
      <c r="BZR273" s="314"/>
      <c r="BZS273" s="314"/>
      <c r="BZT273" s="314"/>
      <c r="BZU273" s="1046"/>
      <c r="BZV273" s="314"/>
      <c r="BZW273" s="314"/>
      <c r="BZX273" s="314"/>
      <c r="BZY273" s="314"/>
      <c r="BZZ273" s="314"/>
      <c r="CAA273" s="314"/>
      <c r="CAB273" s="314"/>
      <c r="CAC273" s="314"/>
      <c r="CAD273" s="314"/>
      <c r="CAE273" s="314"/>
      <c r="CAF273" s="314"/>
      <c r="CAG273" s="314"/>
      <c r="CAH273" s="314"/>
      <c r="CAI273" s="314"/>
      <c r="CAJ273" s="314"/>
      <c r="CAK273" s="1046"/>
      <c r="CAL273" s="314"/>
      <c r="CAM273" s="314"/>
      <c r="CAN273" s="314"/>
      <c r="CAO273" s="314"/>
      <c r="CAP273" s="314"/>
      <c r="CAQ273" s="314"/>
      <c r="CAR273" s="314"/>
      <c r="CAS273" s="314"/>
      <c r="CAT273" s="314"/>
      <c r="CAU273" s="314"/>
      <c r="CAV273" s="314"/>
      <c r="CAW273" s="314"/>
      <c r="CAX273" s="314"/>
      <c r="CAY273" s="314"/>
      <c r="CAZ273" s="314"/>
      <c r="CBA273" s="1046"/>
      <c r="CBB273" s="314"/>
      <c r="CBC273" s="314"/>
      <c r="CBD273" s="314"/>
      <c r="CBE273" s="314"/>
      <c r="CBF273" s="314"/>
      <c r="CBG273" s="314"/>
      <c r="CBH273" s="314"/>
      <c r="CBI273" s="314"/>
      <c r="CBJ273" s="314"/>
      <c r="CBK273" s="314"/>
      <c r="CBL273" s="314"/>
      <c r="CBM273" s="314"/>
      <c r="CBN273" s="314"/>
      <c r="CBO273" s="314"/>
      <c r="CBP273" s="314"/>
      <c r="CBQ273" s="1046"/>
      <c r="CBR273" s="314"/>
      <c r="CBS273" s="314"/>
      <c r="CBT273" s="314"/>
      <c r="CBU273" s="314"/>
      <c r="CBV273" s="314"/>
      <c r="CBW273" s="314"/>
      <c r="CBX273" s="314"/>
      <c r="CBY273" s="314"/>
      <c r="CBZ273" s="314"/>
      <c r="CCA273" s="314"/>
      <c r="CCB273" s="314"/>
      <c r="CCC273" s="314"/>
      <c r="CCD273" s="314"/>
      <c r="CCE273" s="314"/>
      <c r="CCF273" s="314"/>
      <c r="CCG273" s="1046"/>
      <c r="CCH273" s="314"/>
      <c r="CCI273" s="314"/>
      <c r="CCJ273" s="314"/>
      <c r="CCK273" s="314"/>
      <c r="CCL273" s="314"/>
      <c r="CCM273" s="314"/>
      <c r="CCN273" s="314"/>
      <c r="CCO273" s="314"/>
      <c r="CCP273" s="314"/>
      <c r="CCQ273" s="314"/>
      <c r="CCR273" s="314"/>
      <c r="CCS273" s="314"/>
      <c r="CCT273" s="314"/>
      <c r="CCU273" s="314"/>
      <c r="CCV273" s="314"/>
      <c r="CCW273" s="1046"/>
      <c r="CCX273" s="314"/>
      <c r="CCY273" s="314"/>
      <c r="CCZ273" s="314"/>
      <c r="CDA273" s="314"/>
      <c r="CDB273" s="314"/>
      <c r="CDC273" s="314"/>
      <c r="CDD273" s="314"/>
      <c r="CDE273" s="314"/>
      <c r="CDF273" s="314"/>
      <c r="CDG273" s="314"/>
      <c r="CDH273" s="314"/>
      <c r="CDI273" s="314"/>
      <c r="CDJ273" s="314"/>
      <c r="CDK273" s="314"/>
      <c r="CDL273" s="314"/>
      <c r="CDM273" s="1046"/>
      <c r="CDN273" s="314"/>
      <c r="CDO273" s="314"/>
      <c r="CDP273" s="314"/>
      <c r="CDQ273" s="314"/>
      <c r="CDR273" s="314"/>
      <c r="CDS273" s="314"/>
      <c r="CDT273" s="314"/>
      <c r="CDU273" s="314"/>
      <c r="CDV273" s="314"/>
      <c r="CDW273" s="314"/>
      <c r="CDX273" s="314"/>
      <c r="CDY273" s="314"/>
      <c r="CDZ273" s="314"/>
      <c r="CEA273" s="314"/>
      <c r="CEB273" s="314"/>
      <c r="CEC273" s="1046"/>
      <c r="CED273" s="314"/>
      <c r="CEE273" s="314"/>
      <c r="CEF273" s="314"/>
      <c r="CEG273" s="314"/>
      <c r="CEH273" s="314"/>
      <c r="CEI273" s="314"/>
      <c r="CEJ273" s="314"/>
      <c r="CEK273" s="314"/>
      <c r="CEL273" s="314"/>
      <c r="CEM273" s="314"/>
      <c r="CEN273" s="314"/>
      <c r="CEO273" s="314"/>
      <c r="CEP273" s="314"/>
      <c r="CEQ273" s="314"/>
      <c r="CER273" s="314"/>
      <c r="CES273" s="1046"/>
      <c r="CET273" s="314"/>
      <c r="CEU273" s="314"/>
      <c r="CEV273" s="314"/>
      <c r="CEW273" s="314"/>
      <c r="CEX273" s="314"/>
      <c r="CEY273" s="314"/>
      <c r="CEZ273" s="314"/>
      <c r="CFA273" s="314"/>
      <c r="CFB273" s="314"/>
      <c r="CFC273" s="314"/>
      <c r="CFD273" s="314"/>
      <c r="CFE273" s="314"/>
      <c r="CFF273" s="314"/>
      <c r="CFG273" s="314"/>
      <c r="CFH273" s="314"/>
      <c r="CFI273" s="1046"/>
      <c r="CFJ273" s="314"/>
      <c r="CFK273" s="314"/>
      <c r="CFL273" s="314"/>
      <c r="CFM273" s="314"/>
      <c r="CFN273" s="314"/>
      <c r="CFO273" s="314"/>
      <c r="CFP273" s="314"/>
      <c r="CFQ273" s="314"/>
      <c r="CFR273" s="314"/>
      <c r="CFS273" s="314"/>
      <c r="CFT273" s="314"/>
      <c r="CFU273" s="314"/>
      <c r="CFV273" s="314"/>
      <c r="CFW273" s="314"/>
      <c r="CFX273" s="314"/>
      <c r="CFY273" s="1046"/>
      <c r="CFZ273" s="314"/>
      <c r="CGA273" s="314"/>
      <c r="CGB273" s="314"/>
      <c r="CGC273" s="314"/>
      <c r="CGD273" s="314"/>
      <c r="CGE273" s="314"/>
      <c r="CGF273" s="314"/>
      <c r="CGG273" s="314"/>
      <c r="CGH273" s="314"/>
      <c r="CGI273" s="314"/>
      <c r="CGJ273" s="314"/>
      <c r="CGK273" s="314"/>
      <c r="CGL273" s="314"/>
      <c r="CGM273" s="314"/>
      <c r="CGN273" s="314"/>
      <c r="CGO273" s="1046"/>
      <c r="CGP273" s="314"/>
      <c r="CGQ273" s="314"/>
      <c r="CGR273" s="314"/>
      <c r="CGS273" s="314"/>
      <c r="CGT273" s="314"/>
      <c r="CGU273" s="314"/>
      <c r="CGV273" s="314"/>
      <c r="CGW273" s="314"/>
      <c r="CGX273" s="314"/>
      <c r="CGY273" s="314"/>
      <c r="CGZ273" s="314"/>
      <c r="CHA273" s="314"/>
      <c r="CHB273" s="314"/>
      <c r="CHC273" s="314"/>
      <c r="CHD273" s="314"/>
      <c r="CHE273" s="1046"/>
      <c r="CHF273" s="314"/>
      <c r="CHG273" s="314"/>
      <c r="CHH273" s="314"/>
      <c r="CHI273" s="314"/>
      <c r="CHJ273" s="314"/>
      <c r="CHK273" s="314"/>
      <c r="CHL273" s="314"/>
      <c r="CHM273" s="314"/>
      <c r="CHN273" s="314"/>
      <c r="CHO273" s="314"/>
      <c r="CHP273" s="314"/>
      <c r="CHQ273" s="314"/>
      <c r="CHR273" s="314"/>
      <c r="CHS273" s="314"/>
      <c r="CHT273" s="314"/>
      <c r="CHU273" s="1046"/>
      <c r="CHV273" s="314"/>
      <c r="CHW273" s="314"/>
      <c r="CHX273" s="314"/>
      <c r="CHY273" s="314"/>
      <c r="CHZ273" s="314"/>
      <c r="CIA273" s="314"/>
      <c r="CIB273" s="314"/>
      <c r="CIC273" s="314"/>
      <c r="CID273" s="314"/>
      <c r="CIE273" s="314"/>
      <c r="CIF273" s="314"/>
      <c r="CIG273" s="314"/>
      <c r="CIH273" s="314"/>
      <c r="CII273" s="314"/>
      <c r="CIJ273" s="314"/>
      <c r="CIK273" s="1046"/>
      <c r="CIL273" s="314"/>
      <c r="CIM273" s="314"/>
      <c r="CIN273" s="314"/>
      <c r="CIO273" s="314"/>
      <c r="CIP273" s="314"/>
      <c r="CIQ273" s="314"/>
      <c r="CIR273" s="314"/>
      <c r="CIS273" s="314"/>
      <c r="CIT273" s="314"/>
      <c r="CIU273" s="314"/>
      <c r="CIV273" s="314"/>
      <c r="CIW273" s="314"/>
      <c r="CIX273" s="314"/>
      <c r="CIY273" s="314"/>
      <c r="CIZ273" s="314"/>
      <c r="CJA273" s="1046"/>
      <c r="CJB273" s="314"/>
      <c r="CJC273" s="314"/>
      <c r="CJD273" s="314"/>
      <c r="CJE273" s="314"/>
      <c r="CJF273" s="314"/>
      <c r="CJG273" s="314"/>
      <c r="CJH273" s="314"/>
      <c r="CJI273" s="314"/>
      <c r="CJJ273" s="314"/>
      <c r="CJK273" s="314"/>
      <c r="CJL273" s="314"/>
      <c r="CJM273" s="314"/>
      <c r="CJN273" s="314"/>
      <c r="CJO273" s="314"/>
      <c r="CJP273" s="314"/>
      <c r="CJQ273" s="1046"/>
      <c r="CJR273" s="314"/>
      <c r="CJS273" s="314"/>
      <c r="CJT273" s="314"/>
      <c r="CJU273" s="314"/>
      <c r="CJV273" s="314"/>
      <c r="CJW273" s="314"/>
      <c r="CJX273" s="314"/>
      <c r="CJY273" s="314"/>
      <c r="CJZ273" s="314"/>
      <c r="CKA273" s="314"/>
      <c r="CKB273" s="314"/>
      <c r="CKC273" s="314"/>
      <c r="CKD273" s="314"/>
      <c r="CKE273" s="314"/>
      <c r="CKF273" s="314"/>
      <c r="CKG273" s="1046"/>
      <c r="CKH273" s="314"/>
      <c r="CKI273" s="314"/>
      <c r="CKJ273" s="314"/>
      <c r="CKK273" s="314"/>
      <c r="CKL273" s="314"/>
      <c r="CKM273" s="314"/>
      <c r="CKN273" s="314"/>
      <c r="CKO273" s="314"/>
      <c r="CKP273" s="314"/>
      <c r="CKQ273" s="314"/>
      <c r="CKR273" s="314"/>
      <c r="CKS273" s="314"/>
      <c r="CKT273" s="314"/>
      <c r="CKU273" s="314"/>
      <c r="CKV273" s="314"/>
      <c r="CKW273" s="1046"/>
      <c r="CKX273" s="314"/>
      <c r="CKY273" s="314"/>
      <c r="CKZ273" s="314"/>
      <c r="CLA273" s="314"/>
      <c r="CLB273" s="314"/>
      <c r="CLC273" s="314"/>
      <c r="CLD273" s="314"/>
      <c r="CLE273" s="314"/>
      <c r="CLF273" s="314"/>
      <c r="CLG273" s="314"/>
      <c r="CLH273" s="314"/>
      <c r="CLI273" s="314"/>
      <c r="CLJ273" s="314"/>
      <c r="CLK273" s="314"/>
      <c r="CLL273" s="314"/>
      <c r="CLM273" s="1046"/>
      <c r="CLN273" s="314"/>
      <c r="CLO273" s="314"/>
      <c r="CLP273" s="314"/>
      <c r="CLQ273" s="314"/>
      <c r="CLR273" s="314"/>
      <c r="CLS273" s="314"/>
      <c r="CLT273" s="314"/>
      <c r="CLU273" s="314"/>
      <c r="CLV273" s="314"/>
      <c r="CLW273" s="314"/>
      <c r="CLX273" s="314"/>
      <c r="CLY273" s="314"/>
      <c r="CLZ273" s="314"/>
      <c r="CMA273" s="314"/>
      <c r="CMB273" s="314"/>
      <c r="CMC273" s="1046"/>
      <c r="CMD273" s="314"/>
      <c r="CME273" s="314"/>
      <c r="CMF273" s="314"/>
      <c r="CMG273" s="314"/>
      <c r="CMH273" s="314"/>
      <c r="CMI273" s="314"/>
      <c r="CMJ273" s="314"/>
      <c r="CMK273" s="314"/>
      <c r="CML273" s="314"/>
      <c r="CMM273" s="314"/>
      <c r="CMN273" s="314"/>
      <c r="CMO273" s="314"/>
      <c r="CMP273" s="314"/>
      <c r="CMQ273" s="314"/>
      <c r="CMR273" s="314"/>
      <c r="CMS273" s="1046"/>
      <c r="CMT273" s="314"/>
      <c r="CMU273" s="314"/>
      <c r="CMV273" s="314"/>
      <c r="CMW273" s="314"/>
      <c r="CMX273" s="314"/>
      <c r="CMY273" s="314"/>
      <c r="CMZ273" s="314"/>
      <c r="CNA273" s="314"/>
      <c r="CNB273" s="314"/>
      <c r="CNC273" s="314"/>
      <c r="CND273" s="314"/>
      <c r="CNE273" s="314"/>
      <c r="CNF273" s="314"/>
      <c r="CNG273" s="314"/>
      <c r="CNH273" s="314"/>
      <c r="CNI273" s="1046"/>
      <c r="CNJ273" s="314"/>
      <c r="CNK273" s="314"/>
      <c r="CNL273" s="314"/>
      <c r="CNM273" s="314"/>
      <c r="CNN273" s="314"/>
      <c r="CNO273" s="314"/>
      <c r="CNP273" s="314"/>
      <c r="CNQ273" s="314"/>
      <c r="CNR273" s="314"/>
      <c r="CNS273" s="314"/>
      <c r="CNT273" s="314"/>
      <c r="CNU273" s="314"/>
      <c r="CNV273" s="314"/>
      <c r="CNW273" s="314"/>
      <c r="CNX273" s="314"/>
      <c r="CNY273" s="1046"/>
      <c r="CNZ273" s="314"/>
      <c r="COA273" s="314"/>
      <c r="COB273" s="314"/>
      <c r="COC273" s="314"/>
      <c r="COD273" s="314"/>
      <c r="COE273" s="314"/>
      <c r="COF273" s="314"/>
      <c r="COG273" s="314"/>
      <c r="COH273" s="314"/>
      <c r="COI273" s="314"/>
      <c r="COJ273" s="314"/>
      <c r="COK273" s="314"/>
      <c r="COL273" s="314"/>
      <c r="COM273" s="314"/>
      <c r="CON273" s="314"/>
      <c r="COO273" s="1046"/>
      <c r="COP273" s="314"/>
      <c r="COQ273" s="314"/>
      <c r="COR273" s="314"/>
      <c r="COS273" s="314"/>
      <c r="COT273" s="314"/>
      <c r="COU273" s="314"/>
      <c r="COV273" s="314"/>
      <c r="COW273" s="314"/>
      <c r="COX273" s="314"/>
      <c r="COY273" s="314"/>
      <c r="COZ273" s="314"/>
      <c r="CPA273" s="314"/>
      <c r="CPB273" s="314"/>
      <c r="CPC273" s="314"/>
      <c r="CPD273" s="314"/>
      <c r="CPE273" s="1046"/>
      <c r="CPF273" s="314"/>
      <c r="CPG273" s="314"/>
      <c r="CPH273" s="314"/>
      <c r="CPI273" s="314"/>
      <c r="CPJ273" s="314"/>
      <c r="CPK273" s="314"/>
      <c r="CPL273" s="314"/>
      <c r="CPM273" s="314"/>
      <c r="CPN273" s="314"/>
      <c r="CPO273" s="314"/>
      <c r="CPP273" s="314"/>
      <c r="CPQ273" s="314"/>
      <c r="CPR273" s="314"/>
      <c r="CPS273" s="314"/>
      <c r="CPT273" s="314"/>
      <c r="CPU273" s="1046"/>
      <c r="CPV273" s="314"/>
      <c r="CPW273" s="314"/>
      <c r="CPX273" s="314"/>
      <c r="CPY273" s="314"/>
      <c r="CPZ273" s="314"/>
      <c r="CQA273" s="314"/>
      <c r="CQB273" s="314"/>
      <c r="CQC273" s="314"/>
      <c r="CQD273" s="314"/>
      <c r="CQE273" s="314"/>
      <c r="CQF273" s="314"/>
      <c r="CQG273" s="314"/>
      <c r="CQH273" s="314"/>
      <c r="CQI273" s="314"/>
      <c r="CQJ273" s="314"/>
      <c r="CQK273" s="1046"/>
      <c r="CQL273" s="314"/>
      <c r="CQM273" s="314"/>
      <c r="CQN273" s="314"/>
      <c r="CQO273" s="314"/>
      <c r="CQP273" s="314"/>
      <c r="CQQ273" s="314"/>
      <c r="CQR273" s="314"/>
      <c r="CQS273" s="314"/>
      <c r="CQT273" s="314"/>
      <c r="CQU273" s="314"/>
      <c r="CQV273" s="314"/>
      <c r="CQW273" s="314"/>
      <c r="CQX273" s="314"/>
      <c r="CQY273" s="314"/>
      <c r="CQZ273" s="314"/>
      <c r="CRA273" s="1046"/>
      <c r="CRB273" s="314"/>
      <c r="CRC273" s="314"/>
      <c r="CRD273" s="314"/>
      <c r="CRE273" s="314"/>
      <c r="CRF273" s="314"/>
      <c r="CRG273" s="314"/>
      <c r="CRH273" s="314"/>
      <c r="CRI273" s="314"/>
      <c r="CRJ273" s="314"/>
      <c r="CRK273" s="314"/>
      <c r="CRL273" s="314"/>
      <c r="CRM273" s="314"/>
      <c r="CRN273" s="314"/>
      <c r="CRO273" s="314"/>
      <c r="CRP273" s="314"/>
      <c r="CRQ273" s="1046"/>
      <c r="CRR273" s="314"/>
      <c r="CRS273" s="314"/>
      <c r="CRT273" s="314"/>
      <c r="CRU273" s="314"/>
      <c r="CRV273" s="314"/>
      <c r="CRW273" s="314"/>
      <c r="CRX273" s="314"/>
      <c r="CRY273" s="314"/>
      <c r="CRZ273" s="314"/>
      <c r="CSA273" s="314"/>
      <c r="CSB273" s="314"/>
      <c r="CSC273" s="314"/>
      <c r="CSD273" s="314"/>
      <c r="CSE273" s="314"/>
      <c r="CSF273" s="314"/>
      <c r="CSG273" s="1046"/>
      <c r="CSH273" s="314"/>
      <c r="CSI273" s="314"/>
      <c r="CSJ273" s="314"/>
      <c r="CSK273" s="314"/>
      <c r="CSL273" s="314"/>
      <c r="CSM273" s="314"/>
      <c r="CSN273" s="314"/>
      <c r="CSO273" s="314"/>
      <c r="CSP273" s="314"/>
      <c r="CSQ273" s="314"/>
      <c r="CSR273" s="314"/>
      <c r="CSS273" s="314"/>
      <c r="CST273" s="314"/>
      <c r="CSU273" s="314"/>
      <c r="CSV273" s="314"/>
      <c r="CSW273" s="1046"/>
      <c r="CSX273" s="314"/>
      <c r="CSY273" s="314"/>
      <c r="CSZ273" s="314"/>
      <c r="CTA273" s="314"/>
      <c r="CTB273" s="314"/>
      <c r="CTC273" s="314"/>
      <c r="CTD273" s="314"/>
      <c r="CTE273" s="314"/>
      <c r="CTF273" s="314"/>
      <c r="CTG273" s="314"/>
      <c r="CTH273" s="314"/>
      <c r="CTI273" s="314"/>
      <c r="CTJ273" s="314"/>
      <c r="CTK273" s="314"/>
      <c r="CTL273" s="314"/>
      <c r="CTM273" s="1046"/>
      <c r="CTN273" s="314"/>
      <c r="CTO273" s="314"/>
      <c r="CTP273" s="314"/>
      <c r="CTQ273" s="314"/>
      <c r="CTR273" s="314"/>
      <c r="CTS273" s="314"/>
      <c r="CTT273" s="314"/>
      <c r="CTU273" s="314"/>
      <c r="CTV273" s="314"/>
      <c r="CTW273" s="314"/>
      <c r="CTX273" s="314"/>
      <c r="CTY273" s="314"/>
      <c r="CTZ273" s="314"/>
      <c r="CUA273" s="314"/>
      <c r="CUB273" s="314"/>
      <c r="CUC273" s="1046"/>
      <c r="CUD273" s="314"/>
      <c r="CUE273" s="314"/>
      <c r="CUF273" s="314"/>
      <c r="CUG273" s="314"/>
      <c r="CUH273" s="314"/>
      <c r="CUI273" s="314"/>
      <c r="CUJ273" s="314"/>
      <c r="CUK273" s="314"/>
      <c r="CUL273" s="314"/>
      <c r="CUM273" s="314"/>
      <c r="CUN273" s="314"/>
      <c r="CUO273" s="314"/>
      <c r="CUP273" s="314"/>
      <c r="CUQ273" s="314"/>
      <c r="CUR273" s="314"/>
      <c r="CUS273" s="1046"/>
      <c r="CUT273" s="314"/>
      <c r="CUU273" s="314"/>
      <c r="CUV273" s="314"/>
      <c r="CUW273" s="314"/>
      <c r="CUX273" s="314"/>
      <c r="CUY273" s="314"/>
      <c r="CUZ273" s="314"/>
      <c r="CVA273" s="314"/>
      <c r="CVB273" s="314"/>
      <c r="CVC273" s="314"/>
      <c r="CVD273" s="314"/>
      <c r="CVE273" s="314"/>
      <c r="CVF273" s="314"/>
      <c r="CVG273" s="314"/>
      <c r="CVH273" s="314"/>
      <c r="CVI273" s="1046"/>
      <c r="CVJ273" s="314"/>
      <c r="CVK273" s="314"/>
      <c r="CVL273" s="314"/>
      <c r="CVM273" s="314"/>
      <c r="CVN273" s="314"/>
      <c r="CVO273" s="314"/>
      <c r="CVP273" s="314"/>
      <c r="CVQ273" s="314"/>
      <c r="CVR273" s="314"/>
      <c r="CVS273" s="314"/>
      <c r="CVT273" s="314"/>
      <c r="CVU273" s="314"/>
      <c r="CVV273" s="314"/>
      <c r="CVW273" s="314"/>
      <c r="CVX273" s="314"/>
      <c r="CVY273" s="1046"/>
      <c r="CVZ273" s="314"/>
      <c r="CWA273" s="314"/>
      <c r="CWB273" s="314"/>
      <c r="CWC273" s="314"/>
      <c r="CWD273" s="314"/>
      <c r="CWE273" s="314"/>
      <c r="CWF273" s="314"/>
      <c r="CWG273" s="314"/>
      <c r="CWH273" s="314"/>
      <c r="CWI273" s="314"/>
      <c r="CWJ273" s="314"/>
      <c r="CWK273" s="314"/>
      <c r="CWL273" s="314"/>
      <c r="CWM273" s="314"/>
      <c r="CWN273" s="314"/>
      <c r="CWO273" s="1046"/>
      <c r="CWP273" s="314"/>
      <c r="CWQ273" s="314"/>
      <c r="CWR273" s="314"/>
      <c r="CWS273" s="314"/>
      <c r="CWT273" s="314"/>
      <c r="CWU273" s="314"/>
      <c r="CWV273" s="314"/>
      <c r="CWW273" s="314"/>
      <c r="CWX273" s="314"/>
      <c r="CWY273" s="314"/>
      <c r="CWZ273" s="314"/>
      <c r="CXA273" s="314"/>
      <c r="CXB273" s="314"/>
      <c r="CXC273" s="314"/>
      <c r="CXD273" s="314"/>
      <c r="CXE273" s="1046"/>
      <c r="CXF273" s="314"/>
      <c r="CXG273" s="314"/>
      <c r="CXH273" s="314"/>
      <c r="CXI273" s="314"/>
      <c r="CXJ273" s="314"/>
      <c r="CXK273" s="314"/>
      <c r="CXL273" s="314"/>
      <c r="CXM273" s="314"/>
      <c r="CXN273" s="314"/>
      <c r="CXO273" s="314"/>
      <c r="CXP273" s="314"/>
      <c r="CXQ273" s="314"/>
      <c r="CXR273" s="314"/>
      <c r="CXS273" s="314"/>
      <c r="CXT273" s="314"/>
      <c r="CXU273" s="1046"/>
      <c r="CXV273" s="314"/>
      <c r="CXW273" s="314"/>
      <c r="CXX273" s="314"/>
      <c r="CXY273" s="314"/>
      <c r="CXZ273" s="314"/>
      <c r="CYA273" s="314"/>
      <c r="CYB273" s="314"/>
      <c r="CYC273" s="314"/>
      <c r="CYD273" s="314"/>
      <c r="CYE273" s="314"/>
      <c r="CYF273" s="314"/>
      <c r="CYG273" s="314"/>
      <c r="CYH273" s="314"/>
      <c r="CYI273" s="314"/>
      <c r="CYJ273" s="314"/>
      <c r="CYK273" s="1046"/>
      <c r="CYL273" s="314"/>
      <c r="CYM273" s="314"/>
      <c r="CYN273" s="314"/>
      <c r="CYO273" s="314"/>
      <c r="CYP273" s="314"/>
      <c r="CYQ273" s="314"/>
      <c r="CYR273" s="314"/>
      <c r="CYS273" s="314"/>
      <c r="CYT273" s="314"/>
      <c r="CYU273" s="314"/>
      <c r="CYV273" s="314"/>
      <c r="CYW273" s="314"/>
      <c r="CYX273" s="314"/>
      <c r="CYY273" s="314"/>
      <c r="CYZ273" s="314"/>
      <c r="CZA273" s="1046"/>
      <c r="CZB273" s="314"/>
      <c r="CZC273" s="314"/>
      <c r="CZD273" s="314"/>
      <c r="CZE273" s="314"/>
      <c r="CZF273" s="314"/>
      <c r="CZG273" s="314"/>
      <c r="CZH273" s="314"/>
      <c r="CZI273" s="314"/>
      <c r="CZJ273" s="314"/>
      <c r="CZK273" s="314"/>
      <c r="CZL273" s="314"/>
      <c r="CZM273" s="314"/>
      <c r="CZN273" s="314"/>
      <c r="CZO273" s="314"/>
      <c r="CZP273" s="314"/>
      <c r="CZQ273" s="1046"/>
      <c r="CZR273" s="314"/>
      <c r="CZS273" s="314"/>
      <c r="CZT273" s="314"/>
      <c r="CZU273" s="314"/>
      <c r="CZV273" s="314"/>
      <c r="CZW273" s="314"/>
      <c r="CZX273" s="314"/>
      <c r="CZY273" s="314"/>
      <c r="CZZ273" s="314"/>
      <c r="DAA273" s="314"/>
      <c r="DAB273" s="314"/>
      <c r="DAC273" s="314"/>
      <c r="DAD273" s="314"/>
      <c r="DAE273" s="314"/>
      <c r="DAF273" s="314"/>
      <c r="DAG273" s="1046"/>
      <c r="DAH273" s="314"/>
      <c r="DAI273" s="314"/>
      <c r="DAJ273" s="314"/>
      <c r="DAK273" s="314"/>
      <c r="DAL273" s="314"/>
      <c r="DAM273" s="314"/>
      <c r="DAN273" s="314"/>
      <c r="DAO273" s="314"/>
      <c r="DAP273" s="314"/>
      <c r="DAQ273" s="314"/>
      <c r="DAR273" s="314"/>
      <c r="DAS273" s="314"/>
      <c r="DAT273" s="314"/>
      <c r="DAU273" s="314"/>
      <c r="DAV273" s="314"/>
      <c r="DAW273" s="1046"/>
      <c r="DAX273" s="314"/>
      <c r="DAY273" s="314"/>
      <c r="DAZ273" s="314"/>
      <c r="DBA273" s="314"/>
      <c r="DBB273" s="314"/>
      <c r="DBC273" s="314"/>
      <c r="DBD273" s="314"/>
      <c r="DBE273" s="314"/>
      <c r="DBF273" s="314"/>
      <c r="DBG273" s="314"/>
      <c r="DBH273" s="314"/>
      <c r="DBI273" s="314"/>
      <c r="DBJ273" s="314"/>
      <c r="DBK273" s="314"/>
      <c r="DBL273" s="314"/>
      <c r="DBM273" s="1046"/>
      <c r="DBN273" s="314"/>
      <c r="DBO273" s="314"/>
      <c r="DBP273" s="314"/>
      <c r="DBQ273" s="314"/>
      <c r="DBR273" s="314"/>
      <c r="DBS273" s="314"/>
      <c r="DBT273" s="314"/>
      <c r="DBU273" s="314"/>
      <c r="DBV273" s="314"/>
      <c r="DBW273" s="314"/>
      <c r="DBX273" s="314"/>
      <c r="DBY273" s="314"/>
      <c r="DBZ273" s="314"/>
      <c r="DCA273" s="314"/>
      <c r="DCB273" s="314"/>
      <c r="DCC273" s="1046"/>
      <c r="DCD273" s="314"/>
      <c r="DCE273" s="314"/>
      <c r="DCF273" s="314"/>
      <c r="DCG273" s="314"/>
      <c r="DCH273" s="314"/>
      <c r="DCI273" s="314"/>
      <c r="DCJ273" s="314"/>
      <c r="DCK273" s="314"/>
      <c r="DCL273" s="314"/>
      <c r="DCM273" s="314"/>
      <c r="DCN273" s="314"/>
      <c r="DCO273" s="314"/>
      <c r="DCP273" s="314"/>
      <c r="DCQ273" s="314"/>
      <c r="DCR273" s="314"/>
      <c r="DCS273" s="1046"/>
      <c r="DCT273" s="314"/>
      <c r="DCU273" s="314"/>
      <c r="DCV273" s="314"/>
      <c r="DCW273" s="314"/>
      <c r="DCX273" s="314"/>
      <c r="DCY273" s="314"/>
      <c r="DCZ273" s="314"/>
      <c r="DDA273" s="314"/>
      <c r="DDB273" s="314"/>
      <c r="DDC273" s="314"/>
      <c r="DDD273" s="314"/>
      <c r="DDE273" s="314"/>
      <c r="DDF273" s="314"/>
      <c r="DDG273" s="314"/>
      <c r="DDH273" s="314"/>
      <c r="DDI273" s="1046"/>
      <c r="DDJ273" s="314"/>
      <c r="DDK273" s="314"/>
      <c r="DDL273" s="314"/>
      <c r="DDM273" s="314"/>
      <c r="DDN273" s="314"/>
      <c r="DDO273" s="314"/>
      <c r="DDP273" s="314"/>
      <c r="DDQ273" s="314"/>
      <c r="DDR273" s="314"/>
      <c r="DDS273" s="314"/>
      <c r="DDT273" s="314"/>
      <c r="DDU273" s="314"/>
      <c r="DDV273" s="314"/>
      <c r="DDW273" s="314"/>
      <c r="DDX273" s="314"/>
      <c r="DDY273" s="1046"/>
      <c r="DDZ273" s="314"/>
      <c r="DEA273" s="314"/>
      <c r="DEB273" s="314"/>
      <c r="DEC273" s="314"/>
      <c r="DED273" s="314"/>
      <c r="DEE273" s="314"/>
      <c r="DEF273" s="314"/>
      <c r="DEG273" s="314"/>
      <c r="DEH273" s="314"/>
      <c r="DEI273" s="314"/>
      <c r="DEJ273" s="314"/>
      <c r="DEK273" s="314"/>
      <c r="DEL273" s="314"/>
      <c r="DEM273" s="314"/>
      <c r="DEN273" s="314"/>
      <c r="DEO273" s="1046"/>
      <c r="DEP273" s="314"/>
      <c r="DEQ273" s="314"/>
      <c r="DER273" s="314"/>
      <c r="DES273" s="314"/>
      <c r="DET273" s="314"/>
      <c r="DEU273" s="314"/>
      <c r="DEV273" s="314"/>
      <c r="DEW273" s="314"/>
      <c r="DEX273" s="314"/>
      <c r="DEY273" s="314"/>
      <c r="DEZ273" s="314"/>
      <c r="DFA273" s="314"/>
      <c r="DFB273" s="314"/>
      <c r="DFC273" s="314"/>
      <c r="DFD273" s="314"/>
      <c r="DFE273" s="1046"/>
      <c r="DFF273" s="314"/>
      <c r="DFG273" s="314"/>
      <c r="DFH273" s="314"/>
      <c r="DFI273" s="314"/>
      <c r="DFJ273" s="314"/>
      <c r="DFK273" s="314"/>
      <c r="DFL273" s="314"/>
      <c r="DFM273" s="314"/>
      <c r="DFN273" s="314"/>
      <c r="DFO273" s="314"/>
      <c r="DFP273" s="314"/>
      <c r="DFQ273" s="314"/>
      <c r="DFR273" s="314"/>
      <c r="DFS273" s="314"/>
      <c r="DFT273" s="314"/>
      <c r="DFU273" s="1046"/>
      <c r="DFV273" s="314"/>
      <c r="DFW273" s="314"/>
      <c r="DFX273" s="314"/>
      <c r="DFY273" s="314"/>
      <c r="DFZ273" s="314"/>
      <c r="DGA273" s="314"/>
      <c r="DGB273" s="314"/>
      <c r="DGC273" s="314"/>
      <c r="DGD273" s="314"/>
      <c r="DGE273" s="314"/>
      <c r="DGF273" s="314"/>
      <c r="DGG273" s="314"/>
      <c r="DGH273" s="314"/>
      <c r="DGI273" s="314"/>
      <c r="DGJ273" s="314"/>
      <c r="DGK273" s="1046"/>
      <c r="DGL273" s="314"/>
      <c r="DGM273" s="314"/>
      <c r="DGN273" s="314"/>
      <c r="DGO273" s="314"/>
      <c r="DGP273" s="314"/>
      <c r="DGQ273" s="314"/>
      <c r="DGR273" s="314"/>
      <c r="DGS273" s="314"/>
      <c r="DGT273" s="314"/>
      <c r="DGU273" s="314"/>
      <c r="DGV273" s="314"/>
      <c r="DGW273" s="314"/>
      <c r="DGX273" s="314"/>
      <c r="DGY273" s="314"/>
      <c r="DGZ273" s="314"/>
      <c r="DHA273" s="1046"/>
      <c r="DHB273" s="314"/>
      <c r="DHC273" s="314"/>
      <c r="DHD273" s="314"/>
      <c r="DHE273" s="314"/>
      <c r="DHF273" s="314"/>
      <c r="DHG273" s="314"/>
      <c r="DHH273" s="314"/>
      <c r="DHI273" s="314"/>
      <c r="DHJ273" s="314"/>
      <c r="DHK273" s="314"/>
      <c r="DHL273" s="314"/>
      <c r="DHM273" s="314"/>
      <c r="DHN273" s="314"/>
      <c r="DHO273" s="314"/>
      <c r="DHP273" s="314"/>
      <c r="DHQ273" s="1046"/>
      <c r="DHR273" s="314"/>
      <c r="DHS273" s="314"/>
      <c r="DHT273" s="314"/>
      <c r="DHU273" s="314"/>
      <c r="DHV273" s="314"/>
      <c r="DHW273" s="314"/>
      <c r="DHX273" s="314"/>
      <c r="DHY273" s="314"/>
      <c r="DHZ273" s="314"/>
      <c r="DIA273" s="314"/>
      <c r="DIB273" s="314"/>
      <c r="DIC273" s="314"/>
      <c r="DID273" s="314"/>
      <c r="DIE273" s="314"/>
      <c r="DIF273" s="314"/>
      <c r="DIG273" s="1046"/>
      <c r="DIH273" s="314"/>
      <c r="DII273" s="314"/>
      <c r="DIJ273" s="314"/>
      <c r="DIK273" s="314"/>
      <c r="DIL273" s="314"/>
      <c r="DIM273" s="314"/>
      <c r="DIN273" s="314"/>
      <c r="DIO273" s="314"/>
      <c r="DIP273" s="314"/>
      <c r="DIQ273" s="314"/>
      <c r="DIR273" s="314"/>
      <c r="DIS273" s="314"/>
      <c r="DIT273" s="314"/>
      <c r="DIU273" s="314"/>
      <c r="DIV273" s="314"/>
      <c r="DIW273" s="1046"/>
      <c r="DIX273" s="314"/>
      <c r="DIY273" s="314"/>
      <c r="DIZ273" s="314"/>
      <c r="DJA273" s="314"/>
      <c r="DJB273" s="314"/>
      <c r="DJC273" s="314"/>
      <c r="DJD273" s="314"/>
      <c r="DJE273" s="314"/>
      <c r="DJF273" s="314"/>
      <c r="DJG273" s="314"/>
      <c r="DJH273" s="314"/>
      <c r="DJI273" s="314"/>
      <c r="DJJ273" s="314"/>
      <c r="DJK273" s="314"/>
      <c r="DJL273" s="314"/>
      <c r="DJM273" s="1046"/>
      <c r="DJN273" s="314"/>
      <c r="DJO273" s="314"/>
      <c r="DJP273" s="314"/>
      <c r="DJQ273" s="314"/>
      <c r="DJR273" s="314"/>
      <c r="DJS273" s="314"/>
      <c r="DJT273" s="314"/>
      <c r="DJU273" s="314"/>
      <c r="DJV273" s="314"/>
      <c r="DJW273" s="314"/>
      <c r="DJX273" s="314"/>
      <c r="DJY273" s="314"/>
      <c r="DJZ273" s="314"/>
      <c r="DKA273" s="314"/>
      <c r="DKB273" s="314"/>
      <c r="DKC273" s="1046"/>
      <c r="DKD273" s="314"/>
      <c r="DKE273" s="314"/>
      <c r="DKF273" s="314"/>
      <c r="DKG273" s="314"/>
      <c r="DKH273" s="314"/>
      <c r="DKI273" s="314"/>
      <c r="DKJ273" s="314"/>
      <c r="DKK273" s="314"/>
      <c r="DKL273" s="314"/>
      <c r="DKM273" s="314"/>
      <c r="DKN273" s="314"/>
      <c r="DKO273" s="314"/>
      <c r="DKP273" s="314"/>
      <c r="DKQ273" s="314"/>
      <c r="DKR273" s="314"/>
      <c r="DKS273" s="1046"/>
      <c r="DKT273" s="314"/>
      <c r="DKU273" s="314"/>
      <c r="DKV273" s="314"/>
      <c r="DKW273" s="314"/>
      <c r="DKX273" s="314"/>
      <c r="DKY273" s="314"/>
      <c r="DKZ273" s="314"/>
      <c r="DLA273" s="314"/>
      <c r="DLB273" s="314"/>
      <c r="DLC273" s="314"/>
      <c r="DLD273" s="314"/>
      <c r="DLE273" s="314"/>
      <c r="DLF273" s="314"/>
      <c r="DLG273" s="314"/>
      <c r="DLH273" s="314"/>
      <c r="DLI273" s="1046"/>
      <c r="DLJ273" s="314"/>
      <c r="DLK273" s="314"/>
      <c r="DLL273" s="314"/>
      <c r="DLM273" s="314"/>
      <c r="DLN273" s="314"/>
      <c r="DLO273" s="314"/>
      <c r="DLP273" s="314"/>
      <c r="DLQ273" s="314"/>
      <c r="DLR273" s="314"/>
      <c r="DLS273" s="314"/>
      <c r="DLT273" s="314"/>
      <c r="DLU273" s="314"/>
      <c r="DLV273" s="314"/>
      <c r="DLW273" s="314"/>
      <c r="DLX273" s="314"/>
      <c r="DLY273" s="1046"/>
      <c r="DLZ273" s="314"/>
      <c r="DMA273" s="314"/>
      <c r="DMB273" s="314"/>
      <c r="DMC273" s="314"/>
      <c r="DMD273" s="314"/>
      <c r="DME273" s="314"/>
      <c r="DMF273" s="314"/>
      <c r="DMG273" s="314"/>
      <c r="DMH273" s="314"/>
      <c r="DMI273" s="314"/>
      <c r="DMJ273" s="314"/>
      <c r="DMK273" s="314"/>
      <c r="DML273" s="314"/>
      <c r="DMM273" s="314"/>
      <c r="DMN273" s="314"/>
      <c r="DMO273" s="1046"/>
      <c r="DMP273" s="314"/>
      <c r="DMQ273" s="314"/>
      <c r="DMR273" s="314"/>
      <c r="DMS273" s="314"/>
      <c r="DMT273" s="314"/>
      <c r="DMU273" s="314"/>
      <c r="DMV273" s="314"/>
      <c r="DMW273" s="314"/>
      <c r="DMX273" s="314"/>
      <c r="DMY273" s="314"/>
      <c r="DMZ273" s="314"/>
      <c r="DNA273" s="314"/>
      <c r="DNB273" s="314"/>
      <c r="DNC273" s="314"/>
      <c r="DND273" s="314"/>
      <c r="DNE273" s="1046"/>
      <c r="DNF273" s="314"/>
      <c r="DNG273" s="314"/>
      <c r="DNH273" s="314"/>
      <c r="DNI273" s="314"/>
      <c r="DNJ273" s="314"/>
      <c r="DNK273" s="314"/>
      <c r="DNL273" s="314"/>
      <c r="DNM273" s="314"/>
      <c r="DNN273" s="314"/>
      <c r="DNO273" s="314"/>
      <c r="DNP273" s="314"/>
      <c r="DNQ273" s="314"/>
      <c r="DNR273" s="314"/>
      <c r="DNS273" s="314"/>
      <c r="DNT273" s="314"/>
      <c r="DNU273" s="1046"/>
      <c r="DNV273" s="314"/>
      <c r="DNW273" s="314"/>
      <c r="DNX273" s="314"/>
      <c r="DNY273" s="314"/>
      <c r="DNZ273" s="314"/>
      <c r="DOA273" s="314"/>
      <c r="DOB273" s="314"/>
      <c r="DOC273" s="314"/>
      <c r="DOD273" s="314"/>
      <c r="DOE273" s="314"/>
      <c r="DOF273" s="314"/>
      <c r="DOG273" s="314"/>
      <c r="DOH273" s="314"/>
      <c r="DOI273" s="314"/>
      <c r="DOJ273" s="314"/>
      <c r="DOK273" s="1046"/>
      <c r="DOL273" s="314"/>
      <c r="DOM273" s="314"/>
      <c r="DON273" s="314"/>
      <c r="DOO273" s="314"/>
      <c r="DOP273" s="314"/>
      <c r="DOQ273" s="314"/>
      <c r="DOR273" s="314"/>
      <c r="DOS273" s="314"/>
      <c r="DOT273" s="314"/>
      <c r="DOU273" s="314"/>
      <c r="DOV273" s="314"/>
      <c r="DOW273" s="314"/>
      <c r="DOX273" s="314"/>
      <c r="DOY273" s="314"/>
      <c r="DOZ273" s="314"/>
      <c r="DPA273" s="1046"/>
      <c r="DPB273" s="314"/>
      <c r="DPC273" s="314"/>
      <c r="DPD273" s="314"/>
      <c r="DPE273" s="314"/>
      <c r="DPF273" s="314"/>
      <c r="DPG273" s="314"/>
      <c r="DPH273" s="314"/>
      <c r="DPI273" s="314"/>
      <c r="DPJ273" s="314"/>
      <c r="DPK273" s="314"/>
      <c r="DPL273" s="314"/>
      <c r="DPM273" s="314"/>
      <c r="DPN273" s="314"/>
      <c r="DPO273" s="314"/>
      <c r="DPP273" s="314"/>
      <c r="DPQ273" s="1046"/>
      <c r="DPR273" s="314"/>
      <c r="DPS273" s="314"/>
      <c r="DPT273" s="314"/>
      <c r="DPU273" s="314"/>
      <c r="DPV273" s="314"/>
      <c r="DPW273" s="314"/>
      <c r="DPX273" s="314"/>
      <c r="DPY273" s="314"/>
      <c r="DPZ273" s="314"/>
      <c r="DQA273" s="314"/>
      <c r="DQB273" s="314"/>
      <c r="DQC273" s="314"/>
      <c r="DQD273" s="314"/>
      <c r="DQE273" s="314"/>
      <c r="DQF273" s="314"/>
      <c r="DQG273" s="1046"/>
      <c r="DQH273" s="314"/>
      <c r="DQI273" s="314"/>
      <c r="DQJ273" s="314"/>
      <c r="DQK273" s="314"/>
      <c r="DQL273" s="314"/>
      <c r="DQM273" s="314"/>
      <c r="DQN273" s="314"/>
      <c r="DQO273" s="314"/>
      <c r="DQP273" s="314"/>
      <c r="DQQ273" s="314"/>
      <c r="DQR273" s="314"/>
      <c r="DQS273" s="314"/>
      <c r="DQT273" s="314"/>
      <c r="DQU273" s="314"/>
      <c r="DQV273" s="314"/>
      <c r="DQW273" s="1046"/>
      <c r="DQX273" s="314"/>
      <c r="DQY273" s="314"/>
      <c r="DQZ273" s="314"/>
      <c r="DRA273" s="314"/>
      <c r="DRB273" s="314"/>
      <c r="DRC273" s="314"/>
      <c r="DRD273" s="314"/>
      <c r="DRE273" s="314"/>
      <c r="DRF273" s="314"/>
      <c r="DRG273" s="314"/>
      <c r="DRH273" s="314"/>
      <c r="DRI273" s="314"/>
      <c r="DRJ273" s="314"/>
      <c r="DRK273" s="314"/>
      <c r="DRL273" s="314"/>
      <c r="DRM273" s="1046"/>
      <c r="DRN273" s="314"/>
      <c r="DRO273" s="314"/>
      <c r="DRP273" s="314"/>
      <c r="DRQ273" s="314"/>
      <c r="DRR273" s="314"/>
      <c r="DRS273" s="314"/>
      <c r="DRT273" s="314"/>
      <c r="DRU273" s="314"/>
      <c r="DRV273" s="314"/>
      <c r="DRW273" s="314"/>
      <c r="DRX273" s="314"/>
      <c r="DRY273" s="314"/>
      <c r="DRZ273" s="314"/>
      <c r="DSA273" s="314"/>
      <c r="DSB273" s="314"/>
      <c r="DSC273" s="1046"/>
      <c r="DSD273" s="314"/>
      <c r="DSE273" s="314"/>
      <c r="DSF273" s="314"/>
      <c r="DSG273" s="314"/>
      <c r="DSH273" s="314"/>
      <c r="DSI273" s="314"/>
      <c r="DSJ273" s="314"/>
      <c r="DSK273" s="314"/>
      <c r="DSL273" s="314"/>
      <c r="DSM273" s="314"/>
      <c r="DSN273" s="314"/>
      <c r="DSO273" s="314"/>
      <c r="DSP273" s="314"/>
      <c r="DSQ273" s="314"/>
      <c r="DSR273" s="314"/>
      <c r="DSS273" s="1046"/>
      <c r="DST273" s="314"/>
      <c r="DSU273" s="314"/>
      <c r="DSV273" s="314"/>
      <c r="DSW273" s="314"/>
      <c r="DSX273" s="314"/>
      <c r="DSY273" s="314"/>
      <c r="DSZ273" s="314"/>
      <c r="DTA273" s="314"/>
      <c r="DTB273" s="314"/>
      <c r="DTC273" s="314"/>
      <c r="DTD273" s="314"/>
      <c r="DTE273" s="314"/>
      <c r="DTF273" s="314"/>
      <c r="DTG273" s="314"/>
      <c r="DTH273" s="314"/>
      <c r="DTI273" s="1046"/>
      <c r="DTJ273" s="314"/>
      <c r="DTK273" s="314"/>
      <c r="DTL273" s="314"/>
      <c r="DTM273" s="314"/>
      <c r="DTN273" s="314"/>
      <c r="DTO273" s="314"/>
      <c r="DTP273" s="314"/>
      <c r="DTQ273" s="314"/>
      <c r="DTR273" s="314"/>
      <c r="DTS273" s="314"/>
      <c r="DTT273" s="314"/>
      <c r="DTU273" s="314"/>
      <c r="DTV273" s="314"/>
      <c r="DTW273" s="314"/>
      <c r="DTX273" s="314"/>
      <c r="DTY273" s="1046"/>
      <c r="DTZ273" s="314"/>
      <c r="DUA273" s="314"/>
      <c r="DUB273" s="314"/>
      <c r="DUC273" s="314"/>
      <c r="DUD273" s="314"/>
      <c r="DUE273" s="314"/>
      <c r="DUF273" s="314"/>
      <c r="DUG273" s="314"/>
      <c r="DUH273" s="314"/>
      <c r="DUI273" s="314"/>
      <c r="DUJ273" s="314"/>
      <c r="DUK273" s="314"/>
      <c r="DUL273" s="314"/>
      <c r="DUM273" s="314"/>
      <c r="DUN273" s="314"/>
    </row>
    <row r="274" spans="1:3264" ht="15.75" x14ac:dyDescent="0.2">
      <c r="A274" s="72">
        <v>13.6</v>
      </c>
      <c r="B274" s="75" t="s">
        <v>16</v>
      </c>
      <c r="C274" s="74" t="s">
        <v>11</v>
      </c>
      <c r="D274" s="74">
        <v>5</v>
      </c>
      <c r="E274" s="74">
        <f>skilled</f>
        <v>1100</v>
      </c>
      <c r="F274" s="74">
        <f>D274*E274</f>
        <v>5500</v>
      </c>
      <c r="G274" s="75" t="s">
        <v>268</v>
      </c>
      <c r="H274" s="74" t="s">
        <v>143</v>
      </c>
      <c r="I274" s="74">
        <v>12.94</v>
      </c>
      <c r="J274" s="74">
        <f>bitumen80_100*1000</f>
        <v>111640</v>
      </c>
      <c r="K274" s="74">
        <f>I274*J274</f>
        <v>1444621.6</v>
      </c>
      <c r="L274" s="151" t="s">
        <v>503</v>
      </c>
      <c r="M274" s="74" t="s">
        <v>13</v>
      </c>
      <c r="N274" s="74">
        <v>6</v>
      </c>
      <c r="O274" s="74">
        <f>batchmixhmp</f>
        <v>32515.5</v>
      </c>
      <c r="P274" s="21">
        <f>N274*O274</f>
        <v>195093</v>
      </c>
      <c r="Q274" s="65"/>
      <c r="R274" s="314"/>
      <c r="S274" s="314"/>
      <c r="T274" s="314"/>
      <c r="U274" s="314"/>
      <c r="V274" s="314"/>
      <c r="W274" s="314"/>
      <c r="X274" s="314"/>
      <c r="Y274" s="314"/>
      <c r="Z274" s="314"/>
      <c r="AA274" s="314"/>
      <c r="AB274" s="314"/>
      <c r="AC274" s="314"/>
      <c r="AD274" s="314"/>
      <c r="AE274" s="314"/>
      <c r="AF274" s="314"/>
      <c r="AG274" s="62"/>
      <c r="AH274" s="314"/>
      <c r="AI274" s="314"/>
      <c r="AJ274" s="314"/>
      <c r="AK274" s="314"/>
      <c r="AL274" s="314"/>
      <c r="AM274" s="314"/>
      <c r="AN274" s="314"/>
      <c r="AO274" s="314"/>
      <c r="AP274" s="314"/>
      <c r="AQ274" s="314"/>
      <c r="AR274" s="314"/>
      <c r="AS274" s="314"/>
      <c r="AT274" s="314"/>
      <c r="AU274" s="314"/>
      <c r="AV274" s="314"/>
      <c r="AW274" s="62"/>
      <c r="AX274" s="314"/>
      <c r="AY274" s="314"/>
      <c r="AZ274" s="314"/>
      <c r="BA274" s="314"/>
      <c r="BB274" s="314"/>
      <c r="BC274" s="314"/>
      <c r="BD274" s="314"/>
      <c r="BE274" s="314"/>
      <c r="BF274" s="314"/>
      <c r="BG274" s="314"/>
      <c r="BH274" s="314"/>
      <c r="BI274" s="314"/>
      <c r="BJ274" s="314"/>
      <c r="BK274" s="314"/>
      <c r="BL274" s="314"/>
      <c r="BM274" s="62"/>
      <c r="BN274" s="314"/>
      <c r="BO274" s="314"/>
      <c r="BP274" s="314"/>
      <c r="BQ274" s="314"/>
      <c r="BR274" s="314"/>
      <c r="BS274" s="314"/>
      <c r="BT274" s="314"/>
      <c r="BU274" s="314"/>
      <c r="BV274" s="314"/>
      <c r="BW274" s="314"/>
      <c r="BX274" s="314"/>
      <c r="BY274" s="314"/>
      <c r="BZ274" s="314"/>
      <c r="CA274" s="314"/>
      <c r="CB274" s="314"/>
      <c r="CC274" s="62"/>
      <c r="CD274" s="314"/>
      <c r="CE274" s="314"/>
      <c r="CF274" s="314"/>
      <c r="CG274" s="314"/>
      <c r="CH274" s="314"/>
      <c r="CI274" s="314"/>
      <c r="CJ274" s="314"/>
      <c r="CK274" s="314"/>
      <c r="CL274" s="314"/>
      <c r="CM274" s="314"/>
      <c r="CN274" s="314"/>
      <c r="CO274" s="314"/>
      <c r="CP274" s="314"/>
      <c r="CQ274" s="314"/>
      <c r="CR274" s="314"/>
      <c r="CS274" s="62"/>
      <c r="CT274" s="314"/>
      <c r="CU274" s="314"/>
      <c r="CV274" s="314"/>
      <c r="CW274" s="314"/>
      <c r="CX274" s="314"/>
      <c r="CY274" s="314"/>
      <c r="CZ274" s="314"/>
      <c r="DA274" s="314"/>
      <c r="DB274" s="314"/>
      <c r="DC274" s="314"/>
      <c r="DD274" s="314"/>
      <c r="DE274" s="314"/>
      <c r="DF274" s="314"/>
      <c r="DG274" s="314"/>
      <c r="DH274" s="314"/>
      <c r="DI274" s="62"/>
      <c r="DJ274" s="314"/>
      <c r="DK274" s="314"/>
      <c r="DL274" s="314"/>
      <c r="DM274" s="314"/>
      <c r="DN274" s="314"/>
      <c r="DO274" s="314"/>
      <c r="DP274" s="314"/>
      <c r="DQ274" s="314"/>
      <c r="DR274" s="314"/>
      <c r="DS274" s="314"/>
      <c r="DT274" s="314"/>
      <c r="DU274" s="314"/>
      <c r="DV274" s="314"/>
      <c r="DW274" s="314"/>
      <c r="DX274" s="314"/>
      <c r="DY274" s="62"/>
      <c r="DZ274" s="314"/>
      <c r="EA274" s="314"/>
      <c r="EB274" s="314"/>
      <c r="EC274" s="314"/>
      <c r="ED274" s="314"/>
      <c r="EE274" s="314"/>
      <c r="EF274" s="314"/>
      <c r="EG274" s="314"/>
      <c r="EH274" s="314"/>
      <c r="EI274" s="314"/>
      <c r="EJ274" s="314"/>
      <c r="EK274" s="314"/>
      <c r="EL274" s="314"/>
      <c r="EM274" s="314"/>
      <c r="EN274" s="314"/>
      <c r="EO274" s="62"/>
      <c r="EP274" s="314"/>
      <c r="EQ274" s="314"/>
      <c r="ER274" s="314"/>
      <c r="ES274" s="314"/>
      <c r="ET274" s="314"/>
      <c r="EU274" s="314"/>
      <c r="EV274" s="314"/>
      <c r="EW274" s="314"/>
      <c r="EX274" s="314"/>
      <c r="EY274" s="314"/>
      <c r="EZ274" s="314"/>
      <c r="FA274" s="314"/>
      <c r="FB274" s="314"/>
      <c r="FC274" s="314"/>
      <c r="FD274" s="314"/>
      <c r="FE274" s="62"/>
      <c r="FF274" s="314"/>
      <c r="FG274" s="314"/>
      <c r="FH274" s="314"/>
      <c r="FI274" s="314"/>
      <c r="FJ274" s="314"/>
      <c r="FK274" s="314"/>
      <c r="FL274" s="314"/>
      <c r="FM274" s="314"/>
      <c r="FN274" s="314"/>
      <c r="FO274" s="314"/>
      <c r="FP274" s="314"/>
      <c r="FQ274" s="314"/>
      <c r="FR274" s="314"/>
      <c r="FS274" s="314"/>
      <c r="FT274" s="314"/>
      <c r="FU274" s="62"/>
      <c r="FV274" s="314"/>
      <c r="FW274" s="314"/>
      <c r="FX274" s="314"/>
      <c r="FY274" s="314"/>
      <c r="FZ274" s="314"/>
      <c r="GA274" s="314"/>
      <c r="GB274" s="314"/>
      <c r="GC274" s="314"/>
      <c r="GD274" s="314"/>
      <c r="GE274" s="314"/>
      <c r="GF274" s="314"/>
      <c r="GG274" s="314"/>
      <c r="GH274" s="314"/>
      <c r="GI274" s="314"/>
      <c r="GJ274" s="314"/>
      <c r="GK274" s="62"/>
      <c r="GL274" s="314"/>
      <c r="GM274" s="314"/>
      <c r="GN274" s="314"/>
      <c r="GO274" s="314"/>
      <c r="GP274" s="314"/>
      <c r="GQ274" s="314"/>
      <c r="GR274" s="314"/>
      <c r="GS274" s="314"/>
      <c r="GT274" s="314"/>
      <c r="GU274" s="314"/>
      <c r="GV274" s="314"/>
      <c r="GW274" s="314"/>
      <c r="GX274" s="314"/>
      <c r="GY274" s="314"/>
      <c r="GZ274" s="314"/>
      <c r="HA274" s="62"/>
      <c r="HB274" s="314"/>
      <c r="HC274" s="314"/>
      <c r="HD274" s="314"/>
      <c r="HE274" s="314"/>
      <c r="HF274" s="314"/>
      <c r="HG274" s="314"/>
      <c r="HH274" s="314"/>
      <c r="HI274" s="314"/>
      <c r="HJ274" s="314"/>
      <c r="HK274" s="314"/>
      <c r="HL274" s="314"/>
      <c r="HM274" s="314"/>
      <c r="HN274" s="314"/>
      <c r="HO274" s="314"/>
      <c r="HP274" s="314"/>
      <c r="HQ274" s="62"/>
      <c r="HR274" s="314"/>
      <c r="HS274" s="314"/>
      <c r="HT274" s="314"/>
      <c r="HU274" s="314"/>
      <c r="HV274" s="314"/>
      <c r="HW274" s="314"/>
      <c r="HX274" s="314"/>
      <c r="HY274" s="314"/>
      <c r="HZ274" s="314"/>
      <c r="IA274" s="314"/>
      <c r="IB274" s="314"/>
      <c r="IC274" s="314"/>
      <c r="ID274" s="314"/>
      <c r="IE274" s="314"/>
      <c r="IF274" s="314"/>
      <c r="IG274" s="62"/>
      <c r="IH274" s="314"/>
      <c r="II274" s="314"/>
      <c r="IJ274" s="314"/>
      <c r="IK274" s="314"/>
      <c r="IL274" s="314"/>
      <c r="IM274" s="314"/>
      <c r="IN274" s="314"/>
      <c r="IO274" s="314"/>
      <c r="IP274" s="314"/>
      <c r="IQ274" s="314"/>
      <c r="IR274" s="314"/>
      <c r="IS274" s="314"/>
      <c r="IT274" s="314"/>
      <c r="IU274" s="314"/>
      <c r="IV274" s="314"/>
      <c r="IW274" s="62"/>
      <c r="IX274" s="314"/>
      <c r="IY274" s="314"/>
      <c r="IZ274" s="314"/>
      <c r="JA274" s="314"/>
      <c r="JB274" s="314"/>
      <c r="JC274" s="314"/>
      <c r="JD274" s="314"/>
      <c r="JE274" s="314"/>
      <c r="JF274" s="314"/>
      <c r="JG274" s="314"/>
      <c r="JH274" s="314"/>
      <c r="JI274" s="314"/>
      <c r="JJ274" s="314"/>
      <c r="JK274" s="314"/>
      <c r="JL274" s="314"/>
      <c r="JM274" s="62"/>
      <c r="JN274" s="314"/>
      <c r="JO274" s="314"/>
      <c r="JP274" s="314"/>
      <c r="JQ274" s="314"/>
      <c r="JR274" s="314"/>
      <c r="JS274" s="314"/>
      <c r="JT274" s="314"/>
      <c r="JU274" s="314"/>
      <c r="JV274" s="314"/>
      <c r="JW274" s="314"/>
      <c r="JX274" s="314"/>
      <c r="JY274" s="314"/>
      <c r="JZ274" s="314"/>
      <c r="KA274" s="314"/>
      <c r="KB274" s="314"/>
      <c r="KC274" s="62"/>
      <c r="KD274" s="314"/>
      <c r="KE274" s="314"/>
      <c r="KF274" s="314"/>
      <c r="KG274" s="314"/>
      <c r="KH274" s="314"/>
      <c r="KI274" s="314"/>
      <c r="KJ274" s="314"/>
      <c r="KK274" s="314"/>
      <c r="KL274" s="314"/>
      <c r="KM274" s="314"/>
      <c r="KN274" s="314"/>
      <c r="KO274" s="314"/>
      <c r="KP274" s="314"/>
      <c r="KQ274" s="314"/>
      <c r="KR274" s="314"/>
      <c r="KS274" s="62"/>
      <c r="KT274" s="314"/>
      <c r="KU274" s="314"/>
      <c r="KV274" s="314"/>
      <c r="KW274" s="314"/>
      <c r="KX274" s="314"/>
      <c r="KY274" s="314"/>
      <c r="KZ274" s="314"/>
      <c r="LA274" s="314"/>
      <c r="LB274" s="314"/>
      <c r="LC274" s="314"/>
      <c r="LD274" s="314"/>
      <c r="LE274" s="314"/>
      <c r="LF274" s="314"/>
      <c r="LG274" s="314"/>
      <c r="LH274" s="314"/>
      <c r="LI274" s="62"/>
      <c r="LJ274" s="314"/>
      <c r="LK274" s="314"/>
      <c r="LL274" s="314"/>
      <c r="LM274" s="314"/>
      <c r="LN274" s="314"/>
      <c r="LO274" s="314"/>
      <c r="LP274" s="314"/>
      <c r="LQ274" s="314"/>
      <c r="LR274" s="314"/>
      <c r="LS274" s="314"/>
      <c r="LT274" s="314"/>
      <c r="LU274" s="314"/>
      <c r="LV274" s="314"/>
      <c r="LW274" s="314"/>
      <c r="LX274" s="314"/>
      <c r="LY274" s="62"/>
      <c r="LZ274" s="314"/>
      <c r="MA274" s="314"/>
      <c r="MB274" s="314"/>
      <c r="MC274" s="314"/>
      <c r="MD274" s="314"/>
      <c r="ME274" s="314"/>
      <c r="MF274" s="314"/>
      <c r="MG274" s="314"/>
      <c r="MH274" s="314"/>
      <c r="MI274" s="314"/>
      <c r="MJ274" s="314"/>
      <c r="MK274" s="314"/>
      <c r="ML274" s="314"/>
      <c r="MM274" s="314"/>
      <c r="MN274" s="314"/>
      <c r="MO274" s="62"/>
      <c r="MP274" s="314"/>
      <c r="MQ274" s="314"/>
      <c r="MR274" s="314"/>
      <c r="MS274" s="314"/>
      <c r="MT274" s="314"/>
      <c r="MU274" s="314"/>
      <c r="MV274" s="314"/>
      <c r="MW274" s="314"/>
      <c r="MX274" s="314"/>
      <c r="MY274" s="314"/>
      <c r="MZ274" s="314"/>
      <c r="NA274" s="314"/>
      <c r="NB274" s="314"/>
      <c r="NC274" s="314"/>
      <c r="ND274" s="314"/>
      <c r="NE274" s="62"/>
      <c r="NF274" s="314"/>
      <c r="NG274" s="314"/>
      <c r="NH274" s="314"/>
      <c r="NI274" s="314"/>
      <c r="NJ274" s="314"/>
      <c r="NK274" s="314"/>
      <c r="NL274" s="314"/>
      <c r="NM274" s="314"/>
      <c r="NN274" s="314"/>
      <c r="NO274" s="314"/>
      <c r="NP274" s="314"/>
      <c r="NQ274" s="314"/>
      <c r="NR274" s="314"/>
      <c r="NS274" s="314"/>
      <c r="NT274" s="314"/>
      <c r="NU274" s="62"/>
      <c r="NV274" s="314"/>
      <c r="NW274" s="314"/>
      <c r="NX274" s="314"/>
      <c r="NY274" s="314"/>
      <c r="NZ274" s="314"/>
      <c r="OA274" s="314"/>
      <c r="OB274" s="314"/>
      <c r="OC274" s="314"/>
      <c r="OD274" s="314"/>
      <c r="OE274" s="314"/>
      <c r="OF274" s="314"/>
      <c r="OG274" s="314"/>
      <c r="OH274" s="314"/>
      <c r="OI274" s="314"/>
      <c r="OJ274" s="314"/>
      <c r="OK274" s="62"/>
      <c r="OL274" s="314"/>
      <c r="OM274" s="314"/>
      <c r="ON274" s="314"/>
      <c r="OO274" s="314"/>
      <c r="OP274" s="314"/>
      <c r="OQ274" s="314"/>
      <c r="OR274" s="314"/>
      <c r="OS274" s="314"/>
      <c r="OT274" s="314"/>
      <c r="OU274" s="314"/>
      <c r="OV274" s="314"/>
      <c r="OW274" s="314"/>
      <c r="OX274" s="314"/>
      <c r="OY274" s="314"/>
      <c r="OZ274" s="314"/>
      <c r="PA274" s="62"/>
      <c r="PB274" s="314"/>
      <c r="PC274" s="314"/>
      <c r="PD274" s="314"/>
      <c r="PE274" s="314"/>
      <c r="PF274" s="314"/>
      <c r="PG274" s="314"/>
      <c r="PH274" s="314"/>
      <c r="PI274" s="314"/>
      <c r="PJ274" s="314"/>
      <c r="PK274" s="314"/>
      <c r="PL274" s="314"/>
      <c r="PM274" s="314"/>
      <c r="PN274" s="314"/>
      <c r="PO274" s="314"/>
      <c r="PP274" s="314"/>
      <c r="PQ274" s="62"/>
      <c r="PR274" s="314"/>
      <c r="PS274" s="314"/>
      <c r="PT274" s="314"/>
      <c r="PU274" s="314"/>
      <c r="PV274" s="314"/>
      <c r="PW274" s="314"/>
      <c r="PX274" s="314"/>
      <c r="PY274" s="314"/>
      <c r="PZ274" s="314"/>
      <c r="QA274" s="314"/>
      <c r="QB274" s="314"/>
      <c r="QC274" s="314"/>
      <c r="QD274" s="314"/>
      <c r="QE274" s="314"/>
      <c r="QF274" s="314"/>
      <c r="QG274" s="62"/>
      <c r="QH274" s="314"/>
      <c r="QI274" s="314"/>
      <c r="QJ274" s="314"/>
      <c r="QK274" s="314"/>
      <c r="QL274" s="314"/>
      <c r="QM274" s="314"/>
      <c r="QN274" s="314"/>
      <c r="QO274" s="314"/>
      <c r="QP274" s="314"/>
      <c r="QQ274" s="314"/>
      <c r="QR274" s="314"/>
      <c r="QS274" s="314"/>
      <c r="QT274" s="314"/>
      <c r="QU274" s="314"/>
      <c r="QV274" s="314"/>
      <c r="QW274" s="62"/>
      <c r="QX274" s="314"/>
      <c r="QY274" s="314"/>
      <c r="QZ274" s="314"/>
      <c r="RA274" s="314"/>
      <c r="RB274" s="314"/>
      <c r="RC274" s="314"/>
      <c r="RD274" s="314"/>
      <c r="RE274" s="314"/>
      <c r="RF274" s="314"/>
      <c r="RG274" s="314"/>
      <c r="RH274" s="314"/>
      <c r="RI274" s="314"/>
      <c r="RJ274" s="314"/>
      <c r="RK274" s="314"/>
      <c r="RL274" s="314"/>
      <c r="RM274" s="62"/>
      <c r="RN274" s="314"/>
      <c r="RO274" s="314"/>
      <c r="RP274" s="314"/>
      <c r="RQ274" s="314"/>
      <c r="RR274" s="314"/>
      <c r="RS274" s="314"/>
      <c r="RT274" s="314"/>
      <c r="RU274" s="314"/>
      <c r="RV274" s="314"/>
      <c r="RW274" s="314"/>
      <c r="RX274" s="314"/>
      <c r="RY274" s="314"/>
      <c r="RZ274" s="314"/>
      <c r="SA274" s="314"/>
      <c r="SB274" s="314"/>
      <c r="SC274" s="62"/>
      <c r="SD274" s="314"/>
      <c r="SE274" s="314"/>
      <c r="SF274" s="314"/>
      <c r="SG274" s="314"/>
      <c r="SH274" s="314"/>
      <c r="SI274" s="314"/>
      <c r="SJ274" s="314"/>
      <c r="SK274" s="314"/>
      <c r="SL274" s="314"/>
      <c r="SM274" s="314"/>
      <c r="SN274" s="314"/>
      <c r="SO274" s="314"/>
      <c r="SP274" s="314"/>
      <c r="SQ274" s="314"/>
      <c r="SR274" s="314"/>
      <c r="SS274" s="62"/>
      <c r="ST274" s="314"/>
      <c r="SU274" s="314"/>
      <c r="SV274" s="314"/>
      <c r="SW274" s="314"/>
      <c r="SX274" s="314"/>
      <c r="SY274" s="314"/>
      <c r="SZ274" s="314"/>
      <c r="TA274" s="314"/>
      <c r="TB274" s="314"/>
      <c r="TC274" s="314"/>
      <c r="TD274" s="314"/>
      <c r="TE274" s="314"/>
      <c r="TF274" s="314"/>
      <c r="TG274" s="314"/>
      <c r="TH274" s="314"/>
      <c r="TI274" s="62"/>
      <c r="TJ274" s="314"/>
      <c r="TK274" s="314"/>
      <c r="TL274" s="314"/>
      <c r="TM274" s="314"/>
      <c r="TN274" s="314"/>
      <c r="TO274" s="314"/>
      <c r="TP274" s="314"/>
      <c r="TQ274" s="314"/>
      <c r="TR274" s="314"/>
      <c r="TS274" s="314"/>
      <c r="TT274" s="314"/>
      <c r="TU274" s="314"/>
      <c r="TV274" s="314"/>
      <c r="TW274" s="314"/>
      <c r="TX274" s="314"/>
      <c r="TY274" s="62"/>
      <c r="TZ274" s="314"/>
      <c r="UA274" s="314"/>
      <c r="UB274" s="314"/>
      <c r="UC274" s="314"/>
      <c r="UD274" s="314"/>
      <c r="UE274" s="314"/>
      <c r="UF274" s="314"/>
      <c r="UG274" s="314"/>
      <c r="UH274" s="314"/>
      <c r="UI274" s="314"/>
      <c r="UJ274" s="314"/>
      <c r="UK274" s="314"/>
      <c r="UL274" s="314"/>
      <c r="UM274" s="314"/>
      <c r="UN274" s="314"/>
      <c r="UO274" s="62"/>
      <c r="UP274" s="314"/>
      <c r="UQ274" s="314"/>
      <c r="UR274" s="314"/>
      <c r="US274" s="314"/>
      <c r="UT274" s="314"/>
      <c r="UU274" s="314"/>
      <c r="UV274" s="314"/>
      <c r="UW274" s="314"/>
      <c r="UX274" s="314"/>
      <c r="UY274" s="314"/>
      <c r="UZ274" s="314"/>
      <c r="VA274" s="314"/>
      <c r="VB274" s="314"/>
      <c r="VC274" s="314"/>
      <c r="VD274" s="314"/>
      <c r="VE274" s="62"/>
      <c r="VF274" s="314"/>
      <c r="VG274" s="314"/>
      <c r="VH274" s="314"/>
      <c r="VI274" s="314"/>
      <c r="VJ274" s="314"/>
      <c r="VK274" s="314"/>
      <c r="VL274" s="314"/>
      <c r="VM274" s="314"/>
      <c r="VN274" s="314"/>
      <c r="VO274" s="314"/>
      <c r="VP274" s="314"/>
      <c r="VQ274" s="314"/>
      <c r="VR274" s="314"/>
      <c r="VS274" s="314"/>
      <c r="VT274" s="314"/>
      <c r="VU274" s="62"/>
      <c r="VV274" s="314"/>
      <c r="VW274" s="314"/>
      <c r="VX274" s="314"/>
      <c r="VY274" s="314"/>
      <c r="VZ274" s="314"/>
      <c r="WA274" s="314"/>
      <c r="WB274" s="314"/>
      <c r="WC274" s="314"/>
      <c r="WD274" s="314"/>
      <c r="WE274" s="314"/>
      <c r="WF274" s="314"/>
      <c r="WG274" s="314"/>
      <c r="WH274" s="314"/>
      <c r="WI274" s="314"/>
      <c r="WJ274" s="314"/>
      <c r="WK274" s="62"/>
      <c r="WL274" s="314"/>
      <c r="WM274" s="314"/>
      <c r="WN274" s="314"/>
      <c r="WO274" s="314"/>
      <c r="WP274" s="314"/>
      <c r="WQ274" s="314"/>
      <c r="WR274" s="314"/>
      <c r="WS274" s="314"/>
      <c r="WT274" s="314"/>
      <c r="WU274" s="314"/>
      <c r="WV274" s="314"/>
      <c r="WW274" s="314"/>
      <c r="WX274" s="314"/>
      <c r="WY274" s="314"/>
      <c r="WZ274" s="314"/>
      <c r="XA274" s="62"/>
      <c r="XB274" s="314"/>
      <c r="XC274" s="314"/>
      <c r="XD274" s="314"/>
      <c r="XE274" s="314"/>
      <c r="XF274" s="314"/>
      <c r="XG274" s="314"/>
      <c r="XH274" s="314"/>
      <c r="XI274" s="314"/>
      <c r="XJ274" s="314"/>
      <c r="XK274" s="314"/>
      <c r="XL274" s="314"/>
      <c r="XM274" s="314"/>
      <c r="XN274" s="314"/>
      <c r="XO274" s="314"/>
      <c r="XP274" s="314"/>
      <c r="XQ274" s="62"/>
      <c r="XR274" s="314"/>
      <c r="XS274" s="314"/>
      <c r="XT274" s="314"/>
      <c r="XU274" s="314"/>
      <c r="XV274" s="314"/>
      <c r="XW274" s="314"/>
      <c r="XX274" s="314"/>
      <c r="XY274" s="314"/>
      <c r="XZ274" s="314"/>
      <c r="YA274" s="314"/>
      <c r="YB274" s="314"/>
      <c r="YC274" s="314"/>
      <c r="YD274" s="314"/>
      <c r="YE274" s="314"/>
      <c r="YF274" s="314"/>
      <c r="YG274" s="62"/>
      <c r="YH274" s="314"/>
      <c r="YI274" s="314"/>
      <c r="YJ274" s="314"/>
      <c r="YK274" s="314"/>
      <c r="YL274" s="314"/>
      <c r="YM274" s="314"/>
      <c r="YN274" s="314"/>
      <c r="YO274" s="314"/>
      <c r="YP274" s="314"/>
      <c r="YQ274" s="314"/>
      <c r="YR274" s="314"/>
      <c r="YS274" s="314"/>
      <c r="YT274" s="314"/>
      <c r="YU274" s="314"/>
      <c r="YV274" s="314"/>
      <c r="YW274" s="62"/>
      <c r="YX274" s="314"/>
      <c r="YY274" s="314"/>
      <c r="YZ274" s="314"/>
      <c r="ZA274" s="314"/>
      <c r="ZB274" s="314"/>
      <c r="ZC274" s="314"/>
      <c r="ZD274" s="314"/>
      <c r="ZE274" s="314"/>
      <c r="ZF274" s="314"/>
      <c r="ZG274" s="314"/>
      <c r="ZH274" s="314"/>
      <c r="ZI274" s="314"/>
      <c r="ZJ274" s="314"/>
      <c r="ZK274" s="314"/>
      <c r="ZL274" s="314"/>
      <c r="ZM274" s="62"/>
      <c r="ZN274" s="314"/>
      <c r="ZO274" s="314"/>
      <c r="ZP274" s="314"/>
      <c r="ZQ274" s="314"/>
      <c r="ZR274" s="314"/>
      <c r="ZS274" s="314"/>
      <c r="ZT274" s="314"/>
      <c r="ZU274" s="314"/>
      <c r="ZV274" s="314"/>
      <c r="ZW274" s="314"/>
      <c r="ZX274" s="314"/>
      <c r="ZY274" s="314"/>
      <c r="ZZ274" s="314"/>
      <c r="AAA274" s="314"/>
      <c r="AAB274" s="314"/>
      <c r="AAC274" s="62"/>
      <c r="AAD274" s="314"/>
      <c r="AAE274" s="314"/>
      <c r="AAF274" s="314"/>
      <c r="AAG274" s="314"/>
      <c r="AAH274" s="314"/>
      <c r="AAI274" s="314"/>
      <c r="AAJ274" s="314"/>
      <c r="AAK274" s="314"/>
      <c r="AAL274" s="314"/>
      <c r="AAM274" s="314"/>
      <c r="AAN274" s="314"/>
      <c r="AAO274" s="314"/>
      <c r="AAP274" s="314"/>
      <c r="AAQ274" s="314"/>
      <c r="AAR274" s="314"/>
      <c r="AAS274" s="62"/>
      <c r="AAT274" s="314"/>
      <c r="AAU274" s="314"/>
      <c r="AAV274" s="314"/>
      <c r="AAW274" s="314"/>
      <c r="AAX274" s="314"/>
      <c r="AAY274" s="314"/>
      <c r="AAZ274" s="314"/>
      <c r="ABA274" s="314"/>
      <c r="ABB274" s="314"/>
      <c r="ABC274" s="314"/>
      <c r="ABD274" s="314"/>
      <c r="ABE274" s="314"/>
      <c r="ABF274" s="314"/>
      <c r="ABG274" s="314"/>
      <c r="ABH274" s="314"/>
      <c r="ABI274" s="62"/>
      <c r="ABJ274" s="314"/>
      <c r="ABK274" s="314"/>
      <c r="ABL274" s="314"/>
      <c r="ABM274" s="314"/>
      <c r="ABN274" s="314"/>
      <c r="ABO274" s="314"/>
      <c r="ABP274" s="314"/>
      <c r="ABQ274" s="314"/>
      <c r="ABR274" s="314"/>
      <c r="ABS274" s="314"/>
      <c r="ABT274" s="314"/>
      <c r="ABU274" s="314"/>
      <c r="ABV274" s="314"/>
      <c r="ABW274" s="314"/>
      <c r="ABX274" s="314"/>
      <c r="ABY274" s="62"/>
      <c r="ABZ274" s="314"/>
      <c r="ACA274" s="314"/>
      <c r="ACB274" s="314"/>
      <c r="ACC274" s="314"/>
      <c r="ACD274" s="314"/>
      <c r="ACE274" s="314"/>
      <c r="ACF274" s="314"/>
      <c r="ACG274" s="314"/>
      <c r="ACH274" s="314"/>
      <c r="ACI274" s="314"/>
      <c r="ACJ274" s="314"/>
      <c r="ACK274" s="314"/>
      <c r="ACL274" s="314"/>
      <c r="ACM274" s="314"/>
      <c r="ACN274" s="314"/>
      <c r="ACO274" s="62"/>
      <c r="ACP274" s="314"/>
      <c r="ACQ274" s="314"/>
      <c r="ACR274" s="314"/>
      <c r="ACS274" s="314"/>
      <c r="ACT274" s="314"/>
      <c r="ACU274" s="314"/>
      <c r="ACV274" s="314"/>
      <c r="ACW274" s="314"/>
      <c r="ACX274" s="314"/>
      <c r="ACY274" s="314"/>
      <c r="ACZ274" s="314"/>
      <c r="ADA274" s="314"/>
      <c r="ADB274" s="314"/>
      <c r="ADC274" s="314"/>
      <c r="ADD274" s="314"/>
      <c r="ADE274" s="62"/>
      <c r="ADF274" s="314"/>
      <c r="ADG274" s="314"/>
      <c r="ADH274" s="314"/>
      <c r="ADI274" s="314"/>
      <c r="ADJ274" s="314"/>
      <c r="ADK274" s="314"/>
      <c r="ADL274" s="314"/>
      <c r="ADM274" s="314"/>
      <c r="ADN274" s="314"/>
      <c r="ADO274" s="314"/>
      <c r="ADP274" s="314"/>
      <c r="ADQ274" s="314"/>
      <c r="ADR274" s="314"/>
      <c r="ADS274" s="314"/>
      <c r="ADT274" s="314"/>
      <c r="ADU274" s="62"/>
      <c r="ADV274" s="314"/>
      <c r="ADW274" s="314"/>
      <c r="ADX274" s="314"/>
      <c r="ADY274" s="314"/>
      <c r="ADZ274" s="314"/>
      <c r="AEA274" s="314"/>
      <c r="AEB274" s="314"/>
      <c r="AEC274" s="314"/>
      <c r="AED274" s="314"/>
      <c r="AEE274" s="314"/>
      <c r="AEF274" s="314"/>
      <c r="AEG274" s="314"/>
      <c r="AEH274" s="314"/>
      <c r="AEI274" s="314"/>
      <c r="AEJ274" s="314"/>
      <c r="AEK274" s="62"/>
      <c r="AEL274" s="314"/>
      <c r="AEM274" s="314"/>
      <c r="AEN274" s="314"/>
      <c r="AEO274" s="314"/>
      <c r="AEP274" s="314"/>
      <c r="AEQ274" s="314"/>
      <c r="AER274" s="314"/>
      <c r="AES274" s="314"/>
      <c r="AET274" s="314"/>
      <c r="AEU274" s="314"/>
      <c r="AEV274" s="314"/>
      <c r="AEW274" s="314"/>
      <c r="AEX274" s="314"/>
      <c r="AEY274" s="314"/>
      <c r="AEZ274" s="314"/>
      <c r="AFA274" s="62"/>
      <c r="AFB274" s="314"/>
      <c r="AFC274" s="314"/>
      <c r="AFD274" s="314"/>
      <c r="AFE274" s="314"/>
      <c r="AFF274" s="314"/>
      <c r="AFG274" s="314"/>
      <c r="AFH274" s="314"/>
      <c r="AFI274" s="314"/>
      <c r="AFJ274" s="314"/>
      <c r="AFK274" s="314"/>
      <c r="AFL274" s="314"/>
      <c r="AFM274" s="314"/>
      <c r="AFN274" s="314"/>
      <c r="AFO274" s="314"/>
      <c r="AFP274" s="314"/>
      <c r="AFQ274" s="62"/>
      <c r="AFR274" s="314"/>
      <c r="AFS274" s="314"/>
      <c r="AFT274" s="314"/>
      <c r="AFU274" s="314"/>
      <c r="AFV274" s="314"/>
      <c r="AFW274" s="314"/>
      <c r="AFX274" s="314"/>
      <c r="AFY274" s="314"/>
      <c r="AFZ274" s="314"/>
      <c r="AGA274" s="314"/>
      <c r="AGB274" s="314"/>
      <c r="AGC274" s="314"/>
      <c r="AGD274" s="314"/>
      <c r="AGE274" s="314"/>
      <c r="AGF274" s="314"/>
      <c r="AGG274" s="62"/>
      <c r="AGH274" s="314"/>
      <c r="AGI274" s="314"/>
      <c r="AGJ274" s="314"/>
      <c r="AGK274" s="314"/>
      <c r="AGL274" s="314"/>
      <c r="AGM274" s="314"/>
      <c r="AGN274" s="314"/>
      <c r="AGO274" s="314"/>
      <c r="AGP274" s="314"/>
      <c r="AGQ274" s="314"/>
      <c r="AGR274" s="314"/>
      <c r="AGS274" s="314"/>
      <c r="AGT274" s="314"/>
      <c r="AGU274" s="314"/>
      <c r="AGV274" s="314"/>
      <c r="AGW274" s="62"/>
      <c r="AGX274" s="314"/>
      <c r="AGY274" s="314"/>
      <c r="AGZ274" s="314"/>
      <c r="AHA274" s="314"/>
      <c r="AHB274" s="314"/>
      <c r="AHC274" s="314"/>
      <c r="AHD274" s="314"/>
      <c r="AHE274" s="314"/>
      <c r="AHF274" s="314"/>
      <c r="AHG274" s="314"/>
      <c r="AHH274" s="314"/>
      <c r="AHI274" s="314"/>
      <c r="AHJ274" s="314"/>
      <c r="AHK274" s="314"/>
      <c r="AHL274" s="314"/>
      <c r="AHM274" s="62"/>
      <c r="AHN274" s="314"/>
      <c r="AHO274" s="314"/>
      <c r="AHP274" s="314"/>
      <c r="AHQ274" s="314"/>
      <c r="AHR274" s="314"/>
      <c r="AHS274" s="314"/>
      <c r="AHT274" s="314"/>
      <c r="AHU274" s="314"/>
      <c r="AHV274" s="314"/>
      <c r="AHW274" s="314"/>
      <c r="AHX274" s="314"/>
      <c r="AHY274" s="314"/>
      <c r="AHZ274" s="314"/>
      <c r="AIA274" s="314"/>
      <c r="AIB274" s="314"/>
      <c r="AIC274" s="62"/>
      <c r="AID274" s="314"/>
      <c r="AIE274" s="314"/>
      <c r="AIF274" s="314"/>
      <c r="AIG274" s="314"/>
      <c r="AIH274" s="314"/>
      <c r="AII274" s="314"/>
      <c r="AIJ274" s="314"/>
      <c r="AIK274" s="314"/>
      <c r="AIL274" s="314"/>
      <c r="AIM274" s="314"/>
      <c r="AIN274" s="314"/>
      <c r="AIO274" s="314"/>
      <c r="AIP274" s="314"/>
      <c r="AIQ274" s="314"/>
      <c r="AIR274" s="314"/>
      <c r="AIS274" s="62"/>
      <c r="AIT274" s="314"/>
      <c r="AIU274" s="314"/>
      <c r="AIV274" s="314"/>
      <c r="AIW274" s="314"/>
      <c r="AIX274" s="314"/>
      <c r="AIY274" s="314"/>
      <c r="AIZ274" s="314"/>
      <c r="AJA274" s="314"/>
      <c r="AJB274" s="314"/>
      <c r="AJC274" s="314"/>
      <c r="AJD274" s="314"/>
      <c r="AJE274" s="314"/>
      <c r="AJF274" s="314"/>
      <c r="AJG274" s="314"/>
      <c r="AJH274" s="314"/>
      <c r="AJI274" s="62"/>
      <c r="AJJ274" s="314"/>
      <c r="AJK274" s="314"/>
      <c r="AJL274" s="314"/>
      <c r="AJM274" s="314"/>
      <c r="AJN274" s="314"/>
      <c r="AJO274" s="314"/>
      <c r="AJP274" s="314"/>
      <c r="AJQ274" s="314"/>
      <c r="AJR274" s="314"/>
      <c r="AJS274" s="314"/>
      <c r="AJT274" s="314"/>
      <c r="AJU274" s="314"/>
      <c r="AJV274" s="314"/>
      <c r="AJW274" s="314"/>
      <c r="AJX274" s="314"/>
      <c r="AJY274" s="62"/>
      <c r="AJZ274" s="314"/>
      <c r="AKA274" s="314"/>
      <c r="AKB274" s="314"/>
      <c r="AKC274" s="314"/>
      <c r="AKD274" s="314"/>
      <c r="AKE274" s="314"/>
      <c r="AKF274" s="314"/>
      <c r="AKG274" s="314"/>
      <c r="AKH274" s="314"/>
      <c r="AKI274" s="314"/>
      <c r="AKJ274" s="314"/>
      <c r="AKK274" s="314"/>
      <c r="AKL274" s="314"/>
      <c r="AKM274" s="314"/>
      <c r="AKN274" s="314"/>
      <c r="AKO274" s="62"/>
      <c r="AKP274" s="314"/>
      <c r="AKQ274" s="314"/>
      <c r="AKR274" s="314"/>
      <c r="AKS274" s="314"/>
      <c r="AKT274" s="314"/>
      <c r="AKU274" s="314"/>
      <c r="AKV274" s="314"/>
      <c r="AKW274" s="314"/>
      <c r="AKX274" s="314"/>
      <c r="AKY274" s="314"/>
      <c r="AKZ274" s="314"/>
      <c r="ALA274" s="314"/>
      <c r="ALB274" s="314"/>
      <c r="ALC274" s="314"/>
      <c r="ALD274" s="314"/>
      <c r="ALE274" s="62"/>
      <c r="ALF274" s="314"/>
      <c r="ALG274" s="314"/>
      <c r="ALH274" s="314"/>
      <c r="ALI274" s="314"/>
      <c r="ALJ274" s="314"/>
      <c r="ALK274" s="314"/>
      <c r="ALL274" s="314"/>
      <c r="ALM274" s="314"/>
      <c r="ALN274" s="314"/>
      <c r="ALO274" s="314"/>
      <c r="ALP274" s="314"/>
      <c r="ALQ274" s="314"/>
      <c r="ALR274" s="314"/>
      <c r="ALS274" s="314"/>
      <c r="ALT274" s="314"/>
      <c r="ALU274" s="62"/>
      <c r="ALV274" s="314"/>
      <c r="ALW274" s="314"/>
      <c r="ALX274" s="314"/>
      <c r="ALY274" s="314"/>
      <c r="ALZ274" s="314"/>
      <c r="AMA274" s="314"/>
      <c r="AMB274" s="314"/>
      <c r="AMC274" s="314"/>
      <c r="AMD274" s="314"/>
      <c r="AME274" s="314"/>
      <c r="AMF274" s="314"/>
      <c r="AMG274" s="314"/>
      <c r="AMH274" s="314"/>
      <c r="AMI274" s="314"/>
      <c r="AMJ274" s="314"/>
      <c r="AMK274" s="62"/>
      <c r="AML274" s="314"/>
      <c r="AMM274" s="314"/>
      <c r="AMN274" s="314"/>
      <c r="AMO274" s="314"/>
      <c r="AMP274" s="314"/>
      <c r="AMQ274" s="314"/>
      <c r="AMR274" s="314"/>
      <c r="AMS274" s="314"/>
      <c r="AMT274" s="314"/>
      <c r="AMU274" s="314"/>
      <c r="AMV274" s="314"/>
      <c r="AMW274" s="314"/>
      <c r="AMX274" s="314"/>
      <c r="AMY274" s="314"/>
      <c r="AMZ274" s="314"/>
      <c r="ANA274" s="62"/>
      <c r="ANB274" s="314"/>
      <c r="ANC274" s="314"/>
      <c r="AND274" s="314"/>
      <c r="ANE274" s="314"/>
      <c r="ANF274" s="314"/>
      <c r="ANG274" s="314"/>
      <c r="ANH274" s="314"/>
      <c r="ANI274" s="314"/>
      <c r="ANJ274" s="314"/>
      <c r="ANK274" s="314"/>
      <c r="ANL274" s="314"/>
      <c r="ANM274" s="314"/>
      <c r="ANN274" s="314"/>
      <c r="ANO274" s="314"/>
      <c r="ANP274" s="314"/>
      <c r="ANQ274" s="62"/>
      <c r="ANR274" s="314"/>
      <c r="ANS274" s="314"/>
      <c r="ANT274" s="314"/>
      <c r="ANU274" s="314"/>
      <c r="ANV274" s="314"/>
      <c r="ANW274" s="314"/>
      <c r="ANX274" s="314"/>
      <c r="ANY274" s="314"/>
      <c r="ANZ274" s="314"/>
      <c r="AOA274" s="314"/>
      <c r="AOB274" s="314"/>
      <c r="AOC274" s="314"/>
      <c r="AOD274" s="314"/>
      <c r="AOE274" s="314"/>
      <c r="AOF274" s="314"/>
      <c r="AOG274" s="62"/>
      <c r="AOH274" s="314"/>
      <c r="AOI274" s="314"/>
      <c r="AOJ274" s="314"/>
      <c r="AOK274" s="314"/>
      <c r="AOL274" s="314"/>
      <c r="AOM274" s="314"/>
      <c r="AON274" s="314"/>
      <c r="AOO274" s="314"/>
      <c r="AOP274" s="314"/>
      <c r="AOQ274" s="314"/>
      <c r="AOR274" s="314"/>
      <c r="AOS274" s="314"/>
      <c r="AOT274" s="314"/>
      <c r="AOU274" s="314"/>
      <c r="AOV274" s="314"/>
      <c r="AOW274" s="62"/>
      <c r="AOX274" s="314"/>
      <c r="AOY274" s="314"/>
      <c r="AOZ274" s="314"/>
      <c r="APA274" s="314"/>
      <c r="APB274" s="314"/>
      <c r="APC274" s="314"/>
      <c r="APD274" s="314"/>
      <c r="APE274" s="314"/>
      <c r="APF274" s="314"/>
      <c r="APG274" s="314"/>
      <c r="APH274" s="314"/>
      <c r="API274" s="314"/>
      <c r="APJ274" s="314"/>
      <c r="APK274" s="314"/>
      <c r="APL274" s="314"/>
      <c r="APM274" s="62"/>
      <c r="APN274" s="314"/>
      <c r="APO274" s="314"/>
      <c r="APP274" s="314"/>
      <c r="APQ274" s="314"/>
      <c r="APR274" s="314"/>
      <c r="APS274" s="314"/>
      <c r="APT274" s="314"/>
      <c r="APU274" s="314"/>
      <c r="APV274" s="314"/>
      <c r="APW274" s="314"/>
      <c r="APX274" s="314"/>
      <c r="APY274" s="314"/>
      <c r="APZ274" s="314"/>
      <c r="AQA274" s="314"/>
      <c r="AQB274" s="314"/>
      <c r="AQC274" s="62"/>
      <c r="AQD274" s="314"/>
      <c r="AQE274" s="314"/>
      <c r="AQF274" s="314"/>
      <c r="AQG274" s="314"/>
      <c r="AQH274" s="314"/>
      <c r="AQI274" s="314"/>
      <c r="AQJ274" s="314"/>
      <c r="AQK274" s="314"/>
      <c r="AQL274" s="314"/>
      <c r="AQM274" s="314"/>
      <c r="AQN274" s="314"/>
      <c r="AQO274" s="314"/>
      <c r="AQP274" s="314"/>
      <c r="AQQ274" s="314"/>
      <c r="AQR274" s="314"/>
      <c r="AQS274" s="62"/>
      <c r="AQT274" s="314"/>
      <c r="AQU274" s="314"/>
      <c r="AQV274" s="314"/>
      <c r="AQW274" s="314"/>
      <c r="AQX274" s="314"/>
      <c r="AQY274" s="314"/>
      <c r="AQZ274" s="314"/>
      <c r="ARA274" s="314"/>
      <c r="ARB274" s="314"/>
      <c r="ARC274" s="314"/>
      <c r="ARD274" s="314"/>
      <c r="ARE274" s="314"/>
      <c r="ARF274" s="314"/>
      <c r="ARG274" s="314"/>
      <c r="ARH274" s="314"/>
      <c r="ARI274" s="62"/>
      <c r="ARJ274" s="314"/>
      <c r="ARK274" s="314"/>
      <c r="ARL274" s="314"/>
      <c r="ARM274" s="314"/>
      <c r="ARN274" s="314"/>
      <c r="ARO274" s="314"/>
      <c r="ARP274" s="314"/>
      <c r="ARQ274" s="314"/>
      <c r="ARR274" s="314"/>
      <c r="ARS274" s="314"/>
      <c r="ART274" s="314"/>
      <c r="ARU274" s="314"/>
      <c r="ARV274" s="314"/>
      <c r="ARW274" s="314"/>
      <c r="ARX274" s="314"/>
      <c r="ARY274" s="62"/>
      <c r="ARZ274" s="314"/>
      <c r="ASA274" s="314"/>
      <c r="ASB274" s="314"/>
      <c r="ASC274" s="314"/>
      <c r="ASD274" s="314"/>
      <c r="ASE274" s="314"/>
      <c r="ASF274" s="314"/>
      <c r="ASG274" s="314"/>
      <c r="ASH274" s="314"/>
      <c r="ASI274" s="314"/>
      <c r="ASJ274" s="314"/>
      <c r="ASK274" s="314"/>
      <c r="ASL274" s="314"/>
      <c r="ASM274" s="314"/>
      <c r="ASN274" s="314"/>
      <c r="ASO274" s="62"/>
      <c r="ASP274" s="314"/>
      <c r="ASQ274" s="314"/>
      <c r="ASR274" s="314"/>
      <c r="ASS274" s="314"/>
      <c r="AST274" s="314"/>
      <c r="ASU274" s="314"/>
      <c r="ASV274" s="314"/>
      <c r="ASW274" s="314"/>
      <c r="ASX274" s="314"/>
      <c r="ASY274" s="314"/>
      <c r="ASZ274" s="314"/>
      <c r="ATA274" s="314"/>
      <c r="ATB274" s="314"/>
      <c r="ATC274" s="314"/>
      <c r="ATD274" s="314"/>
      <c r="ATE274" s="62"/>
      <c r="ATF274" s="314"/>
      <c r="ATG274" s="314"/>
      <c r="ATH274" s="314"/>
      <c r="ATI274" s="314"/>
      <c r="ATJ274" s="314"/>
      <c r="ATK274" s="314"/>
      <c r="ATL274" s="314"/>
      <c r="ATM274" s="314"/>
      <c r="ATN274" s="314"/>
      <c r="ATO274" s="314"/>
      <c r="ATP274" s="314"/>
      <c r="ATQ274" s="314"/>
      <c r="ATR274" s="314"/>
      <c r="ATS274" s="314"/>
      <c r="ATT274" s="314"/>
      <c r="ATU274" s="62"/>
      <c r="ATV274" s="314"/>
      <c r="ATW274" s="314"/>
      <c r="ATX274" s="314"/>
      <c r="ATY274" s="314"/>
      <c r="ATZ274" s="314"/>
      <c r="AUA274" s="314"/>
      <c r="AUB274" s="314"/>
      <c r="AUC274" s="314"/>
      <c r="AUD274" s="314"/>
      <c r="AUE274" s="314"/>
      <c r="AUF274" s="314"/>
      <c r="AUG274" s="314"/>
      <c r="AUH274" s="314"/>
      <c r="AUI274" s="314"/>
      <c r="AUJ274" s="314"/>
      <c r="AUK274" s="62"/>
      <c r="AUL274" s="314"/>
      <c r="AUM274" s="314"/>
      <c r="AUN274" s="314"/>
      <c r="AUO274" s="314"/>
      <c r="AUP274" s="314"/>
      <c r="AUQ274" s="314"/>
      <c r="AUR274" s="314"/>
      <c r="AUS274" s="314"/>
      <c r="AUT274" s="314"/>
      <c r="AUU274" s="314"/>
      <c r="AUV274" s="314"/>
      <c r="AUW274" s="314"/>
      <c r="AUX274" s="314"/>
      <c r="AUY274" s="314"/>
      <c r="AUZ274" s="314"/>
      <c r="AVA274" s="62"/>
      <c r="AVB274" s="314"/>
      <c r="AVC274" s="314"/>
      <c r="AVD274" s="314"/>
      <c r="AVE274" s="314"/>
      <c r="AVF274" s="314"/>
      <c r="AVG274" s="314"/>
      <c r="AVH274" s="314"/>
      <c r="AVI274" s="314"/>
      <c r="AVJ274" s="314"/>
      <c r="AVK274" s="314"/>
      <c r="AVL274" s="314"/>
      <c r="AVM274" s="314"/>
      <c r="AVN274" s="314"/>
      <c r="AVO274" s="314"/>
      <c r="AVP274" s="314"/>
      <c r="AVQ274" s="62"/>
      <c r="AVR274" s="314"/>
      <c r="AVS274" s="314"/>
      <c r="AVT274" s="314"/>
      <c r="AVU274" s="314"/>
      <c r="AVV274" s="314"/>
      <c r="AVW274" s="314"/>
      <c r="AVX274" s="314"/>
      <c r="AVY274" s="314"/>
      <c r="AVZ274" s="314"/>
      <c r="AWA274" s="314"/>
      <c r="AWB274" s="314"/>
      <c r="AWC274" s="314"/>
      <c r="AWD274" s="314"/>
      <c r="AWE274" s="314"/>
      <c r="AWF274" s="314"/>
      <c r="AWG274" s="62"/>
      <c r="AWH274" s="314"/>
      <c r="AWI274" s="314"/>
      <c r="AWJ274" s="314"/>
      <c r="AWK274" s="314"/>
      <c r="AWL274" s="314"/>
      <c r="AWM274" s="314"/>
      <c r="AWN274" s="314"/>
      <c r="AWO274" s="314"/>
      <c r="AWP274" s="314"/>
      <c r="AWQ274" s="314"/>
      <c r="AWR274" s="314"/>
      <c r="AWS274" s="314"/>
      <c r="AWT274" s="314"/>
      <c r="AWU274" s="314"/>
      <c r="AWV274" s="314"/>
      <c r="AWW274" s="62"/>
      <c r="AWX274" s="314"/>
      <c r="AWY274" s="314"/>
      <c r="AWZ274" s="314"/>
      <c r="AXA274" s="314"/>
      <c r="AXB274" s="314"/>
      <c r="AXC274" s="314"/>
      <c r="AXD274" s="314"/>
      <c r="AXE274" s="314"/>
      <c r="AXF274" s="314"/>
      <c r="AXG274" s="314"/>
      <c r="AXH274" s="314"/>
      <c r="AXI274" s="314"/>
      <c r="AXJ274" s="314"/>
      <c r="AXK274" s="314"/>
      <c r="AXL274" s="314"/>
      <c r="AXM274" s="62"/>
      <c r="AXN274" s="314"/>
      <c r="AXO274" s="314"/>
      <c r="AXP274" s="314"/>
      <c r="AXQ274" s="314"/>
      <c r="AXR274" s="314"/>
      <c r="AXS274" s="314"/>
      <c r="AXT274" s="314"/>
      <c r="AXU274" s="314"/>
      <c r="AXV274" s="314"/>
      <c r="AXW274" s="314"/>
      <c r="AXX274" s="314"/>
      <c r="AXY274" s="314"/>
      <c r="AXZ274" s="314"/>
      <c r="AYA274" s="314"/>
      <c r="AYB274" s="314"/>
      <c r="AYC274" s="62"/>
      <c r="AYD274" s="314"/>
      <c r="AYE274" s="314"/>
      <c r="AYF274" s="314"/>
      <c r="AYG274" s="314"/>
      <c r="AYH274" s="314"/>
      <c r="AYI274" s="314"/>
      <c r="AYJ274" s="314"/>
      <c r="AYK274" s="314"/>
      <c r="AYL274" s="314"/>
      <c r="AYM274" s="314"/>
      <c r="AYN274" s="314"/>
      <c r="AYO274" s="314"/>
      <c r="AYP274" s="314"/>
      <c r="AYQ274" s="314"/>
      <c r="AYR274" s="314"/>
      <c r="AYS274" s="62"/>
      <c r="AYT274" s="314"/>
      <c r="AYU274" s="314"/>
      <c r="AYV274" s="314"/>
      <c r="AYW274" s="314"/>
      <c r="AYX274" s="314"/>
      <c r="AYY274" s="314"/>
      <c r="AYZ274" s="314"/>
      <c r="AZA274" s="314"/>
      <c r="AZB274" s="314"/>
      <c r="AZC274" s="314"/>
      <c r="AZD274" s="314"/>
      <c r="AZE274" s="314"/>
      <c r="AZF274" s="314"/>
      <c r="AZG274" s="314"/>
      <c r="AZH274" s="314"/>
      <c r="AZI274" s="62"/>
      <c r="AZJ274" s="314"/>
      <c r="AZK274" s="314"/>
      <c r="AZL274" s="314"/>
      <c r="AZM274" s="314"/>
      <c r="AZN274" s="314"/>
      <c r="AZO274" s="314"/>
      <c r="AZP274" s="314"/>
      <c r="AZQ274" s="314"/>
      <c r="AZR274" s="314"/>
      <c r="AZS274" s="314"/>
      <c r="AZT274" s="314"/>
      <c r="AZU274" s="314"/>
      <c r="AZV274" s="314"/>
      <c r="AZW274" s="314"/>
      <c r="AZX274" s="314"/>
      <c r="AZY274" s="62"/>
      <c r="AZZ274" s="314"/>
      <c r="BAA274" s="314"/>
      <c r="BAB274" s="314"/>
      <c r="BAC274" s="314"/>
      <c r="BAD274" s="314"/>
      <c r="BAE274" s="314"/>
      <c r="BAF274" s="314"/>
      <c r="BAG274" s="314"/>
      <c r="BAH274" s="314"/>
      <c r="BAI274" s="314"/>
      <c r="BAJ274" s="314"/>
      <c r="BAK274" s="314"/>
      <c r="BAL274" s="314"/>
      <c r="BAM274" s="314"/>
      <c r="BAN274" s="314"/>
      <c r="BAO274" s="62"/>
      <c r="BAP274" s="314"/>
      <c r="BAQ274" s="314"/>
      <c r="BAR274" s="314"/>
      <c r="BAS274" s="314"/>
      <c r="BAT274" s="314"/>
      <c r="BAU274" s="314"/>
      <c r="BAV274" s="314"/>
      <c r="BAW274" s="314"/>
      <c r="BAX274" s="314"/>
      <c r="BAY274" s="314"/>
      <c r="BAZ274" s="314"/>
      <c r="BBA274" s="314"/>
      <c r="BBB274" s="314"/>
      <c r="BBC274" s="314"/>
      <c r="BBD274" s="314"/>
      <c r="BBE274" s="62"/>
      <c r="BBF274" s="314"/>
      <c r="BBG274" s="314"/>
      <c r="BBH274" s="314"/>
      <c r="BBI274" s="314"/>
      <c r="BBJ274" s="314"/>
      <c r="BBK274" s="314"/>
      <c r="BBL274" s="314"/>
      <c r="BBM274" s="314"/>
      <c r="BBN274" s="314"/>
      <c r="BBO274" s="314"/>
      <c r="BBP274" s="314"/>
      <c r="BBQ274" s="314"/>
      <c r="BBR274" s="314"/>
      <c r="BBS274" s="314"/>
      <c r="BBT274" s="314"/>
      <c r="BBU274" s="62"/>
      <c r="BBV274" s="314"/>
      <c r="BBW274" s="314"/>
      <c r="BBX274" s="314"/>
      <c r="BBY274" s="314"/>
      <c r="BBZ274" s="314"/>
      <c r="BCA274" s="314"/>
      <c r="BCB274" s="314"/>
      <c r="BCC274" s="314"/>
      <c r="BCD274" s="314"/>
      <c r="BCE274" s="314"/>
      <c r="BCF274" s="314"/>
      <c r="BCG274" s="314"/>
      <c r="BCH274" s="314"/>
      <c r="BCI274" s="314"/>
      <c r="BCJ274" s="314"/>
      <c r="BCK274" s="62"/>
      <c r="BCL274" s="314"/>
      <c r="BCM274" s="314"/>
      <c r="BCN274" s="314"/>
      <c r="BCO274" s="314"/>
      <c r="BCP274" s="314"/>
      <c r="BCQ274" s="314"/>
      <c r="BCR274" s="314"/>
      <c r="BCS274" s="314"/>
      <c r="BCT274" s="314"/>
      <c r="BCU274" s="314"/>
      <c r="BCV274" s="314"/>
      <c r="BCW274" s="314"/>
      <c r="BCX274" s="314"/>
      <c r="BCY274" s="314"/>
      <c r="BCZ274" s="314"/>
      <c r="BDA274" s="62"/>
      <c r="BDB274" s="314"/>
      <c r="BDC274" s="314"/>
      <c r="BDD274" s="314"/>
      <c r="BDE274" s="314"/>
      <c r="BDF274" s="314"/>
      <c r="BDG274" s="314"/>
      <c r="BDH274" s="314"/>
      <c r="BDI274" s="314"/>
      <c r="BDJ274" s="314"/>
      <c r="BDK274" s="314"/>
      <c r="BDL274" s="314"/>
      <c r="BDM274" s="314"/>
      <c r="BDN274" s="314"/>
      <c r="BDO274" s="314"/>
      <c r="BDP274" s="314"/>
      <c r="BDQ274" s="62"/>
      <c r="BDR274" s="314"/>
      <c r="BDS274" s="314"/>
      <c r="BDT274" s="314"/>
      <c r="BDU274" s="314"/>
      <c r="BDV274" s="314"/>
      <c r="BDW274" s="314"/>
      <c r="BDX274" s="314"/>
      <c r="BDY274" s="314"/>
      <c r="BDZ274" s="314"/>
      <c r="BEA274" s="314"/>
      <c r="BEB274" s="314"/>
      <c r="BEC274" s="314"/>
      <c r="BED274" s="314"/>
      <c r="BEE274" s="314"/>
      <c r="BEF274" s="314"/>
      <c r="BEG274" s="62"/>
      <c r="BEH274" s="314"/>
      <c r="BEI274" s="314"/>
      <c r="BEJ274" s="314"/>
      <c r="BEK274" s="314"/>
      <c r="BEL274" s="314"/>
      <c r="BEM274" s="314"/>
      <c r="BEN274" s="314"/>
      <c r="BEO274" s="314"/>
      <c r="BEP274" s="314"/>
      <c r="BEQ274" s="314"/>
      <c r="BER274" s="314"/>
      <c r="BES274" s="314"/>
      <c r="BET274" s="314"/>
      <c r="BEU274" s="314"/>
      <c r="BEV274" s="314"/>
      <c r="BEW274" s="62"/>
      <c r="BEX274" s="314"/>
      <c r="BEY274" s="314"/>
      <c r="BEZ274" s="314"/>
      <c r="BFA274" s="314"/>
      <c r="BFB274" s="314"/>
      <c r="BFC274" s="314"/>
      <c r="BFD274" s="314"/>
      <c r="BFE274" s="314"/>
      <c r="BFF274" s="314"/>
      <c r="BFG274" s="314"/>
      <c r="BFH274" s="314"/>
      <c r="BFI274" s="314"/>
      <c r="BFJ274" s="314"/>
      <c r="BFK274" s="314"/>
      <c r="BFL274" s="314"/>
      <c r="BFM274" s="62"/>
      <c r="BFN274" s="314"/>
      <c r="BFO274" s="314"/>
      <c r="BFP274" s="314"/>
      <c r="BFQ274" s="314"/>
      <c r="BFR274" s="314"/>
      <c r="BFS274" s="314"/>
      <c r="BFT274" s="314"/>
      <c r="BFU274" s="314"/>
      <c r="BFV274" s="314"/>
      <c r="BFW274" s="314"/>
      <c r="BFX274" s="314"/>
      <c r="BFY274" s="314"/>
      <c r="BFZ274" s="314"/>
      <c r="BGA274" s="314"/>
      <c r="BGB274" s="314"/>
      <c r="BGC274" s="62"/>
      <c r="BGD274" s="314"/>
      <c r="BGE274" s="314"/>
      <c r="BGF274" s="314"/>
      <c r="BGG274" s="314"/>
      <c r="BGH274" s="314"/>
      <c r="BGI274" s="314"/>
      <c r="BGJ274" s="314"/>
      <c r="BGK274" s="314"/>
      <c r="BGL274" s="314"/>
      <c r="BGM274" s="314"/>
      <c r="BGN274" s="314"/>
      <c r="BGO274" s="314"/>
      <c r="BGP274" s="314"/>
      <c r="BGQ274" s="314"/>
      <c r="BGR274" s="314"/>
      <c r="BGS274" s="62"/>
      <c r="BGT274" s="314"/>
      <c r="BGU274" s="314"/>
      <c r="BGV274" s="314"/>
      <c r="BGW274" s="314"/>
      <c r="BGX274" s="314"/>
      <c r="BGY274" s="314"/>
      <c r="BGZ274" s="314"/>
      <c r="BHA274" s="314"/>
      <c r="BHB274" s="314"/>
      <c r="BHC274" s="314"/>
      <c r="BHD274" s="314"/>
      <c r="BHE274" s="314"/>
      <c r="BHF274" s="314"/>
      <c r="BHG274" s="314"/>
      <c r="BHH274" s="314"/>
      <c r="BHI274" s="62"/>
      <c r="BHJ274" s="314"/>
      <c r="BHK274" s="314"/>
      <c r="BHL274" s="314"/>
      <c r="BHM274" s="314"/>
      <c r="BHN274" s="314"/>
      <c r="BHO274" s="314"/>
      <c r="BHP274" s="314"/>
      <c r="BHQ274" s="314"/>
      <c r="BHR274" s="314"/>
      <c r="BHS274" s="314"/>
      <c r="BHT274" s="314"/>
      <c r="BHU274" s="314"/>
      <c r="BHV274" s="314"/>
      <c r="BHW274" s="314"/>
      <c r="BHX274" s="314"/>
      <c r="BHY274" s="62"/>
      <c r="BHZ274" s="314"/>
      <c r="BIA274" s="314"/>
      <c r="BIB274" s="314"/>
      <c r="BIC274" s="314"/>
      <c r="BID274" s="314"/>
      <c r="BIE274" s="314"/>
      <c r="BIF274" s="314"/>
      <c r="BIG274" s="314"/>
      <c r="BIH274" s="314"/>
      <c r="BII274" s="314"/>
      <c r="BIJ274" s="314"/>
      <c r="BIK274" s="314"/>
      <c r="BIL274" s="314"/>
      <c r="BIM274" s="314"/>
      <c r="BIN274" s="314"/>
      <c r="BIO274" s="62"/>
      <c r="BIP274" s="314"/>
      <c r="BIQ274" s="314"/>
      <c r="BIR274" s="314"/>
      <c r="BIS274" s="314"/>
      <c r="BIT274" s="314"/>
      <c r="BIU274" s="314"/>
      <c r="BIV274" s="314"/>
      <c r="BIW274" s="314"/>
      <c r="BIX274" s="314"/>
      <c r="BIY274" s="314"/>
      <c r="BIZ274" s="314"/>
      <c r="BJA274" s="314"/>
      <c r="BJB274" s="314"/>
      <c r="BJC274" s="314"/>
      <c r="BJD274" s="314"/>
      <c r="BJE274" s="62"/>
      <c r="BJF274" s="314"/>
      <c r="BJG274" s="314"/>
      <c r="BJH274" s="314"/>
      <c r="BJI274" s="314"/>
      <c r="BJJ274" s="314"/>
      <c r="BJK274" s="314"/>
      <c r="BJL274" s="314"/>
      <c r="BJM274" s="314"/>
      <c r="BJN274" s="314"/>
      <c r="BJO274" s="314"/>
      <c r="BJP274" s="314"/>
      <c r="BJQ274" s="314"/>
      <c r="BJR274" s="314"/>
      <c r="BJS274" s="314"/>
      <c r="BJT274" s="314"/>
      <c r="BJU274" s="62"/>
      <c r="BJV274" s="314"/>
      <c r="BJW274" s="314"/>
      <c r="BJX274" s="314"/>
      <c r="BJY274" s="314"/>
      <c r="BJZ274" s="314"/>
      <c r="BKA274" s="314"/>
      <c r="BKB274" s="314"/>
      <c r="BKC274" s="314"/>
      <c r="BKD274" s="314"/>
      <c r="BKE274" s="314"/>
      <c r="BKF274" s="314"/>
      <c r="BKG274" s="314"/>
      <c r="BKH274" s="314"/>
      <c r="BKI274" s="314"/>
      <c r="BKJ274" s="314"/>
      <c r="BKK274" s="62"/>
      <c r="BKL274" s="314"/>
      <c r="BKM274" s="314"/>
      <c r="BKN274" s="314"/>
      <c r="BKO274" s="314"/>
      <c r="BKP274" s="314"/>
      <c r="BKQ274" s="314"/>
      <c r="BKR274" s="314"/>
      <c r="BKS274" s="314"/>
      <c r="BKT274" s="314"/>
      <c r="BKU274" s="314"/>
      <c r="BKV274" s="314"/>
      <c r="BKW274" s="314"/>
      <c r="BKX274" s="314"/>
      <c r="BKY274" s="314"/>
      <c r="BKZ274" s="314"/>
      <c r="BLA274" s="62"/>
      <c r="BLB274" s="314"/>
      <c r="BLC274" s="314"/>
      <c r="BLD274" s="314"/>
      <c r="BLE274" s="314"/>
      <c r="BLF274" s="314"/>
      <c r="BLG274" s="314"/>
      <c r="BLH274" s="314"/>
      <c r="BLI274" s="314"/>
      <c r="BLJ274" s="314"/>
      <c r="BLK274" s="314"/>
      <c r="BLL274" s="314"/>
      <c r="BLM274" s="314"/>
      <c r="BLN274" s="314"/>
      <c r="BLO274" s="314"/>
      <c r="BLP274" s="314"/>
      <c r="BLQ274" s="62"/>
      <c r="BLR274" s="314"/>
      <c r="BLS274" s="314"/>
      <c r="BLT274" s="314"/>
      <c r="BLU274" s="314"/>
      <c r="BLV274" s="314"/>
      <c r="BLW274" s="314"/>
      <c r="BLX274" s="314"/>
      <c r="BLY274" s="314"/>
      <c r="BLZ274" s="314"/>
      <c r="BMA274" s="314"/>
      <c r="BMB274" s="314"/>
      <c r="BMC274" s="314"/>
      <c r="BMD274" s="314"/>
      <c r="BME274" s="314"/>
      <c r="BMF274" s="314"/>
      <c r="BMG274" s="62"/>
      <c r="BMH274" s="314"/>
      <c r="BMI274" s="314"/>
      <c r="BMJ274" s="314"/>
      <c r="BMK274" s="314"/>
      <c r="BML274" s="314"/>
      <c r="BMM274" s="314"/>
      <c r="BMN274" s="314"/>
      <c r="BMO274" s="314"/>
      <c r="BMP274" s="314"/>
      <c r="BMQ274" s="314"/>
      <c r="BMR274" s="314"/>
      <c r="BMS274" s="314"/>
      <c r="BMT274" s="314"/>
      <c r="BMU274" s="314"/>
      <c r="BMV274" s="314"/>
      <c r="BMW274" s="62"/>
      <c r="BMX274" s="314"/>
      <c r="BMY274" s="314"/>
      <c r="BMZ274" s="314"/>
      <c r="BNA274" s="314"/>
      <c r="BNB274" s="314"/>
      <c r="BNC274" s="314"/>
      <c r="BND274" s="314"/>
      <c r="BNE274" s="314"/>
      <c r="BNF274" s="314"/>
      <c r="BNG274" s="314"/>
      <c r="BNH274" s="314"/>
      <c r="BNI274" s="314"/>
      <c r="BNJ274" s="314"/>
      <c r="BNK274" s="314"/>
      <c r="BNL274" s="314"/>
      <c r="BNM274" s="62"/>
      <c r="BNN274" s="314"/>
      <c r="BNO274" s="314"/>
      <c r="BNP274" s="314"/>
      <c r="BNQ274" s="314"/>
      <c r="BNR274" s="314"/>
      <c r="BNS274" s="314"/>
      <c r="BNT274" s="314"/>
      <c r="BNU274" s="314"/>
      <c r="BNV274" s="314"/>
      <c r="BNW274" s="314"/>
      <c r="BNX274" s="314"/>
      <c r="BNY274" s="314"/>
      <c r="BNZ274" s="314"/>
      <c r="BOA274" s="314"/>
      <c r="BOB274" s="314"/>
      <c r="BOC274" s="62"/>
      <c r="BOD274" s="314"/>
      <c r="BOE274" s="314"/>
      <c r="BOF274" s="314"/>
      <c r="BOG274" s="314"/>
      <c r="BOH274" s="314"/>
      <c r="BOI274" s="314"/>
      <c r="BOJ274" s="314"/>
      <c r="BOK274" s="314"/>
      <c r="BOL274" s="314"/>
      <c r="BOM274" s="314"/>
      <c r="BON274" s="314"/>
      <c r="BOO274" s="314"/>
      <c r="BOP274" s="314"/>
      <c r="BOQ274" s="314"/>
      <c r="BOR274" s="314"/>
      <c r="BOS274" s="62"/>
      <c r="BOT274" s="314"/>
      <c r="BOU274" s="314"/>
      <c r="BOV274" s="314"/>
      <c r="BOW274" s="314"/>
      <c r="BOX274" s="314"/>
      <c r="BOY274" s="314"/>
      <c r="BOZ274" s="314"/>
      <c r="BPA274" s="314"/>
      <c r="BPB274" s="314"/>
      <c r="BPC274" s="314"/>
      <c r="BPD274" s="314"/>
      <c r="BPE274" s="314"/>
      <c r="BPF274" s="314"/>
      <c r="BPG274" s="314"/>
      <c r="BPH274" s="314"/>
      <c r="BPI274" s="62"/>
      <c r="BPJ274" s="314"/>
      <c r="BPK274" s="314"/>
      <c r="BPL274" s="314"/>
      <c r="BPM274" s="314"/>
      <c r="BPN274" s="314"/>
      <c r="BPO274" s="314"/>
      <c r="BPP274" s="314"/>
      <c r="BPQ274" s="314"/>
      <c r="BPR274" s="314"/>
      <c r="BPS274" s="314"/>
      <c r="BPT274" s="314"/>
      <c r="BPU274" s="314"/>
      <c r="BPV274" s="314"/>
      <c r="BPW274" s="314"/>
      <c r="BPX274" s="314"/>
      <c r="BPY274" s="62"/>
      <c r="BPZ274" s="314"/>
      <c r="BQA274" s="314"/>
      <c r="BQB274" s="314"/>
      <c r="BQC274" s="314"/>
      <c r="BQD274" s="314"/>
      <c r="BQE274" s="314"/>
      <c r="BQF274" s="314"/>
      <c r="BQG274" s="314"/>
      <c r="BQH274" s="314"/>
      <c r="BQI274" s="314"/>
      <c r="BQJ274" s="314"/>
      <c r="BQK274" s="314"/>
      <c r="BQL274" s="314"/>
      <c r="BQM274" s="314"/>
      <c r="BQN274" s="314"/>
      <c r="BQO274" s="62"/>
      <c r="BQP274" s="314"/>
      <c r="BQQ274" s="314"/>
      <c r="BQR274" s="314"/>
      <c r="BQS274" s="314"/>
      <c r="BQT274" s="314"/>
      <c r="BQU274" s="314"/>
      <c r="BQV274" s="314"/>
      <c r="BQW274" s="314"/>
      <c r="BQX274" s="314"/>
      <c r="BQY274" s="314"/>
      <c r="BQZ274" s="314"/>
      <c r="BRA274" s="314"/>
      <c r="BRB274" s="314"/>
      <c r="BRC274" s="314"/>
      <c r="BRD274" s="314"/>
      <c r="BRE274" s="62"/>
      <c r="BRF274" s="314"/>
      <c r="BRG274" s="314"/>
      <c r="BRH274" s="314"/>
      <c r="BRI274" s="314"/>
      <c r="BRJ274" s="314"/>
      <c r="BRK274" s="314"/>
      <c r="BRL274" s="314"/>
      <c r="BRM274" s="314"/>
      <c r="BRN274" s="314"/>
      <c r="BRO274" s="314"/>
      <c r="BRP274" s="314"/>
      <c r="BRQ274" s="314"/>
      <c r="BRR274" s="314"/>
      <c r="BRS274" s="314"/>
      <c r="BRT274" s="314"/>
      <c r="BRU274" s="62"/>
      <c r="BRV274" s="314"/>
      <c r="BRW274" s="314"/>
      <c r="BRX274" s="314"/>
      <c r="BRY274" s="314"/>
      <c r="BRZ274" s="314"/>
      <c r="BSA274" s="314"/>
      <c r="BSB274" s="314"/>
      <c r="BSC274" s="314"/>
      <c r="BSD274" s="314"/>
      <c r="BSE274" s="314"/>
      <c r="BSF274" s="314"/>
      <c r="BSG274" s="314"/>
      <c r="BSH274" s="314"/>
      <c r="BSI274" s="314"/>
      <c r="BSJ274" s="314"/>
      <c r="BSK274" s="62"/>
      <c r="BSL274" s="314"/>
      <c r="BSM274" s="314"/>
      <c r="BSN274" s="314"/>
      <c r="BSO274" s="314"/>
      <c r="BSP274" s="314"/>
      <c r="BSQ274" s="314"/>
      <c r="BSR274" s="314"/>
      <c r="BSS274" s="314"/>
      <c r="BST274" s="314"/>
      <c r="BSU274" s="314"/>
      <c r="BSV274" s="314"/>
      <c r="BSW274" s="314"/>
      <c r="BSX274" s="314"/>
      <c r="BSY274" s="314"/>
      <c r="BSZ274" s="314"/>
      <c r="BTA274" s="62"/>
      <c r="BTB274" s="314"/>
      <c r="BTC274" s="314"/>
      <c r="BTD274" s="314"/>
      <c r="BTE274" s="314"/>
      <c r="BTF274" s="314"/>
      <c r="BTG274" s="314"/>
      <c r="BTH274" s="314"/>
      <c r="BTI274" s="314"/>
      <c r="BTJ274" s="314"/>
      <c r="BTK274" s="314"/>
      <c r="BTL274" s="314"/>
      <c r="BTM274" s="314"/>
      <c r="BTN274" s="314"/>
      <c r="BTO274" s="314"/>
      <c r="BTP274" s="314"/>
      <c r="BTQ274" s="62"/>
      <c r="BTR274" s="314"/>
      <c r="BTS274" s="314"/>
      <c r="BTT274" s="314"/>
      <c r="BTU274" s="314"/>
      <c r="BTV274" s="314"/>
      <c r="BTW274" s="314"/>
      <c r="BTX274" s="314"/>
      <c r="BTY274" s="314"/>
      <c r="BTZ274" s="314"/>
      <c r="BUA274" s="314"/>
      <c r="BUB274" s="314"/>
      <c r="BUC274" s="314"/>
      <c r="BUD274" s="314"/>
      <c r="BUE274" s="314"/>
      <c r="BUF274" s="314"/>
      <c r="BUG274" s="62"/>
      <c r="BUH274" s="314"/>
      <c r="BUI274" s="314"/>
      <c r="BUJ274" s="314"/>
      <c r="BUK274" s="314"/>
      <c r="BUL274" s="314"/>
      <c r="BUM274" s="314"/>
      <c r="BUN274" s="314"/>
      <c r="BUO274" s="314"/>
      <c r="BUP274" s="314"/>
      <c r="BUQ274" s="314"/>
      <c r="BUR274" s="314"/>
      <c r="BUS274" s="314"/>
      <c r="BUT274" s="314"/>
      <c r="BUU274" s="314"/>
      <c r="BUV274" s="314"/>
      <c r="BUW274" s="62"/>
      <c r="BUX274" s="314"/>
      <c r="BUY274" s="314"/>
      <c r="BUZ274" s="314"/>
      <c r="BVA274" s="314"/>
      <c r="BVB274" s="314"/>
      <c r="BVC274" s="314"/>
      <c r="BVD274" s="314"/>
      <c r="BVE274" s="314"/>
      <c r="BVF274" s="314"/>
      <c r="BVG274" s="314"/>
      <c r="BVH274" s="314"/>
      <c r="BVI274" s="314"/>
      <c r="BVJ274" s="314"/>
      <c r="BVK274" s="314"/>
      <c r="BVL274" s="314"/>
      <c r="BVM274" s="62"/>
      <c r="BVN274" s="314"/>
      <c r="BVO274" s="314"/>
      <c r="BVP274" s="314"/>
      <c r="BVQ274" s="314"/>
      <c r="BVR274" s="314"/>
      <c r="BVS274" s="314"/>
      <c r="BVT274" s="314"/>
      <c r="BVU274" s="314"/>
      <c r="BVV274" s="314"/>
      <c r="BVW274" s="314"/>
      <c r="BVX274" s="314"/>
      <c r="BVY274" s="314"/>
      <c r="BVZ274" s="314"/>
      <c r="BWA274" s="314"/>
      <c r="BWB274" s="314"/>
      <c r="BWC274" s="62"/>
      <c r="BWD274" s="314"/>
      <c r="BWE274" s="314"/>
      <c r="BWF274" s="314"/>
      <c r="BWG274" s="314"/>
      <c r="BWH274" s="314"/>
      <c r="BWI274" s="314"/>
      <c r="BWJ274" s="314"/>
      <c r="BWK274" s="314"/>
      <c r="BWL274" s="314"/>
      <c r="BWM274" s="314"/>
      <c r="BWN274" s="314"/>
      <c r="BWO274" s="314"/>
      <c r="BWP274" s="314"/>
      <c r="BWQ274" s="314"/>
      <c r="BWR274" s="314"/>
      <c r="BWS274" s="62"/>
      <c r="BWT274" s="314"/>
      <c r="BWU274" s="314"/>
      <c r="BWV274" s="314"/>
      <c r="BWW274" s="314"/>
      <c r="BWX274" s="314"/>
      <c r="BWY274" s="314"/>
      <c r="BWZ274" s="314"/>
      <c r="BXA274" s="314"/>
      <c r="BXB274" s="314"/>
      <c r="BXC274" s="314"/>
      <c r="BXD274" s="314"/>
      <c r="BXE274" s="314"/>
      <c r="BXF274" s="314"/>
      <c r="BXG274" s="314"/>
      <c r="BXH274" s="314"/>
      <c r="BXI274" s="62"/>
      <c r="BXJ274" s="314"/>
      <c r="BXK274" s="314"/>
      <c r="BXL274" s="314"/>
      <c r="BXM274" s="314"/>
      <c r="BXN274" s="314"/>
      <c r="BXO274" s="314"/>
      <c r="BXP274" s="314"/>
      <c r="BXQ274" s="314"/>
      <c r="BXR274" s="314"/>
      <c r="BXS274" s="314"/>
      <c r="BXT274" s="314"/>
      <c r="BXU274" s="314"/>
      <c r="BXV274" s="314"/>
      <c r="BXW274" s="314"/>
      <c r="BXX274" s="314"/>
      <c r="BXY274" s="62"/>
      <c r="BXZ274" s="314"/>
      <c r="BYA274" s="314"/>
      <c r="BYB274" s="314"/>
      <c r="BYC274" s="314"/>
      <c r="BYD274" s="314"/>
      <c r="BYE274" s="314"/>
      <c r="BYF274" s="314"/>
      <c r="BYG274" s="314"/>
      <c r="BYH274" s="314"/>
      <c r="BYI274" s="314"/>
      <c r="BYJ274" s="314"/>
      <c r="BYK274" s="314"/>
      <c r="BYL274" s="314"/>
      <c r="BYM274" s="314"/>
      <c r="BYN274" s="314"/>
      <c r="BYO274" s="62"/>
      <c r="BYP274" s="314"/>
      <c r="BYQ274" s="314"/>
      <c r="BYR274" s="314"/>
      <c r="BYS274" s="314"/>
      <c r="BYT274" s="314"/>
      <c r="BYU274" s="314"/>
      <c r="BYV274" s="314"/>
      <c r="BYW274" s="314"/>
      <c r="BYX274" s="314"/>
      <c r="BYY274" s="314"/>
      <c r="BYZ274" s="314"/>
      <c r="BZA274" s="314"/>
      <c r="BZB274" s="314"/>
      <c r="BZC274" s="314"/>
      <c r="BZD274" s="314"/>
      <c r="BZE274" s="62"/>
      <c r="BZF274" s="314"/>
      <c r="BZG274" s="314"/>
      <c r="BZH274" s="314"/>
      <c r="BZI274" s="314"/>
      <c r="BZJ274" s="314"/>
      <c r="BZK274" s="314"/>
      <c r="BZL274" s="314"/>
      <c r="BZM274" s="314"/>
      <c r="BZN274" s="314"/>
      <c r="BZO274" s="314"/>
      <c r="BZP274" s="314"/>
      <c r="BZQ274" s="314"/>
      <c r="BZR274" s="314"/>
      <c r="BZS274" s="314"/>
      <c r="BZT274" s="314"/>
      <c r="BZU274" s="62"/>
      <c r="BZV274" s="314"/>
      <c r="BZW274" s="314"/>
      <c r="BZX274" s="314"/>
      <c r="BZY274" s="314"/>
      <c r="BZZ274" s="314"/>
      <c r="CAA274" s="314"/>
      <c r="CAB274" s="314"/>
      <c r="CAC274" s="314"/>
      <c r="CAD274" s="314"/>
      <c r="CAE274" s="314"/>
      <c r="CAF274" s="314"/>
      <c r="CAG274" s="314"/>
      <c r="CAH274" s="314"/>
      <c r="CAI274" s="314"/>
      <c r="CAJ274" s="314"/>
      <c r="CAK274" s="62"/>
      <c r="CAL274" s="314"/>
      <c r="CAM274" s="314"/>
      <c r="CAN274" s="314"/>
      <c r="CAO274" s="314"/>
      <c r="CAP274" s="314"/>
      <c r="CAQ274" s="314"/>
      <c r="CAR274" s="314"/>
      <c r="CAS274" s="314"/>
      <c r="CAT274" s="314"/>
      <c r="CAU274" s="314"/>
      <c r="CAV274" s="314"/>
      <c r="CAW274" s="314"/>
      <c r="CAX274" s="314"/>
      <c r="CAY274" s="314"/>
      <c r="CAZ274" s="314"/>
      <c r="CBA274" s="62"/>
      <c r="CBB274" s="314"/>
      <c r="CBC274" s="314"/>
      <c r="CBD274" s="314"/>
      <c r="CBE274" s="314"/>
      <c r="CBF274" s="314"/>
      <c r="CBG274" s="314"/>
      <c r="CBH274" s="314"/>
      <c r="CBI274" s="314"/>
      <c r="CBJ274" s="314"/>
      <c r="CBK274" s="314"/>
      <c r="CBL274" s="314"/>
      <c r="CBM274" s="314"/>
      <c r="CBN274" s="314"/>
      <c r="CBO274" s="314"/>
      <c r="CBP274" s="314"/>
      <c r="CBQ274" s="62"/>
      <c r="CBR274" s="314"/>
      <c r="CBS274" s="314"/>
      <c r="CBT274" s="314"/>
      <c r="CBU274" s="314"/>
      <c r="CBV274" s="314"/>
      <c r="CBW274" s="314"/>
      <c r="CBX274" s="314"/>
      <c r="CBY274" s="314"/>
      <c r="CBZ274" s="314"/>
      <c r="CCA274" s="314"/>
      <c r="CCB274" s="314"/>
      <c r="CCC274" s="314"/>
      <c r="CCD274" s="314"/>
      <c r="CCE274" s="314"/>
      <c r="CCF274" s="314"/>
      <c r="CCG274" s="62"/>
      <c r="CCH274" s="314"/>
      <c r="CCI274" s="314"/>
      <c r="CCJ274" s="314"/>
      <c r="CCK274" s="314"/>
      <c r="CCL274" s="314"/>
      <c r="CCM274" s="314"/>
      <c r="CCN274" s="314"/>
      <c r="CCO274" s="314"/>
      <c r="CCP274" s="314"/>
      <c r="CCQ274" s="314"/>
      <c r="CCR274" s="314"/>
      <c r="CCS274" s="314"/>
      <c r="CCT274" s="314"/>
      <c r="CCU274" s="314"/>
      <c r="CCV274" s="314"/>
      <c r="CCW274" s="62"/>
      <c r="CCX274" s="314"/>
      <c r="CCY274" s="314"/>
      <c r="CCZ274" s="314"/>
      <c r="CDA274" s="314"/>
      <c r="CDB274" s="314"/>
      <c r="CDC274" s="314"/>
      <c r="CDD274" s="314"/>
      <c r="CDE274" s="314"/>
      <c r="CDF274" s="314"/>
      <c r="CDG274" s="314"/>
      <c r="CDH274" s="314"/>
      <c r="CDI274" s="314"/>
      <c r="CDJ274" s="314"/>
      <c r="CDK274" s="314"/>
      <c r="CDL274" s="314"/>
      <c r="CDM274" s="62"/>
      <c r="CDN274" s="314"/>
      <c r="CDO274" s="314"/>
      <c r="CDP274" s="314"/>
      <c r="CDQ274" s="314"/>
      <c r="CDR274" s="314"/>
      <c r="CDS274" s="314"/>
      <c r="CDT274" s="314"/>
      <c r="CDU274" s="314"/>
      <c r="CDV274" s="314"/>
      <c r="CDW274" s="314"/>
      <c r="CDX274" s="314"/>
      <c r="CDY274" s="314"/>
      <c r="CDZ274" s="314"/>
      <c r="CEA274" s="314"/>
      <c r="CEB274" s="314"/>
      <c r="CEC274" s="62"/>
      <c r="CED274" s="314"/>
      <c r="CEE274" s="314"/>
      <c r="CEF274" s="314"/>
      <c r="CEG274" s="314"/>
      <c r="CEH274" s="314"/>
      <c r="CEI274" s="314"/>
      <c r="CEJ274" s="314"/>
      <c r="CEK274" s="314"/>
      <c r="CEL274" s="314"/>
      <c r="CEM274" s="314"/>
      <c r="CEN274" s="314"/>
      <c r="CEO274" s="314"/>
      <c r="CEP274" s="314"/>
      <c r="CEQ274" s="314"/>
      <c r="CER274" s="314"/>
      <c r="CES274" s="62"/>
      <c r="CET274" s="314"/>
      <c r="CEU274" s="314"/>
      <c r="CEV274" s="314"/>
      <c r="CEW274" s="314"/>
      <c r="CEX274" s="314"/>
      <c r="CEY274" s="314"/>
      <c r="CEZ274" s="314"/>
      <c r="CFA274" s="314"/>
      <c r="CFB274" s="314"/>
      <c r="CFC274" s="314"/>
      <c r="CFD274" s="314"/>
      <c r="CFE274" s="314"/>
      <c r="CFF274" s="314"/>
      <c r="CFG274" s="314"/>
      <c r="CFH274" s="314"/>
      <c r="CFI274" s="62"/>
      <c r="CFJ274" s="314"/>
      <c r="CFK274" s="314"/>
      <c r="CFL274" s="314"/>
      <c r="CFM274" s="314"/>
      <c r="CFN274" s="314"/>
      <c r="CFO274" s="314"/>
      <c r="CFP274" s="314"/>
      <c r="CFQ274" s="314"/>
      <c r="CFR274" s="314"/>
      <c r="CFS274" s="314"/>
      <c r="CFT274" s="314"/>
      <c r="CFU274" s="314"/>
      <c r="CFV274" s="314"/>
      <c r="CFW274" s="314"/>
      <c r="CFX274" s="314"/>
      <c r="CFY274" s="62"/>
      <c r="CFZ274" s="314"/>
      <c r="CGA274" s="314"/>
      <c r="CGB274" s="314"/>
      <c r="CGC274" s="314"/>
      <c r="CGD274" s="314"/>
      <c r="CGE274" s="314"/>
      <c r="CGF274" s="314"/>
      <c r="CGG274" s="314"/>
      <c r="CGH274" s="314"/>
      <c r="CGI274" s="314"/>
      <c r="CGJ274" s="314"/>
      <c r="CGK274" s="314"/>
      <c r="CGL274" s="314"/>
      <c r="CGM274" s="314"/>
      <c r="CGN274" s="314"/>
      <c r="CGO274" s="62"/>
      <c r="CGP274" s="314"/>
      <c r="CGQ274" s="314"/>
      <c r="CGR274" s="314"/>
      <c r="CGS274" s="314"/>
      <c r="CGT274" s="314"/>
      <c r="CGU274" s="314"/>
      <c r="CGV274" s="314"/>
      <c r="CGW274" s="314"/>
      <c r="CGX274" s="314"/>
      <c r="CGY274" s="314"/>
      <c r="CGZ274" s="314"/>
      <c r="CHA274" s="314"/>
      <c r="CHB274" s="314"/>
      <c r="CHC274" s="314"/>
      <c r="CHD274" s="314"/>
      <c r="CHE274" s="62"/>
      <c r="CHF274" s="314"/>
      <c r="CHG274" s="314"/>
      <c r="CHH274" s="314"/>
      <c r="CHI274" s="314"/>
      <c r="CHJ274" s="314"/>
      <c r="CHK274" s="314"/>
      <c r="CHL274" s="314"/>
      <c r="CHM274" s="314"/>
      <c r="CHN274" s="314"/>
      <c r="CHO274" s="314"/>
      <c r="CHP274" s="314"/>
      <c r="CHQ274" s="314"/>
      <c r="CHR274" s="314"/>
      <c r="CHS274" s="314"/>
      <c r="CHT274" s="314"/>
      <c r="CHU274" s="62"/>
      <c r="CHV274" s="314"/>
      <c r="CHW274" s="314"/>
      <c r="CHX274" s="314"/>
      <c r="CHY274" s="314"/>
      <c r="CHZ274" s="314"/>
      <c r="CIA274" s="314"/>
      <c r="CIB274" s="314"/>
      <c r="CIC274" s="314"/>
      <c r="CID274" s="314"/>
      <c r="CIE274" s="314"/>
      <c r="CIF274" s="314"/>
      <c r="CIG274" s="314"/>
      <c r="CIH274" s="314"/>
      <c r="CII274" s="314"/>
      <c r="CIJ274" s="314"/>
      <c r="CIK274" s="62"/>
      <c r="CIL274" s="314"/>
      <c r="CIM274" s="314"/>
      <c r="CIN274" s="314"/>
      <c r="CIO274" s="314"/>
      <c r="CIP274" s="314"/>
      <c r="CIQ274" s="314"/>
      <c r="CIR274" s="314"/>
      <c r="CIS274" s="314"/>
      <c r="CIT274" s="314"/>
      <c r="CIU274" s="314"/>
      <c r="CIV274" s="314"/>
      <c r="CIW274" s="314"/>
      <c r="CIX274" s="314"/>
      <c r="CIY274" s="314"/>
      <c r="CIZ274" s="314"/>
      <c r="CJA274" s="62"/>
      <c r="CJB274" s="314"/>
      <c r="CJC274" s="314"/>
      <c r="CJD274" s="314"/>
      <c r="CJE274" s="314"/>
      <c r="CJF274" s="314"/>
      <c r="CJG274" s="314"/>
      <c r="CJH274" s="314"/>
      <c r="CJI274" s="314"/>
      <c r="CJJ274" s="314"/>
      <c r="CJK274" s="314"/>
      <c r="CJL274" s="314"/>
      <c r="CJM274" s="314"/>
      <c r="CJN274" s="314"/>
      <c r="CJO274" s="314"/>
      <c r="CJP274" s="314"/>
      <c r="CJQ274" s="62"/>
      <c r="CJR274" s="314"/>
      <c r="CJS274" s="314"/>
      <c r="CJT274" s="314"/>
      <c r="CJU274" s="314"/>
      <c r="CJV274" s="314"/>
      <c r="CJW274" s="314"/>
      <c r="CJX274" s="314"/>
      <c r="CJY274" s="314"/>
      <c r="CJZ274" s="314"/>
      <c r="CKA274" s="314"/>
      <c r="CKB274" s="314"/>
      <c r="CKC274" s="314"/>
      <c r="CKD274" s="314"/>
      <c r="CKE274" s="314"/>
      <c r="CKF274" s="314"/>
      <c r="CKG274" s="62"/>
      <c r="CKH274" s="314"/>
      <c r="CKI274" s="314"/>
      <c r="CKJ274" s="314"/>
      <c r="CKK274" s="314"/>
      <c r="CKL274" s="314"/>
      <c r="CKM274" s="314"/>
      <c r="CKN274" s="314"/>
      <c r="CKO274" s="314"/>
      <c r="CKP274" s="314"/>
      <c r="CKQ274" s="314"/>
      <c r="CKR274" s="314"/>
      <c r="CKS274" s="314"/>
      <c r="CKT274" s="314"/>
      <c r="CKU274" s="314"/>
      <c r="CKV274" s="314"/>
      <c r="CKW274" s="62"/>
      <c r="CKX274" s="314"/>
      <c r="CKY274" s="314"/>
      <c r="CKZ274" s="314"/>
      <c r="CLA274" s="314"/>
      <c r="CLB274" s="314"/>
      <c r="CLC274" s="314"/>
      <c r="CLD274" s="314"/>
      <c r="CLE274" s="314"/>
      <c r="CLF274" s="314"/>
      <c r="CLG274" s="314"/>
      <c r="CLH274" s="314"/>
      <c r="CLI274" s="314"/>
      <c r="CLJ274" s="314"/>
      <c r="CLK274" s="314"/>
      <c r="CLL274" s="314"/>
      <c r="CLM274" s="62"/>
      <c r="CLN274" s="314"/>
      <c r="CLO274" s="314"/>
      <c r="CLP274" s="314"/>
      <c r="CLQ274" s="314"/>
      <c r="CLR274" s="314"/>
      <c r="CLS274" s="314"/>
      <c r="CLT274" s="314"/>
      <c r="CLU274" s="314"/>
      <c r="CLV274" s="314"/>
      <c r="CLW274" s="314"/>
      <c r="CLX274" s="314"/>
      <c r="CLY274" s="314"/>
      <c r="CLZ274" s="314"/>
      <c r="CMA274" s="314"/>
      <c r="CMB274" s="314"/>
      <c r="CMC274" s="62"/>
      <c r="CMD274" s="314"/>
      <c r="CME274" s="314"/>
      <c r="CMF274" s="314"/>
      <c r="CMG274" s="314"/>
      <c r="CMH274" s="314"/>
      <c r="CMI274" s="314"/>
      <c r="CMJ274" s="314"/>
      <c r="CMK274" s="314"/>
      <c r="CML274" s="314"/>
      <c r="CMM274" s="314"/>
      <c r="CMN274" s="314"/>
      <c r="CMO274" s="314"/>
      <c r="CMP274" s="314"/>
      <c r="CMQ274" s="314"/>
      <c r="CMR274" s="314"/>
      <c r="CMS274" s="62"/>
      <c r="CMT274" s="314"/>
      <c r="CMU274" s="314"/>
      <c r="CMV274" s="314"/>
      <c r="CMW274" s="314"/>
      <c r="CMX274" s="314"/>
      <c r="CMY274" s="314"/>
      <c r="CMZ274" s="314"/>
      <c r="CNA274" s="314"/>
      <c r="CNB274" s="314"/>
      <c r="CNC274" s="314"/>
      <c r="CND274" s="314"/>
      <c r="CNE274" s="314"/>
      <c r="CNF274" s="314"/>
      <c r="CNG274" s="314"/>
      <c r="CNH274" s="314"/>
      <c r="CNI274" s="62"/>
      <c r="CNJ274" s="314"/>
      <c r="CNK274" s="314"/>
      <c r="CNL274" s="314"/>
      <c r="CNM274" s="314"/>
      <c r="CNN274" s="314"/>
      <c r="CNO274" s="314"/>
      <c r="CNP274" s="314"/>
      <c r="CNQ274" s="314"/>
      <c r="CNR274" s="314"/>
      <c r="CNS274" s="314"/>
      <c r="CNT274" s="314"/>
      <c r="CNU274" s="314"/>
      <c r="CNV274" s="314"/>
      <c r="CNW274" s="314"/>
      <c r="CNX274" s="314"/>
      <c r="CNY274" s="62"/>
      <c r="CNZ274" s="314"/>
      <c r="COA274" s="314"/>
      <c r="COB274" s="314"/>
      <c r="COC274" s="314"/>
      <c r="COD274" s="314"/>
      <c r="COE274" s="314"/>
      <c r="COF274" s="314"/>
      <c r="COG274" s="314"/>
      <c r="COH274" s="314"/>
      <c r="COI274" s="314"/>
      <c r="COJ274" s="314"/>
      <c r="COK274" s="314"/>
      <c r="COL274" s="314"/>
      <c r="COM274" s="314"/>
      <c r="CON274" s="314"/>
      <c r="COO274" s="62"/>
      <c r="COP274" s="314"/>
      <c r="COQ274" s="314"/>
      <c r="COR274" s="314"/>
      <c r="COS274" s="314"/>
      <c r="COT274" s="314"/>
      <c r="COU274" s="314"/>
      <c r="COV274" s="314"/>
      <c r="COW274" s="314"/>
      <c r="COX274" s="314"/>
      <c r="COY274" s="314"/>
      <c r="COZ274" s="314"/>
      <c r="CPA274" s="314"/>
      <c r="CPB274" s="314"/>
      <c r="CPC274" s="314"/>
      <c r="CPD274" s="314"/>
      <c r="CPE274" s="62"/>
      <c r="CPF274" s="314"/>
      <c r="CPG274" s="314"/>
      <c r="CPH274" s="314"/>
      <c r="CPI274" s="314"/>
      <c r="CPJ274" s="314"/>
      <c r="CPK274" s="314"/>
      <c r="CPL274" s="314"/>
      <c r="CPM274" s="314"/>
      <c r="CPN274" s="314"/>
      <c r="CPO274" s="314"/>
      <c r="CPP274" s="314"/>
      <c r="CPQ274" s="314"/>
      <c r="CPR274" s="314"/>
      <c r="CPS274" s="314"/>
      <c r="CPT274" s="314"/>
      <c r="CPU274" s="62"/>
      <c r="CPV274" s="314"/>
      <c r="CPW274" s="314"/>
      <c r="CPX274" s="314"/>
      <c r="CPY274" s="314"/>
      <c r="CPZ274" s="314"/>
      <c r="CQA274" s="314"/>
      <c r="CQB274" s="314"/>
      <c r="CQC274" s="314"/>
      <c r="CQD274" s="314"/>
      <c r="CQE274" s="314"/>
      <c r="CQF274" s="314"/>
      <c r="CQG274" s="314"/>
      <c r="CQH274" s="314"/>
      <c r="CQI274" s="314"/>
      <c r="CQJ274" s="314"/>
      <c r="CQK274" s="62"/>
      <c r="CQL274" s="314"/>
      <c r="CQM274" s="314"/>
      <c r="CQN274" s="314"/>
      <c r="CQO274" s="314"/>
      <c r="CQP274" s="314"/>
      <c r="CQQ274" s="314"/>
      <c r="CQR274" s="314"/>
      <c r="CQS274" s="314"/>
      <c r="CQT274" s="314"/>
      <c r="CQU274" s="314"/>
      <c r="CQV274" s="314"/>
      <c r="CQW274" s="314"/>
      <c r="CQX274" s="314"/>
      <c r="CQY274" s="314"/>
      <c r="CQZ274" s="314"/>
      <c r="CRA274" s="62"/>
      <c r="CRB274" s="314"/>
      <c r="CRC274" s="314"/>
      <c r="CRD274" s="314"/>
      <c r="CRE274" s="314"/>
      <c r="CRF274" s="314"/>
      <c r="CRG274" s="314"/>
      <c r="CRH274" s="314"/>
      <c r="CRI274" s="314"/>
      <c r="CRJ274" s="314"/>
      <c r="CRK274" s="314"/>
      <c r="CRL274" s="314"/>
      <c r="CRM274" s="314"/>
      <c r="CRN274" s="314"/>
      <c r="CRO274" s="314"/>
      <c r="CRP274" s="314"/>
      <c r="CRQ274" s="62"/>
      <c r="CRR274" s="314"/>
      <c r="CRS274" s="314"/>
      <c r="CRT274" s="314"/>
      <c r="CRU274" s="314"/>
      <c r="CRV274" s="314"/>
      <c r="CRW274" s="314"/>
      <c r="CRX274" s="314"/>
      <c r="CRY274" s="314"/>
      <c r="CRZ274" s="314"/>
      <c r="CSA274" s="314"/>
      <c r="CSB274" s="314"/>
      <c r="CSC274" s="314"/>
      <c r="CSD274" s="314"/>
      <c r="CSE274" s="314"/>
      <c r="CSF274" s="314"/>
      <c r="CSG274" s="62"/>
      <c r="CSH274" s="314"/>
      <c r="CSI274" s="314"/>
      <c r="CSJ274" s="314"/>
      <c r="CSK274" s="314"/>
      <c r="CSL274" s="314"/>
      <c r="CSM274" s="314"/>
      <c r="CSN274" s="314"/>
      <c r="CSO274" s="314"/>
      <c r="CSP274" s="314"/>
      <c r="CSQ274" s="314"/>
      <c r="CSR274" s="314"/>
      <c r="CSS274" s="314"/>
      <c r="CST274" s="314"/>
      <c r="CSU274" s="314"/>
      <c r="CSV274" s="314"/>
      <c r="CSW274" s="62"/>
      <c r="CSX274" s="314"/>
      <c r="CSY274" s="314"/>
      <c r="CSZ274" s="314"/>
      <c r="CTA274" s="314"/>
      <c r="CTB274" s="314"/>
      <c r="CTC274" s="314"/>
      <c r="CTD274" s="314"/>
      <c r="CTE274" s="314"/>
      <c r="CTF274" s="314"/>
      <c r="CTG274" s="314"/>
      <c r="CTH274" s="314"/>
      <c r="CTI274" s="314"/>
      <c r="CTJ274" s="314"/>
      <c r="CTK274" s="314"/>
      <c r="CTL274" s="314"/>
      <c r="CTM274" s="62"/>
      <c r="CTN274" s="314"/>
      <c r="CTO274" s="314"/>
      <c r="CTP274" s="314"/>
      <c r="CTQ274" s="314"/>
      <c r="CTR274" s="314"/>
      <c r="CTS274" s="314"/>
      <c r="CTT274" s="314"/>
      <c r="CTU274" s="314"/>
      <c r="CTV274" s="314"/>
      <c r="CTW274" s="314"/>
      <c r="CTX274" s="314"/>
      <c r="CTY274" s="314"/>
      <c r="CTZ274" s="314"/>
      <c r="CUA274" s="314"/>
      <c r="CUB274" s="314"/>
      <c r="CUC274" s="62"/>
      <c r="CUD274" s="314"/>
      <c r="CUE274" s="314"/>
      <c r="CUF274" s="314"/>
      <c r="CUG274" s="314"/>
      <c r="CUH274" s="314"/>
      <c r="CUI274" s="314"/>
      <c r="CUJ274" s="314"/>
      <c r="CUK274" s="314"/>
      <c r="CUL274" s="314"/>
      <c r="CUM274" s="314"/>
      <c r="CUN274" s="314"/>
      <c r="CUO274" s="314"/>
      <c r="CUP274" s="314"/>
      <c r="CUQ274" s="314"/>
      <c r="CUR274" s="314"/>
      <c r="CUS274" s="62"/>
      <c r="CUT274" s="314"/>
      <c r="CUU274" s="314"/>
      <c r="CUV274" s="314"/>
      <c r="CUW274" s="314"/>
      <c r="CUX274" s="314"/>
      <c r="CUY274" s="314"/>
      <c r="CUZ274" s="314"/>
      <c r="CVA274" s="314"/>
      <c r="CVB274" s="314"/>
      <c r="CVC274" s="314"/>
      <c r="CVD274" s="314"/>
      <c r="CVE274" s="314"/>
      <c r="CVF274" s="314"/>
      <c r="CVG274" s="314"/>
      <c r="CVH274" s="314"/>
      <c r="CVI274" s="62"/>
      <c r="CVJ274" s="314"/>
      <c r="CVK274" s="314"/>
      <c r="CVL274" s="314"/>
      <c r="CVM274" s="314"/>
      <c r="CVN274" s="314"/>
      <c r="CVO274" s="314"/>
      <c r="CVP274" s="314"/>
      <c r="CVQ274" s="314"/>
      <c r="CVR274" s="314"/>
      <c r="CVS274" s="314"/>
      <c r="CVT274" s="314"/>
      <c r="CVU274" s="314"/>
      <c r="CVV274" s="314"/>
      <c r="CVW274" s="314"/>
      <c r="CVX274" s="314"/>
      <c r="CVY274" s="62"/>
      <c r="CVZ274" s="314"/>
      <c r="CWA274" s="314"/>
      <c r="CWB274" s="314"/>
      <c r="CWC274" s="314"/>
      <c r="CWD274" s="314"/>
      <c r="CWE274" s="314"/>
      <c r="CWF274" s="314"/>
      <c r="CWG274" s="314"/>
      <c r="CWH274" s="314"/>
      <c r="CWI274" s="314"/>
      <c r="CWJ274" s="314"/>
      <c r="CWK274" s="314"/>
      <c r="CWL274" s="314"/>
      <c r="CWM274" s="314"/>
      <c r="CWN274" s="314"/>
      <c r="CWO274" s="62"/>
      <c r="CWP274" s="314"/>
      <c r="CWQ274" s="314"/>
      <c r="CWR274" s="314"/>
      <c r="CWS274" s="314"/>
      <c r="CWT274" s="314"/>
      <c r="CWU274" s="314"/>
      <c r="CWV274" s="314"/>
      <c r="CWW274" s="314"/>
      <c r="CWX274" s="314"/>
      <c r="CWY274" s="314"/>
      <c r="CWZ274" s="314"/>
      <c r="CXA274" s="314"/>
      <c r="CXB274" s="314"/>
      <c r="CXC274" s="314"/>
      <c r="CXD274" s="314"/>
      <c r="CXE274" s="62"/>
      <c r="CXF274" s="314"/>
      <c r="CXG274" s="314"/>
      <c r="CXH274" s="314"/>
      <c r="CXI274" s="314"/>
      <c r="CXJ274" s="314"/>
      <c r="CXK274" s="314"/>
      <c r="CXL274" s="314"/>
      <c r="CXM274" s="314"/>
      <c r="CXN274" s="314"/>
      <c r="CXO274" s="314"/>
      <c r="CXP274" s="314"/>
      <c r="CXQ274" s="314"/>
      <c r="CXR274" s="314"/>
      <c r="CXS274" s="314"/>
      <c r="CXT274" s="314"/>
      <c r="CXU274" s="62"/>
      <c r="CXV274" s="314"/>
      <c r="CXW274" s="314"/>
      <c r="CXX274" s="314"/>
      <c r="CXY274" s="314"/>
      <c r="CXZ274" s="314"/>
      <c r="CYA274" s="314"/>
      <c r="CYB274" s="314"/>
      <c r="CYC274" s="314"/>
      <c r="CYD274" s="314"/>
      <c r="CYE274" s="314"/>
      <c r="CYF274" s="314"/>
      <c r="CYG274" s="314"/>
      <c r="CYH274" s="314"/>
      <c r="CYI274" s="314"/>
      <c r="CYJ274" s="314"/>
      <c r="CYK274" s="62"/>
      <c r="CYL274" s="314"/>
      <c r="CYM274" s="314"/>
      <c r="CYN274" s="314"/>
      <c r="CYO274" s="314"/>
      <c r="CYP274" s="314"/>
      <c r="CYQ274" s="314"/>
      <c r="CYR274" s="314"/>
      <c r="CYS274" s="314"/>
      <c r="CYT274" s="314"/>
      <c r="CYU274" s="314"/>
      <c r="CYV274" s="314"/>
      <c r="CYW274" s="314"/>
      <c r="CYX274" s="314"/>
      <c r="CYY274" s="314"/>
      <c r="CYZ274" s="314"/>
      <c r="CZA274" s="62"/>
      <c r="CZB274" s="314"/>
      <c r="CZC274" s="314"/>
      <c r="CZD274" s="314"/>
      <c r="CZE274" s="314"/>
      <c r="CZF274" s="314"/>
      <c r="CZG274" s="314"/>
      <c r="CZH274" s="314"/>
      <c r="CZI274" s="314"/>
      <c r="CZJ274" s="314"/>
      <c r="CZK274" s="314"/>
      <c r="CZL274" s="314"/>
      <c r="CZM274" s="314"/>
      <c r="CZN274" s="314"/>
      <c r="CZO274" s="314"/>
      <c r="CZP274" s="314"/>
      <c r="CZQ274" s="62"/>
      <c r="CZR274" s="314"/>
      <c r="CZS274" s="314"/>
      <c r="CZT274" s="314"/>
      <c r="CZU274" s="314"/>
      <c r="CZV274" s="314"/>
      <c r="CZW274" s="314"/>
      <c r="CZX274" s="314"/>
      <c r="CZY274" s="314"/>
      <c r="CZZ274" s="314"/>
      <c r="DAA274" s="314"/>
      <c r="DAB274" s="314"/>
      <c r="DAC274" s="314"/>
      <c r="DAD274" s="314"/>
      <c r="DAE274" s="314"/>
      <c r="DAF274" s="314"/>
      <c r="DAG274" s="62"/>
      <c r="DAH274" s="314"/>
      <c r="DAI274" s="314"/>
      <c r="DAJ274" s="314"/>
      <c r="DAK274" s="314"/>
      <c r="DAL274" s="314"/>
      <c r="DAM274" s="314"/>
      <c r="DAN274" s="314"/>
      <c r="DAO274" s="314"/>
      <c r="DAP274" s="314"/>
      <c r="DAQ274" s="314"/>
      <c r="DAR274" s="314"/>
      <c r="DAS274" s="314"/>
      <c r="DAT274" s="314"/>
      <c r="DAU274" s="314"/>
      <c r="DAV274" s="314"/>
      <c r="DAW274" s="62"/>
      <c r="DAX274" s="314"/>
      <c r="DAY274" s="314"/>
      <c r="DAZ274" s="314"/>
      <c r="DBA274" s="314"/>
      <c r="DBB274" s="314"/>
      <c r="DBC274" s="314"/>
      <c r="DBD274" s="314"/>
      <c r="DBE274" s="314"/>
      <c r="DBF274" s="314"/>
      <c r="DBG274" s="314"/>
      <c r="DBH274" s="314"/>
      <c r="DBI274" s="314"/>
      <c r="DBJ274" s="314"/>
      <c r="DBK274" s="314"/>
      <c r="DBL274" s="314"/>
      <c r="DBM274" s="62"/>
      <c r="DBN274" s="314"/>
      <c r="DBO274" s="314"/>
      <c r="DBP274" s="314"/>
      <c r="DBQ274" s="314"/>
      <c r="DBR274" s="314"/>
      <c r="DBS274" s="314"/>
      <c r="DBT274" s="314"/>
      <c r="DBU274" s="314"/>
      <c r="DBV274" s="314"/>
      <c r="DBW274" s="314"/>
      <c r="DBX274" s="314"/>
      <c r="DBY274" s="314"/>
      <c r="DBZ274" s="314"/>
      <c r="DCA274" s="314"/>
      <c r="DCB274" s="314"/>
      <c r="DCC274" s="62"/>
      <c r="DCD274" s="314"/>
      <c r="DCE274" s="314"/>
      <c r="DCF274" s="314"/>
      <c r="DCG274" s="314"/>
      <c r="DCH274" s="314"/>
      <c r="DCI274" s="314"/>
      <c r="DCJ274" s="314"/>
      <c r="DCK274" s="314"/>
      <c r="DCL274" s="314"/>
      <c r="DCM274" s="314"/>
      <c r="DCN274" s="314"/>
      <c r="DCO274" s="314"/>
      <c r="DCP274" s="314"/>
      <c r="DCQ274" s="314"/>
      <c r="DCR274" s="314"/>
      <c r="DCS274" s="62"/>
      <c r="DCT274" s="314"/>
      <c r="DCU274" s="314"/>
      <c r="DCV274" s="314"/>
      <c r="DCW274" s="314"/>
      <c r="DCX274" s="314"/>
      <c r="DCY274" s="314"/>
      <c r="DCZ274" s="314"/>
      <c r="DDA274" s="314"/>
      <c r="DDB274" s="314"/>
      <c r="DDC274" s="314"/>
      <c r="DDD274" s="314"/>
      <c r="DDE274" s="314"/>
      <c r="DDF274" s="314"/>
      <c r="DDG274" s="314"/>
      <c r="DDH274" s="314"/>
      <c r="DDI274" s="62"/>
      <c r="DDJ274" s="314"/>
      <c r="DDK274" s="314"/>
      <c r="DDL274" s="314"/>
      <c r="DDM274" s="314"/>
      <c r="DDN274" s="314"/>
      <c r="DDO274" s="314"/>
      <c r="DDP274" s="314"/>
      <c r="DDQ274" s="314"/>
      <c r="DDR274" s="314"/>
      <c r="DDS274" s="314"/>
      <c r="DDT274" s="314"/>
      <c r="DDU274" s="314"/>
      <c r="DDV274" s="314"/>
      <c r="DDW274" s="314"/>
      <c r="DDX274" s="314"/>
      <c r="DDY274" s="62"/>
      <c r="DDZ274" s="314"/>
      <c r="DEA274" s="314"/>
      <c r="DEB274" s="314"/>
      <c r="DEC274" s="314"/>
      <c r="DED274" s="314"/>
      <c r="DEE274" s="314"/>
      <c r="DEF274" s="314"/>
      <c r="DEG274" s="314"/>
      <c r="DEH274" s="314"/>
      <c r="DEI274" s="314"/>
      <c r="DEJ274" s="314"/>
      <c r="DEK274" s="314"/>
      <c r="DEL274" s="314"/>
      <c r="DEM274" s="314"/>
      <c r="DEN274" s="314"/>
      <c r="DEO274" s="62"/>
      <c r="DEP274" s="314"/>
      <c r="DEQ274" s="314"/>
      <c r="DER274" s="314"/>
      <c r="DES274" s="314"/>
      <c r="DET274" s="314"/>
      <c r="DEU274" s="314"/>
      <c r="DEV274" s="314"/>
      <c r="DEW274" s="314"/>
      <c r="DEX274" s="314"/>
      <c r="DEY274" s="314"/>
      <c r="DEZ274" s="314"/>
      <c r="DFA274" s="314"/>
      <c r="DFB274" s="314"/>
      <c r="DFC274" s="314"/>
      <c r="DFD274" s="314"/>
      <c r="DFE274" s="62"/>
      <c r="DFF274" s="314"/>
      <c r="DFG274" s="314"/>
      <c r="DFH274" s="314"/>
      <c r="DFI274" s="314"/>
      <c r="DFJ274" s="314"/>
      <c r="DFK274" s="314"/>
      <c r="DFL274" s="314"/>
      <c r="DFM274" s="314"/>
      <c r="DFN274" s="314"/>
      <c r="DFO274" s="314"/>
      <c r="DFP274" s="314"/>
      <c r="DFQ274" s="314"/>
      <c r="DFR274" s="314"/>
      <c r="DFS274" s="314"/>
      <c r="DFT274" s="314"/>
      <c r="DFU274" s="62"/>
      <c r="DFV274" s="314"/>
      <c r="DFW274" s="314"/>
      <c r="DFX274" s="314"/>
      <c r="DFY274" s="314"/>
      <c r="DFZ274" s="314"/>
      <c r="DGA274" s="314"/>
      <c r="DGB274" s="314"/>
      <c r="DGC274" s="314"/>
      <c r="DGD274" s="314"/>
      <c r="DGE274" s="314"/>
      <c r="DGF274" s="314"/>
      <c r="DGG274" s="314"/>
      <c r="DGH274" s="314"/>
      <c r="DGI274" s="314"/>
      <c r="DGJ274" s="314"/>
      <c r="DGK274" s="62"/>
      <c r="DGL274" s="314"/>
      <c r="DGM274" s="314"/>
      <c r="DGN274" s="314"/>
      <c r="DGO274" s="314"/>
      <c r="DGP274" s="314"/>
      <c r="DGQ274" s="314"/>
      <c r="DGR274" s="314"/>
      <c r="DGS274" s="314"/>
      <c r="DGT274" s="314"/>
      <c r="DGU274" s="314"/>
      <c r="DGV274" s="314"/>
      <c r="DGW274" s="314"/>
      <c r="DGX274" s="314"/>
      <c r="DGY274" s="314"/>
      <c r="DGZ274" s="314"/>
      <c r="DHA274" s="62"/>
      <c r="DHB274" s="314"/>
      <c r="DHC274" s="314"/>
      <c r="DHD274" s="314"/>
      <c r="DHE274" s="314"/>
      <c r="DHF274" s="314"/>
      <c r="DHG274" s="314"/>
      <c r="DHH274" s="314"/>
      <c r="DHI274" s="314"/>
      <c r="DHJ274" s="314"/>
      <c r="DHK274" s="314"/>
      <c r="DHL274" s="314"/>
      <c r="DHM274" s="314"/>
      <c r="DHN274" s="314"/>
      <c r="DHO274" s="314"/>
      <c r="DHP274" s="314"/>
      <c r="DHQ274" s="62"/>
      <c r="DHR274" s="314"/>
      <c r="DHS274" s="314"/>
      <c r="DHT274" s="314"/>
      <c r="DHU274" s="314"/>
      <c r="DHV274" s="314"/>
      <c r="DHW274" s="314"/>
      <c r="DHX274" s="314"/>
      <c r="DHY274" s="314"/>
      <c r="DHZ274" s="314"/>
      <c r="DIA274" s="314"/>
      <c r="DIB274" s="314"/>
      <c r="DIC274" s="314"/>
      <c r="DID274" s="314"/>
      <c r="DIE274" s="314"/>
      <c r="DIF274" s="314"/>
      <c r="DIG274" s="62"/>
      <c r="DIH274" s="314"/>
      <c r="DII274" s="314"/>
      <c r="DIJ274" s="314"/>
      <c r="DIK274" s="314"/>
      <c r="DIL274" s="314"/>
      <c r="DIM274" s="314"/>
      <c r="DIN274" s="314"/>
      <c r="DIO274" s="314"/>
      <c r="DIP274" s="314"/>
      <c r="DIQ274" s="314"/>
      <c r="DIR274" s="314"/>
      <c r="DIS274" s="314"/>
      <c r="DIT274" s="314"/>
      <c r="DIU274" s="314"/>
      <c r="DIV274" s="314"/>
      <c r="DIW274" s="62"/>
      <c r="DIX274" s="314"/>
      <c r="DIY274" s="314"/>
      <c r="DIZ274" s="314"/>
      <c r="DJA274" s="314"/>
      <c r="DJB274" s="314"/>
      <c r="DJC274" s="314"/>
      <c r="DJD274" s="314"/>
      <c r="DJE274" s="314"/>
      <c r="DJF274" s="314"/>
      <c r="DJG274" s="314"/>
      <c r="DJH274" s="314"/>
      <c r="DJI274" s="314"/>
      <c r="DJJ274" s="314"/>
      <c r="DJK274" s="314"/>
      <c r="DJL274" s="314"/>
      <c r="DJM274" s="62"/>
      <c r="DJN274" s="314"/>
      <c r="DJO274" s="314"/>
      <c r="DJP274" s="314"/>
      <c r="DJQ274" s="314"/>
      <c r="DJR274" s="314"/>
      <c r="DJS274" s="314"/>
      <c r="DJT274" s="314"/>
      <c r="DJU274" s="314"/>
      <c r="DJV274" s="314"/>
      <c r="DJW274" s="314"/>
      <c r="DJX274" s="314"/>
      <c r="DJY274" s="314"/>
      <c r="DJZ274" s="314"/>
      <c r="DKA274" s="314"/>
      <c r="DKB274" s="314"/>
      <c r="DKC274" s="62"/>
      <c r="DKD274" s="314"/>
      <c r="DKE274" s="314"/>
      <c r="DKF274" s="314"/>
      <c r="DKG274" s="314"/>
      <c r="DKH274" s="314"/>
      <c r="DKI274" s="314"/>
      <c r="DKJ274" s="314"/>
      <c r="DKK274" s="314"/>
      <c r="DKL274" s="314"/>
      <c r="DKM274" s="314"/>
      <c r="DKN274" s="314"/>
      <c r="DKO274" s="314"/>
      <c r="DKP274" s="314"/>
      <c r="DKQ274" s="314"/>
      <c r="DKR274" s="314"/>
      <c r="DKS274" s="62"/>
      <c r="DKT274" s="314"/>
      <c r="DKU274" s="314"/>
      <c r="DKV274" s="314"/>
      <c r="DKW274" s="314"/>
      <c r="DKX274" s="314"/>
      <c r="DKY274" s="314"/>
      <c r="DKZ274" s="314"/>
      <c r="DLA274" s="314"/>
      <c r="DLB274" s="314"/>
      <c r="DLC274" s="314"/>
      <c r="DLD274" s="314"/>
      <c r="DLE274" s="314"/>
      <c r="DLF274" s="314"/>
      <c r="DLG274" s="314"/>
      <c r="DLH274" s="314"/>
      <c r="DLI274" s="62"/>
      <c r="DLJ274" s="314"/>
      <c r="DLK274" s="314"/>
      <c r="DLL274" s="314"/>
      <c r="DLM274" s="314"/>
      <c r="DLN274" s="314"/>
      <c r="DLO274" s="314"/>
      <c r="DLP274" s="314"/>
      <c r="DLQ274" s="314"/>
      <c r="DLR274" s="314"/>
      <c r="DLS274" s="314"/>
      <c r="DLT274" s="314"/>
      <c r="DLU274" s="314"/>
      <c r="DLV274" s="314"/>
      <c r="DLW274" s="314"/>
      <c r="DLX274" s="314"/>
      <c r="DLY274" s="62"/>
      <c r="DLZ274" s="314"/>
      <c r="DMA274" s="314"/>
      <c r="DMB274" s="314"/>
      <c r="DMC274" s="314"/>
      <c r="DMD274" s="314"/>
      <c r="DME274" s="314"/>
      <c r="DMF274" s="314"/>
      <c r="DMG274" s="314"/>
      <c r="DMH274" s="314"/>
      <c r="DMI274" s="314"/>
      <c r="DMJ274" s="314"/>
      <c r="DMK274" s="314"/>
      <c r="DML274" s="314"/>
      <c r="DMM274" s="314"/>
      <c r="DMN274" s="314"/>
      <c r="DMO274" s="62"/>
      <c r="DMP274" s="314"/>
      <c r="DMQ274" s="314"/>
      <c r="DMR274" s="314"/>
      <c r="DMS274" s="314"/>
      <c r="DMT274" s="314"/>
      <c r="DMU274" s="314"/>
      <c r="DMV274" s="314"/>
      <c r="DMW274" s="314"/>
      <c r="DMX274" s="314"/>
      <c r="DMY274" s="314"/>
      <c r="DMZ274" s="314"/>
      <c r="DNA274" s="314"/>
      <c r="DNB274" s="314"/>
      <c r="DNC274" s="314"/>
      <c r="DND274" s="314"/>
      <c r="DNE274" s="62"/>
      <c r="DNF274" s="314"/>
      <c r="DNG274" s="314"/>
      <c r="DNH274" s="314"/>
      <c r="DNI274" s="314"/>
      <c r="DNJ274" s="314"/>
      <c r="DNK274" s="314"/>
      <c r="DNL274" s="314"/>
      <c r="DNM274" s="314"/>
      <c r="DNN274" s="314"/>
      <c r="DNO274" s="314"/>
      <c r="DNP274" s="314"/>
      <c r="DNQ274" s="314"/>
      <c r="DNR274" s="314"/>
      <c r="DNS274" s="314"/>
      <c r="DNT274" s="314"/>
      <c r="DNU274" s="62"/>
      <c r="DNV274" s="314"/>
      <c r="DNW274" s="314"/>
      <c r="DNX274" s="314"/>
      <c r="DNY274" s="314"/>
      <c r="DNZ274" s="314"/>
      <c r="DOA274" s="314"/>
      <c r="DOB274" s="314"/>
      <c r="DOC274" s="314"/>
      <c r="DOD274" s="314"/>
      <c r="DOE274" s="314"/>
      <c r="DOF274" s="314"/>
      <c r="DOG274" s="314"/>
      <c r="DOH274" s="314"/>
      <c r="DOI274" s="314"/>
      <c r="DOJ274" s="314"/>
      <c r="DOK274" s="62"/>
      <c r="DOL274" s="314"/>
      <c r="DOM274" s="314"/>
      <c r="DON274" s="314"/>
      <c r="DOO274" s="314"/>
      <c r="DOP274" s="314"/>
      <c r="DOQ274" s="314"/>
      <c r="DOR274" s="314"/>
      <c r="DOS274" s="314"/>
      <c r="DOT274" s="314"/>
      <c r="DOU274" s="314"/>
      <c r="DOV274" s="314"/>
      <c r="DOW274" s="314"/>
      <c r="DOX274" s="314"/>
      <c r="DOY274" s="314"/>
      <c r="DOZ274" s="314"/>
      <c r="DPA274" s="62"/>
      <c r="DPB274" s="314"/>
      <c r="DPC274" s="314"/>
      <c r="DPD274" s="314"/>
      <c r="DPE274" s="314"/>
      <c r="DPF274" s="314"/>
      <c r="DPG274" s="314"/>
      <c r="DPH274" s="314"/>
      <c r="DPI274" s="314"/>
      <c r="DPJ274" s="314"/>
      <c r="DPK274" s="314"/>
      <c r="DPL274" s="314"/>
      <c r="DPM274" s="314"/>
      <c r="DPN274" s="314"/>
      <c r="DPO274" s="314"/>
      <c r="DPP274" s="314"/>
      <c r="DPQ274" s="62"/>
      <c r="DPR274" s="314"/>
      <c r="DPS274" s="314"/>
      <c r="DPT274" s="314"/>
      <c r="DPU274" s="314"/>
      <c r="DPV274" s="314"/>
      <c r="DPW274" s="314"/>
      <c r="DPX274" s="314"/>
      <c r="DPY274" s="314"/>
      <c r="DPZ274" s="314"/>
      <c r="DQA274" s="314"/>
      <c r="DQB274" s="314"/>
      <c r="DQC274" s="314"/>
      <c r="DQD274" s="314"/>
      <c r="DQE274" s="314"/>
      <c r="DQF274" s="314"/>
      <c r="DQG274" s="62"/>
      <c r="DQH274" s="314"/>
      <c r="DQI274" s="314"/>
      <c r="DQJ274" s="314"/>
      <c r="DQK274" s="314"/>
      <c r="DQL274" s="314"/>
      <c r="DQM274" s="314"/>
      <c r="DQN274" s="314"/>
      <c r="DQO274" s="314"/>
      <c r="DQP274" s="314"/>
      <c r="DQQ274" s="314"/>
      <c r="DQR274" s="314"/>
      <c r="DQS274" s="314"/>
      <c r="DQT274" s="314"/>
      <c r="DQU274" s="314"/>
      <c r="DQV274" s="314"/>
      <c r="DQW274" s="62"/>
      <c r="DQX274" s="314"/>
      <c r="DQY274" s="314"/>
      <c r="DQZ274" s="314"/>
      <c r="DRA274" s="314"/>
      <c r="DRB274" s="314"/>
      <c r="DRC274" s="314"/>
      <c r="DRD274" s="314"/>
      <c r="DRE274" s="314"/>
      <c r="DRF274" s="314"/>
      <c r="DRG274" s="314"/>
      <c r="DRH274" s="314"/>
      <c r="DRI274" s="314"/>
      <c r="DRJ274" s="314"/>
      <c r="DRK274" s="314"/>
      <c r="DRL274" s="314"/>
      <c r="DRM274" s="62"/>
      <c r="DRN274" s="314"/>
      <c r="DRO274" s="314"/>
      <c r="DRP274" s="314"/>
      <c r="DRQ274" s="314"/>
      <c r="DRR274" s="314"/>
      <c r="DRS274" s="314"/>
      <c r="DRT274" s="314"/>
      <c r="DRU274" s="314"/>
      <c r="DRV274" s="314"/>
      <c r="DRW274" s="314"/>
      <c r="DRX274" s="314"/>
      <c r="DRY274" s="314"/>
      <c r="DRZ274" s="314"/>
      <c r="DSA274" s="314"/>
      <c r="DSB274" s="314"/>
      <c r="DSC274" s="62"/>
      <c r="DSD274" s="314"/>
      <c r="DSE274" s="314"/>
      <c r="DSF274" s="314"/>
      <c r="DSG274" s="314"/>
      <c r="DSH274" s="314"/>
      <c r="DSI274" s="314"/>
      <c r="DSJ274" s="314"/>
      <c r="DSK274" s="314"/>
      <c r="DSL274" s="314"/>
      <c r="DSM274" s="314"/>
      <c r="DSN274" s="314"/>
      <c r="DSO274" s="314"/>
      <c r="DSP274" s="314"/>
      <c r="DSQ274" s="314"/>
      <c r="DSR274" s="314"/>
      <c r="DSS274" s="62"/>
      <c r="DST274" s="314"/>
      <c r="DSU274" s="314"/>
      <c r="DSV274" s="314"/>
      <c r="DSW274" s="314"/>
      <c r="DSX274" s="314"/>
      <c r="DSY274" s="314"/>
      <c r="DSZ274" s="314"/>
      <c r="DTA274" s="314"/>
      <c r="DTB274" s="314"/>
      <c r="DTC274" s="314"/>
      <c r="DTD274" s="314"/>
      <c r="DTE274" s="314"/>
      <c r="DTF274" s="314"/>
      <c r="DTG274" s="314"/>
      <c r="DTH274" s="314"/>
      <c r="DTI274" s="62"/>
      <c r="DTJ274" s="314"/>
      <c r="DTK274" s="314"/>
      <c r="DTL274" s="314"/>
      <c r="DTM274" s="314"/>
      <c r="DTN274" s="314"/>
      <c r="DTO274" s="314"/>
      <c r="DTP274" s="314"/>
      <c r="DTQ274" s="314"/>
      <c r="DTR274" s="314"/>
      <c r="DTS274" s="314"/>
      <c r="DTT274" s="314"/>
      <c r="DTU274" s="314"/>
      <c r="DTV274" s="314"/>
      <c r="DTW274" s="314"/>
      <c r="DTX274" s="314"/>
      <c r="DTY274" s="62"/>
      <c r="DTZ274" s="314"/>
      <c r="DUA274" s="314"/>
      <c r="DUB274" s="314"/>
      <c r="DUC274" s="314"/>
      <c r="DUD274" s="314"/>
      <c r="DUE274" s="314"/>
      <c r="DUF274" s="314"/>
      <c r="DUG274" s="314"/>
      <c r="DUH274" s="314"/>
      <c r="DUI274" s="314"/>
      <c r="DUJ274" s="314"/>
      <c r="DUK274" s="314"/>
      <c r="DUL274" s="314"/>
      <c r="DUM274" s="314"/>
      <c r="DUN274" s="314"/>
    </row>
    <row r="275" spans="1:3264" ht="15.75" x14ac:dyDescent="0.2">
      <c r="A275" s="313"/>
      <c r="B275" s="75" t="s">
        <v>28</v>
      </c>
      <c r="C275" s="74" t="s">
        <v>11</v>
      </c>
      <c r="D275" s="74">
        <v>15</v>
      </c>
      <c r="E275" s="74">
        <f>unskilled</f>
        <v>780</v>
      </c>
      <c r="F275" s="74">
        <f>D275*E275</f>
        <v>11700</v>
      </c>
      <c r="G275" s="75" t="s">
        <v>166</v>
      </c>
      <c r="H275" s="74" t="s">
        <v>250</v>
      </c>
      <c r="I275" s="74">
        <v>49.48</v>
      </c>
      <c r="J275" s="74">
        <f>aggregate20mm</f>
        <v>1580.97</v>
      </c>
      <c r="K275" s="74">
        <f>I275*J275</f>
        <v>78226.399999999994</v>
      </c>
      <c r="L275" s="75" t="s">
        <v>270</v>
      </c>
      <c r="M275" s="74" t="s">
        <v>13</v>
      </c>
      <c r="N275" s="74">
        <v>6</v>
      </c>
      <c r="O275" s="74">
        <f>paverfinisher</f>
        <v>2468</v>
      </c>
      <c r="P275" s="21">
        <f>N275*O275</f>
        <v>14808</v>
      </c>
      <c r="Q275" s="315"/>
      <c r="R275" s="314"/>
      <c r="S275" s="314"/>
      <c r="T275" s="314"/>
      <c r="U275" s="314"/>
      <c r="V275" s="314"/>
      <c r="W275" s="314"/>
      <c r="X275" s="314"/>
      <c r="Y275" s="314"/>
      <c r="Z275" s="314"/>
      <c r="AA275" s="314"/>
      <c r="AB275" s="314"/>
      <c r="AC275" s="314"/>
      <c r="AD275" s="314"/>
      <c r="AE275" s="314"/>
      <c r="AF275" s="314"/>
      <c r="AG275" s="314"/>
      <c r="AH275" s="314"/>
      <c r="AI275" s="314"/>
      <c r="AJ275" s="314"/>
      <c r="AK275" s="314"/>
      <c r="AL275" s="314"/>
      <c r="AM275" s="314"/>
      <c r="AN275" s="314"/>
      <c r="AO275" s="314"/>
      <c r="AP275" s="314"/>
      <c r="AQ275" s="314"/>
      <c r="AR275" s="314"/>
      <c r="AS275" s="314"/>
      <c r="AT275" s="314"/>
      <c r="AU275" s="314"/>
      <c r="AV275" s="314"/>
      <c r="AW275" s="314"/>
      <c r="AX275" s="314"/>
      <c r="AY275" s="314"/>
      <c r="AZ275" s="314"/>
      <c r="BA275" s="314"/>
      <c r="BB275" s="314"/>
      <c r="BC275" s="314"/>
      <c r="BD275" s="314"/>
      <c r="BE275" s="314"/>
      <c r="BF275" s="314"/>
      <c r="BG275" s="314"/>
      <c r="BH275" s="314"/>
      <c r="BI275" s="314"/>
      <c r="BJ275" s="314"/>
      <c r="BK275" s="314"/>
      <c r="BL275" s="314"/>
      <c r="BM275" s="314"/>
      <c r="BN275" s="314"/>
      <c r="BO275" s="314"/>
      <c r="BP275" s="314"/>
      <c r="BQ275" s="314"/>
      <c r="BR275" s="314"/>
      <c r="BS275" s="314"/>
      <c r="BT275" s="314"/>
      <c r="BU275" s="314"/>
      <c r="BV275" s="314"/>
      <c r="BW275" s="314"/>
      <c r="BX275" s="314"/>
      <c r="BY275" s="314"/>
      <c r="BZ275" s="314"/>
      <c r="CA275" s="314"/>
      <c r="CB275" s="314"/>
      <c r="CC275" s="314"/>
      <c r="CD275" s="314"/>
      <c r="CE275" s="314"/>
      <c r="CF275" s="314"/>
      <c r="CG275" s="314"/>
      <c r="CH275" s="314"/>
      <c r="CI275" s="314"/>
      <c r="CJ275" s="314"/>
      <c r="CK275" s="314"/>
      <c r="CL275" s="314"/>
      <c r="CM275" s="314"/>
      <c r="CN275" s="314"/>
      <c r="CO275" s="314"/>
      <c r="CP275" s="314"/>
      <c r="CQ275" s="314"/>
      <c r="CR275" s="314"/>
      <c r="CS275" s="314"/>
      <c r="CT275" s="314"/>
      <c r="CU275" s="314"/>
      <c r="CV275" s="314"/>
      <c r="CW275" s="314"/>
      <c r="CX275" s="314"/>
      <c r="CY275" s="314"/>
      <c r="CZ275" s="314"/>
      <c r="DA275" s="314"/>
      <c r="DB275" s="314"/>
      <c r="DC275" s="314"/>
      <c r="DD275" s="314"/>
      <c r="DE275" s="314"/>
      <c r="DF275" s="314"/>
      <c r="DG275" s="314"/>
      <c r="DH275" s="314"/>
      <c r="DI275" s="314"/>
      <c r="DJ275" s="314"/>
      <c r="DK275" s="314"/>
      <c r="DL275" s="314"/>
      <c r="DM275" s="314"/>
      <c r="DN275" s="314"/>
      <c r="DO275" s="314"/>
      <c r="DP275" s="314"/>
      <c r="DQ275" s="314"/>
      <c r="DR275" s="314"/>
      <c r="DS275" s="314"/>
      <c r="DT275" s="314"/>
      <c r="DU275" s="314"/>
      <c r="DV275" s="314"/>
      <c r="DW275" s="314"/>
      <c r="DX275" s="314"/>
      <c r="DY275" s="314"/>
      <c r="DZ275" s="314"/>
      <c r="EA275" s="314"/>
      <c r="EB275" s="314"/>
      <c r="EC275" s="314"/>
      <c r="ED275" s="314"/>
      <c r="EE275" s="314"/>
      <c r="EF275" s="314"/>
      <c r="EG275" s="314"/>
      <c r="EH275" s="314"/>
      <c r="EI275" s="314"/>
      <c r="EJ275" s="314"/>
      <c r="EK275" s="314"/>
      <c r="EL275" s="314"/>
      <c r="EM275" s="314"/>
      <c r="EN275" s="314"/>
      <c r="EO275" s="314"/>
      <c r="EP275" s="314"/>
      <c r="EQ275" s="314"/>
      <c r="ER275" s="314"/>
      <c r="ES275" s="314"/>
      <c r="ET275" s="314"/>
      <c r="EU275" s="314"/>
      <c r="EV275" s="314"/>
      <c r="EW275" s="314"/>
      <c r="EX275" s="314"/>
      <c r="EY275" s="314"/>
      <c r="EZ275" s="314"/>
      <c r="FA275" s="314"/>
      <c r="FB275" s="314"/>
      <c r="FC275" s="314"/>
      <c r="FD275" s="314"/>
      <c r="FE275" s="314"/>
      <c r="FF275" s="314"/>
      <c r="FG275" s="314"/>
      <c r="FH275" s="314"/>
      <c r="FI275" s="314"/>
      <c r="FJ275" s="314"/>
      <c r="FK275" s="314"/>
      <c r="FL275" s="314"/>
      <c r="FM275" s="314"/>
      <c r="FN275" s="314"/>
      <c r="FO275" s="314"/>
      <c r="FP275" s="314"/>
      <c r="FQ275" s="314"/>
      <c r="FR275" s="314"/>
      <c r="FS275" s="314"/>
      <c r="FT275" s="314"/>
      <c r="FU275" s="314"/>
      <c r="FV275" s="314"/>
      <c r="FW275" s="314"/>
      <c r="FX275" s="314"/>
      <c r="FY275" s="314"/>
      <c r="FZ275" s="314"/>
      <c r="GA275" s="314"/>
      <c r="GB275" s="314"/>
      <c r="GC275" s="314"/>
      <c r="GD275" s="314"/>
      <c r="GE275" s="314"/>
      <c r="GF275" s="314"/>
      <c r="GG275" s="314"/>
      <c r="GH275" s="314"/>
      <c r="GI275" s="314"/>
      <c r="GJ275" s="314"/>
      <c r="GK275" s="314"/>
      <c r="GL275" s="314"/>
      <c r="GM275" s="314"/>
      <c r="GN275" s="314"/>
      <c r="GO275" s="314"/>
      <c r="GP275" s="314"/>
      <c r="GQ275" s="314"/>
      <c r="GR275" s="314"/>
      <c r="GS275" s="314"/>
      <c r="GT275" s="314"/>
      <c r="GU275" s="314"/>
      <c r="GV275" s="314"/>
      <c r="GW275" s="314"/>
      <c r="GX275" s="314"/>
      <c r="GY275" s="314"/>
      <c r="GZ275" s="314"/>
      <c r="HA275" s="314"/>
      <c r="HB275" s="314"/>
      <c r="HC275" s="314"/>
      <c r="HD275" s="314"/>
      <c r="HE275" s="314"/>
      <c r="HF275" s="314"/>
      <c r="HG275" s="314"/>
      <c r="HH275" s="314"/>
      <c r="HI275" s="314"/>
      <c r="HJ275" s="314"/>
      <c r="HK275" s="314"/>
      <c r="HL275" s="314"/>
      <c r="HM275" s="314"/>
      <c r="HN275" s="314"/>
      <c r="HO275" s="314"/>
      <c r="HP275" s="314"/>
      <c r="HQ275" s="314"/>
      <c r="HR275" s="314"/>
      <c r="HS275" s="314"/>
      <c r="HT275" s="314"/>
      <c r="HU275" s="314"/>
      <c r="HV275" s="314"/>
      <c r="HW275" s="314"/>
      <c r="HX275" s="314"/>
      <c r="HY275" s="314"/>
      <c r="HZ275" s="314"/>
      <c r="IA275" s="314"/>
      <c r="IB275" s="314"/>
      <c r="IC275" s="314"/>
      <c r="ID275" s="314"/>
      <c r="IE275" s="314"/>
      <c r="IF275" s="314"/>
      <c r="IG275" s="314"/>
      <c r="IH275" s="314"/>
      <c r="II275" s="314"/>
      <c r="IJ275" s="314"/>
      <c r="IK275" s="314"/>
      <c r="IL275" s="314"/>
      <c r="IM275" s="314"/>
      <c r="IN275" s="314"/>
      <c r="IO275" s="314"/>
      <c r="IP275" s="314"/>
      <c r="IQ275" s="314"/>
      <c r="IR275" s="314"/>
      <c r="IS275" s="314"/>
      <c r="IT275" s="314"/>
      <c r="IU275" s="314"/>
      <c r="IV275" s="314"/>
      <c r="IW275" s="314"/>
      <c r="IX275" s="314"/>
      <c r="IY275" s="314"/>
      <c r="IZ275" s="314"/>
      <c r="JA275" s="314"/>
      <c r="JB275" s="314"/>
      <c r="JC275" s="314"/>
      <c r="JD275" s="314"/>
      <c r="JE275" s="314"/>
      <c r="JF275" s="314"/>
      <c r="JG275" s="314"/>
      <c r="JH275" s="314"/>
      <c r="JI275" s="314"/>
      <c r="JJ275" s="314"/>
      <c r="JK275" s="314"/>
      <c r="JL275" s="314"/>
      <c r="JM275" s="314"/>
      <c r="JN275" s="314"/>
      <c r="JO275" s="314"/>
      <c r="JP275" s="314"/>
      <c r="JQ275" s="314"/>
      <c r="JR275" s="314"/>
      <c r="JS275" s="314"/>
      <c r="JT275" s="314"/>
      <c r="JU275" s="314"/>
      <c r="JV275" s="314"/>
      <c r="JW275" s="314"/>
      <c r="JX275" s="314"/>
      <c r="JY275" s="314"/>
      <c r="JZ275" s="314"/>
      <c r="KA275" s="314"/>
      <c r="KB275" s="314"/>
      <c r="KC275" s="314"/>
      <c r="KD275" s="314"/>
      <c r="KE275" s="314"/>
      <c r="KF275" s="314"/>
      <c r="KG275" s="314"/>
      <c r="KH275" s="314"/>
      <c r="KI275" s="314"/>
      <c r="KJ275" s="314"/>
      <c r="KK275" s="314"/>
      <c r="KL275" s="314"/>
      <c r="KM275" s="314"/>
      <c r="KN275" s="314"/>
      <c r="KO275" s="314"/>
      <c r="KP275" s="314"/>
      <c r="KQ275" s="314"/>
      <c r="KR275" s="314"/>
      <c r="KS275" s="314"/>
      <c r="KT275" s="314"/>
      <c r="KU275" s="314"/>
      <c r="KV275" s="314"/>
      <c r="KW275" s="314"/>
      <c r="KX275" s="314"/>
      <c r="KY275" s="314"/>
      <c r="KZ275" s="314"/>
      <c r="LA275" s="314"/>
      <c r="LB275" s="314"/>
      <c r="LC275" s="314"/>
      <c r="LD275" s="314"/>
      <c r="LE275" s="314"/>
      <c r="LF275" s="314"/>
      <c r="LG275" s="314"/>
      <c r="LH275" s="314"/>
      <c r="LI275" s="314"/>
      <c r="LJ275" s="314"/>
      <c r="LK275" s="314"/>
      <c r="LL275" s="314"/>
      <c r="LM275" s="314"/>
      <c r="LN275" s="314"/>
      <c r="LO275" s="314"/>
      <c r="LP275" s="314"/>
      <c r="LQ275" s="314"/>
      <c r="LR275" s="314"/>
      <c r="LS275" s="314"/>
      <c r="LT275" s="314"/>
      <c r="LU275" s="314"/>
      <c r="LV275" s="314"/>
      <c r="LW275" s="314"/>
      <c r="LX275" s="314"/>
      <c r="LY275" s="314"/>
      <c r="LZ275" s="314"/>
      <c r="MA275" s="314"/>
      <c r="MB275" s="314"/>
      <c r="MC275" s="314"/>
      <c r="MD275" s="314"/>
      <c r="ME275" s="314"/>
      <c r="MF275" s="314"/>
      <c r="MG275" s="314"/>
      <c r="MH275" s="314"/>
      <c r="MI275" s="314"/>
      <c r="MJ275" s="314"/>
      <c r="MK275" s="314"/>
      <c r="ML275" s="314"/>
      <c r="MM275" s="314"/>
      <c r="MN275" s="314"/>
      <c r="MO275" s="314"/>
      <c r="MP275" s="314"/>
      <c r="MQ275" s="314"/>
      <c r="MR275" s="314"/>
      <c r="MS275" s="314"/>
      <c r="MT275" s="314"/>
      <c r="MU275" s="314"/>
      <c r="MV275" s="314"/>
      <c r="MW275" s="314"/>
      <c r="MX275" s="314"/>
      <c r="MY275" s="314"/>
      <c r="MZ275" s="314"/>
      <c r="NA275" s="314"/>
      <c r="NB275" s="314"/>
      <c r="NC275" s="314"/>
      <c r="ND275" s="314"/>
      <c r="NE275" s="314"/>
      <c r="NF275" s="314"/>
      <c r="NG275" s="314"/>
      <c r="NH275" s="314"/>
      <c r="NI275" s="314"/>
      <c r="NJ275" s="314"/>
      <c r="NK275" s="314"/>
      <c r="NL275" s="314"/>
      <c r="NM275" s="314"/>
      <c r="NN275" s="314"/>
      <c r="NO275" s="314"/>
      <c r="NP275" s="314"/>
      <c r="NQ275" s="314"/>
      <c r="NR275" s="314"/>
      <c r="NS275" s="314"/>
      <c r="NT275" s="314"/>
      <c r="NU275" s="314"/>
      <c r="NV275" s="314"/>
      <c r="NW275" s="314"/>
      <c r="NX275" s="314"/>
      <c r="NY275" s="314"/>
      <c r="NZ275" s="314"/>
      <c r="OA275" s="314"/>
      <c r="OB275" s="314"/>
      <c r="OC275" s="314"/>
      <c r="OD275" s="314"/>
      <c r="OE275" s="314"/>
      <c r="OF275" s="314"/>
      <c r="OG275" s="314"/>
      <c r="OH275" s="314"/>
      <c r="OI275" s="314"/>
      <c r="OJ275" s="314"/>
      <c r="OK275" s="314"/>
      <c r="OL275" s="314"/>
      <c r="OM275" s="314"/>
      <c r="ON275" s="314"/>
      <c r="OO275" s="314"/>
      <c r="OP275" s="314"/>
      <c r="OQ275" s="314"/>
      <c r="OR275" s="314"/>
      <c r="OS275" s="314"/>
      <c r="OT275" s="314"/>
      <c r="OU275" s="314"/>
      <c r="OV275" s="314"/>
      <c r="OW275" s="314"/>
      <c r="OX275" s="314"/>
      <c r="OY275" s="314"/>
      <c r="OZ275" s="314"/>
      <c r="PA275" s="314"/>
      <c r="PB275" s="314"/>
      <c r="PC275" s="314"/>
      <c r="PD275" s="314"/>
      <c r="PE275" s="314"/>
      <c r="PF275" s="314"/>
      <c r="PG275" s="314"/>
      <c r="PH275" s="314"/>
      <c r="PI275" s="314"/>
      <c r="PJ275" s="314"/>
      <c r="PK275" s="314"/>
      <c r="PL275" s="314"/>
      <c r="PM275" s="314"/>
      <c r="PN275" s="314"/>
      <c r="PO275" s="314"/>
      <c r="PP275" s="314"/>
      <c r="PQ275" s="314"/>
      <c r="PR275" s="314"/>
      <c r="PS275" s="314"/>
      <c r="PT275" s="314"/>
      <c r="PU275" s="314"/>
      <c r="PV275" s="314"/>
      <c r="PW275" s="314"/>
      <c r="PX275" s="314"/>
      <c r="PY275" s="314"/>
      <c r="PZ275" s="314"/>
      <c r="QA275" s="314"/>
      <c r="QB275" s="314"/>
      <c r="QC275" s="314"/>
      <c r="QD275" s="314"/>
      <c r="QE275" s="314"/>
      <c r="QF275" s="314"/>
      <c r="QG275" s="314"/>
      <c r="QH275" s="314"/>
      <c r="QI275" s="314"/>
      <c r="QJ275" s="314"/>
      <c r="QK275" s="314"/>
      <c r="QL275" s="314"/>
      <c r="QM275" s="314"/>
      <c r="QN275" s="314"/>
      <c r="QO275" s="314"/>
      <c r="QP275" s="314"/>
      <c r="QQ275" s="314"/>
      <c r="QR275" s="314"/>
      <c r="QS275" s="314"/>
      <c r="QT275" s="314"/>
      <c r="QU275" s="314"/>
      <c r="QV275" s="314"/>
      <c r="QW275" s="314"/>
      <c r="QX275" s="314"/>
      <c r="QY275" s="314"/>
      <c r="QZ275" s="314"/>
      <c r="RA275" s="314"/>
      <c r="RB275" s="314"/>
      <c r="RC275" s="314"/>
      <c r="RD275" s="314"/>
      <c r="RE275" s="314"/>
      <c r="RF275" s="314"/>
      <c r="RG275" s="314"/>
      <c r="RH275" s="314"/>
      <c r="RI275" s="314"/>
      <c r="RJ275" s="314"/>
      <c r="RK275" s="314"/>
      <c r="RL275" s="314"/>
      <c r="RM275" s="314"/>
      <c r="RN275" s="314"/>
      <c r="RO275" s="314"/>
      <c r="RP275" s="314"/>
      <c r="RQ275" s="314"/>
      <c r="RR275" s="314"/>
      <c r="RS275" s="314"/>
      <c r="RT275" s="314"/>
      <c r="RU275" s="314"/>
      <c r="RV275" s="314"/>
      <c r="RW275" s="314"/>
      <c r="RX275" s="314"/>
      <c r="RY275" s="314"/>
      <c r="RZ275" s="314"/>
      <c r="SA275" s="314"/>
      <c r="SB275" s="314"/>
      <c r="SC275" s="314"/>
      <c r="SD275" s="314"/>
      <c r="SE275" s="314"/>
      <c r="SF275" s="314"/>
      <c r="SG275" s="314"/>
      <c r="SH275" s="314"/>
      <c r="SI275" s="314"/>
      <c r="SJ275" s="314"/>
      <c r="SK275" s="314"/>
      <c r="SL275" s="314"/>
      <c r="SM275" s="314"/>
      <c r="SN275" s="314"/>
      <c r="SO275" s="314"/>
      <c r="SP275" s="314"/>
      <c r="SQ275" s="314"/>
      <c r="SR275" s="314"/>
      <c r="SS275" s="314"/>
      <c r="ST275" s="314"/>
      <c r="SU275" s="314"/>
      <c r="SV275" s="314"/>
      <c r="SW275" s="314"/>
      <c r="SX275" s="314"/>
      <c r="SY275" s="314"/>
      <c r="SZ275" s="314"/>
      <c r="TA275" s="314"/>
      <c r="TB275" s="314"/>
      <c r="TC275" s="314"/>
      <c r="TD275" s="314"/>
      <c r="TE275" s="314"/>
      <c r="TF275" s="314"/>
      <c r="TG275" s="314"/>
      <c r="TH275" s="314"/>
      <c r="TI275" s="314"/>
      <c r="TJ275" s="314"/>
      <c r="TK275" s="314"/>
      <c r="TL275" s="314"/>
      <c r="TM275" s="314"/>
      <c r="TN275" s="314"/>
      <c r="TO275" s="314"/>
      <c r="TP275" s="314"/>
      <c r="TQ275" s="314"/>
      <c r="TR275" s="314"/>
      <c r="TS275" s="314"/>
      <c r="TT275" s="314"/>
      <c r="TU275" s="314"/>
      <c r="TV275" s="314"/>
      <c r="TW275" s="314"/>
      <c r="TX275" s="314"/>
      <c r="TY275" s="314"/>
      <c r="TZ275" s="314"/>
      <c r="UA275" s="314"/>
      <c r="UB275" s="314"/>
      <c r="UC275" s="314"/>
      <c r="UD275" s="314"/>
      <c r="UE275" s="314"/>
      <c r="UF275" s="314"/>
      <c r="UG275" s="314"/>
      <c r="UH275" s="314"/>
      <c r="UI275" s="314"/>
      <c r="UJ275" s="314"/>
      <c r="UK275" s="314"/>
      <c r="UL275" s="314"/>
      <c r="UM275" s="314"/>
      <c r="UN275" s="314"/>
      <c r="UO275" s="314"/>
      <c r="UP275" s="314"/>
      <c r="UQ275" s="314"/>
      <c r="UR275" s="314"/>
      <c r="US275" s="314"/>
      <c r="UT275" s="314"/>
      <c r="UU275" s="314"/>
      <c r="UV275" s="314"/>
      <c r="UW275" s="314"/>
      <c r="UX275" s="314"/>
      <c r="UY275" s="314"/>
      <c r="UZ275" s="314"/>
      <c r="VA275" s="314"/>
      <c r="VB275" s="314"/>
      <c r="VC275" s="314"/>
      <c r="VD275" s="314"/>
      <c r="VE275" s="314"/>
      <c r="VF275" s="314"/>
      <c r="VG275" s="314"/>
      <c r="VH275" s="314"/>
      <c r="VI275" s="314"/>
      <c r="VJ275" s="314"/>
      <c r="VK275" s="314"/>
      <c r="VL275" s="314"/>
      <c r="VM275" s="314"/>
      <c r="VN275" s="314"/>
      <c r="VO275" s="314"/>
      <c r="VP275" s="314"/>
      <c r="VQ275" s="314"/>
      <c r="VR275" s="314"/>
      <c r="VS275" s="314"/>
      <c r="VT275" s="314"/>
      <c r="VU275" s="314"/>
      <c r="VV275" s="314"/>
      <c r="VW275" s="314"/>
      <c r="VX275" s="314"/>
      <c r="VY275" s="314"/>
      <c r="VZ275" s="314"/>
      <c r="WA275" s="314"/>
      <c r="WB275" s="314"/>
      <c r="WC275" s="314"/>
      <c r="WD275" s="314"/>
      <c r="WE275" s="314"/>
      <c r="WF275" s="314"/>
      <c r="WG275" s="314"/>
      <c r="WH275" s="314"/>
      <c r="WI275" s="314"/>
      <c r="WJ275" s="314"/>
      <c r="WK275" s="314"/>
      <c r="WL275" s="314"/>
      <c r="WM275" s="314"/>
      <c r="WN275" s="314"/>
      <c r="WO275" s="314"/>
      <c r="WP275" s="314"/>
      <c r="WQ275" s="314"/>
      <c r="WR275" s="314"/>
      <c r="WS275" s="314"/>
      <c r="WT275" s="314"/>
      <c r="WU275" s="314"/>
      <c r="WV275" s="314"/>
      <c r="WW275" s="314"/>
      <c r="WX275" s="314"/>
      <c r="WY275" s="314"/>
      <c r="WZ275" s="314"/>
      <c r="XA275" s="314"/>
      <c r="XB275" s="314"/>
      <c r="XC275" s="314"/>
      <c r="XD275" s="314"/>
      <c r="XE275" s="314"/>
      <c r="XF275" s="314"/>
      <c r="XG275" s="314"/>
      <c r="XH275" s="314"/>
      <c r="XI275" s="314"/>
      <c r="XJ275" s="314"/>
      <c r="XK275" s="314"/>
      <c r="XL275" s="314"/>
      <c r="XM275" s="314"/>
      <c r="XN275" s="314"/>
      <c r="XO275" s="314"/>
      <c r="XP275" s="314"/>
      <c r="XQ275" s="314"/>
      <c r="XR275" s="314"/>
      <c r="XS275" s="314"/>
      <c r="XT275" s="314"/>
      <c r="XU275" s="314"/>
      <c r="XV275" s="314"/>
      <c r="XW275" s="314"/>
      <c r="XX275" s="314"/>
      <c r="XY275" s="314"/>
      <c r="XZ275" s="314"/>
      <c r="YA275" s="314"/>
      <c r="YB275" s="314"/>
      <c r="YC275" s="314"/>
      <c r="YD275" s="314"/>
      <c r="YE275" s="314"/>
      <c r="YF275" s="314"/>
      <c r="YG275" s="314"/>
      <c r="YH275" s="314"/>
      <c r="YI275" s="314"/>
      <c r="YJ275" s="314"/>
      <c r="YK275" s="314"/>
      <c r="YL275" s="314"/>
      <c r="YM275" s="314"/>
      <c r="YN275" s="314"/>
      <c r="YO275" s="314"/>
      <c r="YP275" s="314"/>
      <c r="YQ275" s="314"/>
      <c r="YR275" s="314"/>
      <c r="YS275" s="314"/>
      <c r="YT275" s="314"/>
      <c r="YU275" s="314"/>
      <c r="YV275" s="314"/>
      <c r="YW275" s="314"/>
      <c r="YX275" s="314"/>
      <c r="YY275" s="314"/>
      <c r="YZ275" s="314"/>
      <c r="ZA275" s="314"/>
      <c r="ZB275" s="314"/>
      <c r="ZC275" s="314"/>
      <c r="ZD275" s="314"/>
      <c r="ZE275" s="314"/>
      <c r="ZF275" s="314"/>
      <c r="ZG275" s="314"/>
      <c r="ZH275" s="314"/>
      <c r="ZI275" s="314"/>
      <c r="ZJ275" s="314"/>
      <c r="ZK275" s="314"/>
      <c r="ZL275" s="314"/>
      <c r="ZM275" s="314"/>
      <c r="ZN275" s="314"/>
      <c r="ZO275" s="314"/>
      <c r="ZP275" s="314"/>
      <c r="ZQ275" s="314"/>
      <c r="ZR275" s="314"/>
      <c r="ZS275" s="314"/>
      <c r="ZT275" s="314"/>
      <c r="ZU275" s="314"/>
      <c r="ZV275" s="314"/>
      <c r="ZW275" s="314"/>
      <c r="ZX275" s="314"/>
      <c r="ZY275" s="314"/>
      <c r="ZZ275" s="314"/>
      <c r="AAA275" s="314"/>
      <c r="AAB275" s="314"/>
      <c r="AAC275" s="314"/>
      <c r="AAD275" s="314"/>
      <c r="AAE275" s="314"/>
      <c r="AAF275" s="314"/>
      <c r="AAG275" s="314"/>
      <c r="AAH275" s="314"/>
      <c r="AAI275" s="314"/>
      <c r="AAJ275" s="314"/>
      <c r="AAK275" s="314"/>
      <c r="AAL275" s="314"/>
      <c r="AAM275" s="314"/>
      <c r="AAN275" s="314"/>
      <c r="AAO275" s="314"/>
      <c r="AAP275" s="314"/>
      <c r="AAQ275" s="314"/>
      <c r="AAR275" s="314"/>
      <c r="AAS275" s="314"/>
      <c r="AAT275" s="314"/>
      <c r="AAU275" s="314"/>
      <c r="AAV275" s="314"/>
      <c r="AAW275" s="314"/>
      <c r="AAX275" s="314"/>
      <c r="AAY275" s="314"/>
      <c r="AAZ275" s="314"/>
      <c r="ABA275" s="314"/>
      <c r="ABB275" s="314"/>
      <c r="ABC275" s="314"/>
      <c r="ABD275" s="314"/>
      <c r="ABE275" s="314"/>
      <c r="ABF275" s="314"/>
      <c r="ABG275" s="314"/>
      <c r="ABH275" s="314"/>
      <c r="ABI275" s="314"/>
      <c r="ABJ275" s="314"/>
      <c r="ABK275" s="314"/>
      <c r="ABL275" s="314"/>
      <c r="ABM275" s="314"/>
      <c r="ABN275" s="314"/>
      <c r="ABO275" s="314"/>
      <c r="ABP275" s="314"/>
      <c r="ABQ275" s="314"/>
      <c r="ABR275" s="314"/>
      <c r="ABS275" s="314"/>
      <c r="ABT275" s="314"/>
      <c r="ABU275" s="314"/>
      <c r="ABV275" s="314"/>
      <c r="ABW275" s="314"/>
      <c r="ABX275" s="314"/>
      <c r="ABY275" s="314"/>
      <c r="ABZ275" s="314"/>
      <c r="ACA275" s="314"/>
      <c r="ACB275" s="314"/>
      <c r="ACC275" s="314"/>
      <c r="ACD275" s="314"/>
      <c r="ACE275" s="314"/>
      <c r="ACF275" s="314"/>
      <c r="ACG275" s="314"/>
      <c r="ACH275" s="314"/>
      <c r="ACI275" s="314"/>
      <c r="ACJ275" s="314"/>
      <c r="ACK275" s="314"/>
      <c r="ACL275" s="314"/>
      <c r="ACM275" s="314"/>
      <c r="ACN275" s="314"/>
      <c r="ACO275" s="314"/>
      <c r="ACP275" s="314"/>
      <c r="ACQ275" s="314"/>
      <c r="ACR275" s="314"/>
      <c r="ACS275" s="314"/>
      <c r="ACT275" s="314"/>
      <c r="ACU275" s="314"/>
      <c r="ACV275" s="314"/>
      <c r="ACW275" s="314"/>
      <c r="ACX275" s="314"/>
      <c r="ACY275" s="314"/>
      <c r="ACZ275" s="314"/>
      <c r="ADA275" s="314"/>
      <c r="ADB275" s="314"/>
      <c r="ADC275" s="314"/>
      <c r="ADD275" s="314"/>
      <c r="ADE275" s="314"/>
      <c r="ADF275" s="314"/>
      <c r="ADG275" s="314"/>
      <c r="ADH275" s="314"/>
      <c r="ADI275" s="314"/>
      <c r="ADJ275" s="314"/>
      <c r="ADK275" s="314"/>
      <c r="ADL275" s="314"/>
      <c r="ADM275" s="314"/>
      <c r="ADN275" s="314"/>
      <c r="ADO275" s="314"/>
      <c r="ADP275" s="314"/>
      <c r="ADQ275" s="314"/>
      <c r="ADR275" s="314"/>
      <c r="ADS275" s="314"/>
      <c r="ADT275" s="314"/>
      <c r="ADU275" s="314"/>
      <c r="ADV275" s="314"/>
      <c r="ADW275" s="314"/>
      <c r="ADX275" s="314"/>
      <c r="ADY275" s="314"/>
      <c r="ADZ275" s="314"/>
      <c r="AEA275" s="314"/>
      <c r="AEB275" s="314"/>
      <c r="AEC275" s="314"/>
      <c r="AED275" s="314"/>
      <c r="AEE275" s="314"/>
      <c r="AEF275" s="314"/>
      <c r="AEG275" s="314"/>
      <c r="AEH275" s="314"/>
      <c r="AEI275" s="314"/>
      <c r="AEJ275" s="314"/>
      <c r="AEK275" s="314"/>
      <c r="AEL275" s="314"/>
      <c r="AEM275" s="314"/>
      <c r="AEN275" s="314"/>
      <c r="AEO275" s="314"/>
      <c r="AEP275" s="314"/>
      <c r="AEQ275" s="314"/>
      <c r="AER275" s="314"/>
      <c r="AES275" s="314"/>
      <c r="AET275" s="314"/>
      <c r="AEU275" s="314"/>
      <c r="AEV275" s="314"/>
      <c r="AEW275" s="314"/>
      <c r="AEX275" s="314"/>
      <c r="AEY275" s="314"/>
      <c r="AEZ275" s="314"/>
      <c r="AFA275" s="314"/>
      <c r="AFB275" s="314"/>
      <c r="AFC275" s="314"/>
      <c r="AFD275" s="314"/>
      <c r="AFE275" s="314"/>
      <c r="AFF275" s="314"/>
      <c r="AFG275" s="314"/>
      <c r="AFH275" s="314"/>
      <c r="AFI275" s="314"/>
      <c r="AFJ275" s="314"/>
      <c r="AFK275" s="314"/>
      <c r="AFL275" s="314"/>
      <c r="AFM275" s="314"/>
      <c r="AFN275" s="314"/>
      <c r="AFO275" s="314"/>
      <c r="AFP275" s="314"/>
      <c r="AFQ275" s="314"/>
      <c r="AFR275" s="314"/>
      <c r="AFS275" s="314"/>
      <c r="AFT275" s="314"/>
      <c r="AFU275" s="314"/>
      <c r="AFV275" s="314"/>
      <c r="AFW275" s="314"/>
      <c r="AFX275" s="314"/>
      <c r="AFY275" s="314"/>
      <c r="AFZ275" s="314"/>
      <c r="AGA275" s="314"/>
      <c r="AGB275" s="314"/>
      <c r="AGC275" s="314"/>
      <c r="AGD275" s="314"/>
      <c r="AGE275" s="314"/>
      <c r="AGF275" s="314"/>
      <c r="AGG275" s="314"/>
      <c r="AGH275" s="314"/>
      <c r="AGI275" s="314"/>
      <c r="AGJ275" s="314"/>
      <c r="AGK275" s="314"/>
      <c r="AGL275" s="314"/>
      <c r="AGM275" s="314"/>
      <c r="AGN275" s="314"/>
      <c r="AGO275" s="314"/>
      <c r="AGP275" s="314"/>
      <c r="AGQ275" s="314"/>
      <c r="AGR275" s="314"/>
      <c r="AGS275" s="314"/>
      <c r="AGT275" s="314"/>
      <c r="AGU275" s="314"/>
      <c r="AGV275" s="314"/>
      <c r="AGW275" s="314"/>
      <c r="AGX275" s="314"/>
      <c r="AGY275" s="314"/>
      <c r="AGZ275" s="314"/>
      <c r="AHA275" s="314"/>
      <c r="AHB275" s="314"/>
      <c r="AHC275" s="314"/>
      <c r="AHD275" s="314"/>
      <c r="AHE275" s="314"/>
      <c r="AHF275" s="314"/>
      <c r="AHG275" s="314"/>
      <c r="AHH275" s="314"/>
      <c r="AHI275" s="314"/>
      <c r="AHJ275" s="314"/>
      <c r="AHK275" s="314"/>
      <c r="AHL275" s="314"/>
      <c r="AHM275" s="314"/>
      <c r="AHN275" s="314"/>
      <c r="AHO275" s="314"/>
      <c r="AHP275" s="314"/>
      <c r="AHQ275" s="314"/>
      <c r="AHR275" s="314"/>
      <c r="AHS275" s="314"/>
      <c r="AHT275" s="314"/>
      <c r="AHU275" s="314"/>
      <c r="AHV275" s="314"/>
      <c r="AHW275" s="314"/>
      <c r="AHX275" s="314"/>
      <c r="AHY275" s="314"/>
      <c r="AHZ275" s="314"/>
      <c r="AIA275" s="314"/>
      <c r="AIB275" s="314"/>
      <c r="AIC275" s="314"/>
      <c r="AID275" s="314"/>
      <c r="AIE275" s="314"/>
      <c r="AIF275" s="314"/>
      <c r="AIG275" s="314"/>
      <c r="AIH275" s="314"/>
      <c r="AII275" s="314"/>
      <c r="AIJ275" s="314"/>
      <c r="AIK275" s="314"/>
      <c r="AIL275" s="314"/>
      <c r="AIM275" s="314"/>
      <c r="AIN275" s="314"/>
      <c r="AIO275" s="314"/>
      <c r="AIP275" s="314"/>
      <c r="AIQ275" s="314"/>
      <c r="AIR275" s="314"/>
      <c r="AIS275" s="314"/>
      <c r="AIT275" s="314"/>
      <c r="AIU275" s="314"/>
      <c r="AIV275" s="314"/>
      <c r="AIW275" s="314"/>
      <c r="AIX275" s="314"/>
      <c r="AIY275" s="314"/>
      <c r="AIZ275" s="314"/>
      <c r="AJA275" s="314"/>
      <c r="AJB275" s="314"/>
      <c r="AJC275" s="314"/>
      <c r="AJD275" s="314"/>
      <c r="AJE275" s="314"/>
      <c r="AJF275" s="314"/>
      <c r="AJG275" s="314"/>
      <c r="AJH275" s="314"/>
      <c r="AJI275" s="314"/>
      <c r="AJJ275" s="314"/>
      <c r="AJK275" s="314"/>
      <c r="AJL275" s="314"/>
      <c r="AJM275" s="314"/>
      <c r="AJN275" s="314"/>
      <c r="AJO275" s="314"/>
      <c r="AJP275" s="314"/>
      <c r="AJQ275" s="314"/>
      <c r="AJR275" s="314"/>
      <c r="AJS275" s="314"/>
      <c r="AJT275" s="314"/>
      <c r="AJU275" s="314"/>
      <c r="AJV275" s="314"/>
      <c r="AJW275" s="314"/>
      <c r="AJX275" s="314"/>
      <c r="AJY275" s="314"/>
      <c r="AJZ275" s="314"/>
      <c r="AKA275" s="314"/>
      <c r="AKB275" s="314"/>
      <c r="AKC275" s="314"/>
      <c r="AKD275" s="314"/>
      <c r="AKE275" s="314"/>
      <c r="AKF275" s="314"/>
      <c r="AKG275" s="314"/>
      <c r="AKH275" s="314"/>
      <c r="AKI275" s="314"/>
      <c r="AKJ275" s="314"/>
      <c r="AKK275" s="314"/>
      <c r="AKL275" s="314"/>
      <c r="AKM275" s="314"/>
      <c r="AKN275" s="314"/>
      <c r="AKO275" s="314"/>
      <c r="AKP275" s="314"/>
      <c r="AKQ275" s="314"/>
      <c r="AKR275" s="314"/>
      <c r="AKS275" s="314"/>
      <c r="AKT275" s="314"/>
      <c r="AKU275" s="314"/>
      <c r="AKV275" s="314"/>
      <c r="AKW275" s="314"/>
      <c r="AKX275" s="314"/>
      <c r="AKY275" s="314"/>
      <c r="AKZ275" s="314"/>
      <c r="ALA275" s="314"/>
      <c r="ALB275" s="314"/>
      <c r="ALC275" s="314"/>
      <c r="ALD275" s="314"/>
      <c r="ALE275" s="314"/>
      <c r="ALF275" s="314"/>
      <c r="ALG275" s="314"/>
      <c r="ALH275" s="314"/>
      <c r="ALI275" s="314"/>
      <c r="ALJ275" s="314"/>
      <c r="ALK275" s="314"/>
      <c r="ALL275" s="314"/>
      <c r="ALM275" s="314"/>
      <c r="ALN275" s="314"/>
      <c r="ALO275" s="314"/>
      <c r="ALP275" s="314"/>
      <c r="ALQ275" s="314"/>
      <c r="ALR275" s="314"/>
      <c r="ALS275" s="314"/>
      <c r="ALT275" s="314"/>
      <c r="ALU275" s="314"/>
      <c r="ALV275" s="314"/>
      <c r="ALW275" s="314"/>
      <c r="ALX275" s="314"/>
      <c r="ALY275" s="314"/>
      <c r="ALZ275" s="314"/>
      <c r="AMA275" s="314"/>
      <c r="AMB275" s="314"/>
      <c r="AMC275" s="314"/>
      <c r="AMD275" s="314"/>
      <c r="AME275" s="314"/>
      <c r="AMF275" s="314"/>
      <c r="AMG275" s="314"/>
      <c r="AMH275" s="314"/>
      <c r="AMI275" s="314"/>
      <c r="AMJ275" s="314"/>
      <c r="AMK275" s="314"/>
      <c r="AML275" s="314"/>
      <c r="AMM275" s="314"/>
      <c r="AMN275" s="314"/>
      <c r="AMO275" s="314"/>
      <c r="AMP275" s="314"/>
      <c r="AMQ275" s="314"/>
      <c r="AMR275" s="314"/>
      <c r="AMS275" s="314"/>
      <c r="AMT275" s="314"/>
      <c r="AMU275" s="314"/>
      <c r="AMV275" s="314"/>
      <c r="AMW275" s="314"/>
      <c r="AMX275" s="314"/>
      <c r="AMY275" s="314"/>
      <c r="AMZ275" s="314"/>
      <c r="ANA275" s="314"/>
      <c r="ANB275" s="314"/>
      <c r="ANC275" s="314"/>
      <c r="AND275" s="314"/>
      <c r="ANE275" s="314"/>
      <c r="ANF275" s="314"/>
      <c r="ANG275" s="314"/>
      <c r="ANH275" s="314"/>
      <c r="ANI275" s="314"/>
      <c r="ANJ275" s="314"/>
      <c r="ANK275" s="314"/>
      <c r="ANL275" s="314"/>
      <c r="ANM275" s="314"/>
      <c r="ANN275" s="314"/>
      <c r="ANO275" s="314"/>
      <c r="ANP275" s="314"/>
      <c r="ANQ275" s="314"/>
      <c r="ANR275" s="314"/>
      <c r="ANS275" s="314"/>
      <c r="ANT275" s="314"/>
      <c r="ANU275" s="314"/>
      <c r="ANV275" s="314"/>
      <c r="ANW275" s="314"/>
      <c r="ANX275" s="314"/>
      <c r="ANY275" s="314"/>
      <c r="ANZ275" s="314"/>
      <c r="AOA275" s="314"/>
      <c r="AOB275" s="314"/>
      <c r="AOC275" s="314"/>
      <c r="AOD275" s="314"/>
      <c r="AOE275" s="314"/>
      <c r="AOF275" s="314"/>
      <c r="AOG275" s="314"/>
      <c r="AOH275" s="314"/>
      <c r="AOI275" s="314"/>
      <c r="AOJ275" s="314"/>
      <c r="AOK275" s="314"/>
      <c r="AOL275" s="314"/>
      <c r="AOM275" s="314"/>
      <c r="AON275" s="314"/>
      <c r="AOO275" s="314"/>
      <c r="AOP275" s="314"/>
      <c r="AOQ275" s="314"/>
      <c r="AOR275" s="314"/>
      <c r="AOS275" s="314"/>
      <c r="AOT275" s="314"/>
      <c r="AOU275" s="314"/>
      <c r="AOV275" s="314"/>
      <c r="AOW275" s="314"/>
      <c r="AOX275" s="314"/>
      <c r="AOY275" s="314"/>
      <c r="AOZ275" s="314"/>
      <c r="APA275" s="314"/>
      <c r="APB275" s="314"/>
      <c r="APC275" s="314"/>
      <c r="APD275" s="314"/>
      <c r="APE275" s="314"/>
      <c r="APF275" s="314"/>
      <c r="APG275" s="314"/>
      <c r="APH275" s="314"/>
      <c r="API275" s="314"/>
      <c r="APJ275" s="314"/>
      <c r="APK275" s="314"/>
      <c r="APL275" s="314"/>
      <c r="APM275" s="314"/>
      <c r="APN275" s="314"/>
      <c r="APO275" s="314"/>
      <c r="APP275" s="314"/>
      <c r="APQ275" s="314"/>
      <c r="APR275" s="314"/>
      <c r="APS275" s="314"/>
      <c r="APT275" s="314"/>
      <c r="APU275" s="314"/>
      <c r="APV275" s="314"/>
      <c r="APW275" s="314"/>
      <c r="APX275" s="314"/>
      <c r="APY275" s="314"/>
      <c r="APZ275" s="314"/>
      <c r="AQA275" s="314"/>
      <c r="AQB275" s="314"/>
      <c r="AQC275" s="314"/>
      <c r="AQD275" s="314"/>
      <c r="AQE275" s="314"/>
      <c r="AQF275" s="314"/>
      <c r="AQG275" s="314"/>
      <c r="AQH275" s="314"/>
      <c r="AQI275" s="314"/>
      <c r="AQJ275" s="314"/>
      <c r="AQK275" s="314"/>
      <c r="AQL275" s="314"/>
      <c r="AQM275" s="314"/>
      <c r="AQN275" s="314"/>
      <c r="AQO275" s="314"/>
      <c r="AQP275" s="314"/>
      <c r="AQQ275" s="314"/>
      <c r="AQR275" s="314"/>
      <c r="AQS275" s="314"/>
      <c r="AQT275" s="314"/>
      <c r="AQU275" s="314"/>
      <c r="AQV275" s="314"/>
      <c r="AQW275" s="314"/>
      <c r="AQX275" s="314"/>
      <c r="AQY275" s="314"/>
      <c r="AQZ275" s="314"/>
      <c r="ARA275" s="314"/>
      <c r="ARB275" s="314"/>
      <c r="ARC275" s="314"/>
      <c r="ARD275" s="314"/>
      <c r="ARE275" s="314"/>
      <c r="ARF275" s="314"/>
      <c r="ARG275" s="314"/>
      <c r="ARH275" s="314"/>
      <c r="ARI275" s="314"/>
      <c r="ARJ275" s="314"/>
      <c r="ARK275" s="314"/>
      <c r="ARL275" s="314"/>
      <c r="ARM275" s="314"/>
      <c r="ARN275" s="314"/>
      <c r="ARO275" s="314"/>
      <c r="ARP275" s="314"/>
      <c r="ARQ275" s="314"/>
      <c r="ARR275" s="314"/>
      <c r="ARS275" s="314"/>
      <c r="ART275" s="314"/>
      <c r="ARU275" s="314"/>
      <c r="ARV275" s="314"/>
      <c r="ARW275" s="314"/>
      <c r="ARX275" s="314"/>
      <c r="ARY275" s="314"/>
      <c r="ARZ275" s="314"/>
      <c r="ASA275" s="314"/>
      <c r="ASB275" s="314"/>
      <c r="ASC275" s="314"/>
      <c r="ASD275" s="314"/>
      <c r="ASE275" s="314"/>
      <c r="ASF275" s="314"/>
      <c r="ASG275" s="314"/>
      <c r="ASH275" s="314"/>
      <c r="ASI275" s="314"/>
      <c r="ASJ275" s="314"/>
      <c r="ASK275" s="314"/>
      <c r="ASL275" s="314"/>
      <c r="ASM275" s="314"/>
      <c r="ASN275" s="314"/>
      <c r="ASO275" s="314"/>
      <c r="ASP275" s="314"/>
      <c r="ASQ275" s="314"/>
      <c r="ASR275" s="314"/>
      <c r="ASS275" s="314"/>
      <c r="AST275" s="314"/>
      <c r="ASU275" s="314"/>
      <c r="ASV275" s="314"/>
      <c r="ASW275" s="314"/>
      <c r="ASX275" s="314"/>
      <c r="ASY275" s="314"/>
      <c r="ASZ275" s="314"/>
      <c r="ATA275" s="314"/>
      <c r="ATB275" s="314"/>
      <c r="ATC275" s="314"/>
      <c r="ATD275" s="314"/>
      <c r="ATE275" s="314"/>
      <c r="ATF275" s="314"/>
      <c r="ATG275" s="314"/>
      <c r="ATH275" s="314"/>
      <c r="ATI275" s="314"/>
      <c r="ATJ275" s="314"/>
      <c r="ATK275" s="314"/>
      <c r="ATL275" s="314"/>
      <c r="ATM275" s="314"/>
      <c r="ATN275" s="314"/>
      <c r="ATO275" s="314"/>
      <c r="ATP275" s="314"/>
      <c r="ATQ275" s="314"/>
      <c r="ATR275" s="314"/>
      <c r="ATS275" s="314"/>
      <c r="ATT275" s="314"/>
      <c r="ATU275" s="314"/>
      <c r="ATV275" s="314"/>
      <c r="ATW275" s="314"/>
      <c r="ATX275" s="314"/>
      <c r="ATY275" s="314"/>
      <c r="ATZ275" s="314"/>
      <c r="AUA275" s="314"/>
      <c r="AUB275" s="314"/>
      <c r="AUC275" s="314"/>
      <c r="AUD275" s="314"/>
      <c r="AUE275" s="314"/>
      <c r="AUF275" s="314"/>
      <c r="AUG275" s="314"/>
      <c r="AUH275" s="314"/>
      <c r="AUI275" s="314"/>
      <c r="AUJ275" s="314"/>
      <c r="AUK275" s="314"/>
      <c r="AUL275" s="314"/>
      <c r="AUM275" s="314"/>
      <c r="AUN275" s="314"/>
      <c r="AUO275" s="314"/>
      <c r="AUP275" s="314"/>
      <c r="AUQ275" s="314"/>
      <c r="AUR275" s="314"/>
      <c r="AUS275" s="314"/>
      <c r="AUT275" s="314"/>
      <c r="AUU275" s="314"/>
      <c r="AUV275" s="314"/>
      <c r="AUW275" s="314"/>
      <c r="AUX275" s="314"/>
      <c r="AUY275" s="314"/>
      <c r="AUZ275" s="314"/>
      <c r="AVA275" s="314"/>
      <c r="AVB275" s="314"/>
      <c r="AVC275" s="314"/>
      <c r="AVD275" s="314"/>
      <c r="AVE275" s="314"/>
      <c r="AVF275" s="314"/>
      <c r="AVG275" s="314"/>
      <c r="AVH275" s="314"/>
      <c r="AVI275" s="314"/>
      <c r="AVJ275" s="314"/>
      <c r="AVK275" s="314"/>
      <c r="AVL275" s="314"/>
      <c r="AVM275" s="314"/>
      <c r="AVN275" s="314"/>
      <c r="AVO275" s="314"/>
      <c r="AVP275" s="314"/>
      <c r="AVQ275" s="314"/>
      <c r="AVR275" s="314"/>
      <c r="AVS275" s="314"/>
      <c r="AVT275" s="314"/>
      <c r="AVU275" s="314"/>
      <c r="AVV275" s="314"/>
      <c r="AVW275" s="314"/>
      <c r="AVX275" s="314"/>
      <c r="AVY275" s="314"/>
      <c r="AVZ275" s="314"/>
      <c r="AWA275" s="314"/>
      <c r="AWB275" s="314"/>
      <c r="AWC275" s="314"/>
      <c r="AWD275" s="314"/>
      <c r="AWE275" s="314"/>
      <c r="AWF275" s="314"/>
      <c r="AWG275" s="314"/>
      <c r="AWH275" s="314"/>
      <c r="AWI275" s="314"/>
      <c r="AWJ275" s="314"/>
      <c r="AWK275" s="314"/>
      <c r="AWL275" s="314"/>
      <c r="AWM275" s="314"/>
      <c r="AWN275" s="314"/>
      <c r="AWO275" s="314"/>
      <c r="AWP275" s="314"/>
      <c r="AWQ275" s="314"/>
      <c r="AWR275" s="314"/>
      <c r="AWS275" s="314"/>
      <c r="AWT275" s="314"/>
      <c r="AWU275" s="314"/>
      <c r="AWV275" s="314"/>
      <c r="AWW275" s="314"/>
      <c r="AWX275" s="314"/>
      <c r="AWY275" s="314"/>
      <c r="AWZ275" s="314"/>
      <c r="AXA275" s="314"/>
      <c r="AXB275" s="314"/>
      <c r="AXC275" s="314"/>
      <c r="AXD275" s="314"/>
      <c r="AXE275" s="314"/>
      <c r="AXF275" s="314"/>
      <c r="AXG275" s="314"/>
      <c r="AXH275" s="314"/>
      <c r="AXI275" s="314"/>
      <c r="AXJ275" s="314"/>
      <c r="AXK275" s="314"/>
      <c r="AXL275" s="314"/>
      <c r="AXM275" s="314"/>
      <c r="AXN275" s="314"/>
      <c r="AXO275" s="314"/>
      <c r="AXP275" s="314"/>
      <c r="AXQ275" s="314"/>
      <c r="AXR275" s="314"/>
      <c r="AXS275" s="314"/>
      <c r="AXT275" s="314"/>
      <c r="AXU275" s="314"/>
      <c r="AXV275" s="314"/>
      <c r="AXW275" s="314"/>
      <c r="AXX275" s="314"/>
      <c r="AXY275" s="314"/>
      <c r="AXZ275" s="314"/>
      <c r="AYA275" s="314"/>
      <c r="AYB275" s="314"/>
      <c r="AYC275" s="314"/>
      <c r="AYD275" s="314"/>
      <c r="AYE275" s="314"/>
      <c r="AYF275" s="314"/>
      <c r="AYG275" s="314"/>
      <c r="AYH275" s="314"/>
      <c r="AYI275" s="314"/>
      <c r="AYJ275" s="314"/>
      <c r="AYK275" s="314"/>
      <c r="AYL275" s="314"/>
      <c r="AYM275" s="314"/>
      <c r="AYN275" s="314"/>
      <c r="AYO275" s="314"/>
      <c r="AYP275" s="314"/>
      <c r="AYQ275" s="314"/>
      <c r="AYR275" s="314"/>
      <c r="AYS275" s="314"/>
      <c r="AYT275" s="314"/>
      <c r="AYU275" s="314"/>
      <c r="AYV275" s="314"/>
      <c r="AYW275" s="314"/>
      <c r="AYX275" s="314"/>
      <c r="AYY275" s="314"/>
      <c r="AYZ275" s="314"/>
      <c r="AZA275" s="314"/>
      <c r="AZB275" s="314"/>
      <c r="AZC275" s="314"/>
      <c r="AZD275" s="314"/>
      <c r="AZE275" s="314"/>
      <c r="AZF275" s="314"/>
      <c r="AZG275" s="314"/>
      <c r="AZH275" s="314"/>
      <c r="AZI275" s="314"/>
      <c r="AZJ275" s="314"/>
      <c r="AZK275" s="314"/>
      <c r="AZL275" s="314"/>
      <c r="AZM275" s="314"/>
      <c r="AZN275" s="314"/>
      <c r="AZO275" s="314"/>
      <c r="AZP275" s="314"/>
      <c r="AZQ275" s="314"/>
      <c r="AZR275" s="314"/>
      <c r="AZS275" s="314"/>
      <c r="AZT275" s="314"/>
      <c r="AZU275" s="314"/>
      <c r="AZV275" s="314"/>
      <c r="AZW275" s="314"/>
      <c r="AZX275" s="314"/>
      <c r="AZY275" s="314"/>
      <c r="AZZ275" s="314"/>
      <c r="BAA275" s="314"/>
      <c r="BAB275" s="314"/>
      <c r="BAC275" s="314"/>
      <c r="BAD275" s="314"/>
      <c r="BAE275" s="314"/>
      <c r="BAF275" s="314"/>
      <c r="BAG275" s="314"/>
      <c r="BAH275" s="314"/>
      <c r="BAI275" s="314"/>
      <c r="BAJ275" s="314"/>
      <c r="BAK275" s="314"/>
      <c r="BAL275" s="314"/>
      <c r="BAM275" s="314"/>
      <c r="BAN275" s="314"/>
      <c r="BAO275" s="314"/>
      <c r="BAP275" s="314"/>
      <c r="BAQ275" s="314"/>
      <c r="BAR275" s="314"/>
      <c r="BAS275" s="314"/>
      <c r="BAT275" s="314"/>
      <c r="BAU275" s="314"/>
      <c r="BAV275" s="314"/>
      <c r="BAW275" s="314"/>
      <c r="BAX275" s="314"/>
      <c r="BAY275" s="314"/>
      <c r="BAZ275" s="314"/>
      <c r="BBA275" s="314"/>
      <c r="BBB275" s="314"/>
      <c r="BBC275" s="314"/>
      <c r="BBD275" s="314"/>
      <c r="BBE275" s="314"/>
      <c r="BBF275" s="314"/>
      <c r="BBG275" s="314"/>
      <c r="BBH275" s="314"/>
      <c r="BBI275" s="314"/>
      <c r="BBJ275" s="314"/>
      <c r="BBK275" s="314"/>
      <c r="BBL275" s="314"/>
      <c r="BBM275" s="314"/>
      <c r="BBN275" s="314"/>
      <c r="BBO275" s="314"/>
      <c r="BBP275" s="314"/>
      <c r="BBQ275" s="314"/>
      <c r="BBR275" s="314"/>
      <c r="BBS275" s="314"/>
      <c r="BBT275" s="314"/>
      <c r="BBU275" s="314"/>
      <c r="BBV275" s="314"/>
      <c r="BBW275" s="314"/>
      <c r="BBX275" s="314"/>
      <c r="BBY275" s="314"/>
      <c r="BBZ275" s="314"/>
      <c r="BCA275" s="314"/>
      <c r="BCB275" s="314"/>
      <c r="BCC275" s="314"/>
      <c r="BCD275" s="314"/>
      <c r="BCE275" s="314"/>
      <c r="BCF275" s="314"/>
      <c r="BCG275" s="314"/>
      <c r="BCH275" s="314"/>
      <c r="BCI275" s="314"/>
      <c r="BCJ275" s="314"/>
      <c r="BCK275" s="314"/>
      <c r="BCL275" s="314"/>
      <c r="BCM275" s="314"/>
      <c r="BCN275" s="314"/>
      <c r="BCO275" s="314"/>
      <c r="BCP275" s="314"/>
      <c r="BCQ275" s="314"/>
      <c r="BCR275" s="314"/>
      <c r="BCS275" s="314"/>
      <c r="BCT275" s="314"/>
      <c r="BCU275" s="314"/>
      <c r="BCV275" s="314"/>
      <c r="BCW275" s="314"/>
      <c r="BCX275" s="314"/>
      <c r="BCY275" s="314"/>
      <c r="BCZ275" s="314"/>
      <c r="BDA275" s="314"/>
      <c r="BDB275" s="314"/>
      <c r="BDC275" s="314"/>
      <c r="BDD275" s="314"/>
      <c r="BDE275" s="314"/>
      <c r="BDF275" s="314"/>
      <c r="BDG275" s="314"/>
      <c r="BDH275" s="314"/>
      <c r="BDI275" s="314"/>
      <c r="BDJ275" s="314"/>
      <c r="BDK275" s="314"/>
      <c r="BDL275" s="314"/>
      <c r="BDM275" s="314"/>
      <c r="BDN275" s="314"/>
      <c r="BDO275" s="314"/>
      <c r="BDP275" s="314"/>
      <c r="BDQ275" s="314"/>
      <c r="BDR275" s="314"/>
      <c r="BDS275" s="314"/>
      <c r="BDT275" s="314"/>
      <c r="BDU275" s="314"/>
      <c r="BDV275" s="314"/>
      <c r="BDW275" s="314"/>
      <c r="BDX275" s="314"/>
      <c r="BDY275" s="314"/>
      <c r="BDZ275" s="314"/>
      <c r="BEA275" s="314"/>
      <c r="BEB275" s="314"/>
      <c r="BEC275" s="314"/>
      <c r="BED275" s="314"/>
      <c r="BEE275" s="314"/>
      <c r="BEF275" s="314"/>
      <c r="BEG275" s="314"/>
      <c r="BEH275" s="314"/>
      <c r="BEI275" s="314"/>
      <c r="BEJ275" s="314"/>
      <c r="BEK275" s="314"/>
      <c r="BEL275" s="314"/>
      <c r="BEM275" s="314"/>
      <c r="BEN275" s="314"/>
      <c r="BEO275" s="314"/>
      <c r="BEP275" s="314"/>
      <c r="BEQ275" s="314"/>
      <c r="BER275" s="314"/>
      <c r="BES275" s="314"/>
      <c r="BET275" s="314"/>
      <c r="BEU275" s="314"/>
      <c r="BEV275" s="314"/>
      <c r="BEW275" s="314"/>
      <c r="BEX275" s="314"/>
      <c r="BEY275" s="314"/>
      <c r="BEZ275" s="314"/>
      <c r="BFA275" s="314"/>
      <c r="BFB275" s="314"/>
      <c r="BFC275" s="314"/>
      <c r="BFD275" s="314"/>
      <c r="BFE275" s="314"/>
      <c r="BFF275" s="314"/>
      <c r="BFG275" s="314"/>
      <c r="BFH275" s="314"/>
      <c r="BFI275" s="314"/>
      <c r="BFJ275" s="314"/>
      <c r="BFK275" s="314"/>
      <c r="BFL275" s="314"/>
      <c r="BFM275" s="314"/>
      <c r="BFN275" s="314"/>
      <c r="BFO275" s="314"/>
      <c r="BFP275" s="314"/>
      <c r="BFQ275" s="314"/>
      <c r="BFR275" s="314"/>
      <c r="BFS275" s="314"/>
      <c r="BFT275" s="314"/>
      <c r="BFU275" s="314"/>
      <c r="BFV275" s="314"/>
      <c r="BFW275" s="314"/>
      <c r="BFX275" s="314"/>
      <c r="BFY275" s="314"/>
      <c r="BFZ275" s="314"/>
      <c r="BGA275" s="314"/>
      <c r="BGB275" s="314"/>
      <c r="BGC275" s="314"/>
      <c r="BGD275" s="314"/>
      <c r="BGE275" s="314"/>
      <c r="BGF275" s="314"/>
      <c r="BGG275" s="314"/>
      <c r="BGH275" s="314"/>
      <c r="BGI275" s="314"/>
      <c r="BGJ275" s="314"/>
      <c r="BGK275" s="314"/>
      <c r="BGL275" s="314"/>
      <c r="BGM275" s="314"/>
      <c r="BGN275" s="314"/>
      <c r="BGO275" s="314"/>
      <c r="BGP275" s="314"/>
      <c r="BGQ275" s="314"/>
      <c r="BGR275" s="314"/>
      <c r="BGS275" s="314"/>
      <c r="BGT275" s="314"/>
      <c r="BGU275" s="314"/>
      <c r="BGV275" s="314"/>
      <c r="BGW275" s="314"/>
      <c r="BGX275" s="314"/>
      <c r="BGY275" s="314"/>
      <c r="BGZ275" s="314"/>
      <c r="BHA275" s="314"/>
      <c r="BHB275" s="314"/>
      <c r="BHC275" s="314"/>
      <c r="BHD275" s="314"/>
      <c r="BHE275" s="314"/>
      <c r="BHF275" s="314"/>
      <c r="BHG275" s="314"/>
      <c r="BHH275" s="314"/>
      <c r="BHI275" s="314"/>
      <c r="BHJ275" s="314"/>
      <c r="BHK275" s="314"/>
      <c r="BHL275" s="314"/>
      <c r="BHM275" s="314"/>
      <c r="BHN275" s="314"/>
      <c r="BHO275" s="314"/>
      <c r="BHP275" s="314"/>
      <c r="BHQ275" s="314"/>
      <c r="BHR275" s="314"/>
      <c r="BHS275" s="314"/>
      <c r="BHT275" s="314"/>
      <c r="BHU275" s="314"/>
      <c r="BHV275" s="314"/>
      <c r="BHW275" s="314"/>
      <c r="BHX275" s="314"/>
      <c r="BHY275" s="314"/>
      <c r="BHZ275" s="314"/>
      <c r="BIA275" s="314"/>
      <c r="BIB275" s="314"/>
      <c r="BIC275" s="314"/>
      <c r="BID275" s="314"/>
      <c r="BIE275" s="314"/>
      <c r="BIF275" s="314"/>
      <c r="BIG275" s="314"/>
      <c r="BIH275" s="314"/>
      <c r="BII275" s="314"/>
      <c r="BIJ275" s="314"/>
      <c r="BIK275" s="314"/>
      <c r="BIL275" s="314"/>
      <c r="BIM275" s="314"/>
      <c r="BIN275" s="314"/>
      <c r="BIO275" s="314"/>
      <c r="BIP275" s="314"/>
      <c r="BIQ275" s="314"/>
      <c r="BIR275" s="314"/>
      <c r="BIS275" s="314"/>
      <c r="BIT275" s="314"/>
      <c r="BIU275" s="314"/>
      <c r="BIV275" s="314"/>
      <c r="BIW275" s="314"/>
      <c r="BIX275" s="314"/>
      <c r="BIY275" s="314"/>
      <c r="BIZ275" s="314"/>
      <c r="BJA275" s="314"/>
      <c r="BJB275" s="314"/>
      <c r="BJC275" s="314"/>
      <c r="BJD275" s="314"/>
      <c r="BJE275" s="314"/>
      <c r="BJF275" s="314"/>
      <c r="BJG275" s="314"/>
      <c r="BJH275" s="314"/>
      <c r="BJI275" s="314"/>
      <c r="BJJ275" s="314"/>
      <c r="BJK275" s="314"/>
      <c r="BJL275" s="314"/>
      <c r="BJM275" s="314"/>
      <c r="BJN275" s="314"/>
      <c r="BJO275" s="314"/>
      <c r="BJP275" s="314"/>
      <c r="BJQ275" s="314"/>
      <c r="BJR275" s="314"/>
      <c r="BJS275" s="314"/>
      <c r="BJT275" s="314"/>
      <c r="BJU275" s="314"/>
      <c r="BJV275" s="314"/>
      <c r="BJW275" s="314"/>
      <c r="BJX275" s="314"/>
      <c r="BJY275" s="314"/>
      <c r="BJZ275" s="314"/>
      <c r="BKA275" s="314"/>
      <c r="BKB275" s="314"/>
      <c r="BKC275" s="314"/>
      <c r="BKD275" s="314"/>
      <c r="BKE275" s="314"/>
      <c r="BKF275" s="314"/>
      <c r="BKG275" s="314"/>
      <c r="BKH275" s="314"/>
      <c r="BKI275" s="314"/>
      <c r="BKJ275" s="314"/>
      <c r="BKK275" s="314"/>
      <c r="BKL275" s="314"/>
      <c r="BKM275" s="314"/>
      <c r="BKN275" s="314"/>
      <c r="BKO275" s="314"/>
      <c r="BKP275" s="314"/>
      <c r="BKQ275" s="314"/>
      <c r="BKR275" s="314"/>
      <c r="BKS275" s="314"/>
      <c r="BKT275" s="314"/>
      <c r="BKU275" s="314"/>
      <c r="BKV275" s="314"/>
      <c r="BKW275" s="314"/>
      <c r="BKX275" s="314"/>
      <c r="BKY275" s="314"/>
      <c r="BKZ275" s="314"/>
      <c r="BLA275" s="314"/>
      <c r="BLB275" s="314"/>
      <c r="BLC275" s="314"/>
      <c r="BLD275" s="314"/>
      <c r="BLE275" s="314"/>
      <c r="BLF275" s="314"/>
      <c r="BLG275" s="314"/>
      <c r="BLH275" s="314"/>
      <c r="BLI275" s="314"/>
      <c r="BLJ275" s="314"/>
      <c r="BLK275" s="314"/>
      <c r="BLL275" s="314"/>
      <c r="BLM275" s="314"/>
      <c r="BLN275" s="314"/>
      <c r="BLO275" s="314"/>
      <c r="BLP275" s="314"/>
      <c r="BLQ275" s="314"/>
      <c r="BLR275" s="314"/>
      <c r="BLS275" s="314"/>
      <c r="BLT275" s="314"/>
      <c r="BLU275" s="314"/>
      <c r="BLV275" s="314"/>
      <c r="BLW275" s="314"/>
      <c r="BLX275" s="314"/>
      <c r="BLY275" s="314"/>
      <c r="BLZ275" s="314"/>
      <c r="BMA275" s="314"/>
      <c r="BMB275" s="314"/>
      <c r="BMC275" s="314"/>
      <c r="BMD275" s="314"/>
      <c r="BME275" s="314"/>
      <c r="BMF275" s="314"/>
      <c r="BMG275" s="314"/>
      <c r="BMH275" s="314"/>
      <c r="BMI275" s="314"/>
      <c r="BMJ275" s="314"/>
      <c r="BMK275" s="314"/>
      <c r="BML275" s="314"/>
      <c r="BMM275" s="314"/>
      <c r="BMN275" s="314"/>
      <c r="BMO275" s="314"/>
      <c r="BMP275" s="314"/>
      <c r="BMQ275" s="314"/>
      <c r="BMR275" s="314"/>
      <c r="BMS275" s="314"/>
      <c r="BMT275" s="314"/>
      <c r="BMU275" s="314"/>
      <c r="BMV275" s="314"/>
      <c r="BMW275" s="314"/>
      <c r="BMX275" s="314"/>
      <c r="BMY275" s="314"/>
      <c r="BMZ275" s="314"/>
      <c r="BNA275" s="314"/>
      <c r="BNB275" s="314"/>
      <c r="BNC275" s="314"/>
      <c r="BND275" s="314"/>
      <c r="BNE275" s="314"/>
      <c r="BNF275" s="314"/>
      <c r="BNG275" s="314"/>
      <c r="BNH275" s="314"/>
      <c r="BNI275" s="314"/>
      <c r="BNJ275" s="314"/>
      <c r="BNK275" s="314"/>
      <c r="BNL275" s="314"/>
      <c r="BNM275" s="314"/>
      <c r="BNN275" s="314"/>
      <c r="BNO275" s="314"/>
      <c r="BNP275" s="314"/>
      <c r="BNQ275" s="314"/>
      <c r="BNR275" s="314"/>
      <c r="BNS275" s="314"/>
      <c r="BNT275" s="314"/>
      <c r="BNU275" s="314"/>
      <c r="BNV275" s="314"/>
      <c r="BNW275" s="314"/>
      <c r="BNX275" s="314"/>
      <c r="BNY275" s="314"/>
      <c r="BNZ275" s="314"/>
      <c r="BOA275" s="314"/>
      <c r="BOB275" s="314"/>
      <c r="BOC275" s="314"/>
      <c r="BOD275" s="314"/>
      <c r="BOE275" s="314"/>
      <c r="BOF275" s="314"/>
      <c r="BOG275" s="314"/>
      <c r="BOH275" s="314"/>
      <c r="BOI275" s="314"/>
      <c r="BOJ275" s="314"/>
      <c r="BOK275" s="314"/>
      <c r="BOL275" s="314"/>
      <c r="BOM275" s="314"/>
      <c r="BON275" s="314"/>
      <c r="BOO275" s="314"/>
      <c r="BOP275" s="314"/>
      <c r="BOQ275" s="314"/>
      <c r="BOR275" s="314"/>
      <c r="BOS275" s="314"/>
      <c r="BOT275" s="314"/>
      <c r="BOU275" s="314"/>
      <c r="BOV275" s="314"/>
      <c r="BOW275" s="314"/>
      <c r="BOX275" s="314"/>
      <c r="BOY275" s="314"/>
      <c r="BOZ275" s="314"/>
      <c r="BPA275" s="314"/>
      <c r="BPB275" s="314"/>
      <c r="BPC275" s="314"/>
      <c r="BPD275" s="314"/>
      <c r="BPE275" s="314"/>
      <c r="BPF275" s="314"/>
      <c r="BPG275" s="314"/>
      <c r="BPH275" s="314"/>
      <c r="BPI275" s="314"/>
      <c r="BPJ275" s="314"/>
      <c r="BPK275" s="314"/>
      <c r="BPL275" s="314"/>
      <c r="BPM275" s="314"/>
      <c r="BPN275" s="314"/>
      <c r="BPO275" s="314"/>
      <c r="BPP275" s="314"/>
      <c r="BPQ275" s="314"/>
      <c r="BPR275" s="314"/>
      <c r="BPS275" s="314"/>
      <c r="BPT275" s="314"/>
      <c r="BPU275" s="314"/>
      <c r="BPV275" s="314"/>
      <c r="BPW275" s="314"/>
      <c r="BPX275" s="314"/>
      <c r="BPY275" s="314"/>
      <c r="BPZ275" s="314"/>
      <c r="BQA275" s="314"/>
      <c r="BQB275" s="314"/>
      <c r="BQC275" s="314"/>
      <c r="BQD275" s="314"/>
      <c r="BQE275" s="314"/>
      <c r="BQF275" s="314"/>
      <c r="BQG275" s="314"/>
      <c r="BQH275" s="314"/>
      <c r="BQI275" s="314"/>
      <c r="BQJ275" s="314"/>
      <c r="BQK275" s="314"/>
      <c r="BQL275" s="314"/>
      <c r="BQM275" s="314"/>
      <c r="BQN275" s="314"/>
      <c r="BQO275" s="314"/>
      <c r="BQP275" s="314"/>
      <c r="BQQ275" s="314"/>
      <c r="BQR275" s="314"/>
      <c r="BQS275" s="314"/>
      <c r="BQT275" s="314"/>
      <c r="BQU275" s="314"/>
      <c r="BQV275" s="314"/>
      <c r="BQW275" s="314"/>
      <c r="BQX275" s="314"/>
      <c r="BQY275" s="314"/>
      <c r="BQZ275" s="314"/>
      <c r="BRA275" s="314"/>
      <c r="BRB275" s="314"/>
      <c r="BRC275" s="314"/>
      <c r="BRD275" s="314"/>
      <c r="BRE275" s="314"/>
      <c r="BRF275" s="314"/>
      <c r="BRG275" s="314"/>
      <c r="BRH275" s="314"/>
      <c r="BRI275" s="314"/>
      <c r="BRJ275" s="314"/>
      <c r="BRK275" s="314"/>
      <c r="BRL275" s="314"/>
      <c r="BRM275" s="314"/>
      <c r="BRN275" s="314"/>
      <c r="BRO275" s="314"/>
      <c r="BRP275" s="314"/>
      <c r="BRQ275" s="314"/>
      <c r="BRR275" s="314"/>
      <c r="BRS275" s="314"/>
      <c r="BRT275" s="314"/>
      <c r="BRU275" s="314"/>
      <c r="BRV275" s="314"/>
      <c r="BRW275" s="314"/>
      <c r="BRX275" s="314"/>
      <c r="BRY275" s="314"/>
      <c r="BRZ275" s="314"/>
      <c r="BSA275" s="314"/>
      <c r="BSB275" s="314"/>
      <c r="BSC275" s="314"/>
      <c r="BSD275" s="314"/>
      <c r="BSE275" s="314"/>
      <c r="BSF275" s="314"/>
      <c r="BSG275" s="314"/>
      <c r="BSH275" s="314"/>
      <c r="BSI275" s="314"/>
      <c r="BSJ275" s="314"/>
      <c r="BSK275" s="314"/>
      <c r="BSL275" s="314"/>
      <c r="BSM275" s="314"/>
      <c r="BSN275" s="314"/>
      <c r="BSO275" s="314"/>
      <c r="BSP275" s="314"/>
      <c r="BSQ275" s="314"/>
      <c r="BSR275" s="314"/>
      <c r="BSS275" s="314"/>
      <c r="BST275" s="314"/>
      <c r="BSU275" s="314"/>
      <c r="BSV275" s="314"/>
      <c r="BSW275" s="314"/>
      <c r="BSX275" s="314"/>
      <c r="BSY275" s="314"/>
      <c r="BSZ275" s="314"/>
      <c r="BTA275" s="314"/>
      <c r="BTB275" s="314"/>
      <c r="BTC275" s="314"/>
      <c r="BTD275" s="314"/>
      <c r="BTE275" s="314"/>
      <c r="BTF275" s="314"/>
      <c r="BTG275" s="314"/>
      <c r="BTH275" s="314"/>
      <c r="BTI275" s="314"/>
      <c r="BTJ275" s="314"/>
      <c r="BTK275" s="314"/>
      <c r="BTL275" s="314"/>
      <c r="BTM275" s="314"/>
      <c r="BTN275" s="314"/>
      <c r="BTO275" s="314"/>
      <c r="BTP275" s="314"/>
      <c r="BTQ275" s="314"/>
      <c r="BTR275" s="314"/>
      <c r="BTS275" s="314"/>
      <c r="BTT275" s="314"/>
      <c r="BTU275" s="314"/>
      <c r="BTV275" s="314"/>
      <c r="BTW275" s="314"/>
      <c r="BTX275" s="314"/>
      <c r="BTY275" s="314"/>
      <c r="BTZ275" s="314"/>
      <c r="BUA275" s="314"/>
      <c r="BUB275" s="314"/>
      <c r="BUC275" s="314"/>
      <c r="BUD275" s="314"/>
      <c r="BUE275" s="314"/>
      <c r="BUF275" s="314"/>
      <c r="BUG275" s="314"/>
      <c r="BUH275" s="314"/>
      <c r="BUI275" s="314"/>
      <c r="BUJ275" s="314"/>
      <c r="BUK275" s="314"/>
      <c r="BUL275" s="314"/>
      <c r="BUM275" s="314"/>
      <c r="BUN275" s="314"/>
      <c r="BUO275" s="314"/>
      <c r="BUP275" s="314"/>
      <c r="BUQ275" s="314"/>
      <c r="BUR275" s="314"/>
      <c r="BUS275" s="314"/>
      <c r="BUT275" s="314"/>
      <c r="BUU275" s="314"/>
      <c r="BUV275" s="314"/>
      <c r="BUW275" s="314"/>
      <c r="BUX275" s="314"/>
      <c r="BUY275" s="314"/>
      <c r="BUZ275" s="314"/>
      <c r="BVA275" s="314"/>
      <c r="BVB275" s="314"/>
      <c r="BVC275" s="314"/>
      <c r="BVD275" s="314"/>
      <c r="BVE275" s="314"/>
      <c r="BVF275" s="314"/>
      <c r="BVG275" s="314"/>
      <c r="BVH275" s="314"/>
      <c r="BVI275" s="314"/>
      <c r="BVJ275" s="314"/>
      <c r="BVK275" s="314"/>
      <c r="BVL275" s="314"/>
      <c r="BVM275" s="314"/>
      <c r="BVN275" s="314"/>
      <c r="BVO275" s="314"/>
      <c r="BVP275" s="314"/>
      <c r="BVQ275" s="314"/>
      <c r="BVR275" s="314"/>
      <c r="BVS275" s="314"/>
      <c r="BVT275" s="314"/>
      <c r="BVU275" s="314"/>
      <c r="BVV275" s="314"/>
      <c r="BVW275" s="314"/>
      <c r="BVX275" s="314"/>
      <c r="BVY275" s="314"/>
      <c r="BVZ275" s="314"/>
      <c r="BWA275" s="314"/>
      <c r="BWB275" s="314"/>
      <c r="BWC275" s="314"/>
      <c r="BWD275" s="314"/>
      <c r="BWE275" s="314"/>
      <c r="BWF275" s="314"/>
      <c r="BWG275" s="314"/>
      <c r="BWH275" s="314"/>
      <c r="BWI275" s="314"/>
      <c r="BWJ275" s="314"/>
      <c r="BWK275" s="314"/>
      <c r="BWL275" s="314"/>
      <c r="BWM275" s="314"/>
      <c r="BWN275" s="314"/>
      <c r="BWO275" s="314"/>
      <c r="BWP275" s="314"/>
      <c r="BWQ275" s="314"/>
      <c r="BWR275" s="314"/>
      <c r="BWS275" s="314"/>
      <c r="BWT275" s="314"/>
      <c r="BWU275" s="314"/>
      <c r="BWV275" s="314"/>
      <c r="BWW275" s="314"/>
      <c r="BWX275" s="314"/>
      <c r="BWY275" s="314"/>
      <c r="BWZ275" s="314"/>
      <c r="BXA275" s="314"/>
      <c r="BXB275" s="314"/>
      <c r="BXC275" s="314"/>
      <c r="BXD275" s="314"/>
      <c r="BXE275" s="314"/>
      <c r="BXF275" s="314"/>
      <c r="BXG275" s="314"/>
      <c r="BXH275" s="314"/>
      <c r="BXI275" s="314"/>
      <c r="BXJ275" s="314"/>
      <c r="BXK275" s="314"/>
      <c r="BXL275" s="314"/>
      <c r="BXM275" s="314"/>
      <c r="BXN275" s="314"/>
      <c r="BXO275" s="314"/>
      <c r="BXP275" s="314"/>
      <c r="BXQ275" s="314"/>
      <c r="BXR275" s="314"/>
      <c r="BXS275" s="314"/>
      <c r="BXT275" s="314"/>
      <c r="BXU275" s="314"/>
      <c r="BXV275" s="314"/>
      <c r="BXW275" s="314"/>
      <c r="BXX275" s="314"/>
      <c r="BXY275" s="314"/>
      <c r="BXZ275" s="314"/>
      <c r="BYA275" s="314"/>
      <c r="BYB275" s="314"/>
      <c r="BYC275" s="314"/>
      <c r="BYD275" s="314"/>
      <c r="BYE275" s="314"/>
      <c r="BYF275" s="314"/>
      <c r="BYG275" s="314"/>
      <c r="BYH275" s="314"/>
      <c r="BYI275" s="314"/>
      <c r="BYJ275" s="314"/>
      <c r="BYK275" s="314"/>
      <c r="BYL275" s="314"/>
      <c r="BYM275" s="314"/>
      <c r="BYN275" s="314"/>
      <c r="BYO275" s="314"/>
      <c r="BYP275" s="314"/>
      <c r="BYQ275" s="314"/>
      <c r="BYR275" s="314"/>
      <c r="BYS275" s="314"/>
      <c r="BYT275" s="314"/>
      <c r="BYU275" s="314"/>
      <c r="BYV275" s="314"/>
      <c r="BYW275" s="314"/>
      <c r="BYX275" s="314"/>
      <c r="BYY275" s="314"/>
      <c r="BYZ275" s="314"/>
      <c r="BZA275" s="314"/>
      <c r="BZB275" s="314"/>
      <c r="BZC275" s="314"/>
      <c r="BZD275" s="314"/>
      <c r="BZE275" s="314"/>
      <c r="BZF275" s="314"/>
      <c r="BZG275" s="314"/>
      <c r="BZH275" s="314"/>
      <c r="BZI275" s="314"/>
      <c r="BZJ275" s="314"/>
      <c r="BZK275" s="314"/>
      <c r="BZL275" s="314"/>
      <c r="BZM275" s="314"/>
      <c r="BZN275" s="314"/>
      <c r="BZO275" s="314"/>
      <c r="BZP275" s="314"/>
      <c r="BZQ275" s="314"/>
      <c r="BZR275" s="314"/>
      <c r="BZS275" s="314"/>
      <c r="BZT275" s="314"/>
      <c r="BZU275" s="314"/>
      <c r="BZV275" s="314"/>
      <c r="BZW275" s="314"/>
      <c r="BZX275" s="314"/>
      <c r="BZY275" s="314"/>
      <c r="BZZ275" s="314"/>
      <c r="CAA275" s="314"/>
      <c r="CAB275" s="314"/>
      <c r="CAC275" s="314"/>
      <c r="CAD275" s="314"/>
      <c r="CAE275" s="314"/>
      <c r="CAF275" s="314"/>
      <c r="CAG275" s="314"/>
      <c r="CAH275" s="314"/>
      <c r="CAI275" s="314"/>
      <c r="CAJ275" s="314"/>
      <c r="CAK275" s="314"/>
      <c r="CAL275" s="314"/>
      <c r="CAM275" s="314"/>
      <c r="CAN275" s="314"/>
      <c r="CAO275" s="314"/>
      <c r="CAP275" s="314"/>
      <c r="CAQ275" s="314"/>
      <c r="CAR275" s="314"/>
      <c r="CAS275" s="314"/>
      <c r="CAT275" s="314"/>
      <c r="CAU275" s="314"/>
      <c r="CAV275" s="314"/>
      <c r="CAW275" s="314"/>
      <c r="CAX275" s="314"/>
      <c r="CAY275" s="314"/>
      <c r="CAZ275" s="314"/>
      <c r="CBA275" s="314"/>
      <c r="CBB275" s="314"/>
      <c r="CBC275" s="314"/>
      <c r="CBD275" s="314"/>
      <c r="CBE275" s="314"/>
      <c r="CBF275" s="314"/>
      <c r="CBG275" s="314"/>
      <c r="CBH275" s="314"/>
      <c r="CBI275" s="314"/>
      <c r="CBJ275" s="314"/>
      <c r="CBK275" s="314"/>
      <c r="CBL275" s="314"/>
      <c r="CBM275" s="314"/>
      <c r="CBN275" s="314"/>
      <c r="CBO275" s="314"/>
      <c r="CBP275" s="314"/>
      <c r="CBQ275" s="314"/>
      <c r="CBR275" s="314"/>
      <c r="CBS275" s="314"/>
      <c r="CBT275" s="314"/>
      <c r="CBU275" s="314"/>
      <c r="CBV275" s="314"/>
      <c r="CBW275" s="314"/>
      <c r="CBX275" s="314"/>
      <c r="CBY275" s="314"/>
      <c r="CBZ275" s="314"/>
      <c r="CCA275" s="314"/>
      <c r="CCB275" s="314"/>
      <c r="CCC275" s="314"/>
      <c r="CCD275" s="314"/>
      <c r="CCE275" s="314"/>
      <c r="CCF275" s="314"/>
      <c r="CCG275" s="314"/>
      <c r="CCH275" s="314"/>
      <c r="CCI275" s="314"/>
      <c r="CCJ275" s="314"/>
      <c r="CCK275" s="314"/>
      <c r="CCL275" s="314"/>
      <c r="CCM275" s="314"/>
      <c r="CCN275" s="314"/>
      <c r="CCO275" s="314"/>
      <c r="CCP275" s="314"/>
      <c r="CCQ275" s="314"/>
      <c r="CCR275" s="314"/>
      <c r="CCS275" s="314"/>
      <c r="CCT275" s="314"/>
      <c r="CCU275" s="314"/>
      <c r="CCV275" s="314"/>
      <c r="CCW275" s="314"/>
      <c r="CCX275" s="314"/>
      <c r="CCY275" s="314"/>
      <c r="CCZ275" s="314"/>
      <c r="CDA275" s="314"/>
      <c r="CDB275" s="314"/>
      <c r="CDC275" s="314"/>
      <c r="CDD275" s="314"/>
      <c r="CDE275" s="314"/>
      <c r="CDF275" s="314"/>
      <c r="CDG275" s="314"/>
      <c r="CDH275" s="314"/>
      <c r="CDI275" s="314"/>
      <c r="CDJ275" s="314"/>
      <c r="CDK275" s="314"/>
      <c r="CDL275" s="314"/>
      <c r="CDM275" s="314"/>
      <c r="CDN275" s="314"/>
      <c r="CDO275" s="314"/>
      <c r="CDP275" s="314"/>
      <c r="CDQ275" s="314"/>
      <c r="CDR275" s="314"/>
      <c r="CDS275" s="314"/>
      <c r="CDT275" s="314"/>
      <c r="CDU275" s="314"/>
      <c r="CDV275" s="314"/>
      <c r="CDW275" s="314"/>
      <c r="CDX275" s="314"/>
      <c r="CDY275" s="314"/>
      <c r="CDZ275" s="314"/>
      <c r="CEA275" s="314"/>
      <c r="CEB275" s="314"/>
      <c r="CEC275" s="314"/>
      <c r="CED275" s="314"/>
      <c r="CEE275" s="314"/>
      <c r="CEF275" s="314"/>
      <c r="CEG275" s="314"/>
      <c r="CEH275" s="314"/>
      <c r="CEI275" s="314"/>
      <c r="CEJ275" s="314"/>
      <c r="CEK275" s="314"/>
      <c r="CEL275" s="314"/>
      <c r="CEM275" s="314"/>
      <c r="CEN275" s="314"/>
      <c r="CEO275" s="314"/>
      <c r="CEP275" s="314"/>
      <c r="CEQ275" s="314"/>
      <c r="CER275" s="314"/>
      <c r="CES275" s="314"/>
      <c r="CET275" s="314"/>
      <c r="CEU275" s="314"/>
      <c r="CEV275" s="314"/>
      <c r="CEW275" s="314"/>
      <c r="CEX275" s="314"/>
      <c r="CEY275" s="314"/>
      <c r="CEZ275" s="314"/>
      <c r="CFA275" s="314"/>
      <c r="CFB275" s="314"/>
      <c r="CFC275" s="314"/>
      <c r="CFD275" s="314"/>
      <c r="CFE275" s="314"/>
      <c r="CFF275" s="314"/>
      <c r="CFG275" s="314"/>
      <c r="CFH275" s="314"/>
      <c r="CFI275" s="314"/>
      <c r="CFJ275" s="314"/>
      <c r="CFK275" s="314"/>
      <c r="CFL275" s="314"/>
      <c r="CFM275" s="314"/>
      <c r="CFN275" s="314"/>
      <c r="CFO275" s="314"/>
      <c r="CFP275" s="314"/>
      <c r="CFQ275" s="314"/>
      <c r="CFR275" s="314"/>
      <c r="CFS275" s="314"/>
      <c r="CFT275" s="314"/>
      <c r="CFU275" s="314"/>
      <c r="CFV275" s="314"/>
      <c r="CFW275" s="314"/>
      <c r="CFX275" s="314"/>
      <c r="CFY275" s="314"/>
      <c r="CFZ275" s="314"/>
      <c r="CGA275" s="314"/>
      <c r="CGB275" s="314"/>
      <c r="CGC275" s="314"/>
      <c r="CGD275" s="314"/>
      <c r="CGE275" s="314"/>
      <c r="CGF275" s="314"/>
      <c r="CGG275" s="314"/>
      <c r="CGH275" s="314"/>
      <c r="CGI275" s="314"/>
      <c r="CGJ275" s="314"/>
      <c r="CGK275" s="314"/>
      <c r="CGL275" s="314"/>
      <c r="CGM275" s="314"/>
      <c r="CGN275" s="314"/>
      <c r="CGO275" s="314"/>
      <c r="CGP275" s="314"/>
      <c r="CGQ275" s="314"/>
      <c r="CGR275" s="314"/>
      <c r="CGS275" s="314"/>
      <c r="CGT275" s="314"/>
      <c r="CGU275" s="314"/>
      <c r="CGV275" s="314"/>
      <c r="CGW275" s="314"/>
      <c r="CGX275" s="314"/>
      <c r="CGY275" s="314"/>
      <c r="CGZ275" s="314"/>
      <c r="CHA275" s="314"/>
      <c r="CHB275" s="314"/>
      <c r="CHC275" s="314"/>
      <c r="CHD275" s="314"/>
      <c r="CHE275" s="314"/>
      <c r="CHF275" s="314"/>
      <c r="CHG275" s="314"/>
      <c r="CHH275" s="314"/>
      <c r="CHI275" s="314"/>
      <c r="CHJ275" s="314"/>
      <c r="CHK275" s="314"/>
      <c r="CHL275" s="314"/>
      <c r="CHM275" s="314"/>
      <c r="CHN275" s="314"/>
      <c r="CHO275" s="314"/>
      <c r="CHP275" s="314"/>
      <c r="CHQ275" s="314"/>
      <c r="CHR275" s="314"/>
      <c r="CHS275" s="314"/>
      <c r="CHT275" s="314"/>
      <c r="CHU275" s="314"/>
      <c r="CHV275" s="314"/>
      <c r="CHW275" s="314"/>
      <c r="CHX275" s="314"/>
      <c r="CHY275" s="314"/>
      <c r="CHZ275" s="314"/>
      <c r="CIA275" s="314"/>
      <c r="CIB275" s="314"/>
      <c r="CIC275" s="314"/>
      <c r="CID275" s="314"/>
      <c r="CIE275" s="314"/>
      <c r="CIF275" s="314"/>
      <c r="CIG275" s="314"/>
      <c r="CIH275" s="314"/>
      <c r="CII275" s="314"/>
      <c r="CIJ275" s="314"/>
      <c r="CIK275" s="314"/>
      <c r="CIL275" s="314"/>
      <c r="CIM275" s="314"/>
      <c r="CIN275" s="314"/>
      <c r="CIO275" s="314"/>
      <c r="CIP275" s="314"/>
      <c r="CIQ275" s="314"/>
      <c r="CIR275" s="314"/>
      <c r="CIS275" s="314"/>
      <c r="CIT275" s="314"/>
      <c r="CIU275" s="314"/>
      <c r="CIV275" s="314"/>
      <c r="CIW275" s="314"/>
      <c r="CIX275" s="314"/>
      <c r="CIY275" s="314"/>
      <c r="CIZ275" s="314"/>
      <c r="CJA275" s="314"/>
      <c r="CJB275" s="314"/>
      <c r="CJC275" s="314"/>
      <c r="CJD275" s="314"/>
      <c r="CJE275" s="314"/>
      <c r="CJF275" s="314"/>
      <c r="CJG275" s="314"/>
      <c r="CJH275" s="314"/>
      <c r="CJI275" s="314"/>
      <c r="CJJ275" s="314"/>
      <c r="CJK275" s="314"/>
      <c r="CJL275" s="314"/>
      <c r="CJM275" s="314"/>
      <c r="CJN275" s="314"/>
      <c r="CJO275" s="314"/>
      <c r="CJP275" s="314"/>
      <c r="CJQ275" s="314"/>
      <c r="CJR275" s="314"/>
      <c r="CJS275" s="314"/>
      <c r="CJT275" s="314"/>
      <c r="CJU275" s="314"/>
      <c r="CJV275" s="314"/>
      <c r="CJW275" s="314"/>
      <c r="CJX275" s="314"/>
      <c r="CJY275" s="314"/>
      <c r="CJZ275" s="314"/>
      <c r="CKA275" s="314"/>
      <c r="CKB275" s="314"/>
      <c r="CKC275" s="314"/>
      <c r="CKD275" s="314"/>
      <c r="CKE275" s="314"/>
      <c r="CKF275" s="314"/>
      <c r="CKG275" s="314"/>
      <c r="CKH275" s="314"/>
      <c r="CKI275" s="314"/>
      <c r="CKJ275" s="314"/>
      <c r="CKK275" s="314"/>
      <c r="CKL275" s="314"/>
      <c r="CKM275" s="314"/>
      <c r="CKN275" s="314"/>
      <c r="CKO275" s="314"/>
      <c r="CKP275" s="314"/>
      <c r="CKQ275" s="314"/>
      <c r="CKR275" s="314"/>
      <c r="CKS275" s="314"/>
      <c r="CKT275" s="314"/>
      <c r="CKU275" s="314"/>
      <c r="CKV275" s="314"/>
      <c r="CKW275" s="314"/>
      <c r="CKX275" s="314"/>
      <c r="CKY275" s="314"/>
      <c r="CKZ275" s="314"/>
      <c r="CLA275" s="314"/>
      <c r="CLB275" s="314"/>
      <c r="CLC275" s="314"/>
      <c r="CLD275" s="314"/>
      <c r="CLE275" s="314"/>
      <c r="CLF275" s="314"/>
      <c r="CLG275" s="314"/>
      <c r="CLH275" s="314"/>
      <c r="CLI275" s="314"/>
      <c r="CLJ275" s="314"/>
      <c r="CLK275" s="314"/>
      <c r="CLL275" s="314"/>
      <c r="CLM275" s="314"/>
      <c r="CLN275" s="314"/>
      <c r="CLO275" s="314"/>
      <c r="CLP275" s="314"/>
      <c r="CLQ275" s="314"/>
      <c r="CLR275" s="314"/>
      <c r="CLS275" s="314"/>
      <c r="CLT275" s="314"/>
      <c r="CLU275" s="314"/>
      <c r="CLV275" s="314"/>
      <c r="CLW275" s="314"/>
      <c r="CLX275" s="314"/>
      <c r="CLY275" s="314"/>
      <c r="CLZ275" s="314"/>
      <c r="CMA275" s="314"/>
      <c r="CMB275" s="314"/>
      <c r="CMC275" s="314"/>
      <c r="CMD275" s="314"/>
      <c r="CME275" s="314"/>
      <c r="CMF275" s="314"/>
      <c r="CMG275" s="314"/>
      <c r="CMH275" s="314"/>
      <c r="CMI275" s="314"/>
      <c r="CMJ275" s="314"/>
      <c r="CMK275" s="314"/>
      <c r="CML275" s="314"/>
      <c r="CMM275" s="314"/>
      <c r="CMN275" s="314"/>
      <c r="CMO275" s="314"/>
      <c r="CMP275" s="314"/>
      <c r="CMQ275" s="314"/>
      <c r="CMR275" s="314"/>
      <c r="CMS275" s="314"/>
      <c r="CMT275" s="314"/>
      <c r="CMU275" s="314"/>
      <c r="CMV275" s="314"/>
      <c r="CMW275" s="314"/>
      <c r="CMX275" s="314"/>
      <c r="CMY275" s="314"/>
      <c r="CMZ275" s="314"/>
      <c r="CNA275" s="314"/>
      <c r="CNB275" s="314"/>
      <c r="CNC275" s="314"/>
      <c r="CND275" s="314"/>
      <c r="CNE275" s="314"/>
      <c r="CNF275" s="314"/>
      <c r="CNG275" s="314"/>
      <c r="CNH275" s="314"/>
      <c r="CNI275" s="314"/>
      <c r="CNJ275" s="314"/>
      <c r="CNK275" s="314"/>
      <c r="CNL275" s="314"/>
      <c r="CNM275" s="314"/>
      <c r="CNN275" s="314"/>
      <c r="CNO275" s="314"/>
      <c r="CNP275" s="314"/>
      <c r="CNQ275" s="314"/>
      <c r="CNR275" s="314"/>
      <c r="CNS275" s="314"/>
      <c r="CNT275" s="314"/>
      <c r="CNU275" s="314"/>
      <c r="CNV275" s="314"/>
      <c r="CNW275" s="314"/>
      <c r="CNX275" s="314"/>
      <c r="CNY275" s="314"/>
      <c r="CNZ275" s="314"/>
      <c r="COA275" s="314"/>
      <c r="COB275" s="314"/>
      <c r="COC275" s="314"/>
      <c r="COD275" s="314"/>
      <c r="COE275" s="314"/>
      <c r="COF275" s="314"/>
      <c r="COG275" s="314"/>
      <c r="COH275" s="314"/>
      <c r="COI275" s="314"/>
      <c r="COJ275" s="314"/>
      <c r="COK275" s="314"/>
      <c r="COL275" s="314"/>
      <c r="COM275" s="314"/>
      <c r="CON275" s="314"/>
      <c r="COO275" s="314"/>
      <c r="COP275" s="314"/>
      <c r="COQ275" s="314"/>
      <c r="COR275" s="314"/>
      <c r="COS275" s="314"/>
      <c r="COT275" s="314"/>
      <c r="COU275" s="314"/>
      <c r="COV275" s="314"/>
      <c r="COW275" s="314"/>
      <c r="COX275" s="314"/>
      <c r="COY275" s="314"/>
      <c r="COZ275" s="314"/>
      <c r="CPA275" s="314"/>
      <c r="CPB275" s="314"/>
      <c r="CPC275" s="314"/>
      <c r="CPD275" s="314"/>
      <c r="CPE275" s="314"/>
      <c r="CPF275" s="314"/>
      <c r="CPG275" s="314"/>
      <c r="CPH275" s="314"/>
      <c r="CPI275" s="314"/>
      <c r="CPJ275" s="314"/>
      <c r="CPK275" s="314"/>
      <c r="CPL275" s="314"/>
      <c r="CPM275" s="314"/>
      <c r="CPN275" s="314"/>
      <c r="CPO275" s="314"/>
      <c r="CPP275" s="314"/>
      <c r="CPQ275" s="314"/>
      <c r="CPR275" s="314"/>
      <c r="CPS275" s="314"/>
      <c r="CPT275" s="314"/>
      <c r="CPU275" s="314"/>
      <c r="CPV275" s="314"/>
      <c r="CPW275" s="314"/>
      <c r="CPX275" s="314"/>
      <c r="CPY275" s="314"/>
      <c r="CPZ275" s="314"/>
      <c r="CQA275" s="314"/>
      <c r="CQB275" s="314"/>
      <c r="CQC275" s="314"/>
      <c r="CQD275" s="314"/>
      <c r="CQE275" s="314"/>
      <c r="CQF275" s="314"/>
      <c r="CQG275" s="314"/>
      <c r="CQH275" s="314"/>
      <c r="CQI275" s="314"/>
      <c r="CQJ275" s="314"/>
      <c r="CQK275" s="314"/>
      <c r="CQL275" s="314"/>
      <c r="CQM275" s="314"/>
      <c r="CQN275" s="314"/>
      <c r="CQO275" s="314"/>
      <c r="CQP275" s="314"/>
      <c r="CQQ275" s="314"/>
      <c r="CQR275" s="314"/>
      <c r="CQS275" s="314"/>
      <c r="CQT275" s="314"/>
      <c r="CQU275" s="314"/>
      <c r="CQV275" s="314"/>
      <c r="CQW275" s="314"/>
      <c r="CQX275" s="314"/>
      <c r="CQY275" s="314"/>
      <c r="CQZ275" s="314"/>
      <c r="CRA275" s="314"/>
      <c r="CRB275" s="314"/>
      <c r="CRC275" s="314"/>
      <c r="CRD275" s="314"/>
      <c r="CRE275" s="314"/>
      <c r="CRF275" s="314"/>
      <c r="CRG275" s="314"/>
      <c r="CRH275" s="314"/>
      <c r="CRI275" s="314"/>
      <c r="CRJ275" s="314"/>
      <c r="CRK275" s="314"/>
      <c r="CRL275" s="314"/>
      <c r="CRM275" s="314"/>
      <c r="CRN275" s="314"/>
      <c r="CRO275" s="314"/>
      <c r="CRP275" s="314"/>
      <c r="CRQ275" s="314"/>
      <c r="CRR275" s="314"/>
      <c r="CRS275" s="314"/>
      <c r="CRT275" s="314"/>
      <c r="CRU275" s="314"/>
      <c r="CRV275" s="314"/>
      <c r="CRW275" s="314"/>
      <c r="CRX275" s="314"/>
      <c r="CRY275" s="314"/>
      <c r="CRZ275" s="314"/>
      <c r="CSA275" s="314"/>
      <c r="CSB275" s="314"/>
      <c r="CSC275" s="314"/>
      <c r="CSD275" s="314"/>
      <c r="CSE275" s="314"/>
      <c r="CSF275" s="314"/>
      <c r="CSG275" s="314"/>
      <c r="CSH275" s="314"/>
      <c r="CSI275" s="314"/>
      <c r="CSJ275" s="314"/>
      <c r="CSK275" s="314"/>
      <c r="CSL275" s="314"/>
      <c r="CSM275" s="314"/>
      <c r="CSN275" s="314"/>
      <c r="CSO275" s="314"/>
      <c r="CSP275" s="314"/>
      <c r="CSQ275" s="314"/>
      <c r="CSR275" s="314"/>
      <c r="CSS275" s="314"/>
      <c r="CST275" s="314"/>
      <c r="CSU275" s="314"/>
      <c r="CSV275" s="314"/>
      <c r="CSW275" s="314"/>
      <c r="CSX275" s="314"/>
      <c r="CSY275" s="314"/>
      <c r="CSZ275" s="314"/>
      <c r="CTA275" s="314"/>
      <c r="CTB275" s="314"/>
      <c r="CTC275" s="314"/>
      <c r="CTD275" s="314"/>
      <c r="CTE275" s="314"/>
      <c r="CTF275" s="314"/>
      <c r="CTG275" s="314"/>
      <c r="CTH275" s="314"/>
      <c r="CTI275" s="314"/>
      <c r="CTJ275" s="314"/>
      <c r="CTK275" s="314"/>
      <c r="CTL275" s="314"/>
      <c r="CTM275" s="314"/>
      <c r="CTN275" s="314"/>
      <c r="CTO275" s="314"/>
      <c r="CTP275" s="314"/>
      <c r="CTQ275" s="314"/>
      <c r="CTR275" s="314"/>
      <c r="CTS275" s="314"/>
      <c r="CTT275" s="314"/>
      <c r="CTU275" s="314"/>
      <c r="CTV275" s="314"/>
      <c r="CTW275" s="314"/>
      <c r="CTX275" s="314"/>
      <c r="CTY275" s="314"/>
      <c r="CTZ275" s="314"/>
      <c r="CUA275" s="314"/>
      <c r="CUB275" s="314"/>
      <c r="CUC275" s="314"/>
      <c r="CUD275" s="314"/>
      <c r="CUE275" s="314"/>
      <c r="CUF275" s="314"/>
      <c r="CUG275" s="314"/>
      <c r="CUH275" s="314"/>
      <c r="CUI275" s="314"/>
      <c r="CUJ275" s="314"/>
      <c r="CUK275" s="314"/>
      <c r="CUL275" s="314"/>
      <c r="CUM275" s="314"/>
      <c r="CUN275" s="314"/>
      <c r="CUO275" s="314"/>
      <c r="CUP275" s="314"/>
      <c r="CUQ275" s="314"/>
      <c r="CUR275" s="314"/>
      <c r="CUS275" s="314"/>
      <c r="CUT275" s="314"/>
      <c r="CUU275" s="314"/>
      <c r="CUV275" s="314"/>
      <c r="CUW275" s="314"/>
      <c r="CUX275" s="314"/>
      <c r="CUY275" s="314"/>
      <c r="CUZ275" s="314"/>
      <c r="CVA275" s="314"/>
      <c r="CVB275" s="314"/>
      <c r="CVC275" s="314"/>
      <c r="CVD275" s="314"/>
      <c r="CVE275" s="314"/>
      <c r="CVF275" s="314"/>
      <c r="CVG275" s="314"/>
      <c r="CVH275" s="314"/>
      <c r="CVI275" s="314"/>
      <c r="CVJ275" s="314"/>
      <c r="CVK275" s="314"/>
      <c r="CVL275" s="314"/>
      <c r="CVM275" s="314"/>
      <c r="CVN275" s="314"/>
      <c r="CVO275" s="314"/>
      <c r="CVP275" s="314"/>
      <c r="CVQ275" s="314"/>
      <c r="CVR275" s="314"/>
      <c r="CVS275" s="314"/>
      <c r="CVT275" s="314"/>
      <c r="CVU275" s="314"/>
      <c r="CVV275" s="314"/>
      <c r="CVW275" s="314"/>
      <c r="CVX275" s="314"/>
      <c r="CVY275" s="314"/>
      <c r="CVZ275" s="314"/>
      <c r="CWA275" s="314"/>
      <c r="CWB275" s="314"/>
      <c r="CWC275" s="314"/>
      <c r="CWD275" s="314"/>
      <c r="CWE275" s="314"/>
      <c r="CWF275" s="314"/>
      <c r="CWG275" s="314"/>
      <c r="CWH275" s="314"/>
      <c r="CWI275" s="314"/>
      <c r="CWJ275" s="314"/>
      <c r="CWK275" s="314"/>
      <c r="CWL275" s="314"/>
      <c r="CWM275" s="314"/>
      <c r="CWN275" s="314"/>
      <c r="CWO275" s="314"/>
      <c r="CWP275" s="314"/>
      <c r="CWQ275" s="314"/>
      <c r="CWR275" s="314"/>
      <c r="CWS275" s="314"/>
      <c r="CWT275" s="314"/>
      <c r="CWU275" s="314"/>
      <c r="CWV275" s="314"/>
      <c r="CWW275" s="314"/>
      <c r="CWX275" s="314"/>
      <c r="CWY275" s="314"/>
      <c r="CWZ275" s="314"/>
      <c r="CXA275" s="314"/>
      <c r="CXB275" s="314"/>
      <c r="CXC275" s="314"/>
      <c r="CXD275" s="314"/>
      <c r="CXE275" s="314"/>
      <c r="CXF275" s="314"/>
      <c r="CXG275" s="314"/>
      <c r="CXH275" s="314"/>
      <c r="CXI275" s="314"/>
      <c r="CXJ275" s="314"/>
      <c r="CXK275" s="314"/>
      <c r="CXL275" s="314"/>
      <c r="CXM275" s="314"/>
      <c r="CXN275" s="314"/>
      <c r="CXO275" s="314"/>
      <c r="CXP275" s="314"/>
      <c r="CXQ275" s="314"/>
      <c r="CXR275" s="314"/>
      <c r="CXS275" s="314"/>
      <c r="CXT275" s="314"/>
      <c r="CXU275" s="314"/>
      <c r="CXV275" s="314"/>
      <c r="CXW275" s="314"/>
      <c r="CXX275" s="314"/>
      <c r="CXY275" s="314"/>
      <c r="CXZ275" s="314"/>
      <c r="CYA275" s="314"/>
      <c r="CYB275" s="314"/>
      <c r="CYC275" s="314"/>
      <c r="CYD275" s="314"/>
      <c r="CYE275" s="314"/>
      <c r="CYF275" s="314"/>
      <c r="CYG275" s="314"/>
      <c r="CYH275" s="314"/>
      <c r="CYI275" s="314"/>
      <c r="CYJ275" s="314"/>
      <c r="CYK275" s="314"/>
      <c r="CYL275" s="314"/>
      <c r="CYM275" s="314"/>
      <c r="CYN275" s="314"/>
      <c r="CYO275" s="314"/>
      <c r="CYP275" s="314"/>
      <c r="CYQ275" s="314"/>
      <c r="CYR275" s="314"/>
      <c r="CYS275" s="314"/>
      <c r="CYT275" s="314"/>
      <c r="CYU275" s="314"/>
      <c r="CYV275" s="314"/>
      <c r="CYW275" s="314"/>
      <c r="CYX275" s="314"/>
      <c r="CYY275" s="314"/>
      <c r="CYZ275" s="314"/>
      <c r="CZA275" s="314"/>
      <c r="CZB275" s="314"/>
      <c r="CZC275" s="314"/>
      <c r="CZD275" s="314"/>
      <c r="CZE275" s="314"/>
      <c r="CZF275" s="314"/>
      <c r="CZG275" s="314"/>
      <c r="CZH275" s="314"/>
      <c r="CZI275" s="314"/>
      <c r="CZJ275" s="314"/>
      <c r="CZK275" s="314"/>
      <c r="CZL275" s="314"/>
      <c r="CZM275" s="314"/>
      <c r="CZN275" s="314"/>
      <c r="CZO275" s="314"/>
      <c r="CZP275" s="314"/>
      <c r="CZQ275" s="314"/>
      <c r="CZR275" s="314"/>
      <c r="CZS275" s="314"/>
      <c r="CZT275" s="314"/>
      <c r="CZU275" s="314"/>
      <c r="CZV275" s="314"/>
      <c r="CZW275" s="314"/>
      <c r="CZX275" s="314"/>
      <c r="CZY275" s="314"/>
      <c r="CZZ275" s="314"/>
      <c r="DAA275" s="314"/>
      <c r="DAB275" s="314"/>
      <c r="DAC275" s="314"/>
      <c r="DAD275" s="314"/>
      <c r="DAE275" s="314"/>
      <c r="DAF275" s="314"/>
      <c r="DAG275" s="314"/>
      <c r="DAH275" s="314"/>
      <c r="DAI275" s="314"/>
      <c r="DAJ275" s="314"/>
      <c r="DAK275" s="314"/>
      <c r="DAL275" s="314"/>
      <c r="DAM275" s="314"/>
      <c r="DAN275" s="314"/>
      <c r="DAO275" s="314"/>
      <c r="DAP275" s="314"/>
      <c r="DAQ275" s="314"/>
      <c r="DAR275" s="314"/>
      <c r="DAS275" s="314"/>
      <c r="DAT275" s="314"/>
      <c r="DAU275" s="314"/>
      <c r="DAV275" s="314"/>
      <c r="DAW275" s="314"/>
      <c r="DAX275" s="314"/>
      <c r="DAY275" s="314"/>
      <c r="DAZ275" s="314"/>
      <c r="DBA275" s="314"/>
      <c r="DBB275" s="314"/>
      <c r="DBC275" s="314"/>
      <c r="DBD275" s="314"/>
      <c r="DBE275" s="314"/>
      <c r="DBF275" s="314"/>
      <c r="DBG275" s="314"/>
      <c r="DBH275" s="314"/>
      <c r="DBI275" s="314"/>
      <c r="DBJ275" s="314"/>
      <c r="DBK275" s="314"/>
      <c r="DBL275" s="314"/>
      <c r="DBM275" s="314"/>
      <c r="DBN275" s="314"/>
      <c r="DBO275" s="314"/>
      <c r="DBP275" s="314"/>
      <c r="DBQ275" s="314"/>
      <c r="DBR275" s="314"/>
      <c r="DBS275" s="314"/>
      <c r="DBT275" s="314"/>
      <c r="DBU275" s="314"/>
      <c r="DBV275" s="314"/>
      <c r="DBW275" s="314"/>
      <c r="DBX275" s="314"/>
      <c r="DBY275" s="314"/>
      <c r="DBZ275" s="314"/>
      <c r="DCA275" s="314"/>
      <c r="DCB275" s="314"/>
      <c r="DCC275" s="314"/>
      <c r="DCD275" s="314"/>
      <c r="DCE275" s="314"/>
      <c r="DCF275" s="314"/>
      <c r="DCG275" s="314"/>
      <c r="DCH275" s="314"/>
      <c r="DCI275" s="314"/>
      <c r="DCJ275" s="314"/>
      <c r="DCK275" s="314"/>
      <c r="DCL275" s="314"/>
      <c r="DCM275" s="314"/>
      <c r="DCN275" s="314"/>
      <c r="DCO275" s="314"/>
      <c r="DCP275" s="314"/>
      <c r="DCQ275" s="314"/>
      <c r="DCR275" s="314"/>
      <c r="DCS275" s="314"/>
      <c r="DCT275" s="314"/>
      <c r="DCU275" s="314"/>
      <c r="DCV275" s="314"/>
      <c r="DCW275" s="314"/>
      <c r="DCX275" s="314"/>
      <c r="DCY275" s="314"/>
      <c r="DCZ275" s="314"/>
      <c r="DDA275" s="314"/>
      <c r="DDB275" s="314"/>
      <c r="DDC275" s="314"/>
      <c r="DDD275" s="314"/>
      <c r="DDE275" s="314"/>
      <c r="DDF275" s="314"/>
      <c r="DDG275" s="314"/>
      <c r="DDH275" s="314"/>
      <c r="DDI275" s="314"/>
      <c r="DDJ275" s="314"/>
      <c r="DDK275" s="314"/>
      <c r="DDL275" s="314"/>
      <c r="DDM275" s="314"/>
      <c r="DDN275" s="314"/>
      <c r="DDO275" s="314"/>
      <c r="DDP275" s="314"/>
      <c r="DDQ275" s="314"/>
      <c r="DDR275" s="314"/>
      <c r="DDS275" s="314"/>
      <c r="DDT275" s="314"/>
      <c r="DDU275" s="314"/>
      <c r="DDV275" s="314"/>
      <c r="DDW275" s="314"/>
      <c r="DDX275" s="314"/>
      <c r="DDY275" s="314"/>
      <c r="DDZ275" s="314"/>
      <c r="DEA275" s="314"/>
      <c r="DEB275" s="314"/>
      <c r="DEC275" s="314"/>
      <c r="DED275" s="314"/>
      <c r="DEE275" s="314"/>
      <c r="DEF275" s="314"/>
      <c r="DEG275" s="314"/>
      <c r="DEH275" s="314"/>
      <c r="DEI275" s="314"/>
      <c r="DEJ275" s="314"/>
      <c r="DEK275" s="314"/>
      <c r="DEL275" s="314"/>
      <c r="DEM275" s="314"/>
      <c r="DEN275" s="314"/>
      <c r="DEO275" s="314"/>
      <c r="DEP275" s="314"/>
      <c r="DEQ275" s="314"/>
      <c r="DER275" s="314"/>
      <c r="DES275" s="314"/>
      <c r="DET275" s="314"/>
      <c r="DEU275" s="314"/>
      <c r="DEV275" s="314"/>
      <c r="DEW275" s="314"/>
      <c r="DEX275" s="314"/>
      <c r="DEY275" s="314"/>
      <c r="DEZ275" s="314"/>
      <c r="DFA275" s="314"/>
      <c r="DFB275" s="314"/>
      <c r="DFC275" s="314"/>
      <c r="DFD275" s="314"/>
      <c r="DFE275" s="314"/>
      <c r="DFF275" s="314"/>
      <c r="DFG275" s="314"/>
      <c r="DFH275" s="314"/>
      <c r="DFI275" s="314"/>
      <c r="DFJ275" s="314"/>
      <c r="DFK275" s="314"/>
      <c r="DFL275" s="314"/>
      <c r="DFM275" s="314"/>
      <c r="DFN275" s="314"/>
      <c r="DFO275" s="314"/>
      <c r="DFP275" s="314"/>
      <c r="DFQ275" s="314"/>
      <c r="DFR275" s="314"/>
      <c r="DFS275" s="314"/>
      <c r="DFT275" s="314"/>
      <c r="DFU275" s="314"/>
      <c r="DFV275" s="314"/>
      <c r="DFW275" s="314"/>
      <c r="DFX275" s="314"/>
      <c r="DFY275" s="314"/>
      <c r="DFZ275" s="314"/>
      <c r="DGA275" s="314"/>
      <c r="DGB275" s="314"/>
      <c r="DGC275" s="314"/>
      <c r="DGD275" s="314"/>
      <c r="DGE275" s="314"/>
      <c r="DGF275" s="314"/>
      <c r="DGG275" s="314"/>
      <c r="DGH275" s="314"/>
      <c r="DGI275" s="314"/>
      <c r="DGJ275" s="314"/>
      <c r="DGK275" s="314"/>
      <c r="DGL275" s="314"/>
      <c r="DGM275" s="314"/>
      <c r="DGN275" s="314"/>
      <c r="DGO275" s="314"/>
      <c r="DGP275" s="314"/>
      <c r="DGQ275" s="314"/>
      <c r="DGR275" s="314"/>
      <c r="DGS275" s="314"/>
      <c r="DGT275" s="314"/>
      <c r="DGU275" s="314"/>
      <c r="DGV275" s="314"/>
      <c r="DGW275" s="314"/>
      <c r="DGX275" s="314"/>
      <c r="DGY275" s="314"/>
      <c r="DGZ275" s="314"/>
      <c r="DHA275" s="314"/>
      <c r="DHB275" s="314"/>
      <c r="DHC275" s="314"/>
      <c r="DHD275" s="314"/>
      <c r="DHE275" s="314"/>
      <c r="DHF275" s="314"/>
      <c r="DHG275" s="314"/>
      <c r="DHH275" s="314"/>
      <c r="DHI275" s="314"/>
      <c r="DHJ275" s="314"/>
      <c r="DHK275" s="314"/>
      <c r="DHL275" s="314"/>
      <c r="DHM275" s="314"/>
      <c r="DHN275" s="314"/>
      <c r="DHO275" s="314"/>
      <c r="DHP275" s="314"/>
      <c r="DHQ275" s="314"/>
      <c r="DHR275" s="314"/>
      <c r="DHS275" s="314"/>
      <c r="DHT275" s="314"/>
      <c r="DHU275" s="314"/>
      <c r="DHV275" s="314"/>
      <c r="DHW275" s="314"/>
      <c r="DHX275" s="314"/>
      <c r="DHY275" s="314"/>
      <c r="DHZ275" s="314"/>
      <c r="DIA275" s="314"/>
      <c r="DIB275" s="314"/>
      <c r="DIC275" s="314"/>
      <c r="DID275" s="314"/>
      <c r="DIE275" s="314"/>
      <c r="DIF275" s="314"/>
      <c r="DIG275" s="314"/>
      <c r="DIH275" s="314"/>
      <c r="DII275" s="314"/>
      <c r="DIJ275" s="314"/>
      <c r="DIK275" s="314"/>
      <c r="DIL275" s="314"/>
      <c r="DIM275" s="314"/>
      <c r="DIN275" s="314"/>
      <c r="DIO275" s="314"/>
      <c r="DIP275" s="314"/>
      <c r="DIQ275" s="314"/>
      <c r="DIR275" s="314"/>
      <c r="DIS275" s="314"/>
      <c r="DIT275" s="314"/>
      <c r="DIU275" s="314"/>
      <c r="DIV275" s="314"/>
      <c r="DIW275" s="314"/>
      <c r="DIX275" s="314"/>
      <c r="DIY275" s="314"/>
      <c r="DIZ275" s="314"/>
      <c r="DJA275" s="314"/>
      <c r="DJB275" s="314"/>
      <c r="DJC275" s="314"/>
      <c r="DJD275" s="314"/>
      <c r="DJE275" s="314"/>
      <c r="DJF275" s="314"/>
      <c r="DJG275" s="314"/>
      <c r="DJH275" s="314"/>
      <c r="DJI275" s="314"/>
      <c r="DJJ275" s="314"/>
      <c r="DJK275" s="314"/>
      <c r="DJL275" s="314"/>
      <c r="DJM275" s="314"/>
      <c r="DJN275" s="314"/>
      <c r="DJO275" s="314"/>
      <c r="DJP275" s="314"/>
      <c r="DJQ275" s="314"/>
      <c r="DJR275" s="314"/>
      <c r="DJS275" s="314"/>
      <c r="DJT275" s="314"/>
      <c r="DJU275" s="314"/>
      <c r="DJV275" s="314"/>
      <c r="DJW275" s="314"/>
      <c r="DJX275" s="314"/>
      <c r="DJY275" s="314"/>
      <c r="DJZ275" s="314"/>
      <c r="DKA275" s="314"/>
      <c r="DKB275" s="314"/>
      <c r="DKC275" s="314"/>
      <c r="DKD275" s="314"/>
      <c r="DKE275" s="314"/>
      <c r="DKF275" s="314"/>
      <c r="DKG275" s="314"/>
      <c r="DKH275" s="314"/>
      <c r="DKI275" s="314"/>
      <c r="DKJ275" s="314"/>
      <c r="DKK275" s="314"/>
      <c r="DKL275" s="314"/>
      <c r="DKM275" s="314"/>
      <c r="DKN275" s="314"/>
      <c r="DKO275" s="314"/>
      <c r="DKP275" s="314"/>
      <c r="DKQ275" s="314"/>
      <c r="DKR275" s="314"/>
      <c r="DKS275" s="314"/>
      <c r="DKT275" s="314"/>
      <c r="DKU275" s="314"/>
      <c r="DKV275" s="314"/>
      <c r="DKW275" s="314"/>
      <c r="DKX275" s="314"/>
      <c r="DKY275" s="314"/>
      <c r="DKZ275" s="314"/>
      <c r="DLA275" s="314"/>
      <c r="DLB275" s="314"/>
      <c r="DLC275" s="314"/>
      <c r="DLD275" s="314"/>
      <c r="DLE275" s="314"/>
      <c r="DLF275" s="314"/>
      <c r="DLG275" s="314"/>
      <c r="DLH275" s="314"/>
      <c r="DLI275" s="314"/>
      <c r="DLJ275" s="314"/>
      <c r="DLK275" s="314"/>
      <c r="DLL275" s="314"/>
      <c r="DLM275" s="314"/>
      <c r="DLN275" s="314"/>
      <c r="DLO275" s="314"/>
      <c r="DLP275" s="314"/>
      <c r="DLQ275" s="314"/>
      <c r="DLR275" s="314"/>
      <c r="DLS275" s="314"/>
      <c r="DLT275" s="314"/>
      <c r="DLU275" s="314"/>
      <c r="DLV275" s="314"/>
      <c r="DLW275" s="314"/>
      <c r="DLX275" s="314"/>
      <c r="DLY275" s="314"/>
      <c r="DLZ275" s="314"/>
      <c r="DMA275" s="314"/>
      <c r="DMB275" s="314"/>
      <c r="DMC275" s="314"/>
      <c r="DMD275" s="314"/>
      <c r="DME275" s="314"/>
      <c r="DMF275" s="314"/>
      <c r="DMG275" s="314"/>
      <c r="DMH275" s="314"/>
      <c r="DMI275" s="314"/>
      <c r="DMJ275" s="314"/>
      <c r="DMK275" s="314"/>
      <c r="DML275" s="314"/>
      <c r="DMM275" s="314"/>
      <c r="DMN275" s="314"/>
      <c r="DMO275" s="314"/>
      <c r="DMP275" s="314"/>
      <c r="DMQ275" s="314"/>
      <c r="DMR275" s="314"/>
      <c r="DMS275" s="314"/>
      <c r="DMT275" s="314"/>
      <c r="DMU275" s="314"/>
      <c r="DMV275" s="314"/>
      <c r="DMW275" s="314"/>
      <c r="DMX275" s="314"/>
      <c r="DMY275" s="314"/>
      <c r="DMZ275" s="314"/>
      <c r="DNA275" s="314"/>
      <c r="DNB275" s="314"/>
      <c r="DNC275" s="314"/>
      <c r="DND275" s="314"/>
      <c r="DNE275" s="314"/>
      <c r="DNF275" s="314"/>
      <c r="DNG275" s="314"/>
      <c r="DNH275" s="314"/>
      <c r="DNI275" s="314"/>
      <c r="DNJ275" s="314"/>
      <c r="DNK275" s="314"/>
      <c r="DNL275" s="314"/>
      <c r="DNM275" s="314"/>
      <c r="DNN275" s="314"/>
      <c r="DNO275" s="314"/>
      <c r="DNP275" s="314"/>
      <c r="DNQ275" s="314"/>
      <c r="DNR275" s="314"/>
      <c r="DNS275" s="314"/>
      <c r="DNT275" s="314"/>
      <c r="DNU275" s="314"/>
      <c r="DNV275" s="314"/>
      <c r="DNW275" s="314"/>
      <c r="DNX275" s="314"/>
      <c r="DNY275" s="314"/>
      <c r="DNZ275" s="314"/>
      <c r="DOA275" s="314"/>
      <c r="DOB275" s="314"/>
      <c r="DOC275" s="314"/>
      <c r="DOD275" s="314"/>
      <c r="DOE275" s="314"/>
      <c r="DOF275" s="314"/>
      <c r="DOG275" s="314"/>
      <c r="DOH275" s="314"/>
      <c r="DOI275" s="314"/>
      <c r="DOJ275" s="314"/>
      <c r="DOK275" s="314"/>
      <c r="DOL275" s="314"/>
      <c r="DOM275" s="314"/>
      <c r="DON275" s="314"/>
      <c r="DOO275" s="314"/>
      <c r="DOP275" s="314"/>
      <c r="DOQ275" s="314"/>
      <c r="DOR275" s="314"/>
      <c r="DOS275" s="314"/>
      <c r="DOT275" s="314"/>
      <c r="DOU275" s="314"/>
      <c r="DOV275" s="314"/>
      <c r="DOW275" s="314"/>
      <c r="DOX275" s="314"/>
      <c r="DOY275" s="314"/>
      <c r="DOZ275" s="314"/>
      <c r="DPA275" s="314"/>
      <c r="DPB275" s="314"/>
      <c r="DPC275" s="314"/>
      <c r="DPD275" s="314"/>
      <c r="DPE275" s="314"/>
      <c r="DPF275" s="314"/>
      <c r="DPG275" s="314"/>
      <c r="DPH275" s="314"/>
      <c r="DPI275" s="314"/>
      <c r="DPJ275" s="314"/>
      <c r="DPK275" s="314"/>
      <c r="DPL275" s="314"/>
      <c r="DPM275" s="314"/>
      <c r="DPN275" s="314"/>
      <c r="DPO275" s="314"/>
      <c r="DPP275" s="314"/>
      <c r="DPQ275" s="314"/>
      <c r="DPR275" s="314"/>
      <c r="DPS275" s="314"/>
      <c r="DPT275" s="314"/>
      <c r="DPU275" s="314"/>
      <c r="DPV275" s="314"/>
      <c r="DPW275" s="314"/>
      <c r="DPX275" s="314"/>
      <c r="DPY275" s="314"/>
      <c r="DPZ275" s="314"/>
      <c r="DQA275" s="314"/>
      <c r="DQB275" s="314"/>
      <c r="DQC275" s="314"/>
      <c r="DQD275" s="314"/>
      <c r="DQE275" s="314"/>
      <c r="DQF275" s="314"/>
      <c r="DQG275" s="314"/>
      <c r="DQH275" s="314"/>
      <c r="DQI275" s="314"/>
      <c r="DQJ275" s="314"/>
      <c r="DQK275" s="314"/>
      <c r="DQL275" s="314"/>
      <c r="DQM275" s="314"/>
      <c r="DQN275" s="314"/>
      <c r="DQO275" s="314"/>
      <c r="DQP275" s="314"/>
      <c r="DQQ275" s="314"/>
      <c r="DQR275" s="314"/>
      <c r="DQS275" s="314"/>
      <c r="DQT275" s="314"/>
      <c r="DQU275" s="314"/>
      <c r="DQV275" s="314"/>
      <c r="DQW275" s="314"/>
      <c r="DQX275" s="314"/>
      <c r="DQY275" s="314"/>
      <c r="DQZ275" s="314"/>
      <c r="DRA275" s="314"/>
      <c r="DRB275" s="314"/>
      <c r="DRC275" s="314"/>
      <c r="DRD275" s="314"/>
      <c r="DRE275" s="314"/>
      <c r="DRF275" s="314"/>
      <c r="DRG275" s="314"/>
      <c r="DRH275" s="314"/>
      <c r="DRI275" s="314"/>
      <c r="DRJ275" s="314"/>
      <c r="DRK275" s="314"/>
      <c r="DRL275" s="314"/>
      <c r="DRM275" s="314"/>
      <c r="DRN275" s="314"/>
      <c r="DRO275" s="314"/>
      <c r="DRP275" s="314"/>
      <c r="DRQ275" s="314"/>
      <c r="DRR275" s="314"/>
      <c r="DRS275" s="314"/>
      <c r="DRT275" s="314"/>
      <c r="DRU275" s="314"/>
      <c r="DRV275" s="314"/>
      <c r="DRW275" s="314"/>
      <c r="DRX275" s="314"/>
      <c r="DRY275" s="314"/>
      <c r="DRZ275" s="314"/>
      <c r="DSA275" s="314"/>
      <c r="DSB275" s="314"/>
      <c r="DSC275" s="314"/>
      <c r="DSD275" s="314"/>
      <c r="DSE275" s="314"/>
      <c r="DSF275" s="314"/>
      <c r="DSG275" s="314"/>
      <c r="DSH275" s="314"/>
      <c r="DSI275" s="314"/>
      <c r="DSJ275" s="314"/>
      <c r="DSK275" s="314"/>
      <c r="DSL275" s="314"/>
      <c r="DSM275" s="314"/>
      <c r="DSN275" s="314"/>
      <c r="DSO275" s="314"/>
      <c r="DSP275" s="314"/>
      <c r="DSQ275" s="314"/>
      <c r="DSR275" s="314"/>
      <c r="DSS275" s="314"/>
      <c r="DST275" s="314"/>
      <c r="DSU275" s="314"/>
      <c r="DSV275" s="314"/>
      <c r="DSW275" s="314"/>
      <c r="DSX275" s="314"/>
      <c r="DSY275" s="314"/>
      <c r="DSZ275" s="314"/>
      <c r="DTA275" s="314"/>
      <c r="DTB275" s="314"/>
      <c r="DTC275" s="314"/>
      <c r="DTD275" s="314"/>
      <c r="DTE275" s="314"/>
      <c r="DTF275" s="314"/>
      <c r="DTG275" s="314"/>
      <c r="DTH275" s="314"/>
      <c r="DTI275" s="314"/>
      <c r="DTJ275" s="314"/>
      <c r="DTK275" s="314"/>
      <c r="DTL275" s="314"/>
      <c r="DTM275" s="314"/>
      <c r="DTN275" s="314"/>
      <c r="DTO275" s="314"/>
      <c r="DTP275" s="314"/>
      <c r="DTQ275" s="314"/>
      <c r="DTR275" s="314"/>
      <c r="DTS275" s="314"/>
      <c r="DTT275" s="314"/>
      <c r="DTU275" s="314"/>
      <c r="DTV275" s="314"/>
      <c r="DTW275" s="314"/>
      <c r="DTX275" s="314"/>
      <c r="DTY275" s="314"/>
      <c r="DTZ275" s="314"/>
      <c r="DUA275" s="314"/>
      <c r="DUB275" s="314"/>
      <c r="DUC275" s="314"/>
      <c r="DUD275" s="314"/>
      <c r="DUE275" s="314"/>
      <c r="DUF275" s="314"/>
      <c r="DUG275" s="314"/>
      <c r="DUH275" s="314"/>
      <c r="DUI275" s="314"/>
      <c r="DUJ275" s="314"/>
      <c r="DUK275" s="314"/>
      <c r="DUL275" s="314"/>
      <c r="DUM275" s="314"/>
      <c r="DUN275" s="314"/>
    </row>
    <row r="276" spans="1:3264" ht="15.75" x14ac:dyDescent="0.2">
      <c r="A276" s="313"/>
      <c r="B276" s="75"/>
      <c r="C276" s="74"/>
      <c r="D276" s="74"/>
      <c r="E276" s="74"/>
      <c r="F276" s="74"/>
      <c r="G276" s="75" t="s">
        <v>501</v>
      </c>
      <c r="H276" s="74" t="s">
        <v>250</v>
      </c>
      <c r="I276" s="74">
        <v>32.520000000000003</v>
      </c>
      <c r="J276" s="74">
        <f>aggregate10mm</f>
        <v>1420.97</v>
      </c>
      <c r="K276" s="74">
        <f>I276*J276</f>
        <v>46209.94</v>
      </c>
      <c r="L276" s="75" t="s">
        <v>3</v>
      </c>
      <c r="M276" s="74" t="s">
        <v>13</v>
      </c>
      <c r="N276" s="74">
        <v>6</v>
      </c>
      <c r="O276" s="74">
        <f>electricgenerator</f>
        <v>785</v>
      </c>
      <c r="P276" s="21">
        <f>N276*O276</f>
        <v>4710</v>
      </c>
      <c r="Q276" s="315"/>
      <c r="R276" s="314"/>
      <c r="S276" s="314"/>
      <c r="T276" s="314"/>
      <c r="U276" s="314"/>
      <c r="V276" s="314"/>
      <c r="W276" s="314"/>
      <c r="X276" s="314"/>
      <c r="Y276" s="314"/>
      <c r="Z276" s="314"/>
      <c r="AA276" s="314"/>
      <c r="AB276" s="314"/>
      <c r="AC276" s="314"/>
      <c r="AD276" s="314"/>
      <c r="AE276" s="314"/>
      <c r="AF276" s="314"/>
      <c r="AG276" s="314"/>
      <c r="AH276" s="314"/>
      <c r="AI276" s="314"/>
      <c r="AJ276" s="314"/>
      <c r="AK276" s="314"/>
      <c r="AL276" s="314"/>
      <c r="AM276" s="314"/>
      <c r="AN276" s="314"/>
      <c r="AO276" s="314"/>
      <c r="AP276" s="314"/>
      <c r="AQ276" s="314"/>
      <c r="AR276" s="314"/>
      <c r="AS276" s="314"/>
      <c r="AT276" s="314"/>
      <c r="AU276" s="314"/>
      <c r="AV276" s="314"/>
      <c r="AW276" s="314"/>
      <c r="AX276" s="314"/>
      <c r="AY276" s="314"/>
      <c r="AZ276" s="314"/>
      <c r="BA276" s="314"/>
      <c r="BB276" s="314"/>
      <c r="BC276" s="314"/>
      <c r="BD276" s="314"/>
      <c r="BE276" s="314"/>
      <c r="BF276" s="314"/>
      <c r="BG276" s="314"/>
      <c r="BH276" s="314"/>
      <c r="BI276" s="314"/>
      <c r="BJ276" s="314"/>
      <c r="BK276" s="314"/>
      <c r="BL276" s="314"/>
      <c r="BM276" s="314"/>
      <c r="BN276" s="314"/>
      <c r="BO276" s="314"/>
      <c r="BP276" s="314"/>
      <c r="BQ276" s="314"/>
      <c r="BR276" s="314"/>
      <c r="BS276" s="314"/>
      <c r="BT276" s="314"/>
      <c r="BU276" s="314"/>
      <c r="BV276" s="314"/>
      <c r="BW276" s="314"/>
      <c r="BX276" s="314"/>
      <c r="BY276" s="314"/>
      <c r="BZ276" s="314"/>
      <c r="CA276" s="314"/>
      <c r="CB276" s="314"/>
      <c r="CC276" s="314"/>
      <c r="CD276" s="314"/>
      <c r="CE276" s="314"/>
      <c r="CF276" s="314"/>
      <c r="CG276" s="314"/>
      <c r="CH276" s="314"/>
      <c r="CI276" s="314"/>
      <c r="CJ276" s="314"/>
      <c r="CK276" s="314"/>
      <c r="CL276" s="314"/>
      <c r="CM276" s="314"/>
      <c r="CN276" s="314"/>
      <c r="CO276" s="314"/>
      <c r="CP276" s="314"/>
      <c r="CQ276" s="314"/>
      <c r="CR276" s="314"/>
      <c r="CS276" s="314"/>
      <c r="CT276" s="314"/>
      <c r="CU276" s="314"/>
      <c r="CV276" s="314"/>
      <c r="CW276" s="314"/>
      <c r="CX276" s="314"/>
      <c r="CY276" s="314"/>
      <c r="CZ276" s="314"/>
      <c r="DA276" s="314"/>
      <c r="DB276" s="314"/>
      <c r="DC276" s="314"/>
      <c r="DD276" s="314"/>
      <c r="DE276" s="314"/>
      <c r="DF276" s="314"/>
      <c r="DG276" s="314"/>
      <c r="DH276" s="314"/>
      <c r="DI276" s="314"/>
      <c r="DJ276" s="314"/>
      <c r="DK276" s="314"/>
      <c r="DL276" s="314"/>
      <c r="DM276" s="314"/>
      <c r="DN276" s="314"/>
      <c r="DO276" s="314"/>
      <c r="DP276" s="314"/>
      <c r="DQ276" s="314"/>
      <c r="DR276" s="314"/>
      <c r="DS276" s="314"/>
      <c r="DT276" s="314"/>
      <c r="DU276" s="314"/>
      <c r="DV276" s="314"/>
      <c r="DW276" s="314"/>
      <c r="DX276" s="314"/>
      <c r="DY276" s="314"/>
      <c r="DZ276" s="314"/>
      <c r="EA276" s="314"/>
      <c r="EB276" s="314"/>
      <c r="EC276" s="314"/>
      <c r="ED276" s="314"/>
      <c r="EE276" s="314"/>
      <c r="EF276" s="314"/>
      <c r="EG276" s="314"/>
      <c r="EH276" s="314"/>
      <c r="EI276" s="314"/>
      <c r="EJ276" s="314"/>
      <c r="EK276" s="314"/>
      <c r="EL276" s="314"/>
      <c r="EM276" s="314"/>
      <c r="EN276" s="314"/>
      <c r="EO276" s="314"/>
      <c r="EP276" s="314"/>
      <c r="EQ276" s="314"/>
      <c r="ER276" s="314"/>
      <c r="ES276" s="314"/>
      <c r="ET276" s="314"/>
      <c r="EU276" s="314"/>
      <c r="EV276" s="314"/>
      <c r="EW276" s="314"/>
      <c r="EX276" s="314"/>
      <c r="EY276" s="314"/>
      <c r="EZ276" s="314"/>
      <c r="FA276" s="314"/>
      <c r="FB276" s="314"/>
      <c r="FC276" s="314"/>
      <c r="FD276" s="314"/>
      <c r="FE276" s="314"/>
      <c r="FF276" s="314"/>
      <c r="FG276" s="314"/>
      <c r="FH276" s="314"/>
      <c r="FI276" s="314"/>
      <c r="FJ276" s="314"/>
      <c r="FK276" s="314"/>
      <c r="FL276" s="314"/>
      <c r="FM276" s="314"/>
      <c r="FN276" s="314"/>
      <c r="FO276" s="314"/>
      <c r="FP276" s="314"/>
      <c r="FQ276" s="314"/>
      <c r="FR276" s="314"/>
      <c r="FS276" s="314"/>
      <c r="FT276" s="314"/>
      <c r="FU276" s="314"/>
      <c r="FV276" s="314"/>
      <c r="FW276" s="314"/>
      <c r="FX276" s="314"/>
      <c r="FY276" s="314"/>
      <c r="FZ276" s="314"/>
      <c r="GA276" s="314"/>
      <c r="GB276" s="314"/>
      <c r="GC276" s="314"/>
      <c r="GD276" s="314"/>
      <c r="GE276" s="314"/>
      <c r="GF276" s="314"/>
      <c r="GG276" s="314"/>
      <c r="GH276" s="314"/>
      <c r="GI276" s="314"/>
      <c r="GJ276" s="314"/>
      <c r="GK276" s="314"/>
      <c r="GL276" s="314"/>
      <c r="GM276" s="314"/>
      <c r="GN276" s="314"/>
      <c r="GO276" s="314"/>
      <c r="GP276" s="314"/>
      <c r="GQ276" s="314"/>
      <c r="GR276" s="314"/>
      <c r="GS276" s="314"/>
      <c r="GT276" s="314"/>
      <c r="GU276" s="314"/>
      <c r="GV276" s="314"/>
      <c r="GW276" s="314"/>
      <c r="GX276" s="314"/>
      <c r="GY276" s="314"/>
      <c r="GZ276" s="314"/>
      <c r="HA276" s="314"/>
      <c r="HB276" s="314"/>
      <c r="HC276" s="314"/>
      <c r="HD276" s="314"/>
      <c r="HE276" s="314"/>
      <c r="HF276" s="314"/>
      <c r="HG276" s="314"/>
      <c r="HH276" s="314"/>
      <c r="HI276" s="314"/>
      <c r="HJ276" s="314"/>
      <c r="HK276" s="314"/>
      <c r="HL276" s="314"/>
      <c r="HM276" s="314"/>
      <c r="HN276" s="314"/>
      <c r="HO276" s="314"/>
      <c r="HP276" s="314"/>
      <c r="HQ276" s="314"/>
      <c r="HR276" s="314"/>
      <c r="HS276" s="314"/>
      <c r="HT276" s="314"/>
      <c r="HU276" s="314"/>
      <c r="HV276" s="314"/>
      <c r="HW276" s="314"/>
      <c r="HX276" s="314"/>
      <c r="HY276" s="314"/>
      <c r="HZ276" s="314"/>
      <c r="IA276" s="314"/>
      <c r="IB276" s="314"/>
      <c r="IC276" s="314"/>
      <c r="ID276" s="314"/>
      <c r="IE276" s="314"/>
      <c r="IF276" s="314"/>
      <c r="IG276" s="314"/>
      <c r="IH276" s="314"/>
      <c r="II276" s="314"/>
      <c r="IJ276" s="314"/>
      <c r="IK276" s="314"/>
      <c r="IL276" s="314"/>
      <c r="IM276" s="314"/>
      <c r="IN276" s="314"/>
      <c r="IO276" s="314"/>
      <c r="IP276" s="314"/>
      <c r="IQ276" s="314"/>
      <c r="IR276" s="314"/>
      <c r="IS276" s="314"/>
      <c r="IT276" s="314"/>
      <c r="IU276" s="314"/>
      <c r="IV276" s="314"/>
      <c r="IW276" s="314"/>
      <c r="IX276" s="314"/>
      <c r="IY276" s="314"/>
      <c r="IZ276" s="314"/>
      <c r="JA276" s="314"/>
      <c r="JB276" s="314"/>
      <c r="JC276" s="314"/>
      <c r="JD276" s="314"/>
      <c r="JE276" s="314"/>
      <c r="JF276" s="314"/>
      <c r="JG276" s="314"/>
      <c r="JH276" s="314"/>
      <c r="JI276" s="314"/>
      <c r="JJ276" s="314"/>
      <c r="JK276" s="314"/>
      <c r="JL276" s="314"/>
      <c r="JM276" s="314"/>
      <c r="JN276" s="314"/>
      <c r="JO276" s="314"/>
      <c r="JP276" s="314"/>
      <c r="JQ276" s="314"/>
      <c r="JR276" s="314"/>
      <c r="JS276" s="314"/>
      <c r="JT276" s="314"/>
      <c r="JU276" s="314"/>
      <c r="JV276" s="314"/>
      <c r="JW276" s="314"/>
      <c r="JX276" s="314"/>
      <c r="JY276" s="314"/>
      <c r="JZ276" s="314"/>
      <c r="KA276" s="314"/>
      <c r="KB276" s="314"/>
      <c r="KC276" s="314"/>
      <c r="KD276" s="314"/>
      <c r="KE276" s="314"/>
      <c r="KF276" s="314"/>
      <c r="KG276" s="314"/>
      <c r="KH276" s="314"/>
      <c r="KI276" s="314"/>
      <c r="KJ276" s="314"/>
      <c r="KK276" s="314"/>
      <c r="KL276" s="314"/>
      <c r="KM276" s="314"/>
      <c r="KN276" s="314"/>
      <c r="KO276" s="314"/>
      <c r="KP276" s="314"/>
      <c r="KQ276" s="314"/>
      <c r="KR276" s="314"/>
      <c r="KS276" s="314"/>
      <c r="KT276" s="314"/>
      <c r="KU276" s="314"/>
      <c r="KV276" s="314"/>
      <c r="KW276" s="314"/>
      <c r="KX276" s="314"/>
      <c r="KY276" s="314"/>
      <c r="KZ276" s="314"/>
      <c r="LA276" s="314"/>
      <c r="LB276" s="314"/>
      <c r="LC276" s="314"/>
      <c r="LD276" s="314"/>
      <c r="LE276" s="314"/>
      <c r="LF276" s="314"/>
      <c r="LG276" s="314"/>
      <c r="LH276" s="314"/>
      <c r="LI276" s="314"/>
      <c r="LJ276" s="314"/>
      <c r="LK276" s="314"/>
      <c r="LL276" s="314"/>
      <c r="LM276" s="314"/>
      <c r="LN276" s="314"/>
      <c r="LO276" s="314"/>
      <c r="LP276" s="314"/>
      <c r="LQ276" s="314"/>
      <c r="LR276" s="314"/>
      <c r="LS276" s="314"/>
      <c r="LT276" s="314"/>
      <c r="LU276" s="314"/>
      <c r="LV276" s="314"/>
      <c r="LW276" s="314"/>
      <c r="LX276" s="314"/>
      <c r="LY276" s="314"/>
      <c r="LZ276" s="314"/>
      <c r="MA276" s="314"/>
      <c r="MB276" s="314"/>
      <c r="MC276" s="314"/>
      <c r="MD276" s="314"/>
      <c r="ME276" s="314"/>
      <c r="MF276" s="314"/>
      <c r="MG276" s="314"/>
      <c r="MH276" s="314"/>
      <c r="MI276" s="314"/>
      <c r="MJ276" s="314"/>
      <c r="MK276" s="314"/>
      <c r="ML276" s="314"/>
      <c r="MM276" s="314"/>
      <c r="MN276" s="314"/>
      <c r="MO276" s="314"/>
      <c r="MP276" s="314"/>
      <c r="MQ276" s="314"/>
      <c r="MR276" s="314"/>
      <c r="MS276" s="314"/>
      <c r="MT276" s="314"/>
      <c r="MU276" s="314"/>
      <c r="MV276" s="314"/>
      <c r="MW276" s="314"/>
      <c r="MX276" s="314"/>
      <c r="MY276" s="314"/>
      <c r="MZ276" s="314"/>
      <c r="NA276" s="314"/>
      <c r="NB276" s="314"/>
      <c r="NC276" s="314"/>
      <c r="ND276" s="314"/>
      <c r="NE276" s="314"/>
      <c r="NF276" s="314"/>
      <c r="NG276" s="314"/>
      <c r="NH276" s="314"/>
      <c r="NI276" s="314"/>
      <c r="NJ276" s="314"/>
      <c r="NK276" s="314"/>
      <c r="NL276" s="314"/>
      <c r="NM276" s="314"/>
      <c r="NN276" s="314"/>
      <c r="NO276" s="314"/>
      <c r="NP276" s="314"/>
      <c r="NQ276" s="314"/>
      <c r="NR276" s="314"/>
      <c r="NS276" s="314"/>
      <c r="NT276" s="314"/>
      <c r="NU276" s="314"/>
      <c r="NV276" s="314"/>
      <c r="NW276" s="314"/>
      <c r="NX276" s="314"/>
      <c r="NY276" s="314"/>
      <c r="NZ276" s="314"/>
      <c r="OA276" s="314"/>
      <c r="OB276" s="314"/>
      <c r="OC276" s="314"/>
      <c r="OD276" s="314"/>
      <c r="OE276" s="314"/>
      <c r="OF276" s="314"/>
      <c r="OG276" s="314"/>
      <c r="OH276" s="314"/>
      <c r="OI276" s="314"/>
      <c r="OJ276" s="314"/>
      <c r="OK276" s="314"/>
      <c r="OL276" s="314"/>
      <c r="OM276" s="314"/>
      <c r="ON276" s="314"/>
      <c r="OO276" s="314"/>
      <c r="OP276" s="314"/>
      <c r="OQ276" s="314"/>
      <c r="OR276" s="314"/>
      <c r="OS276" s="314"/>
      <c r="OT276" s="314"/>
      <c r="OU276" s="314"/>
      <c r="OV276" s="314"/>
      <c r="OW276" s="314"/>
      <c r="OX276" s="314"/>
      <c r="OY276" s="314"/>
      <c r="OZ276" s="314"/>
      <c r="PA276" s="314"/>
      <c r="PB276" s="314"/>
      <c r="PC276" s="314"/>
      <c r="PD276" s="314"/>
      <c r="PE276" s="314"/>
      <c r="PF276" s="314"/>
      <c r="PG276" s="314"/>
      <c r="PH276" s="314"/>
      <c r="PI276" s="314"/>
      <c r="PJ276" s="314"/>
      <c r="PK276" s="314"/>
      <c r="PL276" s="314"/>
      <c r="PM276" s="314"/>
      <c r="PN276" s="314"/>
      <c r="PO276" s="314"/>
      <c r="PP276" s="314"/>
      <c r="PQ276" s="314"/>
      <c r="PR276" s="314"/>
      <c r="PS276" s="314"/>
      <c r="PT276" s="314"/>
      <c r="PU276" s="314"/>
      <c r="PV276" s="314"/>
      <c r="PW276" s="314"/>
      <c r="PX276" s="314"/>
      <c r="PY276" s="314"/>
      <c r="PZ276" s="314"/>
      <c r="QA276" s="314"/>
      <c r="QB276" s="314"/>
      <c r="QC276" s="314"/>
      <c r="QD276" s="314"/>
      <c r="QE276" s="314"/>
      <c r="QF276" s="314"/>
      <c r="QG276" s="314"/>
      <c r="QH276" s="314"/>
      <c r="QI276" s="314"/>
      <c r="QJ276" s="314"/>
      <c r="QK276" s="314"/>
      <c r="QL276" s="314"/>
      <c r="QM276" s="314"/>
      <c r="QN276" s="314"/>
      <c r="QO276" s="314"/>
      <c r="QP276" s="314"/>
      <c r="QQ276" s="314"/>
      <c r="QR276" s="314"/>
      <c r="QS276" s="314"/>
      <c r="QT276" s="314"/>
      <c r="QU276" s="314"/>
      <c r="QV276" s="314"/>
      <c r="QW276" s="314"/>
      <c r="QX276" s="314"/>
      <c r="QY276" s="314"/>
      <c r="QZ276" s="314"/>
      <c r="RA276" s="314"/>
      <c r="RB276" s="314"/>
      <c r="RC276" s="314"/>
      <c r="RD276" s="314"/>
      <c r="RE276" s="314"/>
      <c r="RF276" s="314"/>
      <c r="RG276" s="314"/>
      <c r="RH276" s="314"/>
      <c r="RI276" s="314"/>
      <c r="RJ276" s="314"/>
      <c r="RK276" s="314"/>
      <c r="RL276" s="314"/>
      <c r="RM276" s="314"/>
      <c r="RN276" s="314"/>
      <c r="RO276" s="314"/>
      <c r="RP276" s="314"/>
      <c r="RQ276" s="314"/>
      <c r="RR276" s="314"/>
      <c r="RS276" s="314"/>
      <c r="RT276" s="314"/>
      <c r="RU276" s="314"/>
      <c r="RV276" s="314"/>
      <c r="RW276" s="314"/>
      <c r="RX276" s="314"/>
      <c r="RY276" s="314"/>
      <c r="RZ276" s="314"/>
      <c r="SA276" s="314"/>
      <c r="SB276" s="314"/>
      <c r="SC276" s="314"/>
      <c r="SD276" s="314"/>
      <c r="SE276" s="314"/>
      <c r="SF276" s="314"/>
      <c r="SG276" s="314"/>
      <c r="SH276" s="314"/>
      <c r="SI276" s="314"/>
      <c r="SJ276" s="314"/>
      <c r="SK276" s="314"/>
      <c r="SL276" s="314"/>
      <c r="SM276" s="314"/>
      <c r="SN276" s="314"/>
      <c r="SO276" s="314"/>
      <c r="SP276" s="314"/>
      <c r="SQ276" s="314"/>
      <c r="SR276" s="314"/>
      <c r="SS276" s="314"/>
      <c r="ST276" s="314"/>
      <c r="SU276" s="314"/>
      <c r="SV276" s="314"/>
      <c r="SW276" s="314"/>
      <c r="SX276" s="314"/>
      <c r="SY276" s="314"/>
      <c r="SZ276" s="314"/>
      <c r="TA276" s="314"/>
      <c r="TB276" s="314"/>
      <c r="TC276" s="314"/>
      <c r="TD276" s="314"/>
      <c r="TE276" s="314"/>
      <c r="TF276" s="314"/>
      <c r="TG276" s="314"/>
      <c r="TH276" s="314"/>
      <c r="TI276" s="314"/>
      <c r="TJ276" s="314"/>
      <c r="TK276" s="314"/>
      <c r="TL276" s="314"/>
      <c r="TM276" s="314"/>
      <c r="TN276" s="314"/>
      <c r="TO276" s="314"/>
      <c r="TP276" s="314"/>
      <c r="TQ276" s="314"/>
      <c r="TR276" s="314"/>
      <c r="TS276" s="314"/>
      <c r="TT276" s="314"/>
      <c r="TU276" s="314"/>
      <c r="TV276" s="314"/>
      <c r="TW276" s="314"/>
      <c r="TX276" s="314"/>
      <c r="TY276" s="314"/>
      <c r="TZ276" s="314"/>
      <c r="UA276" s="314"/>
      <c r="UB276" s="314"/>
      <c r="UC276" s="314"/>
      <c r="UD276" s="314"/>
      <c r="UE276" s="314"/>
      <c r="UF276" s="314"/>
      <c r="UG276" s="314"/>
      <c r="UH276" s="314"/>
      <c r="UI276" s="314"/>
      <c r="UJ276" s="314"/>
      <c r="UK276" s="314"/>
      <c r="UL276" s="314"/>
      <c r="UM276" s="314"/>
      <c r="UN276" s="314"/>
      <c r="UO276" s="314"/>
      <c r="UP276" s="314"/>
      <c r="UQ276" s="314"/>
      <c r="UR276" s="314"/>
      <c r="US276" s="314"/>
      <c r="UT276" s="314"/>
      <c r="UU276" s="314"/>
      <c r="UV276" s="314"/>
      <c r="UW276" s="314"/>
      <c r="UX276" s="314"/>
      <c r="UY276" s="314"/>
      <c r="UZ276" s="314"/>
      <c r="VA276" s="314"/>
      <c r="VB276" s="314"/>
      <c r="VC276" s="314"/>
      <c r="VD276" s="314"/>
      <c r="VE276" s="314"/>
      <c r="VF276" s="314"/>
      <c r="VG276" s="314"/>
      <c r="VH276" s="314"/>
      <c r="VI276" s="314"/>
      <c r="VJ276" s="314"/>
      <c r="VK276" s="314"/>
      <c r="VL276" s="314"/>
      <c r="VM276" s="314"/>
      <c r="VN276" s="314"/>
      <c r="VO276" s="314"/>
      <c r="VP276" s="314"/>
      <c r="VQ276" s="314"/>
      <c r="VR276" s="314"/>
      <c r="VS276" s="314"/>
      <c r="VT276" s="314"/>
      <c r="VU276" s="314"/>
      <c r="VV276" s="314"/>
      <c r="VW276" s="314"/>
      <c r="VX276" s="314"/>
      <c r="VY276" s="314"/>
      <c r="VZ276" s="314"/>
      <c r="WA276" s="314"/>
      <c r="WB276" s="314"/>
      <c r="WC276" s="314"/>
      <c r="WD276" s="314"/>
      <c r="WE276" s="314"/>
      <c r="WF276" s="314"/>
      <c r="WG276" s="314"/>
      <c r="WH276" s="314"/>
      <c r="WI276" s="314"/>
      <c r="WJ276" s="314"/>
      <c r="WK276" s="314"/>
      <c r="WL276" s="314"/>
      <c r="WM276" s="314"/>
      <c r="WN276" s="314"/>
      <c r="WO276" s="314"/>
      <c r="WP276" s="314"/>
      <c r="WQ276" s="314"/>
      <c r="WR276" s="314"/>
      <c r="WS276" s="314"/>
      <c r="WT276" s="314"/>
      <c r="WU276" s="314"/>
      <c r="WV276" s="314"/>
      <c r="WW276" s="314"/>
      <c r="WX276" s="314"/>
      <c r="WY276" s="314"/>
      <c r="WZ276" s="314"/>
      <c r="XA276" s="314"/>
      <c r="XB276" s="314"/>
      <c r="XC276" s="314"/>
      <c r="XD276" s="314"/>
      <c r="XE276" s="314"/>
      <c r="XF276" s="314"/>
      <c r="XG276" s="314"/>
      <c r="XH276" s="314"/>
      <c r="XI276" s="314"/>
      <c r="XJ276" s="314"/>
      <c r="XK276" s="314"/>
      <c r="XL276" s="314"/>
      <c r="XM276" s="314"/>
      <c r="XN276" s="314"/>
      <c r="XO276" s="314"/>
      <c r="XP276" s="314"/>
      <c r="XQ276" s="314"/>
      <c r="XR276" s="314"/>
      <c r="XS276" s="314"/>
      <c r="XT276" s="314"/>
      <c r="XU276" s="314"/>
      <c r="XV276" s="314"/>
      <c r="XW276" s="314"/>
      <c r="XX276" s="314"/>
      <c r="XY276" s="314"/>
      <c r="XZ276" s="314"/>
      <c r="YA276" s="314"/>
      <c r="YB276" s="314"/>
      <c r="YC276" s="314"/>
      <c r="YD276" s="314"/>
      <c r="YE276" s="314"/>
      <c r="YF276" s="314"/>
      <c r="YG276" s="314"/>
      <c r="YH276" s="314"/>
      <c r="YI276" s="314"/>
      <c r="YJ276" s="314"/>
      <c r="YK276" s="314"/>
      <c r="YL276" s="314"/>
      <c r="YM276" s="314"/>
      <c r="YN276" s="314"/>
      <c r="YO276" s="314"/>
      <c r="YP276" s="314"/>
      <c r="YQ276" s="314"/>
      <c r="YR276" s="314"/>
      <c r="YS276" s="314"/>
      <c r="YT276" s="314"/>
      <c r="YU276" s="314"/>
      <c r="YV276" s="314"/>
      <c r="YW276" s="314"/>
      <c r="YX276" s="314"/>
      <c r="YY276" s="314"/>
      <c r="YZ276" s="314"/>
      <c r="ZA276" s="314"/>
      <c r="ZB276" s="314"/>
      <c r="ZC276" s="314"/>
      <c r="ZD276" s="314"/>
      <c r="ZE276" s="314"/>
      <c r="ZF276" s="314"/>
      <c r="ZG276" s="314"/>
      <c r="ZH276" s="314"/>
      <c r="ZI276" s="314"/>
      <c r="ZJ276" s="314"/>
      <c r="ZK276" s="314"/>
      <c r="ZL276" s="314"/>
      <c r="ZM276" s="314"/>
      <c r="ZN276" s="314"/>
      <c r="ZO276" s="314"/>
      <c r="ZP276" s="314"/>
      <c r="ZQ276" s="314"/>
      <c r="ZR276" s="314"/>
      <c r="ZS276" s="314"/>
      <c r="ZT276" s="314"/>
      <c r="ZU276" s="314"/>
      <c r="ZV276" s="314"/>
      <c r="ZW276" s="314"/>
      <c r="ZX276" s="314"/>
      <c r="ZY276" s="314"/>
      <c r="ZZ276" s="314"/>
      <c r="AAA276" s="314"/>
      <c r="AAB276" s="314"/>
      <c r="AAC276" s="314"/>
      <c r="AAD276" s="314"/>
      <c r="AAE276" s="314"/>
      <c r="AAF276" s="314"/>
      <c r="AAG276" s="314"/>
      <c r="AAH276" s="314"/>
      <c r="AAI276" s="314"/>
      <c r="AAJ276" s="314"/>
      <c r="AAK276" s="314"/>
      <c r="AAL276" s="314"/>
      <c r="AAM276" s="314"/>
      <c r="AAN276" s="314"/>
      <c r="AAO276" s="314"/>
      <c r="AAP276" s="314"/>
      <c r="AAQ276" s="314"/>
      <c r="AAR276" s="314"/>
      <c r="AAS276" s="314"/>
      <c r="AAT276" s="314"/>
      <c r="AAU276" s="314"/>
      <c r="AAV276" s="314"/>
      <c r="AAW276" s="314"/>
      <c r="AAX276" s="314"/>
      <c r="AAY276" s="314"/>
      <c r="AAZ276" s="314"/>
      <c r="ABA276" s="314"/>
      <c r="ABB276" s="314"/>
      <c r="ABC276" s="314"/>
      <c r="ABD276" s="314"/>
      <c r="ABE276" s="314"/>
      <c r="ABF276" s="314"/>
      <c r="ABG276" s="314"/>
      <c r="ABH276" s="314"/>
      <c r="ABI276" s="314"/>
      <c r="ABJ276" s="314"/>
      <c r="ABK276" s="314"/>
      <c r="ABL276" s="314"/>
      <c r="ABM276" s="314"/>
      <c r="ABN276" s="314"/>
      <c r="ABO276" s="314"/>
      <c r="ABP276" s="314"/>
      <c r="ABQ276" s="314"/>
      <c r="ABR276" s="314"/>
      <c r="ABS276" s="314"/>
      <c r="ABT276" s="314"/>
      <c r="ABU276" s="314"/>
      <c r="ABV276" s="314"/>
      <c r="ABW276" s="314"/>
      <c r="ABX276" s="314"/>
      <c r="ABY276" s="314"/>
      <c r="ABZ276" s="314"/>
      <c r="ACA276" s="314"/>
      <c r="ACB276" s="314"/>
      <c r="ACC276" s="314"/>
      <c r="ACD276" s="314"/>
      <c r="ACE276" s="314"/>
      <c r="ACF276" s="314"/>
      <c r="ACG276" s="314"/>
      <c r="ACH276" s="314"/>
      <c r="ACI276" s="314"/>
      <c r="ACJ276" s="314"/>
      <c r="ACK276" s="314"/>
      <c r="ACL276" s="314"/>
      <c r="ACM276" s="314"/>
      <c r="ACN276" s="314"/>
      <c r="ACO276" s="314"/>
      <c r="ACP276" s="314"/>
      <c r="ACQ276" s="314"/>
      <c r="ACR276" s="314"/>
      <c r="ACS276" s="314"/>
      <c r="ACT276" s="314"/>
      <c r="ACU276" s="314"/>
      <c r="ACV276" s="314"/>
      <c r="ACW276" s="314"/>
      <c r="ACX276" s="314"/>
      <c r="ACY276" s="314"/>
      <c r="ACZ276" s="314"/>
      <c r="ADA276" s="314"/>
      <c r="ADB276" s="314"/>
      <c r="ADC276" s="314"/>
      <c r="ADD276" s="314"/>
      <c r="ADE276" s="314"/>
      <c r="ADF276" s="314"/>
      <c r="ADG276" s="314"/>
      <c r="ADH276" s="314"/>
      <c r="ADI276" s="314"/>
      <c r="ADJ276" s="314"/>
      <c r="ADK276" s="314"/>
      <c r="ADL276" s="314"/>
      <c r="ADM276" s="314"/>
      <c r="ADN276" s="314"/>
      <c r="ADO276" s="314"/>
      <c r="ADP276" s="314"/>
      <c r="ADQ276" s="314"/>
      <c r="ADR276" s="314"/>
      <c r="ADS276" s="314"/>
      <c r="ADT276" s="314"/>
      <c r="ADU276" s="314"/>
      <c r="ADV276" s="314"/>
      <c r="ADW276" s="314"/>
      <c r="ADX276" s="314"/>
      <c r="ADY276" s="314"/>
      <c r="ADZ276" s="314"/>
      <c r="AEA276" s="314"/>
      <c r="AEB276" s="314"/>
      <c r="AEC276" s="314"/>
      <c r="AED276" s="314"/>
      <c r="AEE276" s="314"/>
      <c r="AEF276" s="314"/>
      <c r="AEG276" s="314"/>
      <c r="AEH276" s="314"/>
      <c r="AEI276" s="314"/>
      <c r="AEJ276" s="314"/>
      <c r="AEK276" s="314"/>
      <c r="AEL276" s="314"/>
      <c r="AEM276" s="314"/>
      <c r="AEN276" s="314"/>
      <c r="AEO276" s="314"/>
      <c r="AEP276" s="314"/>
      <c r="AEQ276" s="314"/>
      <c r="AER276" s="314"/>
      <c r="AES276" s="314"/>
      <c r="AET276" s="314"/>
      <c r="AEU276" s="314"/>
      <c r="AEV276" s="314"/>
      <c r="AEW276" s="314"/>
      <c r="AEX276" s="314"/>
      <c r="AEY276" s="314"/>
      <c r="AEZ276" s="314"/>
      <c r="AFA276" s="314"/>
      <c r="AFB276" s="314"/>
      <c r="AFC276" s="314"/>
      <c r="AFD276" s="314"/>
      <c r="AFE276" s="314"/>
      <c r="AFF276" s="314"/>
      <c r="AFG276" s="314"/>
      <c r="AFH276" s="314"/>
      <c r="AFI276" s="314"/>
      <c r="AFJ276" s="314"/>
      <c r="AFK276" s="314"/>
      <c r="AFL276" s="314"/>
      <c r="AFM276" s="314"/>
      <c r="AFN276" s="314"/>
      <c r="AFO276" s="314"/>
      <c r="AFP276" s="314"/>
      <c r="AFQ276" s="314"/>
      <c r="AFR276" s="314"/>
      <c r="AFS276" s="314"/>
      <c r="AFT276" s="314"/>
      <c r="AFU276" s="314"/>
      <c r="AFV276" s="314"/>
      <c r="AFW276" s="314"/>
      <c r="AFX276" s="314"/>
      <c r="AFY276" s="314"/>
      <c r="AFZ276" s="314"/>
      <c r="AGA276" s="314"/>
      <c r="AGB276" s="314"/>
      <c r="AGC276" s="314"/>
      <c r="AGD276" s="314"/>
      <c r="AGE276" s="314"/>
      <c r="AGF276" s="314"/>
      <c r="AGG276" s="314"/>
      <c r="AGH276" s="314"/>
      <c r="AGI276" s="314"/>
      <c r="AGJ276" s="314"/>
      <c r="AGK276" s="314"/>
      <c r="AGL276" s="314"/>
      <c r="AGM276" s="314"/>
      <c r="AGN276" s="314"/>
      <c r="AGO276" s="314"/>
      <c r="AGP276" s="314"/>
      <c r="AGQ276" s="314"/>
      <c r="AGR276" s="314"/>
      <c r="AGS276" s="314"/>
      <c r="AGT276" s="314"/>
      <c r="AGU276" s="314"/>
      <c r="AGV276" s="314"/>
      <c r="AGW276" s="314"/>
      <c r="AGX276" s="314"/>
      <c r="AGY276" s="314"/>
      <c r="AGZ276" s="314"/>
      <c r="AHA276" s="314"/>
      <c r="AHB276" s="314"/>
      <c r="AHC276" s="314"/>
      <c r="AHD276" s="314"/>
      <c r="AHE276" s="314"/>
      <c r="AHF276" s="314"/>
      <c r="AHG276" s="314"/>
      <c r="AHH276" s="314"/>
      <c r="AHI276" s="314"/>
      <c r="AHJ276" s="314"/>
      <c r="AHK276" s="314"/>
      <c r="AHL276" s="314"/>
      <c r="AHM276" s="314"/>
      <c r="AHN276" s="314"/>
      <c r="AHO276" s="314"/>
      <c r="AHP276" s="314"/>
      <c r="AHQ276" s="314"/>
      <c r="AHR276" s="314"/>
      <c r="AHS276" s="314"/>
      <c r="AHT276" s="314"/>
      <c r="AHU276" s="314"/>
      <c r="AHV276" s="314"/>
      <c r="AHW276" s="314"/>
      <c r="AHX276" s="314"/>
      <c r="AHY276" s="314"/>
      <c r="AHZ276" s="314"/>
      <c r="AIA276" s="314"/>
      <c r="AIB276" s="314"/>
      <c r="AIC276" s="314"/>
      <c r="AID276" s="314"/>
      <c r="AIE276" s="314"/>
      <c r="AIF276" s="314"/>
      <c r="AIG276" s="314"/>
      <c r="AIH276" s="314"/>
      <c r="AII276" s="314"/>
      <c r="AIJ276" s="314"/>
      <c r="AIK276" s="314"/>
      <c r="AIL276" s="314"/>
      <c r="AIM276" s="314"/>
      <c r="AIN276" s="314"/>
      <c r="AIO276" s="314"/>
      <c r="AIP276" s="314"/>
      <c r="AIQ276" s="314"/>
      <c r="AIR276" s="314"/>
      <c r="AIS276" s="314"/>
      <c r="AIT276" s="314"/>
      <c r="AIU276" s="314"/>
      <c r="AIV276" s="314"/>
      <c r="AIW276" s="314"/>
      <c r="AIX276" s="314"/>
      <c r="AIY276" s="314"/>
      <c r="AIZ276" s="314"/>
      <c r="AJA276" s="314"/>
      <c r="AJB276" s="314"/>
      <c r="AJC276" s="314"/>
      <c r="AJD276" s="314"/>
      <c r="AJE276" s="314"/>
      <c r="AJF276" s="314"/>
      <c r="AJG276" s="314"/>
      <c r="AJH276" s="314"/>
      <c r="AJI276" s="314"/>
      <c r="AJJ276" s="314"/>
      <c r="AJK276" s="314"/>
      <c r="AJL276" s="314"/>
      <c r="AJM276" s="314"/>
      <c r="AJN276" s="314"/>
      <c r="AJO276" s="314"/>
      <c r="AJP276" s="314"/>
      <c r="AJQ276" s="314"/>
      <c r="AJR276" s="314"/>
      <c r="AJS276" s="314"/>
      <c r="AJT276" s="314"/>
      <c r="AJU276" s="314"/>
      <c r="AJV276" s="314"/>
      <c r="AJW276" s="314"/>
      <c r="AJX276" s="314"/>
      <c r="AJY276" s="314"/>
      <c r="AJZ276" s="314"/>
      <c r="AKA276" s="314"/>
      <c r="AKB276" s="314"/>
      <c r="AKC276" s="314"/>
      <c r="AKD276" s="314"/>
      <c r="AKE276" s="314"/>
      <c r="AKF276" s="314"/>
      <c r="AKG276" s="314"/>
      <c r="AKH276" s="314"/>
      <c r="AKI276" s="314"/>
      <c r="AKJ276" s="314"/>
      <c r="AKK276" s="314"/>
      <c r="AKL276" s="314"/>
      <c r="AKM276" s="314"/>
      <c r="AKN276" s="314"/>
      <c r="AKO276" s="314"/>
      <c r="AKP276" s="314"/>
      <c r="AKQ276" s="314"/>
      <c r="AKR276" s="314"/>
      <c r="AKS276" s="314"/>
      <c r="AKT276" s="314"/>
      <c r="AKU276" s="314"/>
      <c r="AKV276" s="314"/>
      <c r="AKW276" s="314"/>
      <c r="AKX276" s="314"/>
      <c r="AKY276" s="314"/>
      <c r="AKZ276" s="314"/>
      <c r="ALA276" s="314"/>
      <c r="ALB276" s="314"/>
      <c r="ALC276" s="314"/>
      <c r="ALD276" s="314"/>
      <c r="ALE276" s="314"/>
      <c r="ALF276" s="314"/>
      <c r="ALG276" s="314"/>
      <c r="ALH276" s="314"/>
      <c r="ALI276" s="314"/>
      <c r="ALJ276" s="314"/>
      <c r="ALK276" s="314"/>
      <c r="ALL276" s="314"/>
      <c r="ALM276" s="314"/>
      <c r="ALN276" s="314"/>
      <c r="ALO276" s="314"/>
      <c r="ALP276" s="314"/>
      <c r="ALQ276" s="314"/>
      <c r="ALR276" s="314"/>
      <c r="ALS276" s="314"/>
      <c r="ALT276" s="314"/>
      <c r="ALU276" s="314"/>
      <c r="ALV276" s="314"/>
      <c r="ALW276" s="314"/>
      <c r="ALX276" s="314"/>
      <c r="ALY276" s="314"/>
      <c r="ALZ276" s="314"/>
      <c r="AMA276" s="314"/>
      <c r="AMB276" s="314"/>
      <c r="AMC276" s="314"/>
      <c r="AMD276" s="314"/>
      <c r="AME276" s="314"/>
      <c r="AMF276" s="314"/>
      <c r="AMG276" s="314"/>
      <c r="AMH276" s="314"/>
      <c r="AMI276" s="314"/>
      <c r="AMJ276" s="314"/>
      <c r="AMK276" s="314"/>
      <c r="AML276" s="314"/>
      <c r="AMM276" s="314"/>
      <c r="AMN276" s="314"/>
      <c r="AMO276" s="314"/>
      <c r="AMP276" s="314"/>
      <c r="AMQ276" s="314"/>
      <c r="AMR276" s="314"/>
      <c r="AMS276" s="314"/>
      <c r="AMT276" s="314"/>
      <c r="AMU276" s="314"/>
      <c r="AMV276" s="314"/>
      <c r="AMW276" s="314"/>
      <c r="AMX276" s="314"/>
      <c r="AMY276" s="314"/>
      <c r="AMZ276" s="314"/>
      <c r="ANA276" s="314"/>
      <c r="ANB276" s="314"/>
      <c r="ANC276" s="314"/>
      <c r="AND276" s="314"/>
      <c r="ANE276" s="314"/>
      <c r="ANF276" s="314"/>
      <c r="ANG276" s="314"/>
      <c r="ANH276" s="314"/>
      <c r="ANI276" s="314"/>
      <c r="ANJ276" s="314"/>
      <c r="ANK276" s="314"/>
      <c r="ANL276" s="314"/>
      <c r="ANM276" s="314"/>
      <c r="ANN276" s="314"/>
      <c r="ANO276" s="314"/>
      <c r="ANP276" s="314"/>
      <c r="ANQ276" s="314"/>
      <c r="ANR276" s="314"/>
      <c r="ANS276" s="314"/>
      <c r="ANT276" s="314"/>
      <c r="ANU276" s="314"/>
      <c r="ANV276" s="314"/>
      <c r="ANW276" s="314"/>
      <c r="ANX276" s="314"/>
      <c r="ANY276" s="314"/>
      <c r="ANZ276" s="314"/>
      <c r="AOA276" s="314"/>
      <c r="AOB276" s="314"/>
      <c r="AOC276" s="314"/>
      <c r="AOD276" s="314"/>
      <c r="AOE276" s="314"/>
      <c r="AOF276" s="314"/>
      <c r="AOG276" s="314"/>
      <c r="AOH276" s="314"/>
      <c r="AOI276" s="314"/>
      <c r="AOJ276" s="314"/>
      <c r="AOK276" s="314"/>
      <c r="AOL276" s="314"/>
      <c r="AOM276" s="314"/>
      <c r="AON276" s="314"/>
      <c r="AOO276" s="314"/>
      <c r="AOP276" s="314"/>
      <c r="AOQ276" s="314"/>
      <c r="AOR276" s="314"/>
      <c r="AOS276" s="314"/>
      <c r="AOT276" s="314"/>
      <c r="AOU276" s="314"/>
      <c r="AOV276" s="314"/>
      <c r="AOW276" s="314"/>
      <c r="AOX276" s="314"/>
      <c r="AOY276" s="314"/>
      <c r="AOZ276" s="314"/>
      <c r="APA276" s="314"/>
      <c r="APB276" s="314"/>
      <c r="APC276" s="314"/>
      <c r="APD276" s="314"/>
      <c r="APE276" s="314"/>
      <c r="APF276" s="314"/>
      <c r="APG276" s="314"/>
      <c r="APH276" s="314"/>
      <c r="API276" s="314"/>
      <c r="APJ276" s="314"/>
      <c r="APK276" s="314"/>
      <c r="APL276" s="314"/>
      <c r="APM276" s="314"/>
      <c r="APN276" s="314"/>
      <c r="APO276" s="314"/>
      <c r="APP276" s="314"/>
      <c r="APQ276" s="314"/>
      <c r="APR276" s="314"/>
      <c r="APS276" s="314"/>
      <c r="APT276" s="314"/>
      <c r="APU276" s="314"/>
      <c r="APV276" s="314"/>
      <c r="APW276" s="314"/>
      <c r="APX276" s="314"/>
      <c r="APY276" s="314"/>
      <c r="APZ276" s="314"/>
      <c r="AQA276" s="314"/>
      <c r="AQB276" s="314"/>
      <c r="AQC276" s="314"/>
      <c r="AQD276" s="314"/>
      <c r="AQE276" s="314"/>
      <c r="AQF276" s="314"/>
      <c r="AQG276" s="314"/>
      <c r="AQH276" s="314"/>
      <c r="AQI276" s="314"/>
      <c r="AQJ276" s="314"/>
      <c r="AQK276" s="314"/>
      <c r="AQL276" s="314"/>
      <c r="AQM276" s="314"/>
      <c r="AQN276" s="314"/>
      <c r="AQO276" s="314"/>
      <c r="AQP276" s="314"/>
      <c r="AQQ276" s="314"/>
      <c r="AQR276" s="314"/>
      <c r="AQS276" s="314"/>
      <c r="AQT276" s="314"/>
      <c r="AQU276" s="314"/>
      <c r="AQV276" s="314"/>
      <c r="AQW276" s="314"/>
      <c r="AQX276" s="314"/>
      <c r="AQY276" s="314"/>
      <c r="AQZ276" s="314"/>
      <c r="ARA276" s="314"/>
      <c r="ARB276" s="314"/>
      <c r="ARC276" s="314"/>
      <c r="ARD276" s="314"/>
      <c r="ARE276" s="314"/>
      <c r="ARF276" s="314"/>
      <c r="ARG276" s="314"/>
      <c r="ARH276" s="314"/>
      <c r="ARI276" s="314"/>
      <c r="ARJ276" s="314"/>
      <c r="ARK276" s="314"/>
      <c r="ARL276" s="314"/>
      <c r="ARM276" s="314"/>
      <c r="ARN276" s="314"/>
      <c r="ARO276" s="314"/>
      <c r="ARP276" s="314"/>
      <c r="ARQ276" s="314"/>
      <c r="ARR276" s="314"/>
      <c r="ARS276" s="314"/>
      <c r="ART276" s="314"/>
      <c r="ARU276" s="314"/>
      <c r="ARV276" s="314"/>
      <c r="ARW276" s="314"/>
      <c r="ARX276" s="314"/>
      <c r="ARY276" s="314"/>
      <c r="ARZ276" s="314"/>
      <c r="ASA276" s="314"/>
      <c r="ASB276" s="314"/>
      <c r="ASC276" s="314"/>
      <c r="ASD276" s="314"/>
      <c r="ASE276" s="314"/>
      <c r="ASF276" s="314"/>
      <c r="ASG276" s="314"/>
      <c r="ASH276" s="314"/>
      <c r="ASI276" s="314"/>
      <c r="ASJ276" s="314"/>
      <c r="ASK276" s="314"/>
      <c r="ASL276" s="314"/>
      <c r="ASM276" s="314"/>
      <c r="ASN276" s="314"/>
      <c r="ASO276" s="314"/>
      <c r="ASP276" s="314"/>
      <c r="ASQ276" s="314"/>
      <c r="ASR276" s="314"/>
      <c r="ASS276" s="314"/>
      <c r="AST276" s="314"/>
      <c r="ASU276" s="314"/>
      <c r="ASV276" s="314"/>
      <c r="ASW276" s="314"/>
      <c r="ASX276" s="314"/>
      <c r="ASY276" s="314"/>
      <c r="ASZ276" s="314"/>
      <c r="ATA276" s="314"/>
      <c r="ATB276" s="314"/>
      <c r="ATC276" s="314"/>
      <c r="ATD276" s="314"/>
      <c r="ATE276" s="314"/>
      <c r="ATF276" s="314"/>
      <c r="ATG276" s="314"/>
      <c r="ATH276" s="314"/>
      <c r="ATI276" s="314"/>
      <c r="ATJ276" s="314"/>
      <c r="ATK276" s="314"/>
      <c r="ATL276" s="314"/>
      <c r="ATM276" s="314"/>
      <c r="ATN276" s="314"/>
      <c r="ATO276" s="314"/>
      <c r="ATP276" s="314"/>
      <c r="ATQ276" s="314"/>
      <c r="ATR276" s="314"/>
      <c r="ATS276" s="314"/>
      <c r="ATT276" s="314"/>
      <c r="ATU276" s="314"/>
      <c r="ATV276" s="314"/>
      <c r="ATW276" s="314"/>
      <c r="ATX276" s="314"/>
      <c r="ATY276" s="314"/>
      <c r="ATZ276" s="314"/>
      <c r="AUA276" s="314"/>
      <c r="AUB276" s="314"/>
      <c r="AUC276" s="314"/>
      <c r="AUD276" s="314"/>
      <c r="AUE276" s="314"/>
      <c r="AUF276" s="314"/>
      <c r="AUG276" s="314"/>
      <c r="AUH276" s="314"/>
      <c r="AUI276" s="314"/>
      <c r="AUJ276" s="314"/>
      <c r="AUK276" s="314"/>
      <c r="AUL276" s="314"/>
      <c r="AUM276" s="314"/>
      <c r="AUN276" s="314"/>
      <c r="AUO276" s="314"/>
      <c r="AUP276" s="314"/>
      <c r="AUQ276" s="314"/>
      <c r="AUR276" s="314"/>
      <c r="AUS276" s="314"/>
      <c r="AUT276" s="314"/>
      <c r="AUU276" s="314"/>
      <c r="AUV276" s="314"/>
      <c r="AUW276" s="314"/>
      <c r="AUX276" s="314"/>
      <c r="AUY276" s="314"/>
      <c r="AUZ276" s="314"/>
      <c r="AVA276" s="314"/>
      <c r="AVB276" s="314"/>
      <c r="AVC276" s="314"/>
      <c r="AVD276" s="314"/>
      <c r="AVE276" s="314"/>
      <c r="AVF276" s="314"/>
      <c r="AVG276" s="314"/>
      <c r="AVH276" s="314"/>
      <c r="AVI276" s="314"/>
      <c r="AVJ276" s="314"/>
      <c r="AVK276" s="314"/>
      <c r="AVL276" s="314"/>
      <c r="AVM276" s="314"/>
      <c r="AVN276" s="314"/>
      <c r="AVO276" s="314"/>
      <c r="AVP276" s="314"/>
      <c r="AVQ276" s="314"/>
      <c r="AVR276" s="314"/>
      <c r="AVS276" s="314"/>
      <c r="AVT276" s="314"/>
      <c r="AVU276" s="314"/>
      <c r="AVV276" s="314"/>
      <c r="AVW276" s="314"/>
      <c r="AVX276" s="314"/>
      <c r="AVY276" s="314"/>
      <c r="AVZ276" s="314"/>
      <c r="AWA276" s="314"/>
      <c r="AWB276" s="314"/>
      <c r="AWC276" s="314"/>
      <c r="AWD276" s="314"/>
      <c r="AWE276" s="314"/>
      <c r="AWF276" s="314"/>
      <c r="AWG276" s="314"/>
      <c r="AWH276" s="314"/>
      <c r="AWI276" s="314"/>
      <c r="AWJ276" s="314"/>
      <c r="AWK276" s="314"/>
      <c r="AWL276" s="314"/>
      <c r="AWM276" s="314"/>
      <c r="AWN276" s="314"/>
      <c r="AWO276" s="314"/>
      <c r="AWP276" s="314"/>
      <c r="AWQ276" s="314"/>
      <c r="AWR276" s="314"/>
      <c r="AWS276" s="314"/>
      <c r="AWT276" s="314"/>
      <c r="AWU276" s="314"/>
      <c r="AWV276" s="314"/>
      <c r="AWW276" s="314"/>
      <c r="AWX276" s="314"/>
      <c r="AWY276" s="314"/>
      <c r="AWZ276" s="314"/>
      <c r="AXA276" s="314"/>
      <c r="AXB276" s="314"/>
      <c r="AXC276" s="314"/>
      <c r="AXD276" s="314"/>
      <c r="AXE276" s="314"/>
      <c r="AXF276" s="314"/>
      <c r="AXG276" s="314"/>
      <c r="AXH276" s="314"/>
      <c r="AXI276" s="314"/>
      <c r="AXJ276" s="314"/>
      <c r="AXK276" s="314"/>
      <c r="AXL276" s="314"/>
      <c r="AXM276" s="314"/>
      <c r="AXN276" s="314"/>
      <c r="AXO276" s="314"/>
      <c r="AXP276" s="314"/>
      <c r="AXQ276" s="314"/>
      <c r="AXR276" s="314"/>
      <c r="AXS276" s="314"/>
      <c r="AXT276" s="314"/>
      <c r="AXU276" s="314"/>
      <c r="AXV276" s="314"/>
      <c r="AXW276" s="314"/>
      <c r="AXX276" s="314"/>
      <c r="AXY276" s="314"/>
      <c r="AXZ276" s="314"/>
      <c r="AYA276" s="314"/>
      <c r="AYB276" s="314"/>
      <c r="AYC276" s="314"/>
      <c r="AYD276" s="314"/>
      <c r="AYE276" s="314"/>
      <c r="AYF276" s="314"/>
      <c r="AYG276" s="314"/>
      <c r="AYH276" s="314"/>
      <c r="AYI276" s="314"/>
      <c r="AYJ276" s="314"/>
      <c r="AYK276" s="314"/>
      <c r="AYL276" s="314"/>
      <c r="AYM276" s="314"/>
      <c r="AYN276" s="314"/>
      <c r="AYO276" s="314"/>
      <c r="AYP276" s="314"/>
      <c r="AYQ276" s="314"/>
      <c r="AYR276" s="314"/>
      <c r="AYS276" s="314"/>
      <c r="AYT276" s="314"/>
      <c r="AYU276" s="314"/>
      <c r="AYV276" s="314"/>
      <c r="AYW276" s="314"/>
      <c r="AYX276" s="314"/>
      <c r="AYY276" s="314"/>
      <c r="AYZ276" s="314"/>
      <c r="AZA276" s="314"/>
      <c r="AZB276" s="314"/>
      <c r="AZC276" s="314"/>
      <c r="AZD276" s="314"/>
      <c r="AZE276" s="314"/>
      <c r="AZF276" s="314"/>
      <c r="AZG276" s="314"/>
      <c r="AZH276" s="314"/>
      <c r="AZI276" s="314"/>
      <c r="AZJ276" s="314"/>
      <c r="AZK276" s="314"/>
      <c r="AZL276" s="314"/>
      <c r="AZM276" s="314"/>
      <c r="AZN276" s="314"/>
      <c r="AZO276" s="314"/>
      <c r="AZP276" s="314"/>
      <c r="AZQ276" s="314"/>
      <c r="AZR276" s="314"/>
      <c r="AZS276" s="314"/>
      <c r="AZT276" s="314"/>
      <c r="AZU276" s="314"/>
      <c r="AZV276" s="314"/>
      <c r="AZW276" s="314"/>
      <c r="AZX276" s="314"/>
      <c r="AZY276" s="314"/>
      <c r="AZZ276" s="314"/>
      <c r="BAA276" s="314"/>
      <c r="BAB276" s="314"/>
      <c r="BAC276" s="314"/>
      <c r="BAD276" s="314"/>
      <c r="BAE276" s="314"/>
      <c r="BAF276" s="314"/>
      <c r="BAG276" s="314"/>
      <c r="BAH276" s="314"/>
      <c r="BAI276" s="314"/>
      <c r="BAJ276" s="314"/>
      <c r="BAK276" s="314"/>
      <c r="BAL276" s="314"/>
      <c r="BAM276" s="314"/>
      <c r="BAN276" s="314"/>
      <c r="BAO276" s="314"/>
      <c r="BAP276" s="314"/>
      <c r="BAQ276" s="314"/>
      <c r="BAR276" s="314"/>
      <c r="BAS276" s="314"/>
      <c r="BAT276" s="314"/>
      <c r="BAU276" s="314"/>
      <c r="BAV276" s="314"/>
      <c r="BAW276" s="314"/>
      <c r="BAX276" s="314"/>
      <c r="BAY276" s="314"/>
      <c r="BAZ276" s="314"/>
      <c r="BBA276" s="314"/>
      <c r="BBB276" s="314"/>
      <c r="BBC276" s="314"/>
      <c r="BBD276" s="314"/>
      <c r="BBE276" s="314"/>
      <c r="BBF276" s="314"/>
      <c r="BBG276" s="314"/>
      <c r="BBH276" s="314"/>
      <c r="BBI276" s="314"/>
      <c r="BBJ276" s="314"/>
      <c r="BBK276" s="314"/>
      <c r="BBL276" s="314"/>
      <c r="BBM276" s="314"/>
      <c r="BBN276" s="314"/>
      <c r="BBO276" s="314"/>
      <c r="BBP276" s="314"/>
      <c r="BBQ276" s="314"/>
      <c r="BBR276" s="314"/>
      <c r="BBS276" s="314"/>
      <c r="BBT276" s="314"/>
      <c r="BBU276" s="314"/>
      <c r="BBV276" s="314"/>
      <c r="BBW276" s="314"/>
      <c r="BBX276" s="314"/>
      <c r="BBY276" s="314"/>
      <c r="BBZ276" s="314"/>
      <c r="BCA276" s="314"/>
      <c r="BCB276" s="314"/>
      <c r="BCC276" s="314"/>
      <c r="BCD276" s="314"/>
      <c r="BCE276" s="314"/>
      <c r="BCF276" s="314"/>
      <c r="BCG276" s="314"/>
      <c r="BCH276" s="314"/>
      <c r="BCI276" s="314"/>
      <c r="BCJ276" s="314"/>
      <c r="BCK276" s="314"/>
      <c r="BCL276" s="314"/>
      <c r="BCM276" s="314"/>
      <c r="BCN276" s="314"/>
      <c r="BCO276" s="314"/>
      <c r="BCP276" s="314"/>
      <c r="BCQ276" s="314"/>
      <c r="BCR276" s="314"/>
      <c r="BCS276" s="314"/>
      <c r="BCT276" s="314"/>
      <c r="BCU276" s="314"/>
      <c r="BCV276" s="314"/>
      <c r="BCW276" s="314"/>
      <c r="BCX276" s="314"/>
      <c r="BCY276" s="314"/>
      <c r="BCZ276" s="314"/>
      <c r="BDA276" s="314"/>
      <c r="BDB276" s="314"/>
      <c r="BDC276" s="314"/>
      <c r="BDD276" s="314"/>
      <c r="BDE276" s="314"/>
      <c r="BDF276" s="314"/>
      <c r="BDG276" s="314"/>
      <c r="BDH276" s="314"/>
      <c r="BDI276" s="314"/>
      <c r="BDJ276" s="314"/>
      <c r="BDK276" s="314"/>
      <c r="BDL276" s="314"/>
      <c r="BDM276" s="314"/>
      <c r="BDN276" s="314"/>
      <c r="BDO276" s="314"/>
      <c r="BDP276" s="314"/>
      <c r="BDQ276" s="314"/>
      <c r="BDR276" s="314"/>
      <c r="BDS276" s="314"/>
      <c r="BDT276" s="314"/>
      <c r="BDU276" s="314"/>
      <c r="BDV276" s="314"/>
      <c r="BDW276" s="314"/>
      <c r="BDX276" s="314"/>
      <c r="BDY276" s="314"/>
      <c r="BDZ276" s="314"/>
      <c r="BEA276" s="314"/>
      <c r="BEB276" s="314"/>
      <c r="BEC276" s="314"/>
      <c r="BED276" s="314"/>
      <c r="BEE276" s="314"/>
      <c r="BEF276" s="314"/>
      <c r="BEG276" s="314"/>
      <c r="BEH276" s="314"/>
      <c r="BEI276" s="314"/>
      <c r="BEJ276" s="314"/>
      <c r="BEK276" s="314"/>
      <c r="BEL276" s="314"/>
      <c r="BEM276" s="314"/>
      <c r="BEN276" s="314"/>
      <c r="BEO276" s="314"/>
      <c r="BEP276" s="314"/>
      <c r="BEQ276" s="314"/>
      <c r="BER276" s="314"/>
      <c r="BES276" s="314"/>
      <c r="BET276" s="314"/>
      <c r="BEU276" s="314"/>
      <c r="BEV276" s="314"/>
      <c r="BEW276" s="314"/>
      <c r="BEX276" s="314"/>
      <c r="BEY276" s="314"/>
      <c r="BEZ276" s="314"/>
      <c r="BFA276" s="314"/>
      <c r="BFB276" s="314"/>
      <c r="BFC276" s="314"/>
      <c r="BFD276" s="314"/>
      <c r="BFE276" s="314"/>
      <c r="BFF276" s="314"/>
      <c r="BFG276" s="314"/>
      <c r="BFH276" s="314"/>
      <c r="BFI276" s="314"/>
      <c r="BFJ276" s="314"/>
      <c r="BFK276" s="314"/>
      <c r="BFL276" s="314"/>
      <c r="BFM276" s="314"/>
      <c r="BFN276" s="314"/>
      <c r="BFO276" s="314"/>
      <c r="BFP276" s="314"/>
      <c r="BFQ276" s="314"/>
      <c r="BFR276" s="314"/>
      <c r="BFS276" s="314"/>
      <c r="BFT276" s="314"/>
      <c r="BFU276" s="314"/>
      <c r="BFV276" s="314"/>
      <c r="BFW276" s="314"/>
      <c r="BFX276" s="314"/>
      <c r="BFY276" s="314"/>
      <c r="BFZ276" s="314"/>
      <c r="BGA276" s="314"/>
      <c r="BGB276" s="314"/>
      <c r="BGC276" s="314"/>
      <c r="BGD276" s="314"/>
      <c r="BGE276" s="314"/>
      <c r="BGF276" s="314"/>
      <c r="BGG276" s="314"/>
      <c r="BGH276" s="314"/>
      <c r="BGI276" s="314"/>
      <c r="BGJ276" s="314"/>
      <c r="BGK276" s="314"/>
      <c r="BGL276" s="314"/>
      <c r="BGM276" s="314"/>
      <c r="BGN276" s="314"/>
      <c r="BGO276" s="314"/>
      <c r="BGP276" s="314"/>
      <c r="BGQ276" s="314"/>
      <c r="BGR276" s="314"/>
      <c r="BGS276" s="314"/>
      <c r="BGT276" s="314"/>
      <c r="BGU276" s="314"/>
      <c r="BGV276" s="314"/>
      <c r="BGW276" s="314"/>
      <c r="BGX276" s="314"/>
      <c r="BGY276" s="314"/>
      <c r="BGZ276" s="314"/>
      <c r="BHA276" s="314"/>
      <c r="BHB276" s="314"/>
      <c r="BHC276" s="314"/>
      <c r="BHD276" s="314"/>
      <c r="BHE276" s="314"/>
      <c r="BHF276" s="314"/>
      <c r="BHG276" s="314"/>
      <c r="BHH276" s="314"/>
      <c r="BHI276" s="314"/>
      <c r="BHJ276" s="314"/>
      <c r="BHK276" s="314"/>
      <c r="BHL276" s="314"/>
      <c r="BHM276" s="314"/>
      <c r="BHN276" s="314"/>
      <c r="BHO276" s="314"/>
      <c r="BHP276" s="314"/>
      <c r="BHQ276" s="314"/>
      <c r="BHR276" s="314"/>
      <c r="BHS276" s="314"/>
      <c r="BHT276" s="314"/>
      <c r="BHU276" s="314"/>
      <c r="BHV276" s="314"/>
      <c r="BHW276" s="314"/>
      <c r="BHX276" s="314"/>
      <c r="BHY276" s="314"/>
      <c r="BHZ276" s="314"/>
      <c r="BIA276" s="314"/>
      <c r="BIB276" s="314"/>
      <c r="BIC276" s="314"/>
      <c r="BID276" s="314"/>
      <c r="BIE276" s="314"/>
      <c r="BIF276" s="314"/>
      <c r="BIG276" s="314"/>
      <c r="BIH276" s="314"/>
      <c r="BII276" s="314"/>
      <c r="BIJ276" s="314"/>
      <c r="BIK276" s="314"/>
      <c r="BIL276" s="314"/>
      <c r="BIM276" s="314"/>
      <c r="BIN276" s="314"/>
      <c r="BIO276" s="314"/>
      <c r="BIP276" s="314"/>
      <c r="BIQ276" s="314"/>
      <c r="BIR276" s="314"/>
      <c r="BIS276" s="314"/>
      <c r="BIT276" s="314"/>
      <c r="BIU276" s="314"/>
      <c r="BIV276" s="314"/>
      <c r="BIW276" s="314"/>
      <c r="BIX276" s="314"/>
      <c r="BIY276" s="314"/>
      <c r="BIZ276" s="314"/>
      <c r="BJA276" s="314"/>
      <c r="BJB276" s="314"/>
      <c r="BJC276" s="314"/>
      <c r="BJD276" s="314"/>
      <c r="BJE276" s="314"/>
      <c r="BJF276" s="314"/>
      <c r="BJG276" s="314"/>
      <c r="BJH276" s="314"/>
      <c r="BJI276" s="314"/>
      <c r="BJJ276" s="314"/>
      <c r="BJK276" s="314"/>
      <c r="BJL276" s="314"/>
      <c r="BJM276" s="314"/>
      <c r="BJN276" s="314"/>
      <c r="BJO276" s="314"/>
      <c r="BJP276" s="314"/>
      <c r="BJQ276" s="314"/>
      <c r="BJR276" s="314"/>
      <c r="BJS276" s="314"/>
      <c r="BJT276" s="314"/>
      <c r="BJU276" s="314"/>
      <c r="BJV276" s="314"/>
      <c r="BJW276" s="314"/>
      <c r="BJX276" s="314"/>
      <c r="BJY276" s="314"/>
      <c r="BJZ276" s="314"/>
      <c r="BKA276" s="314"/>
      <c r="BKB276" s="314"/>
      <c r="BKC276" s="314"/>
      <c r="BKD276" s="314"/>
      <c r="BKE276" s="314"/>
      <c r="BKF276" s="314"/>
      <c r="BKG276" s="314"/>
      <c r="BKH276" s="314"/>
      <c r="BKI276" s="314"/>
      <c r="BKJ276" s="314"/>
      <c r="BKK276" s="314"/>
      <c r="BKL276" s="314"/>
      <c r="BKM276" s="314"/>
      <c r="BKN276" s="314"/>
      <c r="BKO276" s="314"/>
      <c r="BKP276" s="314"/>
      <c r="BKQ276" s="314"/>
      <c r="BKR276" s="314"/>
      <c r="BKS276" s="314"/>
      <c r="BKT276" s="314"/>
      <c r="BKU276" s="314"/>
      <c r="BKV276" s="314"/>
      <c r="BKW276" s="314"/>
      <c r="BKX276" s="314"/>
      <c r="BKY276" s="314"/>
      <c r="BKZ276" s="314"/>
      <c r="BLA276" s="314"/>
      <c r="BLB276" s="314"/>
      <c r="BLC276" s="314"/>
      <c r="BLD276" s="314"/>
      <c r="BLE276" s="314"/>
      <c r="BLF276" s="314"/>
      <c r="BLG276" s="314"/>
      <c r="BLH276" s="314"/>
      <c r="BLI276" s="314"/>
      <c r="BLJ276" s="314"/>
      <c r="BLK276" s="314"/>
      <c r="BLL276" s="314"/>
      <c r="BLM276" s="314"/>
      <c r="BLN276" s="314"/>
      <c r="BLO276" s="314"/>
      <c r="BLP276" s="314"/>
      <c r="BLQ276" s="314"/>
      <c r="BLR276" s="314"/>
      <c r="BLS276" s="314"/>
      <c r="BLT276" s="314"/>
      <c r="BLU276" s="314"/>
      <c r="BLV276" s="314"/>
      <c r="BLW276" s="314"/>
      <c r="BLX276" s="314"/>
      <c r="BLY276" s="314"/>
      <c r="BLZ276" s="314"/>
      <c r="BMA276" s="314"/>
      <c r="BMB276" s="314"/>
      <c r="BMC276" s="314"/>
      <c r="BMD276" s="314"/>
      <c r="BME276" s="314"/>
      <c r="BMF276" s="314"/>
      <c r="BMG276" s="314"/>
      <c r="BMH276" s="314"/>
      <c r="BMI276" s="314"/>
      <c r="BMJ276" s="314"/>
      <c r="BMK276" s="314"/>
      <c r="BML276" s="314"/>
      <c r="BMM276" s="314"/>
      <c r="BMN276" s="314"/>
      <c r="BMO276" s="314"/>
      <c r="BMP276" s="314"/>
      <c r="BMQ276" s="314"/>
      <c r="BMR276" s="314"/>
      <c r="BMS276" s="314"/>
      <c r="BMT276" s="314"/>
      <c r="BMU276" s="314"/>
      <c r="BMV276" s="314"/>
      <c r="BMW276" s="314"/>
      <c r="BMX276" s="314"/>
      <c r="BMY276" s="314"/>
      <c r="BMZ276" s="314"/>
      <c r="BNA276" s="314"/>
      <c r="BNB276" s="314"/>
      <c r="BNC276" s="314"/>
      <c r="BND276" s="314"/>
      <c r="BNE276" s="314"/>
      <c r="BNF276" s="314"/>
      <c r="BNG276" s="314"/>
      <c r="BNH276" s="314"/>
      <c r="BNI276" s="314"/>
      <c r="BNJ276" s="314"/>
      <c r="BNK276" s="314"/>
      <c r="BNL276" s="314"/>
      <c r="BNM276" s="314"/>
      <c r="BNN276" s="314"/>
      <c r="BNO276" s="314"/>
      <c r="BNP276" s="314"/>
      <c r="BNQ276" s="314"/>
      <c r="BNR276" s="314"/>
      <c r="BNS276" s="314"/>
      <c r="BNT276" s="314"/>
      <c r="BNU276" s="314"/>
      <c r="BNV276" s="314"/>
      <c r="BNW276" s="314"/>
      <c r="BNX276" s="314"/>
      <c r="BNY276" s="314"/>
      <c r="BNZ276" s="314"/>
      <c r="BOA276" s="314"/>
      <c r="BOB276" s="314"/>
      <c r="BOC276" s="314"/>
      <c r="BOD276" s="314"/>
      <c r="BOE276" s="314"/>
      <c r="BOF276" s="314"/>
      <c r="BOG276" s="314"/>
      <c r="BOH276" s="314"/>
      <c r="BOI276" s="314"/>
      <c r="BOJ276" s="314"/>
      <c r="BOK276" s="314"/>
      <c r="BOL276" s="314"/>
      <c r="BOM276" s="314"/>
      <c r="BON276" s="314"/>
      <c r="BOO276" s="314"/>
      <c r="BOP276" s="314"/>
      <c r="BOQ276" s="314"/>
      <c r="BOR276" s="314"/>
      <c r="BOS276" s="314"/>
      <c r="BOT276" s="314"/>
      <c r="BOU276" s="314"/>
      <c r="BOV276" s="314"/>
      <c r="BOW276" s="314"/>
      <c r="BOX276" s="314"/>
      <c r="BOY276" s="314"/>
      <c r="BOZ276" s="314"/>
      <c r="BPA276" s="314"/>
      <c r="BPB276" s="314"/>
      <c r="BPC276" s="314"/>
      <c r="BPD276" s="314"/>
      <c r="BPE276" s="314"/>
      <c r="BPF276" s="314"/>
      <c r="BPG276" s="314"/>
      <c r="BPH276" s="314"/>
      <c r="BPI276" s="314"/>
      <c r="BPJ276" s="314"/>
      <c r="BPK276" s="314"/>
      <c r="BPL276" s="314"/>
      <c r="BPM276" s="314"/>
      <c r="BPN276" s="314"/>
      <c r="BPO276" s="314"/>
      <c r="BPP276" s="314"/>
      <c r="BPQ276" s="314"/>
      <c r="BPR276" s="314"/>
      <c r="BPS276" s="314"/>
      <c r="BPT276" s="314"/>
      <c r="BPU276" s="314"/>
      <c r="BPV276" s="314"/>
      <c r="BPW276" s="314"/>
      <c r="BPX276" s="314"/>
      <c r="BPY276" s="314"/>
      <c r="BPZ276" s="314"/>
      <c r="BQA276" s="314"/>
      <c r="BQB276" s="314"/>
      <c r="BQC276" s="314"/>
      <c r="BQD276" s="314"/>
      <c r="BQE276" s="314"/>
      <c r="BQF276" s="314"/>
      <c r="BQG276" s="314"/>
      <c r="BQH276" s="314"/>
      <c r="BQI276" s="314"/>
      <c r="BQJ276" s="314"/>
      <c r="BQK276" s="314"/>
      <c r="BQL276" s="314"/>
      <c r="BQM276" s="314"/>
      <c r="BQN276" s="314"/>
      <c r="BQO276" s="314"/>
      <c r="BQP276" s="314"/>
      <c r="BQQ276" s="314"/>
      <c r="BQR276" s="314"/>
      <c r="BQS276" s="314"/>
      <c r="BQT276" s="314"/>
      <c r="BQU276" s="314"/>
      <c r="BQV276" s="314"/>
      <c r="BQW276" s="314"/>
      <c r="BQX276" s="314"/>
      <c r="BQY276" s="314"/>
      <c r="BQZ276" s="314"/>
      <c r="BRA276" s="314"/>
      <c r="BRB276" s="314"/>
      <c r="BRC276" s="314"/>
      <c r="BRD276" s="314"/>
      <c r="BRE276" s="314"/>
      <c r="BRF276" s="314"/>
      <c r="BRG276" s="314"/>
      <c r="BRH276" s="314"/>
      <c r="BRI276" s="314"/>
      <c r="BRJ276" s="314"/>
      <c r="BRK276" s="314"/>
      <c r="BRL276" s="314"/>
      <c r="BRM276" s="314"/>
      <c r="BRN276" s="314"/>
      <c r="BRO276" s="314"/>
      <c r="BRP276" s="314"/>
      <c r="BRQ276" s="314"/>
      <c r="BRR276" s="314"/>
      <c r="BRS276" s="314"/>
      <c r="BRT276" s="314"/>
      <c r="BRU276" s="314"/>
      <c r="BRV276" s="314"/>
      <c r="BRW276" s="314"/>
      <c r="BRX276" s="314"/>
      <c r="BRY276" s="314"/>
      <c r="BRZ276" s="314"/>
      <c r="BSA276" s="314"/>
      <c r="BSB276" s="314"/>
      <c r="BSC276" s="314"/>
      <c r="BSD276" s="314"/>
      <c r="BSE276" s="314"/>
      <c r="BSF276" s="314"/>
      <c r="BSG276" s="314"/>
      <c r="BSH276" s="314"/>
      <c r="BSI276" s="314"/>
      <c r="BSJ276" s="314"/>
      <c r="BSK276" s="314"/>
      <c r="BSL276" s="314"/>
      <c r="BSM276" s="314"/>
      <c r="BSN276" s="314"/>
      <c r="BSO276" s="314"/>
      <c r="BSP276" s="314"/>
      <c r="BSQ276" s="314"/>
      <c r="BSR276" s="314"/>
      <c r="BSS276" s="314"/>
      <c r="BST276" s="314"/>
      <c r="BSU276" s="314"/>
      <c r="BSV276" s="314"/>
      <c r="BSW276" s="314"/>
      <c r="BSX276" s="314"/>
      <c r="BSY276" s="314"/>
      <c r="BSZ276" s="314"/>
      <c r="BTA276" s="314"/>
      <c r="BTB276" s="314"/>
      <c r="BTC276" s="314"/>
      <c r="BTD276" s="314"/>
      <c r="BTE276" s="314"/>
      <c r="BTF276" s="314"/>
      <c r="BTG276" s="314"/>
      <c r="BTH276" s="314"/>
      <c r="BTI276" s="314"/>
      <c r="BTJ276" s="314"/>
      <c r="BTK276" s="314"/>
      <c r="BTL276" s="314"/>
      <c r="BTM276" s="314"/>
      <c r="BTN276" s="314"/>
      <c r="BTO276" s="314"/>
      <c r="BTP276" s="314"/>
      <c r="BTQ276" s="314"/>
      <c r="BTR276" s="314"/>
      <c r="BTS276" s="314"/>
      <c r="BTT276" s="314"/>
      <c r="BTU276" s="314"/>
      <c r="BTV276" s="314"/>
      <c r="BTW276" s="314"/>
      <c r="BTX276" s="314"/>
      <c r="BTY276" s="314"/>
      <c r="BTZ276" s="314"/>
      <c r="BUA276" s="314"/>
      <c r="BUB276" s="314"/>
      <c r="BUC276" s="314"/>
      <c r="BUD276" s="314"/>
      <c r="BUE276" s="314"/>
      <c r="BUF276" s="314"/>
      <c r="BUG276" s="314"/>
      <c r="BUH276" s="314"/>
      <c r="BUI276" s="314"/>
      <c r="BUJ276" s="314"/>
      <c r="BUK276" s="314"/>
      <c r="BUL276" s="314"/>
      <c r="BUM276" s="314"/>
      <c r="BUN276" s="314"/>
      <c r="BUO276" s="314"/>
      <c r="BUP276" s="314"/>
      <c r="BUQ276" s="314"/>
      <c r="BUR276" s="314"/>
      <c r="BUS276" s="314"/>
      <c r="BUT276" s="314"/>
      <c r="BUU276" s="314"/>
      <c r="BUV276" s="314"/>
      <c r="BUW276" s="314"/>
      <c r="BUX276" s="314"/>
      <c r="BUY276" s="314"/>
      <c r="BUZ276" s="314"/>
      <c r="BVA276" s="314"/>
      <c r="BVB276" s="314"/>
      <c r="BVC276" s="314"/>
      <c r="BVD276" s="314"/>
      <c r="BVE276" s="314"/>
      <c r="BVF276" s="314"/>
      <c r="BVG276" s="314"/>
      <c r="BVH276" s="314"/>
      <c r="BVI276" s="314"/>
      <c r="BVJ276" s="314"/>
      <c r="BVK276" s="314"/>
      <c r="BVL276" s="314"/>
      <c r="BVM276" s="314"/>
      <c r="BVN276" s="314"/>
      <c r="BVO276" s="314"/>
      <c r="BVP276" s="314"/>
      <c r="BVQ276" s="314"/>
      <c r="BVR276" s="314"/>
      <c r="BVS276" s="314"/>
      <c r="BVT276" s="314"/>
      <c r="BVU276" s="314"/>
      <c r="BVV276" s="314"/>
      <c r="BVW276" s="314"/>
      <c r="BVX276" s="314"/>
      <c r="BVY276" s="314"/>
      <c r="BVZ276" s="314"/>
      <c r="BWA276" s="314"/>
      <c r="BWB276" s="314"/>
      <c r="BWC276" s="314"/>
      <c r="BWD276" s="314"/>
      <c r="BWE276" s="314"/>
      <c r="BWF276" s="314"/>
      <c r="BWG276" s="314"/>
      <c r="BWH276" s="314"/>
      <c r="BWI276" s="314"/>
      <c r="BWJ276" s="314"/>
      <c r="BWK276" s="314"/>
      <c r="BWL276" s="314"/>
      <c r="BWM276" s="314"/>
      <c r="BWN276" s="314"/>
      <c r="BWO276" s="314"/>
      <c r="BWP276" s="314"/>
      <c r="BWQ276" s="314"/>
      <c r="BWR276" s="314"/>
      <c r="BWS276" s="314"/>
      <c r="BWT276" s="314"/>
      <c r="BWU276" s="314"/>
      <c r="BWV276" s="314"/>
      <c r="BWW276" s="314"/>
      <c r="BWX276" s="314"/>
      <c r="BWY276" s="314"/>
      <c r="BWZ276" s="314"/>
      <c r="BXA276" s="314"/>
      <c r="BXB276" s="314"/>
      <c r="BXC276" s="314"/>
      <c r="BXD276" s="314"/>
      <c r="BXE276" s="314"/>
      <c r="BXF276" s="314"/>
      <c r="BXG276" s="314"/>
      <c r="BXH276" s="314"/>
      <c r="BXI276" s="314"/>
      <c r="BXJ276" s="314"/>
      <c r="BXK276" s="314"/>
      <c r="BXL276" s="314"/>
      <c r="BXM276" s="314"/>
      <c r="BXN276" s="314"/>
      <c r="BXO276" s="314"/>
      <c r="BXP276" s="314"/>
      <c r="BXQ276" s="314"/>
      <c r="BXR276" s="314"/>
      <c r="BXS276" s="314"/>
      <c r="BXT276" s="314"/>
      <c r="BXU276" s="314"/>
      <c r="BXV276" s="314"/>
      <c r="BXW276" s="314"/>
      <c r="BXX276" s="314"/>
      <c r="BXY276" s="314"/>
      <c r="BXZ276" s="314"/>
      <c r="BYA276" s="314"/>
      <c r="BYB276" s="314"/>
      <c r="BYC276" s="314"/>
      <c r="BYD276" s="314"/>
      <c r="BYE276" s="314"/>
      <c r="BYF276" s="314"/>
      <c r="BYG276" s="314"/>
      <c r="BYH276" s="314"/>
      <c r="BYI276" s="314"/>
      <c r="BYJ276" s="314"/>
      <c r="BYK276" s="314"/>
      <c r="BYL276" s="314"/>
      <c r="BYM276" s="314"/>
      <c r="BYN276" s="314"/>
      <c r="BYO276" s="314"/>
      <c r="BYP276" s="314"/>
      <c r="BYQ276" s="314"/>
      <c r="BYR276" s="314"/>
      <c r="BYS276" s="314"/>
      <c r="BYT276" s="314"/>
      <c r="BYU276" s="314"/>
      <c r="BYV276" s="314"/>
      <c r="BYW276" s="314"/>
      <c r="BYX276" s="314"/>
      <c r="BYY276" s="314"/>
      <c r="BYZ276" s="314"/>
      <c r="BZA276" s="314"/>
      <c r="BZB276" s="314"/>
      <c r="BZC276" s="314"/>
      <c r="BZD276" s="314"/>
      <c r="BZE276" s="314"/>
      <c r="BZF276" s="314"/>
      <c r="BZG276" s="314"/>
      <c r="BZH276" s="314"/>
      <c r="BZI276" s="314"/>
      <c r="BZJ276" s="314"/>
      <c r="BZK276" s="314"/>
      <c r="BZL276" s="314"/>
      <c r="BZM276" s="314"/>
      <c r="BZN276" s="314"/>
      <c r="BZO276" s="314"/>
      <c r="BZP276" s="314"/>
      <c r="BZQ276" s="314"/>
      <c r="BZR276" s="314"/>
      <c r="BZS276" s="314"/>
      <c r="BZT276" s="314"/>
      <c r="BZU276" s="314"/>
      <c r="BZV276" s="314"/>
      <c r="BZW276" s="314"/>
      <c r="BZX276" s="314"/>
      <c r="BZY276" s="314"/>
      <c r="BZZ276" s="314"/>
      <c r="CAA276" s="314"/>
      <c r="CAB276" s="314"/>
      <c r="CAC276" s="314"/>
      <c r="CAD276" s="314"/>
      <c r="CAE276" s="314"/>
      <c r="CAF276" s="314"/>
      <c r="CAG276" s="314"/>
      <c r="CAH276" s="314"/>
      <c r="CAI276" s="314"/>
      <c r="CAJ276" s="314"/>
      <c r="CAK276" s="314"/>
      <c r="CAL276" s="314"/>
      <c r="CAM276" s="314"/>
      <c r="CAN276" s="314"/>
      <c r="CAO276" s="314"/>
      <c r="CAP276" s="314"/>
      <c r="CAQ276" s="314"/>
      <c r="CAR276" s="314"/>
      <c r="CAS276" s="314"/>
      <c r="CAT276" s="314"/>
      <c r="CAU276" s="314"/>
      <c r="CAV276" s="314"/>
      <c r="CAW276" s="314"/>
      <c r="CAX276" s="314"/>
      <c r="CAY276" s="314"/>
      <c r="CAZ276" s="314"/>
      <c r="CBA276" s="314"/>
      <c r="CBB276" s="314"/>
      <c r="CBC276" s="314"/>
      <c r="CBD276" s="314"/>
      <c r="CBE276" s="314"/>
      <c r="CBF276" s="314"/>
      <c r="CBG276" s="314"/>
      <c r="CBH276" s="314"/>
      <c r="CBI276" s="314"/>
      <c r="CBJ276" s="314"/>
      <c r="CBK276" s="314"/>
      <c r="CBL276" s="314"/>
      <c r="CBM276" s="314"/>
      <c r="CBN276" s="314"/>
      <c r="CBO276" s="314"/>
      <c r="CBP276" s="314"/>
      <c r="CBQ276" s="314"/>
      <c r="CBR276" s="314"/>
      <c r="CBS276" s="314"/>
      <c r="CBT276" s="314"/>
      <c r="CBU276" s="314"/>
      <c r="CBV276" s="314"/>
      <c r="CBW276" s="314"/>
      <c r="CBX276" s="314"/>
      <c r="CBY276" s="314"/>
      <c r="CBZ276" s="314"/>
      <c r="CCA276" s="314"/>
      <c r="CCB276" s="314"/>
      <c r="CCC276" s="314"/>
      <c r="CCD276" s="314"/>
      <c r="CCE276" s="314"/>
      <c r="CCF276" s="314"/>
      <c r="CCG276" s="314"/>
      <c r="CCH276" s="314"/>
      <c r="CCI276" s="314"/>
      <c r="CCJ276" s="314"/>
      <c r="CCK276" s="314"/>
      <c r="CCL276" s="314"/>
      <c r="CCM276" s="314"/>
      <c r="CCN276" s="314"/>
      <c r="CCO276" s="314"/>
      <c r="CCP276" s="314"/>
      <c r="CCQ276" s="314"/>
      <c r="CCR276" s="314"/>
      <c r="CCS276" s="314"/>
      <c r="CCT276" s="314"/>
      <c r="CCU276" s="314"/>
      <c r="CCV276" s="314"/>
      <c r="CCW276" s="314"/>
      <c r="CCX276" s="314"/>
      <c r="CCY276" s="314"/>
      <c r="CCZ276" s="314"/>
      <c r="CDA276" s="314"/>
      <c r="CDB276" s="314"/>
      <c r="CDC276" s="314"/>
      <c r="CDD276" s="314"/>
      <c r="CDE276" s="314"/>
      <c r="CDF276" s="314"/>
      <c r="CDG276" s="314"/>
      <c r="CDH276" s="314"/>
      <c r="CDI276" s="314"/>
      <c r="CDJ276" s="314"/>
      <c r="CDK276" s="314"/>
      <c r="CDL276" s="314"/>
      <c r="CDM276" s="314"/>
      <c r="CDN276" s="314"/>
      <c r="CDO276" s="314"/>
      <c r="CDP276" s="314"/>
      <c r="CDQ276" s="314"/>
      <c r="CDR276" s="314"/>
      <c r="CDS276" s="314"/>
      <c r="CDT276" s="314"/>
      <c r="CDU276" s="314"/>
      <c r="CDV276" s="314"/>
      <c r="CDW276" s="314"/>
      <c r="CDX276" s="314"/>
      <c r="CDY276" s="314"/>
      <c r="CDZ276" s="314"/>
      <c r="CEA276" s="314"/>
      <c r="CEB276" s="314"/>
      <c r="CEC276" s="314"/>
      <c r="CED276" s="314"/>
      <c r="CEE276" s="314"/>
      <c r="CEF276" s="314"/>
      <c r="CEG276" s="314"/>
      <c r="CEH276" s="314"/>
      <c r="CEI276" s="314"/>
      <c r="CEJ276" s="314"/>
      <c r="CEK276" s="314"/>
      <c r="CEL276" s="314"/>
      <c r="CEM276" s="314"/>
      <c r="CEN276" s="314"/>
      <c r="CEO276" s="314"/>
      <c r="CEP276" s="314"/>
      <c r="CEQ276" s="314"/>
      <c r="CER276" s="314"/>
      <c r="CES276" s="314"/>
      <c r="CET276" s="314"/>
      <c r="CEU276" s="314"/>
      <c r="CEV276" s="314"/>
      <c r="CEW276" s="314"/>
      <c r="CEX276" s="314"/>
      <c r="CEY276" s="314"/>
      <c r="CEZ276" s="314"/>
      <c r="CFA276" s="314"/>
      <c r="CFB276" s="314"/>
      <c r="CFC276" s="314"/>
      <c r="CFD276" s="314"/>
      <c r="CFE276" s="314"/>
      <c r="CFF276" s="314"/>
      <c r="CFG276" s="314"/>
      <c r="CFH276" s="314"/>
      <c r="CFI276" s="314"/>
      <c r="CFJ276" s="314"/>
      <c r="CFK276" s="314"/>
      <c r="CFL276" s="314"/>
      <c r="CFM276" s="314"/>
      <c r="CFN276" s="314"/>
      <c r="CFO276" s="314"/>
      <c r="CFP276" s="314"/>
      <c r="CFQ276" s="314"/>
      <c r="CFR276" s="314"/>
      <c r="CFS276" s="314"/>
      <c r="CFT276" s="314"/>
      <c r="CFU276" s="314"/>
      <c r="CFV276" s="314"/>
      <c r="CFW276" s="314"/>
      <c r="CFX276" s="314"/>
      <c r="CFY276" s="314"/>
      <c r="CFZ276" s="314"/>
      <c r="CGA276" s="314"/>
      <c r="CGB276" s="314"/>
      <c r="CGC276" s="314"/>
      <c r="CGD276" s="314"/>
      <c r="CGE276" s="314"/>
      <c r="CGF276" s="314"/>
      <c r="CGG276" s="314"/>
      <c r="CGH276" s="314"/>
      <c r="CGI276" s="314"/>
      <c r="CGJ276" s="314"/>
      <c r="CGK276" s="314"/>
      <c r="CGL276" s="314"/>
      <c r="CGM276" s="314"/>
      <c r="CGN276" s="314"/>
      <c r="CGO276" s="314"/>
      <c r="CGP276" s="314"/>
      <c r="CGQ276" s="314"/>
      <c r="CGR276" s="314"/>
      <c r="CGS276" s="314"/>
      <c r="CGT276" s="314"/>
      <c r="CGU276" s="314"/>
      <c r="CGV276" s="314"/>
      <c r="CGW276" s="314"/>
      <c r="CGX276" s="314"/>
      <c r="CGY276" s="314"/>
      <c r="CGZ276" s="314"/>
      <c r="CHA276" s="314"/>
      <c r="CHB276" s="314"/>
      <c r="CHC276" s="314"/>
      <c r="CHD276" s="314"/>
      <c r="CHE276" s="314"/>
      <c r="CHF276" s="314"/>
      <c r="CHG276" s="314"/>
      <c r="CHH276" s="314"/>
      <c r="CHI276" s="314"/>
      <c r="CHJ276" s="314"/>
      <c r="CHK276" s="314"/>
      <c r="CHL276" s="314"/>
      <c r="CHM276" s="314"/>
      <c r="CHN276" s="314"/>
      <c r="CHO276" s="314"/>
      <c r="CHP276" s="314"/>
      <c r="CHQ276" s="314"/>
      <c r="CHR276" s="314"/>
      <c r="CHS276" s="314"/>
      <c r="CHT276" s="314"/>
      <c r="CHU276" s="314"/>
      <c r="CHV276" s="314"/>
      <c r="CHW276" s="314"/>
      <c r="CHX276" s="314"/>
      <c r="CHY276" s="314"/>
      <c r="CHZ276" s="314"/>
      <c r="CIA276" s="314"/>
      <c r="CIB276" s="314"/>
      <c r="CIC276" s="314"/>
      <c r="CID276" s="314"/>
      <c r="CIE276" s="314"/>
      <c r="CIF276" s="314"/>
      <c r="CIG276" s="314"/>
      <c r="CIH276" s="314"/>
      <c r="CII276" s="314"/>
      <c r="CIJ276" s="314"/>
      <c r="CIK276" s="314"/>
      <c r="CIL276" s="314"/>
      <c r="CIM276" s="314"/>
      <c r="CIN276" s="314"/>
      <c r="CIO276" s="314"/>
      <c r="CIP276" s="314"/>
      <c r="CIQ276" s="314"/>
      <c r="CIR276" s="314"/>
      <c r="CIS276" s="314"/>
      <c r="CIT276" s="314"/>
      <c r="CIU276" s="314"/>
      <c r="CIV276" s="314"/>
      <c r="CIW276" s="314"/>
      <c r="CIX276" s="314"/>
      <c r="CIY276" s="314"/>
      <c r="CIZ276" s="314"/>
      <c r="CJA276" s="314"/>
      <c r="CJB276" s="314"/>
      <c r="CJC276" s="314"/>
      <c r="CJD276" s="314"/>
      <c r="CJE276" s="314"/>
      <c r="CJF276" s="314"/>
      <c r="CJG276" s="314"/>
      <c r="CJH276" s="314"/>
      <c r="CJI276" s="314"/>
      <c r="CJJ276" s="314"/>
      <c r="CJK276" s="314"/>
      <c r="CJL276" s="314"/>
      <c r="CJM276" s="314"/>
      <c r="CJN276" s="314"/>
      <c r="CJO276" s="314"/>
      <c r="CJP276" s="314"/>
      <c r="CJQ276" s="314"/>
      <c r="CJR276" s="314"/>
      <c r="CJS276" s="314"/>
      <c r="CJT276" s="314"/>
      <c r="CJU276" s="314"/>
      <c r="CJV276" s="314"/>
      <c r="CJW276" s="314"/>
      <c r="CJX276" s="314"/>
      <c r="CJY276" s="314"/>
      <c r="CJZ276" s="314"/>
      <c r="CKA276" s="314"/>
      <c r="CKB276" s="314"/>
      <c r="CKC276" s="314"/>
      <c r="CKD276" s="314"/>
      <c r="CKE276" s="314"/>
      <c r="CKF276" s="314"/>
      <c r="CKG276" s="314"/>
      <c r="CKH276" s="314"/>
      <c r="CKI276" s="314"/>
      <c r="CKJ276" s="314"/>
      <c r="CKK276" s="314"/>
      <c r="CKL276" s="314"/>
      <c r="CKM276" s="314"/>
      <c r="CKN276" s="314"/>
      <c r="CKO276" s="314"/>
      <c r="CKP276" s="314"/>
      <c r="CKQ276" s="314"/>
      <c r="CKR276" s="314"/>
      <c r="CKS276" s="314"/>
      <c r="CKT276" s="314"/>
      <c r="CKU276" s="314"/>
      <c r="CKV276" s="314"/>
      <c r="CKW276" s="314"/>
      <c r="CKX276" s="314"/>
      <c r="CKY276" s="314"/>
      <c r="CKZ276" s="314"/>
      <c r="CLA276" s="314"/>
      <c r="CLB276" s="314"/>
      <c r="CLC276" s="314"/>
      <c r="CLD276" s="314"/>
      <c r="CLE276" s="314"/>
      <c r="CLF276" s="314"/>
      <c r="CLG276" s="314"/>
      <c r="CLH276" s="314"/>
      <c r="CLI276" s="314"/>
      <c r="CLJ276" s="314"/>
      <c r="CLK276" s="314"/>
      <c r="CLL276" s="314"/>
      <c r="CLM276" s="314"/>
      <c r="CLN276" s="314"/>
      <c r="CLO276" s="314"/>
      <c r="CLP276" s="314"/>
      <c r="CLQ276" s="314"/>
      <c r="CLR276" s="314"/>
      <c r="CLS276" s="314"/>
      <c r="CLT276" s="314"/>
      <c r="CLU276" s="314"/>
      <c r="CLV276" s="314"/>
      <c r="CLW276" s="314"/>
      <c r="CLX276" s="314"/>
      <c r="CLY276" s="314"/>
      <c r="CLZ276" s="314"/>
      <c r="CMA276" s="314"/>
      <c r="CMB276" s="314"/>
      <c r="CMC276" s="314"/>
      <c r="CMD276" s="314"/>
      <c r="CME276" s="314"/>
      <c r="CMF276" s="314"/>
      <c r="CMG276" s="314"/>
      <c r="CMH276" s="314"/>
      <c r="CMI276" s="314"/>
      <c r="CMJ276" s="314"/>
      <c r="CMK276" s="314"/>
      <c r="CML276" s="314"/>
      <c r="CMM276" s="314"/>
      <c r="CMN276" s="314"/>
      <c r="CMO276" s="314"/>
      <c r="CMP276" s="314"/>
      <c r="CMQ276" s="314"/>
      <c r="CMR276" s="314"/>
      <c r="CMS276" s="314"/>
      <c r="CMT276" s="314"/>
      <c r="CMU276" s="314"/>
      <c r="CMV276" s="314"/>
      <c r="CMW276" s="314"/>
      <c r="CMX276" s="314"/>
      <c r="CMY276" s="314"/>
      <c r="CMZ276" s="314"/>
      <c r="CNA276" s="314"/>
      <c r="CNB276" s="314"/>
      <c r="CNC276" s="314"/>
      <c r="CND276" s="314"/>
      <c r="CNE276" s="314"/>
      <c r="CNF276" s="314"/>
      <c r="CNG276" s="314"/>
      <c r="CNH276" s="314"/>
      <c r="CNI276" s="314"/>
      <c r="CNJ276" s="314"/>
      <c r="CNK276" s="314"/>
      <c r="CNL276" s="314"/>
      <c r="CNM276" s="314"/>
      <c r="CNN276" s="314"/>
      <c r="CNO276" s="314"/>
      <c r="CNP276" s="314"/>
      <c r="CNQ276" s="314"/>
      <c r="CNR276" s="314"/>
      <c r="CNS276" s="314"/>
      <c r="CNT276" s="314"/>
      <c r="CNU276" s="314"/>
      <c r="CNV276" s="314"/>
      <c r="CNW276" s="314"/>
      <c r="CNX276" s="314"/>
      <c r="CNY276" s="314"/>
      <c r="CNZ276" s="314"/>
      <c r="COA276" s="314"/>
      <c r="COB276" s="314"/>
      <c r="COC276" s="314"/>
      <c r="COD276" s="314"/>
      <c r="COE276" s="314"/>
      <c r="COF276" s="314"/>
      <c r="COG276" s="314"/>
      <c r="COH276" s="314"/>
      <c r="COI276" s="314"/>
      <c r="COJ276" s="314"/>
      <c r="COK276" s="314"/>
      <c r="COL276" s="314"/>
      <c r="COM276" s="314"/>
      <c r="CON276" s="314"/>
      <c r="COO276" s="314"/>
      <c r="COP276" s="314"/>
      <c r="COQ276" s="314"/>
      <c r="COR276" s="314"/>
      <c r="COS276" s="314"/>
      <c r="COT276" s="314"/>
      <c r="COU276" s="314"/>
      <c r="COV276" s="314"/>
      <c r="COW276" s="314"/>
      <c r="COX276" s="314"/>
      <c r="COY276" s="314"/>
      <c r="COZ276" s="314"/>
      <c r="CPA276" s="314"/>
      <c r="CPB276" s="314"/>
      <c r="CPC276" s="314"/>
      <c r="CPD276" s="314"/>
      <c r="CPE276" s="314"/>
      <c r="CPF276" s="314"/>
      <c r="CPG276" s="314"/>
      <c r="CPH276" s="314"/>
      <c r="CPI276" s="314"/>
      <c r="CPJ276" s="314"/>
      <c r="CPK276" s="314"/>
      <c r="CPL276" s="314"/>
      <c r="CPM276" s="314"/>
      <c r="CPN276" s="314"/>
      <c r="CPO276" s="314"/>
      <c r="CPP276" s="314"/>
      <c r="CPQ276" s="314"/>
      <c r="CPR276" s="314"/>
      <c r="CPS276" s="314"/>
      <c r="CPT276" s="314"/>
      <c r="CPU276" s="314"/>
      <c r="CPV276" s="314"/>
      <c r="CPW276" s="314"/>
      <c r="CPX276" s="314"/>
      <c r="CPY276" s="314"/>
      <c r="CPZ276" s="314"/>
      <c r="CQA276" s="314"/>
      <c r="CQB276" s="314"/>
      <c r="CQC276" s="314"/>
      <c r="CQD276" s="314"/>
      <c r="CQE276" s="314"/>
      <c r="CQF276" s="314"/>
      <c r="CQG276" s="314"/>
      <c r="CQH276" s="314"/>
      <c r="CQI276" s="314"/>
      <c r="CQJ276" s="314"/>
      <c r="CQK276" s="314"/>
      <c r="CQL276" s="314"/>
      <c r="CQM276" s="314"/>
      <c r="CQN276" s="314"/>
      <c r="CQO276" s="314"/>
      <c r="CQP276" s="314"/>
      <c r="CQQ276" s="314"/>
      <c r="CQR276" s="314"/>
      <c r="CQS276" s="314"/>
      <c r="CQT276" s="314"/>
      <c r="CQU276" s="314"/>
      <c r="CQV276" s="314"/>
      <c r="CQW276" s="314"/>
      <c r="CQX276" s="314"/>
      <c r="CQY276" s="314"/>
      <c r="CQZ276" s="314"/>
      <c r="CRA276" s="314"/>
      <c r="CRB276" s="314"/>
      <c r="CRC276" s="314"/>
      <c r="CRD276" s="314"/>
      <c r="CRE276" s="314"/>
      <c r="CRF276" s="314"/>
      <c r="CRG276" s="314"/>
      <c r="CRH276" s="314"/>
      <c r="CRI276" s="314"/>
      <c r="CRJ276" s="314"/>
      <c r="CRK276" s="314"/>
      <c r="CRL276" s="314"/>
      <c r="CRM276" s="314"/>
      <c r="CRN276" s="314"/>
      <c r="CRO276" s="314"/>
      <c r="CRP276" s="314"/>
      <c r="CRQ276" s="314"/>
      <c r="CRR276" s="314"/>
      <c r="CRS276" s="314"/>
      <c r="CRT276" s="314"/>
      <c r="CRU276" s="314"/>
      <c r="CRV276" s="314"/>
      <c r="CRW276" s="314"/>
      <c r="CRX276" s="314"/>
      <c r="CRY276" s="314"/>
      <c r="CRZ276" s="314"/>
      <c r="CSA276" s="314"/>
      <c r="CSB276" s="314"/>
      <c r="CSC276" s="314"/>
      <c r="CSD276" s="314"/>
      <c r="CSE276" s="314"/>
      <c r="CSF276" s="314"/>
      <c r="CSG276" s="314"/>
      <c r="CSH276" s="314"/>
      <c r="CSI276" s="314"/>
      <c r="CSJ276" s="314"/>
      <c r="CSK276" s="314"/>
      <c r="CSL276" s="314"/>
      <c r="CSM276" s="314"/>
      <c r="CSN276" s="314"/>
      <c r="CSO276" s="314"/>
      <c r="CSP276" s="314"/>
      <c r="CSQ276" s="314"/>
      <c r="CSR276" s="314"/>
      <c r="CSS276" s="314"/>
      <c r="CST276" s="314"/>
      <c r="CSU276" s="314"/>
      <c r="CSV276" s="314"/>
      <c r="CSW276" s="314"/>
      <c r="CSX276" s="314"/>
      <c r="CSY276" s="314"/>
      <c r="CSZ276" s="314"/>
      <c r="CTA276" s="314"/>
      <c r="CTB276" s="314"/>
      <c r="CTC276" s="314"/>
      <c r="CTD276" s="314"/>
      <c r="CTE276" s="314"/>
      <c r="CTF276" s="314"/>
      <c r="CTG276" s="314"/>
      <c r="CTH276" s="314"/>
      <c r="CTI276" s="314"/>
      <c r="CTJ276" s="314"/>
      <c r="CTK276" s="314"/>
      <c r="CTL276" s="314"/>
      <c r="CTM276" s="314"/>
      <c r="CTN276" s="314"/>
      <c r="CTO276" s="314"/>
      <c r="CTP276" s="314"/>
      <c r="CTQ276" s="314"/>
      <c r="CTR276" s="314"/>
      <c r="CTS276" s="314"/>
      <c r="CTT276" s="314"/>
      <c r="CTU276" s="314"/>
      <c r="CTV276" s="314"/>
      <c r="CTW276" s="314"/>
      <c r="CTX276" s="314"/>
      <c r="CTY276" s="314"/>
      <c r="CTZ276" s="314"/>
      <c r="CUA276" s="314"/>
      <c r="CUB276" s="314"/>
      <c r="CUC276" s="314"/>
      <c r="CUD276" s="314"/>
      <c r="CUE276" s="314"/>
      <c r="CUF276" s="314"/>
      <c r="CUG276" s="314"/>
      <c r="CUH276" s="314"/>
      <c r="CUI276" s="314"/>
      <c r="CUJ276" s="314"/>
      <c r="CUK276" s="314"/>
      <c r="CUL276" s="314"/>
      <c r="CUM276" s="314"/>
      <c r="CUN276" s="314"/>
      <c r="CUO276" s="314"/>
      <c r="CUP276" s="314"/>
      <c r="CUQ276" s="314"/>
      <c r="CUR276" s="314"/>
      <c r="CUS276" s="314"/>
      <c r="CUT276" s="314"/>
      <c r="CUU276" s="314"/>
      <c r="CUV276" s="314"/>
      <c r="CUW276" s="314"/>
      <c r="CUX276" s="314"/>
      <c r="CUY276" s="314"/>
      <c r="CUZ276" s="314"/>
      <c r="CVA276" s="314"/>
      <c r="CVB276" s="314"/>
      <c r="CVC276" s="314"/>
      <c r="CVD276" s="314"/>
      <c r="CVE276" s="314"/>
      <c r="CVF276" s="314"/>
      <c r="CVG276" s="314"/>
      <c r="CVH276" s="314"/>
      <c r="CVI276" s="314"/>
      <c r="CVJ276" s="314"/>
      <c r="CVK276" s="314"/>
      <c r="CVL276" s="314"/>
      <c r="CVM276" s="314"/>
      <c r="CVN276" s="314"/>
      <c r="CVO276" s="314"/>
      <c r="CVP276" s="314"/>
      <c r="CVQ276" s="314"/>
      <c r="CVR276" s="314"/>
      <c r="CVS276" s="314"/>
      <c r="CVT276" s="314"/>
      <c r="CVU276" s="314"/>
      <c r="CVV276" s="314"/>
      <c r="CVW276" s="314"/>
      <c r="CVX276" s="314"/>
      <c r="CVY276" s="314"/>
      <c r="CVZ276" s="314"/>
      <c r="CWA276" s="314"/>
      <c r="CWB276" s="314"/>
      <c r="CWC276" s="314"/>
      <c r="CWD276" s="314"/>
      <c r="CWE276" s="314"/>
      <c r="CWF276" s="314"/>
      <c r="CWG276" s="314"/>
      <c r="CWH276" s="314"/>
      <c r="CWI276" s="314"/>
      <c r="CWJ276" s="314"/>
      <c r="CWK276" s="314"/>
      <c r="CWL276" s="314"/>
      <c r="CWM276" s="314"/>
      <c r="CWN276" s="314"/>
      <c r="CWO276" s="314"/>
      <c r="CWP276" s="314"/>
      <c r="CWQ276" s="314"/>
      <c r="CWR276" s="314"/>
      <c r="CWS276" s="314"/>
      <c r="CWT276" s="314"/>
      <c r="CWU276" s="314"/>
      <c r="CWV276" s="314"/>
      <c r="CWW276" s="314"/>
      <c r="CWX276" s="314"/>
      <c r="CWY276" s="314"/>
      <c r="CWZ276" s="314"/>
      <c r="CXA276" s="314"/>
      <c r="CXB276" s="314"/>
      <c r="CXC276" s="314"/>
      <c r="CXD276" s="314"/>
      <c r="CXE276" s="314"/>
      <c r="CXF276" s="314"/>
      <c r="CXG276" s="314"/>
      <c r="CXH276" s="314"/>
      <c r="CXI276" s="314"/>
      <c r="CXJ276" s="314"/>
      <c r="CXK276" s="314"/>
      <c r="CXL276" s="314"/>
      <c r="CXM276" s="314"/>
      <c r="CXN276" s="314"/>
      <c r="CXO276" s="314"/>
      <c r="CXP276" s="314"/>
      <c r="CXQ276" s="314"/>
      <c r="CXR276" s="314"/>
      <c r="CXS276" s="314"/>
      <c r="CXT276" s="314"/>
      <c r="CXU276" s="314"/>
      <c r="CXV276" s="314"/>
      <c r="CXW276" s="314"/>
      <c r="CXX276" s="314"/>
      <c r="CXY276" s="314"/>
      <c r="CXZ276" s="314"/>
      <c r="CYA276" s="314"/>
      <c r="CYB276" s="314"/>
      <c r="CYC276" s="314"/>
      <c r="CYD276" s="314"/>
      <c r="CYE276" s="314"/>
      <c r="CYF276" s="314"/>
      <c r="CYG276" s="314"/>
      <c r="CYH276" s="314"/>
      <c r="CYI276" s="314"/>
      <c r="CYJ276" s="314"/>
      <c r="CYK276" s="314"/>
      <c r="CYL276" s="314"/>
      <c r="CYM276" s="314"/>
      <c r="CYN276" s="314"/>
      <c r="CYO276" s="314"/>
      <c r="CYP276" s="314"/>
      <c r="CYQ276" s="314"/>
      <c r="CYR276" s="314"/>
      <c r="CYS276" s="314"/>
      <c r="CYT276" s="314"/>
      <c r="CYU276" s="314"/>
      <c r="CYV276" s="314"/>
      <c r="CYW276" s="314"/>
      <c r="CYX276" s="314"/>
      <c r="CYY276" s="314"/>
      <c r="CYZ276" s="314"/>
      <c r="CZA276" s="314"/>
      <c r="CZB276" s="314"/>
      <c r="CZC276" s="314"/>
      <c r="CZD276" s="314"/>
      <c r="CZE276" s="314"/>
      <c r="CZF276" s="314"/>
      <c r="CZG276" s="314"/>
      <c r="CZH276" s="314"/>
      <c r="CZI276" s="314"/>
      <c r="CZJ276" s="314"/>
      <c r="CZK276" s="314"/>
      <c r="CZL276" s="314"/>
      <c r="CZM276" s="314"/>
      <c r="CZN276" s="314"/>
      <c r="CZO276" s="314"/>
      <c r="CZP276" s="314"/>
      <c r="CZQ276" s="314"/>
      <c r="CZR276" s="314"/>
      <c r="CZS276" s="314"/>
      <c r="CZT276" s="314"/>
      <c r="CZU276" s="314"/>
      <c r="CZV276" s="314"/>
      <c r="CZW276" s="314"/>
      <c r="CZX276" s="314"/>
      <c r="CZY276" s="314"/>
      <c r="CZZ276" s="314"/>
      <c r="DAA276" s="314"/>
      <c r="DAB276" s="314"/>
      <c r="DAC276" s="314"/>
      <c r="DAD276" s="314"/>
      <c r="DAE276" s="314"/>
      <c r="DAF276" s="314"/>
      <c r="DAG276" s="314"/>
      <c r="DAH276" s="314"/>
      <c r="DAI276" s="314"/>
      <c r="DAJ276" s="314"/>
      <c r="DAK276" s="314"/>
      <c r="DAL276" s="314"/>
      <c r="DAM276" s="314"/>
      <c r="DAN276" s="314"/>
      <c r="DAO276" s="314"/>
      <c r="DAP276" s="314"/>
      <c r="DAQ276" s="314"/>
      <c r="DAR276" s="314"/>
      <c r="DAS276" s="314"/>
      <c r="DAT276" s="314"/>
      <c r="DAU276" s="314"/>
      <c r="DAV276" s="314"/>
      <c r="DAW276" s="314"/>
      <c r="DAX276" s="314"/>
      <c r="DAY276" s="314"/>
      <c r="DAZ276" s="314"/>
      <c r="DBA276" s="314"/>
      <c r="DBB276" s="314"/>
      <c r="DBC276" s="314"/>
      <c r="DBD276" s="314"/>
      <c r="DBE276" s="314"/>
      <c r="DBF276" s="314"/>
      <c r="DBG276" s="314"/>
      <c r="DBH276" s="314"/>
      <c r="DBI276" s="314"/>
      <c r="DBJ276" s="314"/>
      <c r="DBK276" s="314"/>
      <c r="DBL276" s="314"/>
      <c r="DBM276" s="314"/>
      <c r="DBN276" s="314"/>
      <c r="DBO276" s="314"/>
      <c r="DBP276" s="314"/>
      <c r="DBQ276" s="314"/>
      <c r="DBR276" s="314"/>
      <c r="DBS276" s="314"/>
      <c r="DBT276" s="314"/>
      <c r="DBU276" s="314"/>
      <c r="DBV276" s="314"/>
      <c r="DBW276" s="314"/>
      <c r="DBX276" s="314"/>
      <c r="DBY276" s="314"/>
      <c r="DBZ276" s="314"/>
      <c r="DCA276" s="314"/>
      <c r="DCB276" s="314"/>
      <c r="DCC276" s="314"/>
      <c r="DCD276" s="314"/>
      <c r="DCE276" s="314"/>
      <c r="DCF276" s="314"/>
      <c r="DCG276" s="314"/>
      <c r="DCH276" s="314"/>
      <c r="DCI276" s="314"/>
      <c r="DCJ276" s="314"/>
      <c r="DCK276" s="314"/>
      <c r="DCL276" s="314"/>
      <c r="DCM276" s="314"/>
      <c r="DCN276" s="314"/>
      <c r="DCO276" s="314"/>
      <c r="DCP276" s="314"/>
      <c r="DCQ276" s="314"/>
      <c r="DCR276" s="314"/>
      <c r="DCS276" s="314"/>
      <c r="DCT276" s="314"/>
      <c r="DCU276" s="314"/>
      <c r="DCV276" s="314"/>
      <c r="DCW276" s="314"/>
      <c r="DCX276" s="314"/>
      <c r="DCY276" s="314"/>
      <c r="DCZ276" s="314"/>
      <c r="DDA276" s="314"/>
      <c r="DDB276" s="314"/>
      <c r="DDC276" s="314"/>
      <c r="DDD276" s="314"/>
      <c r="DDE276" s="314"/>
      <c r="DDF276" s="314"/>
      <c r="DDG276" s="314"/>
      <c r="DDH276" s="314"/>
      <c r="DDI276" s="314"/>
      <c r="DDJ276" s="314"/>
      <c r="DDK276" s="314"/>
      <c r="DDL276" s="314"/>
      <c r="DDM276" s="314"/>
      <c r="DDN276" s="314"/>
      <c r="DDO276" s="314"/>
      <c r="DDP276" s="314"/>
      <c r="DDQ276" s="314"/>
      <c r="DDR276" s="314"/>
      <c r="DDS276" s="314"/>
      <c r="DDT276" s="314"/>
      <c r="DDU276" s="314"/>
      <c r="DDV276" s="314"/>
      <c r="DDW276" s="314"/>
      <c r="DDX276" s="314"/>
      <c r="DDY276" s="314"/>
      <c r="DDZ276" s="314"/>
      <c r="DEA276" s="314"/>
      <c r="DEB276" s="314"/>
      <c r="DEC276" s="314"/>
      <c r="DED276" s="314"/>
      <c r="DEE276" s="314"/>
      <c r="DEF276" s="314"/>
      <c r="DEG276" s="314"/>
      <c r="DEH276" s="314"/>
      <c r="DEI276" s="314"/>
      <c r="DEJ276" s="314"/>
      <c r="DEK276" s="314"/>
      <c r="DEL276" s="314"/>
      <c r="DEM276" s="314"/>
      <c r="DEN276" s="314"/>
      <c r="DEO276" s="314"/>
      <c r="DEP276" s="314"/>
      <c r="DEQ276" s="314"/>
      <c r="DER276" s="314"/>
      <c r="DES276" s="314"/>
      <c r="DET276" s="314"/>
      <c r="DEU276" s="314"/>
      <c r="DEV276" s="314"/>
      <c r="DEW276" s="314"/>
      <c r="DEX276" s="314"/>
      <c r="DEY276" s="314"/>
      <c r="DEZ276" s="314"/>
      <c r="DFA276" s="314"/>
      <c r="DFB276" s="314"/>
      <c r="DFC276" s="314"/>
      <c r="DFD276" s="314"/>
      <c r="DFE276" s="314"/>
      <c r="DFF276" s="314"/>
      <c r="DFG276" s="314"/>
      <c r="DFH276" s="314"/>
      <c r="DFI276" s="314"/>
      <c r="DFJ276" s="314"/>
      <c r="DFK276" s="314"/>
      <c r="DFL276" s="314"/>
      <c r="DFM276" s="314"/>
      <c r="DFN276" s="314"/>
      <c r="DFO276" s="314"/>
      <c r="DFP276" s="314"/>
      <c r="DFQ276" s="314"/>
      <c r="DFR276" s="314"/>
      <c r="DFS276" s="314"/>
      <c r="DFT276" s="314"/>
      <c r="DFU276" s="314"/>
      <c r="DFV276" s="314"/>
      <c r="DFW276" s="314"/>
      <c r="DFX276" s="314"/>
      <c r="DFY276" s="314"/>
      <c r="DFZ276" s="314"/>
      <c r="DGA276" s="314"/>
      <c r="DGB276" s="314"/>
      <c r="DGC276" s="314"/>
      <c r="DGD276" s="314"/>
      <c r="DGE276" s="314"/>
      <c r="DGF276" s="314"/>
      <c r="DGG276" s="314"/>
      <c r="DGH276" s="314"/>
      <c r="DGI276" s="314"/>
      <c r="DGJ276" s="314"/>
      <c r="DGK276" s="314"/>
      <c r="DGL276" s="314"/>
      <c r="DGM276" s="314"/>
      <c r="DGN276" s="314"/>
      <c r="DGO276" s="314"/>
      <c r="DGP276" s="314"/>
      <c r="DGQ276" s="314"/>
      <c r="DGR276" s="314"/>
      <c r="DGS276" s="314"/>
      <c r="DGT276" s="314"/>
      <c r="DGU276" s="314"/>
      <c r="DGV276" s="314"/>
      <c r="DGW276" s="314"/>
      <c r="DGX276" s="314"/>
      <c r="DGY276" s="314"/>
      <c r="DGZ276" s="314"/>
      <c r="DHA276" s="314"/>
      <c r="DHB276" s="314"/>
      <c r="DHC276" s="314"/>
      <c r="DHD276" s="314"/>
      <c r="DHE276" s="314"/>
      <c r="DHF276" s="314"/>
      <c r="DHG276" s="314"/>
      <c r="DHH276" s="314"/>
      <c r="DHI276" s="314"/>
      <c r="DHJ276" s="314"/>
      <c r="DHK276" s="314"/>
      <c r="DHL276" s="314"/>
      <c r="DHM276" s="314"/>
      <c r="DHN276" s="314"/>
      <c r="DHO276" s="314"/>
      <c r="DHP276" s="314"/>
      <c r="DHQ276" s="314"/>
      <c r="DHR276" s="314"/>
      <c r="DHS276" s="314"/>
      <c r="DHT276" s="314"/>
      <c r="DHU276" s="314"/>
      <c r="DHV276" s="314"/>
      <c r="DHW276" s="314"/>
      <c r="DHX276" s="314"/>
      <c r="DHY276" s="314"/>
      <c r="DHZ276" s="314"/>
      <c r="DIA276" s="314"/>
      <c r="DIB276" s="314"/>
      <c r="DIC276" s="314"/>
      <c r="DID276" s="314"/>
      <c r="DIE276" s="314"/>
      <c r="DIF276" s="314"/>
      <c r="DIG276" s="314"/>
      <c r="DIH276" s="314"/>
      <c r="DII276" s="314"/>
      <c r="DIJ276" s="314"/>
      <c r="DIK276" s="314"/>
      <c r="DIL276" s="314"/>
      <c r="DIM276" s="314"/>
      <c r="DIN276" s="314"/>
      <c r="DIO276" s="314"/>
      <c r="DIP276" s="314"/>
      <c r="DIQ276" s="314"/>
      <c r="DIR276" s="314"/>
      <c r="DIS276" s="314"/>
      <c r="DIT276" s="314"/>
      <c r="DIU276" s="314"/>
      <c r="DIV276" s="314"/>
      <c r="DIW276" s="314"/>
      <c r="DIX276" s="314"/>
      <c r="DIY276" s="314"/>
      <c r="DIZ276" s="314"/>
      <c r="DJA276" s="314"/>
      <c r="DJB276" s="314"/>
      <c r="DJC276" s="314"/>
      <c r="DJD276" s="314"/>
      <c r="DJE276" s="314"/>
      <c r="DJF276" s="314"/>
      <c r="DJG276" s="314"/>
      <c r="DJH276" s="314"/>
      <c r="DJI276" s="314"/>
      <c r="DJJ276" s="314"/>
      <c r="DJK276" s="314"/>
      <c r="DJL276" s="314"/>
      <c r="DJM276" s="314"/>
      <c r="DJN276" s="314"/>
      <c r="DJO276" s="314"/>
      <c r="DJP276" s="314"/>
      <c r="DJQ276" s="314"/>
      <c r="DJR276" s="314"/>
      <c r="DJS276" s="314"/>
      <c r="DJT276" s="314"/>
      <c r="DJU276" s="314"/>
      <c r="DJV276" s="314"/>
      <c r="DJW276" s="314"/>
      <c r="DJX276" s="314"/>
      <c r="DJY276" s="314"/>
      <c r="DJZ276" s="314"/>
      <c r="DKA276" s="314"/>
      <c r="DKB276" s="314"/>
      <c r="DKC276" s="314"/>
      <c r="DKD276" s="314"/>
      <c r="DKE276" s="314"/>
      <c r="DKF276" s="314"/>
      <c r="DKG276" s="314"/>
      <c r="DKH276" s="314"/>
      <c r="DKI276" s="314"/>
      <c r="DKJ276" s="314"/>
      <c r="DKK276" s="314"/>
      <c r="DKL276" s="314"/>
      <c r="DKM276" s="314"/>
      <c r="DKN276" s="314"/>
      <c r="DKO276" s="314"/>
      <c r="DKP276" s="314"/>
      <c r="DKQ276" s="314"/>
      <c r="DKR276" s="314"/>
      <c r="DKS276" s="314"/>
      <c r="DKT276" s="314"/>
      <c r="DKU276" s="314"/>
      <c r="DKV276" s="314"/>
      <c r="DKW276" s="314"/>
      <c r="DKX276" s="314"/>
      <c r="DKY276" s="314"/>
      <c r="DKZ276" s="314"/>
      <c r="DLA276" s="314"/>
      <c r="DLB276" s="314"/>
      <c r="DLC276" s="314"/>
      <c r="DLD276" s="314"/>
      <c r="DLE276" s="314"/>
      <c r="DLF276" s="314"/>
      <c r="DLG276" s="314"/>
      <c r="DLH276" s="314"/>
      <c r="DLI276" s="314"/>
      <c r="DLJ276" s="314"/>
      <c r="DLK276" s="314"/>
      <c r="DLL276" s="314"/>
      <c r="DLM276" s="314"/>
      <c r="DLN276" s="314"/>
      <c r="DLO276" s="314"/>
      <c r="DLP276" s="314"/>
      <c r="DLQ276" s="314"/>
      <c r="DLR276" s="314"/>
      <c r="DLS276" s="314"/>
      <c r="DLT276" s="314"/>
      <c r="DLU276" s="314"/>
      <c r="DLV276" s="314"/>
      <c r="DLW276" s="314"/>
      <c r="DLX276" s="314"/>
      <c r="DLY276" s="314"/>
      <c r="DLZ276" s="314"/>
      <c r="DMA276" s="314"/>
      <c r="DMB276" s="314"/>
      <c r="DMC276" s="314"/>
      <c r="DMD276" s="314"/>
      <c r="DME276" s="314"/>
      <c r="DMF276" s="314"/>
      <c r="DMG276" s="314"/>
      <c r="DMH276" s="314"/>
      <c r="DMI276" s="314"/>
      <c r="DMJ276" s="314"/>
      <c r="DMK276" s="314"/>
      <c r="DML276" s="314"/>
      <c r="DMM276" s="314"/>
      <c r="DMN276" s="314"/>
      <c r="DMO276" s="314"/>
      <c r="DMP276" s="314"/>
      <c r="DMQ276" s="314"/>
      <c r="DMR276" s="314"/>
      <c r="DMS276" s="314"/>
      <c r="DMT276" s="314"/>
      <c r="DMU276" s="314"/>
      <c r="DMV276" s="314"/>
      <c r="DMW276" s="314"/>
      <c r="DMX276" s="314"/>
      <c r="DMY276" s="314"/>
      <c r="DMZ276" s="314"/>
      <c r="DNA276" s="314"/>
      <c r="DNB276" s="314"/>
      <c r="DNC276" s="314"/>
      <c r="DND276" s="314"/>
      <c r="DNE276" s="314"/>
      <c r="DNF276" s="314"/>
      <c r="DNG276" s="314"/>
      <c r="DNH276" s="314"/>
      <c r="DNI276" s="314"/>
      <c r="DNJ276" s="314"/>
      <c r="DNK276" s="314"/>
      <c r="DNL276" s="314"/>
      <c r="DNM276" s="314"/>
      <c r="DNN276" s="314"/>
      <c r="DNO276" s="314"/>
      <c r="DNP276" s="314"/>
      <c r="DNQ276" s="314"/>
      <c r="DNR276" s="314"/>
      <c r="DNS276" s="314"/>
      <c r="DNT276" s="314"/>
      <c r="DNU276" s="314"/>
      <c r="DNV276" s="314"/>
      <c r="DNW276" s="314"/>
      <c r="DNX276" s="314"/>
      <c r="DNY276" s="314"/>
      <c r="DNZ276" s="314"/>
      <c r="DOA276" s="314"/>
      <c r="DOB276" s="314"/>
      <c r="DOC276" s="314"/>
      <c r="DOD276" s="314"/>
      <c r="DOE276" s="314"/>
      <c r="DOF276" s="314"/>
      <c r="DOG276" s="314"/>
      <c r="DOH276" s="314"/>
      <c r="DOI276" s="314"/>
      <c r="DOJ276" s="314"/>
      <c r="DOK276" s="314"/>
      <c r="DOL276" s="314"/>
      <c r="DOM276" s="314"/>
      <c r="DON276" s="314"/>
      <c r="DOO276" s="314"/>
      <c r="DOP276" s="314"/>
      <c r="DOQ276" s="314"/>
      <c r="DOR276" s="314"/>
      <c r="DOS276" s="314"/>
      <c r="DOT276" s="314"/>
      <c r="DOU276" s="314"/>
      <c r="DOV276" s="314"/>
      <c r="DOW276" s="314"/>
      <c r="DOX276" s="314"/>
      <c r="DOY276" s="314"/>
      <c r="DOZ276" s="314"/>
      <c r="DPA276" s="314"/>
      <c r="DPB276" s="314"/>
      <c r="DPC276" s="314"/>
      <c r="DPD276" s="314"/>
      <c r="DPE276" s="314"/>
      <c r="DPF276" s="314"/>
      <c r="DPG276" s="314"/>
      <c r="DPH276" s="314"/>
      <c r="DPI276" s="314"/>
      <c r="DPJ276" s="314"/>
      <c r="DPK276" s="314"/>
      <c r="DPL276" s="314"/>
      <c r="DPM276" s="314"/>
      <c r="DPN276" s="314"/>
      <c r="DPO276" s="314"/>
      <c r="DPP276" s="314"/>
      <c r="DPQ276" s="314"/>
      <c r="DPR276" s="314"/>
      <c r="DPS276" s="314"/>
      <c r="DPT276" s="314"/>
      <c r="DPU276" s="314"/>
      <c r="DPV276" s="314"/>
      <c r="DPW276" s="314"/>
      <c r="DPX276" s="314"/>
      <c r="DPY276" s="314"/>
      <c r="DPZ276" s="314"/>
      <c r="DQA276" s="314"/>
      <c r="DQB276" s="314"/>
      <c r="DQC276" s="314"/>
      <c r="DQD276" s="314"/>
      <c r="DQE276" s="314"/>
      <c r="DQF276" s="314"/>
      <c r="DQG276" s="314"/>
      <c r="DQH276" s="314"/>
      <c r="DQI276" s="314"/>
      <c r="DQJ276" s="314"/>
      <c r="DQK276" s="314"/>
      <c r="DQL276" s="314"/>
      <c r="DQM276" s="314"/>
      <c r="DQN276" s="314"/>
      <c r="DQO276" s="314"/>
      <c r="DQP276" s="314"/>
      <c r="DQQ276" s="314"/>
      <c r="DQR276" s="314"/>
      <c r="DQS276" s="314"/>
      <c r="DQT276" s="314"/>
      <c r="DQU276" s="314"/>
      <c r="DQV276" s="314"/>
      <c r="DQW276" s="314"/>
      <c r="DQX276" s="314"/>
      <c r="DQY276" s="314"/>
      <c r="DQZ276" s="314"/>
      <c r="DRA276" s="314"/>
      <c r="DRB276" s="314"/>
      <c r="DRC276" s="314"/>
      <c r="DRD276" s="314"/>
      <c r="DRE276" s="314"/>
      <c r="DRF276" s="314"/>
      <c r="DRG276" s="314"/>
      <c r="DRH276" s="314"/>
      <c r="DRI276" s="314"/>
      <c r="DRJ276" s="314"/>
      <c r="DRK276" s="314"/>
      <c r="DRL276" s="314"/>
      <c r="DRM276" s="314"/>
      <c r="DRN276" s="314"/>
      <c r="DRO276" s="314"/>
      <c r="DRP276" s="314"/>
      <c r="DRQ276" s="314"/>
      <c r="DRR276" s="314"/>
      <c r="DRS276" s="314"/>
      <c r="DRT276" s="314"/>
      <c r="DRU276" s="314"/>
      <c r="DRV276" s="314"/>
      <c r="DRW276" s="314"/>
      <c r="DRX276" s="314"/>
      <c r="DRY276" s="314"/>
      <c r="DRZ276" s="314"/>
      <c r="DSA276" s="314"/>
      <c r="DSB276" s="314"/>
      <c r="DSC276" s="314"/>
      <c r="DSD276" s="314"/>
      <c r="DSE276" s="314"/>
      <c r="DSF276" s="314"/>
      <c r="DSG276" s="314"/>
      <c r="DSH276" s="314"/>
      <c r="DSI276" s="314"/>
      <c r="DSJ276" s="314"/>
      <c r="DSK276" s="314"/>
      <c r="DSL276" s="314"/>
      <c r="DSM276" s="314"/>
      <c r="DSN276" s="314"/>
      <c r="DSO276" s="314"/>
      <c r="DSP276" s="314"/>
      <c r="DSQ276" s="314"/>
      <c r="DSR276" s="314"/>
      <c r="DSS276" s="314"/>
      <c r="DST276" s="314"/>
      <c r="DSU276" s="314"/>
      <c r="DSV276" s="314"/>
      <c r="DSW276" s="314"/>
      <c r="DSX276" s="314"/>
      <c r="DSY276" s="314"/>
      <c r="DSZ276" s="314"/>
      <c r="DTA276" s="314"/>
      <c r="DTB276" s="314"/>
      <c r="DTC276" s="314"/>
      <c r="DTD276" s="314"/>
      <c r="DTE276" s="314"/>
      <c r="DTF276" s="314"/>
      <c r="DTG276" s="314"/>
      <c r="DTH276" s="314"/>
      <c r="DTI276" s="314"/>
      <c r="DTJ276" s="314"/>
      <c r="DTK276" s="314"/>
      <c r="DTL276" s="314"/>
      <c r="DTM276" s="314"/>
      <c r="DTN276" s="314"/>
      <c r="DTO276" s="314"/>
      <c r="DTP276" s="314"/>
      <c r="DTQ276" s="314"/>
      <c r="DTR276" s="314"/>
      <c r="DTS276" s="314"/>
      <c r="DTT276" s="314"/>
      <c r="DTU276" s="314"/>
      <c r="DTV276" s="314"/>
      <c r="DTW276" s="314"/>
      <c r="DTX276" s="314"/>
      <c r="DTY276" s="314"/>
      <c r="DTZ276" s="314"/>
      <c r="DUA276" s="314"/>
      <c r="DUB276" s="314"/>
      <c r="DUC276" s="314"/>
      <c r="DUD276" s="314"/>
      <c r="DUE276" s="314"/>
      <c r="DUF276" s="314"/>
      <c r="DUG276" s="314"/>
      <c r="DUH276" s="314"/>
      <c r="DUI276" s="314"/>
      <c r="DUJ276" s="314"/>
      <c r="DUK276" s="314"/>
      <c r="DUL276" s="314"/>
      <c r="DUM276" s="314"/>
      <c r="DUN276" s="314"/>
    </row>
    <row r="277" spans="1:3264" ht="15.75" x14ac:dyDescent="0.2">
      <c r="A277" s="313"/>
      <c r="B277" s="75"/>
      <c r="C277" s="74"/>
      <c r="D277" s="74"/>
      <c r="E277" s="74"/>
      <c r="F277" s="74"/>
      <c r="G277" s="75" t="s">
        <v>502</v>
      </c>
      <c r="H277" s="74" t="s">
        <v>250</v>
      </c>
      <c r="I277" s="74">
        <v>56.55</v>
      </c>
      <c r="J277" s="74">
        <f>sand</f>
        <v>2001.47</v>
      </c>
      <c r="K277" s="74">
        <f>I277*J277</f>
        <v>113183.13</v>
      </c>
      <c r="L277" s="75" t="s">
        <v>271</v>
      </c>
      <c r="M277" s="74" t="s">
        <v>13</v>
      </c>
      <c r="N277" s="74">
        <v>12</v>
      </c>
      <c r="O277" s="74">
        <f>smoothwheeledroller</f>
        <v>1173.5</v>
      </c>
      <c r="P277" s="21">
        <f>N277*O277</f>
        <v>14082</v>
      </c>
      <c r="Q277" s="315"/>
      <c r="R277" s="314"/>
      <c r="S277" s="314"/>
      <c r="T277" s="314"/>
      <c r="U277" s="314"/>
      <c r="V277" s="314"/>
      <c r="W277" s="314"/>
      <c r="X277" s="314"/>
      <c r="Y277" s="314"/>
      <c r="Z277" s="314"/>
      <c r="AA277" s="314"/>
      <c r="AB277" s="314"/>
      <c r="AC277" s="314"/>
      <c r="AD277" s="314"/>
      <c r="AE277" s="314"/>
      <c r="AF277" s="314"/>
      <c r="AG277" s="314"/>
      <c r="AH277" s="314"/>
      <c r="AI277" s="314"/>
      <c r="AJ277" s="314"/>
      <c r="AK277" s="314"/>
      <c r="AL277" s="314"/>
      <c r="AM277" s="314"/>
      <c r="AN277" s="314"/>
      <c r="AO277" s="314"/>
      <c r="AP277" s="314"/>
      <c r="AQ277" s="314"/>
      <c r="AR277" s="314"/>
      <c r="AS277" s="314"/>
      <c r="AT277" s="314"/>
      <c r="AU277" s="314"/>
      <c r="AV277" s="314"/>
      <c r="AW277" s="314"/>
      <c r="AX277" s="314"/>
      <c r="AY277" s="314"/>
      <c r="AZ277" s="314"/>
      <c r="BA277" s="314"/>
      <c r="BB277" s="314"/>
      <c r="BC277" s="314"/>
      <c r="BD277" s="314"/>
      <c r="BE277" s="314"/>
      <c r="BF277" s="314"/>
      <c r="BG277" s="314"/>
      <c r="BH277" s="314"/>
      <c r="BI277" s="314"/>
      <c r="BJ277" s="314"/>
      <c r="BK277" s="314"/>
      <c r="BL277" s="314"/>
      <c r="BM277" s="314"/>
      <c r="BN277" s="314"/>
      <c r="BO277" s="314"/>
      <c r="BP277" s="314"/>
      <c r="BQ277" s="314"/>
      <c r="BR277" s="314"/>
      <c r="BS277" s="314"/>
      <c r="BT277" s="314"/>
      <c r="BU277" s="314"/>
      <c r="BV277" s="314"/>
      <c r="BW277" s="314"/>
      <c r="BX277" s="314"/>
      <c r="BY277" s="314"/>
      <c r="BZ277" s="314"/>
      <c r="CA277" s="314"/>
      <c r="CB277" s="314"/>
      <c r="CC277" s="314"/>
      <c r="CD277" s="314"/>
      <c r="CE277" s="314"/>
      <c r="CF277" s="314"/>
      <c r="CG277" s="314"/>
      <c r="CH277" s="314"/>
      <c r="CI277" s="314"/>
      <c r="CJ277" s="314"/>
      <c r="CK277" s="314"/>
      <c r="CL277" s="314"/>
      <c r="CM277" s="314"/>
      <c r="CN277" s="314"/>
      <c r="CO277" s="314"/>
      <c r="CP277" s="314"/>
      <c r="CQ277" s="314"/>
      <c r="CR277" s="314"/>
      <c r="CS277" s="314"/>
      <c r="CT277" s="314"/>
      <c r="CU277" s="314"/>
      <c r="CV277" s="314"/>
      <c r="CW277" s="314"/>
      <c r="CX277" s="314"/>
      <c r="CY277" s="314"/>
      <c r="CZ277" s="314"/>
      <c r="DA277" s="314"/>
      <c r="DB277" s="314"/>
      <c r="DC277" s="314"/>
      <c r="DD277" s="314"/>
      <c r="DE277" s="314"/>
      <c r="DF277" s="314"/>
      <c r="DG277" s="314"/>
      <c r="DH277" s="314"/>
      <c r="DI277" s="314"/>
      <c r="DJ277" s="314"/>
      <c r="DK277" s="314"/>
      <c r="DL277" s="314"/>
      <c r="DM277" s="314"/>
      <c r="DN277" s="314"/>
      <c r="DO277" s="314"/>
      <c r="DP277" s="314"/>
      <c r="DQ277" s="314"/>
      <c r="DR277" s="314"/>
      <c r="DS277" s="314"/>
      <c r="DT277" s="314"/>
      <c r="DU277" s="314"/>
      <c r="DV277" s="314"/>
      <c r="DW277" s="314"/>
      <c r="DX277" s="314"/>
      <c r="DY277" s="314"/>
      <c r="DZ277" s="314"/>
      <c r="EA277" s="314"/>
      <c r="EB277" s="314"/>
      <c r="EC277" s="314"/>
      <c r="ED277" s="314"/>
      <c r="EE277" s="314"/>
      <c r="EF277" s="314"/>
      <c r="EG277" s="314"/>
      <c r="EH277" s="314"/>
      <c r="EI277" s="314"/>
      <c r="EJ277" s="314"/>
      <c r="EK277" s="314"/>
      <c r="EL277" s="314"/>
      <c r="EM277" s="314"/>
      <c r="EN277" s="314"/>
      <c r="EO277" s="314"/>
      <c r="EP277" s="314"/>
      <c r="EQ277" s="314"/>
      <c r="ER277" s="314"/>
      <c r="ES277" s="314"/>
      <c r="ET277" s="314"/>
      <c r="EU277" s="314"/>
      <c r="EV277" s="314"/>
      <c r="EW277" s="314"/>
      <c r="EX277" s="314"/>
      <c r="EY277" s="314"/>
      <c r="EZ277" s="314"/>
      <c r="FA277" s="314"/>
      <c r="FB277" s="314"/>
      <c r="FC277" s="314"/>
      <c r="FD277" s="314"/>
      <c r="FE277" s="314"/>
      <c r="FF277" s="314"/>
      <c r="FG277" s="314"/>
      <c r="FH277" s="314"/>
      <c r="FI277" s="314"/>
      <c r="FJ277" s="314"/>
      <c r="FK277" s="314"/>
      <c r="FL277" s="314"/>
      <c r="FM277" s="314"/>
      <c r="FN277" s="314"/>
      <c r="FO277" s="314"/>
      <c r="FP277" s="314"/>
      <c r="FQ277" s="314"/>
      <c r="FR277" s="314"/>
      <c r="FS277" s="314"/>
      <c r="FT277" s="314"/>
      <c r="FU277" s="314"/>
      <c r="FV277" s="314"/>
      <c r="FW277" s="314"/>
      <c r="FX277" s="314"/>
      <c r="FY277" s="314"/>
      <c r="FZ277" s="314"/>
      <c r="GA277" s="314"/>
      <c r="GB277" s="314"/>
      <c r="GC277" s="314"/>
      <c r="GD277" s="314"/>
      <c r="GE277" s="314"/>
      <c r="GF277" s="314"/>
      <c r="GG277" s="314"/>
      <c r="GH277" s="314"/>
      <c r="GI277" s="314"/>
      <c r="GJ277" s="314"/>
      <c r="GK277" s="314"/>
      <c r="GL277" s="314"/>
      <c r="GM277" s="314"/>
      <c r="GN277" s="314"/>
      <c r="GO277" s="314"/>
      <c r="GP277" s="314"/>
      <c r="GQ277" s="314"/>
      <c r="GR277" s="314"/>
      <c r="GS277" s="314"/>
      <c r="GT277" s="314"/>
      <c r="GU277" s="314"/>
      <c r="GV277" s="314"/>
      <c r="GW277" s="314"/>
      <c r="GX277" s="314"/>
      <c r="GY277" s="314"/>
      <c r="GZ277" s="314"/>
      <c r="HA277" s="314"/>
      <c r="HB277" s="314"/>
      <c r="HC277" s="314"/>
      <c r="HD277" s="314"/>
      <c r="HE277" s="314"/>
      <c r="HF277" s="314"/>
      <c r="HG277" s="314"/>
      <c r="HH277" s="314"/>
      <c r="HI277" s="314"/>
      <c r="HJ277" s="314"/>
      <c r="HK277" s="314"/>
      <c r="HL277" s="314"/>
      <c r="HM277" s="314"/>
      <c r="HN277" s="314"/>
      <c r="HO277" s="314"/>
      <c r="HP277" s="314"/>
      <c r="HQ277" s="314"/>
      <c r="HR277" s="314"/>
      <c r="HS277" s="314"/>
      <c r="HT277" s="314"/>
      <c r="HU277" s="314"/>
      <c r="HV277" s="314"/>
      <c r="HW277" s="314"/>
      <c r="HX277" s="314"/>
      <c r="HY277" s="314"/>
      <c r="HZ277" s="314"/>
      <c r="IA277" s="314"/>
      <c r="IB277" s="314"/>
      <c r="IC277" s="314"/>
      <c r="ID277" s="314"/>
      <c r="IE277" s="314"/>
      <c r="IF277" s="314"/>
      <c r="IG277" s="314"/>
      <c r="IH277" s="314"/>
      <c r="II277" s="314"/>
      <c r="IJ277" s="314"/>
      <c r="IK277" s="314"/>
      <c r="IL277" s="314"/>
      <c r="IM277" s="314"/>
      <c r="IN277" s="314"/>
      <c r="IO277" s="314"/>
      <c r="IP277" s="314"/>
      <c r="IQ277" s="314"/>
      <c r="IR277" s="314"/>
      <c r="IS277" s="314"/>
      <c r="IT277" s="314"/>
      <c r="IU277" s="314"/>
      <c r="IV277" s="314"/>
      <c r="IW277" s="314"/>
      <c r="IX277" s="314"/>
      <c r="IY277" s="314"/>
      <c r="IZ277" s="314"/>
      <c r="JA277" s="314"/>
      <c r="JB277" s="314"/>
      <c r="JC277" s="314"/>
      <c r="JD277" s="314"/>
      <c r="JE277" s="314"/>
      <c r="JF277" s="314"/>
      <c r="JG277" s="314"/>
      <c r="JH277" s="314"/>
      <c r="JI277" s="314"/>
      <c r="JJ277" s="314"/>
      <c r="JK277" s="314"/>
      <c r="JL277" s="314"/>
      <c r="JM277" s="314"/>
      <c r="JN277" s="314"/>
      <c r="JO277" s="314"/>
      <c r="JP277" s="314"/>
      <c r="JQ277" s="314"/>
      <c r="JR277" s="314"/>
      <c r="JS277" s="314"/>
      <c r="JT277" s="314"/>
      <c r="JU277" s="314"/>
      <c r="JV277" s="314"/>
      <c r="JW277" s="314"/>
      <c r="JX277" s="314"/>
      <c r="JY277" s="314"/>
      <c r="JZ277" s="314"/>
      <c r="KA277" s="314"/>
      <c r="KB277" s="314"/>
      <c r="KC277" s="314"/>
      <c r="KD277" s="314"/>
      <c r="KE277" s="314"/>
      <c r="KF277" s="314"/>
      <c r="KG277" s="314"/>
      <c r="KH277" s="314"/>
      <c r="KI277" s="314"/>
      <c r="KJ277" s="314"/>
      <c r="KK277" s="314"/>
      <c r="KL277" s="314"/>
      <c r="KM277" s="314"/>
      <c r="KN277" s="314"/>
      <c r="KO277" s="314"/>
      <c r="KP277" s="314"/>
      <c r="KQ277" s="314"/>
      <c r="KR277" s="314"/>
      <c r="KS277" s="314"/>
      <c r="KT277" s="314"/>
      <c r="KU277" s="314"/>
      <c r="KV277" s="314"/>
      <c r="KW277" s="314"/>
      <c r="KX277" s="314"/>
      <c r="KY277" s="314"/>
      <c r="KZ277" s="314"/>
      <c r="LA277" s="314"/>
      <c r="LB277" s="314"/>
      <c r="LC277" s="314"/>
      <c r="LD277" s="314"/>
      <c r="LE277" s="314"/>
      <c r="LF277" s="314"/>
      <c r="LG277" s="314"/>
      <c r="LH277" s="314"/>
      <c r="LI277" s="314"/>
      <c r="LJ277" s="314"/>
      <c r="LK277" s="314"/>
      <c r="LL277" s="314"/>
      <c r="LM277" s="314"/>
      <c r="LN277" s="314"/>
      <c r="LO277" s="314"/>
      <c r="LP277" s="314"/>
      <c r="LQ277" s="314"/>
      <c r="LR277" s="314"/>
      <c r="LS277" s="314"/>
      <c r="LT277" s="314"/>
      <c r="LU277" s="314"/>
      <c r="LV277" s="314"/>
      <c r="LW277" s="314"/>
      <c r="LX277" s="314"/>
      <c r="LY277" s="314"/>
      <c r="LZ277" s="314"/>
      <c r="MA277" s="314"/>
      <c r="MB277" s="314"/>
      <c r="MC277" s="314"/>
      <c r="MD277" s="314"/>
      <c r="ME277" s="314"/>
      <c r="MF277" s="314"/>
      <c r="MG277" s="314"/>
      <c r="MH277" s="314"/>
      <c r="MI277" s="314"/>
      <c r="MJ277" s="314"/>
      <c r="MK277" s="314"/>
      <c r="ML277" s="314"/>
      <c r="MM277" s="314"/>
      <c r="MN277" s="314"/>
      <c r="MO277" s="314"/>
      <c r="MP277" s="314"/>
      <c r="MQ277" s="314"/>
      <c r="MR277" s="314"/>
      <c r="MS277" s="314"/>
      <c r="MT277" s="314"/>
      <c r="MU277" s="314"/>
      <c r="MV277" s="314"/>
      <c r="MW277" s="314"/>
      <c r="MX277" s="314"/>
      <c r="MY277" s="314"/>
      <c r="MZ277" s="314"/>
      <c r="NA277" s="314"/>
      <c r="NB277" s="314"/>
      <c r="NC277" s="314"/>
      <c r="ND277" s="314"/>
      <c r="NE277" s="314"/>
      <c r="NF277" s="314"/>
      <c r="NG277" s="314"/>
      <c r="NH277" s="314"/>
      <c r="NI277" s="314"/>
      <c r="NJ277" s="314"/>
      <c r="NK277" s="314"/>
      <c r="NL277" s="314"/>
      <c r="NM277" s="314"/>
      <c r="NN277" s="314"/>
      <c r="NO277" s="314"/>
      <c r="NP277" s="314"/>
      <c r="NQ277" s="314"/>
      <c r="NR277" s="314"/>
      <c r="NS277" s="314"/>
      <c r="NT277" s="314"/>
      <c r="NU277" s="314"/>
      <c r="NV277" s="314"/>
      <c r="NW277" s="314"/>
      <c r="NX277" s="314"/>
      <c r="NY277" s="314"/>
      <c r="NZ277" s="314"/>
      <c r="OA277" s="314"/>
      <c r="OB277" s="314"/>
      <c r="OC277" s="314"/>
      <c r="OD277" s="314"/>
      <c r="OE277" s="314"/>
      <c r="OF277" s="314"/>
      <c r="OG277" s="314"/>
      <c r="OH277" s="314"/>
      <c r="OI277" s="314"/>
      <c r="OJ277" s="314"/>
      <c r="OK277" s="314"/>
      <c r="OL277" s="314"/>
      <c r="OM277" s="314"/>
      <c r="ON277" s="314"/>
      <c r="OO277" s="314"/>
      <c r="OP277" s="314"/>
      <c r="OQ277" s="314"/>
      <c r="OR277" s="314"/>
      <c r="OS277" s="314"/>
      <c r="OT277" s="314"/>
      <c r="OU277" s="314"/>
      <c r="OV277" s="314"/>
      <c r="OW277" s="314"/>
      <c r="OX277" s="314"/>
      <c r="OY277" s="314"/>
      <c r="OZ277" s="314"/>
      <c r="PA277" s="314"/>
      <c r="PB277" s="314"/>
      <c r="PC277" s="314"/>
      <c r="PD277" s="314"/>
      <c r="PE277" s="314"/>
      <c r="PF277" s="314"/>
      <c r="PG277" s="314"/>
      <c r="PH277" s="314"/>
      <c r="PI277" s="314"/>
      <c r="PJ277" s="314"/>
      <c r="PK277" s="314"/>
      <c r="PL277" s="314"/>
      <c r="PM277" s="314"/>
      <c r="PN277" s="314"/>
      <c r="PO277" s="314"/>
      <c r="PP277" s="314"/>
      <c r="PQ277" s="314"/>
      <c r="PR277" s="314"/>
      <c r="PS277" s="314"/>
      <c r="PT277" s="314"/>
      <c r="PU277" s="314"/>
      <c r="PV277" s="314"/>
      <c r="PW277" s="314"/>
      <c r="PX277" s="314"/>
      <c r="PY277" s="314"/>
      <c r="PZ277" s="314"/>
      <c r="QA277" s="314"/>
      <c r="QB277" s="314"/>
      <c r="QC277" s="314"/>
      <c r="QD277" s="314"/>
      <c r="QE277" s="314"/>
      <c r="QF277" s="314"/>
      <c r="QG277" s="314"/>
      <c r="QH277" s="314"/>
      <c r="QI277" s="314"/>
      <c r="QJ277" s="314"/>
      <c r="QK277" s="314"/>
      <c r="QL277" s="314"/>
      <c r="QM277" s="314"/>
      <c r="QN277" s="314"/>
      <c r="QO277" s="314"/>
      <c r="QP277" s="314"/>
      <c r="QQ277" s="314"/>
      <c r="QR277" s="314"/>
      <c r="QS277" s="314"/>
      <c r="QT277" s="314"/>
      <c r="QU277" s="314"/>
      <c r="QV277" s="314"/>
      <c r="QW277" s="314"/>
      <c r="QX277" s="314"/>
      <c r="QY277" s="314"/>
      <c r="QZ277" s="314"/>
      <c r="RA277" s="314"/>
      <c r="RB277" s="314"/>
      <c r="RC277" s="314"/>
      <c r="RD277" s="314"/>
      <c r="RE277" s="314"/>
      <c r="RF277" s="314"/>
      <c r="RG277" s="314"/>
      <c r="RH277" s="314"/>
      <c r="RI277" s="314"/>
      <c r="RJ277" s="314"/>
      <c r="RK277" s="314"/>
      <c r="RL277" s="314"/>
      <c r="RM277" s="314"/>
      <c r="RN277" s="314"/>
      <c r="RO277" s="314"/>
      <c r="RP277" s="314"/>
      <c r="RQ277" s="314"/>
      <c r="RR277" s="314"/>
      <c r="RS277" s="314"/>
      <c r="RT277" s="314"/>
      <c r="RU277" s="314"/>
      <c r="RV277" s="314"/>
      <c r="RW277" s="314"/>
      <c r="RX277" s="314"/>
      <c r="RY277" s="314"/>
      <c r="RZ277" s="314"/>
      <c r="SA277" s="314"/>
      <c r="SB277" s="314"/>
      <c r="SC277" s="314"/>
      <c r="SD277" s="314"/>
      <c r="SE277" s="314"/>
      <c r="SF277" s="314"/>
      <c r="SG277" s="314"/>
      <c r="SH277" s="314"/>
      <c r="SI277" s="314"/>
      <c r="SJ277" s="314"/>
      <c r="SK277" s="314"/>
      <c r="SL277" s="314"/>
      <c r="SM277" s="314"/>
      <c r="SN277" s="314"/>
      <c r="SO277" s="314"/>
      <c r="SP277" s="314"/>
      <c r="SQ277" s="314"/>
      <c r="SR277" s="314"/>
      <c r="SS277" s="314"/>
      <c r="ST277" s="314"/>
      <c r="SU277" s="314"/>
      <c r="SV277" s="314"/>
      <c r="SW277" s="314"/>
      <c r="SX277" s="314"/>
      <c r="SY277" s="314"/>
      <c r="SZ277" s="314"/>
      <c r="TA277" s="314"/>
      <c r="TB277" s="314"/>
      <c r="TC277" s="314"/>
      <c r="TD277" s="314"/>
      <c r="TE277" s="314"/>
      <c r="TF277" s="314"/>
      <c r="TG277" s="314"/>
      <c r="TH277" s="314"/>
      <c r="TI277" s="314"/>
      <c r="TJ277" s="314"/>
      <c r="TK277" s="314"/>
      <c r="TL277" s="314"/>
      <c r="TM277" s="314"/>
      <c r="TN277" s="314"/>
      <c r="TO277" s="314"/>
      <c r="TP277" s="314"/>
      <c r="TQ277" s="314"/>
      <c r="TR277" s="314"/>
      <c r="TS277" s="314"/>
      <c r="TT277" s="314"/>
      <c r="TU277" s="314"/>
      <c r="TV277" s="314"/>
      <c r="TW277" s="314"/>
      <c r="TX277" s="314"/>
      <c r="TY277" s="314"/>
      <c r="TZ277" s="314"/>
      <c r="UA277" s="314"/>
      <c r="UB277" s="314"/>
      <c r="UC277" s="314"/>
      <c r="UD277" s="314"/>
      <c r="UE277" s="314"/>
      <c r="UF277" s="314"/>
      <c r="UG277" s="314"/>
      <c r="UH277" s="314"/>
      <c r="UI277" s="314"/>
      <c r="UJ277" s="314"/>
      <c r="UK277" s="314"/>
      <c r="UL277" s="314"/>
      <c r="UM277" s="314"/>
      <c r="UN277" s="314"/>
      <c r="UO277" s="314"/>
      <c r="UP277" s="314"/>
      <c r="UQ277" s="314"/>
      <c r="UR277" s="314"/>
      <c r="US277" s="314"/>
      <c r="UT277" s="314"/>
      <c r="UU277" s="314"/>
      <c r="UV277" s="314"/>
      <c r="UW277" s="314"/>
      <c r="UX277" s="314"/>
      <c r="UY277" s="314"/>
      <c r="UZ277" s="314"/>
      <c r="VA277" s="314"/>
      <c r="VB277" s="314"/>
      <c r="VC277" s="314"/>
      <c r="VD277" s="314"/>
      <c r="VE277" s="314"/>
      <c r="VF277" s="314"/>
      <c r="VG277" s="314"/>
      <c r="VH277" s="314"/>
      <c r="VI277" s="314"/>
      <c r="VJ277" s="314"/>
      <c r="VK277" s="314"/>
      <c r="VL277" s="314"/>
      <c r="VM277" s="314"/>
      <c r="VN277" s="314"/>
      <c r="VO277" s="314"/>
      <c r="VP277" s="314"/>
      <c r="VQ277" s="314"/>
      <c r="VR277" s="314"/>
      <c r="VS277" s="314"/>
      <c r="VT277" s="314"/>
      <c r="VU277" s="314"/>
      <c r="VV277" s="314"/>
      <c r="VW277" s="314"/>
      <c r="VX277" s="314"/>
      <c r="VY277" s="314"/>
      <c r="VZ277" s="314"/>
      <c r="WA277" s="314"/>
      <c r="WB277" s="314"/>
      <c r="WC277" s="314"/>
      <c r="WD277" s="314"/>
      <c r="WE277" s="314"/>
      <c r="WF277" s="314"/>
      <c r="WG277" s="314"/>
      <c r="WH277" s="314"/>
      <c r="WI277" s="314"/>
      <c r="WJ277" s="314"/>
      <c r="WK277" s="314"/>
      <c r="WL277" s="314"/>
      <c r="WM277" s="314"/>
      <c r="WN277" s="314"/>
      <c r="WO277" s="314"/>
      <c r="WP277" s="314"/>
      <c r="WQ277" s="314"/>
      <c r="WR277" s="314"/>
      <c r="WS277" s="314"/>
      <c r="WT277" s="314"/>
      <c r="WU277" s="314"/>
      <c r="WV277" s="314"/>
      <c r="WW277" s="314"/>
      <c r="WX277" s="314"/>
      <c r="WY277" s="314"/>
      <c r="WZ277" s="314"/>
      <c r="XA277" s="314"/>
      <c r="XB277" s="314"/>
      <c r="XC277" s="314"/>
      <c r="XD277" s="314"/>
      <c r="XE277" s="314"/>
      <c r="XF277" s="314"/>
      <c r="XG277" s="314"/>
      <c r="XH277" s="314"/>
      <c r="XI277" s="314"/>
      <c r="XJ277" s="314"/>
      <c r="XK277" s="314"/>
      <c r="XL277" s="314"/>
      <c r="XM277" s="314"/>
      <c r="XN277" s="314"/>
      <c r="XO277" s="314"/>
      <c r="XP277" s="314"/>
      <c r="XQ277" s="314"/>
      <c r="XR277" s="314"/>
      <c r="XS277" s="314"/>
      <c r="XT277" s="314"/>
      <c r="XU277" s="314"/>
      <c r="XV277" s="314"/>
      <c r="XW277" s="314"/>
      <c r="XX277" s="314"/>
      <c r="XY277" s="314"/>
      <c r="XZ277" s="314"/>
      <c r="YA277" s="314"/>
      <c r="YB277" s="314"/>
      <c r="YC277" s="314"/>
      <c r="YD277" s="314"/>
      <c r="YE277" s="314"/>
      <c r="YF277" s="314"/>
      <c r="YG277" s="314"/>
      <c r="YH277" s="314"/>
      <c r="YI277" s="314"/>
      <c r="YJ277" s="314"/>
      <c r="YK277" s="314"/>
      <c r="YL277" s="314"/>
      <c r="YM277" s="314"/>
      <c r="YN277" s="314"/>
      <c r="YO277" s="314"/>
      <c r="YP277" s="314"/>
      <c r="YQ277" s="314"/>
      <c r="YR277" s="314"/>
      <c r="YS277" s="314"/>
      <c r="YT277" s="314"/>
      <c r="YU277" s="314"/>
      <c r="YV277" s="314"/>
      <c r="YW277" s="314"/>
      <c r="YX277" s="314"/>
      <c r="YY277" s="314"/>
      <c r="YZ277" s="314"/>
      <c r="ZA277" s="314"/>
      <c r="ZB277" s="314"/>
      <c r="ZC277" s="314"/>
      <c r="ZD277" s="314"/>
      <c r="ZE277" s="314"/>
      <c r="ZF277" s="314"/>
      <c r="ZG277" s="314"/>
      <c r="ZH277" s="314"/>
      <c r="ZI277" s="314"/>
      <c r="ZJ277" s="314"/>
      <c r="ZK277" s="314"/>
      <c r="ZL277" s="314"/>
      <c r="ZM277" s="314"/>
      <c r="ZN277" s="314"/>
      <c r="ZO277" s="314"/>
      <c r="ZP277" s="314"/>
      <c r="ZQ277" s="314"/>
      <c r="ZR277" s="314"/>
      <c r="ZS277" s="314"/>
      <c r="ZT277" s="314"/>
      <c r="ZU277" s="314"/>
      <c r="ZV277" s="314"/>
      <c r="ZW277" s="314"/>
      <c r="ZX277" s="314"/>
      <c r="ZY277" s="314"/>
      <c r="ZZ277" s="314"/>
      <c r="AAA277" s="314"/>
      <c r="AAB277" s="314"/>
      <c r="AAC277" s="314"/>
      <c r="AAD277" s="314"/>
      <c r="AAE277" s="314"/>
      <c r="AAF277" s="314"/>
      <c r="AAG277" s="314"/>
      <c r="AAH277" s="314"/>
      <c r="AAI277" s="314"/>
      <c r="AAJ277" s="314"/>
      <c r="AAK277" s="314"/>
      <c r="AAL277" s="314"/>
      <c r="AAM277" s="314"/>
      <c r="AAN277" s="314"/>
      <c r="AAO277" s="314"/>
      <c r="AAP277" s="314"/>
      <c r="AAQ277" s="314"/>
      <c r="AAR277" s="314"/>
      <c r="AAS277" s="314"/>
      <c r="AAT277" s="314"/>
      <c r="AAU277" s="314"/>
      <c r="AAV277" s="314"/>
      <c r="AAW277" s="314"/>
      <c r="AAX277" s="314"/>
      <c r="AAY277" s="314"/>
      <c r="AAZ277" s="314"/>
      <c r="ABA277" s="314"/>
      <c r="ABB277" s="314"/>
      <c r="ABC277" s="314"/>
      <c r="ABD277" s="314"/>
      <c r="ABE277" s="314"/>
      <c r="ABF277" s="314"/>
      <c r="ABG277" s="314"/>
      <c r="ABH277" s="314"/>
      <c r="ABI277" s="314"/>
      <c r="ABJ277" s="314"/>
      <c r="ABK277" s="314"/>
      <c r="ABL277" s="314"/>
      <c r="ABM277" s="314"/>
      <c r="ABN277" s="314"/>
      <c r="ABO277" s="314"/>
      <c r="ABP277" s="314"/>
      <c r="ABQ277" s="314"/>
      <c r="ABR277" s="314"/>
      <c r="ABS277" s="314"/>
      <c r="ABT277" s="314"/>
      <c r="ABU277" s="314"/>
      <c r="ABV277" s="314"/>
      <c r="ABW277" s="314"/>
      <c r="ABX277" s="314"/>
      <c r="ABY277" s="314"/>
      <c r="ABZ277" s="314"/>
      <c r="ACA277" s="314"/>
      <c r="ACB277" s="314"/>
      <c r="ACC277" s="314"/>
      <c r="ACD277" s="314"/>
      <c r="ACE277" s="314"/>
      <c r="ACF277" s="314"/>
      <c r="ACG277" s="314"/>
      <c r="ACH277" s="314"/>
      <c r="ACI277" s="314"/>
      <c r="ACJ277" s="314"/>
      <c r="ACK277" s="314"/>
      <c r="ACL277" s="314"/>
      <c r="ACM277" s="314"/>
      <c r="ACN277" s="314"/>
      <c r="ACO277" s="314"/>
      <c r="ACP277" s="314"/>
      <c r="ACQ277" s="314"/>
      <c r="ACR277" s="314"/>
      <c r="ACS277" s="314"/>
      <c r="ACT277" s="314"/>
      <c r="ACU277" s="314"/>
      <c r="ACV277" s="314"/>
      <c r="ACW277" s="314"/>
      <c r="ACX277" s="314"/>
      <c r="ACY277" s="314"/>
      <c r="ACZ277" s="314"/>
      <c r="ADA277" s="314"/>
      <c r="ADB277" s="314"/>
      <c r="ADC277" s="314"/>
      <c r="ADD277" s="314"/>
      <c r="ADE277" s="314"/>
      <c r="ADF277" s="314"/>
      <c r="ADG277" s="314"/>
      <c r="ADH277" s="314"/>
      <c r="ADI277" s="314"/>
      <c r="ADJ277" s="314"/>
      <c r="ADK277" s="314"/>
      <c r="ADL277" s="314"/>
      <c r="ADM277" s="314"/>
      <c r="ADN277" s="314"/>
      <c r="ADO277" s="314"/>
      <c r="ADP277" s="314"/>
      <c r="ADQ277" s="314"/>
      <c r="ADR277" s="314"/>
      <c r="ADS277" s="314"/>
      <c r="ADT277" s="314"/>
      <c r="ADU277" s="314"/>
      <c r="ADV277" s="314"/>
      <c r="ADW277" s="314"/>
      <c r="ADX277" s="314"/>
      <c r="ADY277" s="314"/>
      <c r="ADZ277" s="314"/>
      <c r="AEA277" s="314"/>
      <c r="AEB277" s="314"/>
      <c r="AEC277" s="314"/>
      <c r="AED277" s="314"/>
      <c r="AEE277" s="314"/>
      <c r="AEF277" s="314"/>
      <c r="AEG277" s="314"/>
      <c r="AEH277" s="314"/>
      <c r="AEI277" s="314"/>
      <c r="AEJ277" s="314"/>
      <c r="AEK277" s="314"/>
      <c r="AEL277" s="314"/>
      <c r="AEM277" s="314"/>
      <c r="AEN277" s="314"/>
      <c r="AEO277" s="314"/>
      <c r="AEP277" s="314"/>
      <c r="AEQ277" s="314"/>
      <c r="AER277" s="314"/>
      <c r="AES277" s="314"/>
      <c r="AET277" s="314"/>
      <c r="AEU277" s="314"/>
      <c r="AEV277" s="314"/>
      <c r="AEW277" s="314"/>
      <c r="AEX277" s="314"/>
      <c r="AEY277" s="314"/>
      <c r="AEZ277" s="314"/>
      <c r="AFA277" s="314"/>
      <c r="AFB277" s="314"/>
      <c r="AFC277" s="314"/>
      <c r="AFD277" s="314"/>
      <c r="AFE277" s="314"/>
      <c r="AFF277" s="314"/>
      <c r="AFG277" s="314"/>
      <c r="AFH277" s="314"/>
      <c r="AFI277" s="314"/>
      <c r="AFJ277" s="314"/>
      <c r="AFK277" s="314"/>
      <c r="AFL277" s="314"/>
      <c r="AFM277" s="314"/>
      <c r="AFN277" s="314"/>
      <c r="AFO277" s="314"/>
      <c r="AFP277" s="314"/>
      <c r="AFQ277" s="314"/>
      <c r="AFR277" s="314"/>
      <c r="AFS277" s="314"/>
      <c r="AFT277" s="314"/>
      <c r="AFU277" s="314"/>
      <c r="AFV277" s="314"/>
      <c r="AFW277" s="314"/>
      <c r="AFX277" s="314"/>
      <c r="AFY277" s="314"/>
      <c r="AFZ277" s="314"/>
      <c r="AGA277" s="314"/>
      <c r="AGB277" s="314"/>
      <c r="AGC277" s="314"/>
      <c r="AGD277" s="314"/>
      <c r="AGE277" s="314"/>
      <c r="AGF277" s="314"/>
      <c r="AGG277" s="314"/>
      <c r="AGH277" s="314"/>
      <c r="AGI277" s="314"/>
      <c r="AGJ277" s="314"/>
      <c r="AGK277" s="314"/>
      <c r="AGL277" s="314"/>
      <c r="AGM277" s="314"/>
      <c r="AGN277" s="314"/>
      <c r="AGO277" s="314"/>
      <c r="AGP277" s="314"/>
      <c r="AGQ277" s="314"/>
      <c r="AGR277" s="314"/>
      <c r="AGS277" s="314"/>
      <c r="AGT277" s="314"/>
      <c r="AGU277" s="314"/>
      <c r="AGV277" s="314"/>
      <c r="AGW277" s="314"/>
      <c r="AGX277" s="314"/>
      <c r="AGY277" s="314"/>
      <c r="AGZ277" s="314"/>
      <c r="AHA277" s="314"/>
      <c r="AHB277" s="314"/>
      <c r="AHC277" s="314"/>
      <c r="AHD277" s="314"/>
      <c r="AHE277" s="314"/>
      <c r="AHF277" s="314"/>
      <c r="AHG277" s="314"/>
      <c r="AHH277" s="314"/>
      <c r="AHI277" s="314"/>
      <c r="AHJ277" s="314"/>
      <c r="AHK277" s="314"/>
      <c r="AHL277" s="314"/>
      <c r="AHM277" s="314"/>
      <c r="AHN277" s="314"/>
      <c r="AHO277" s="314"/>
      <c r="AHP277" s="314"/>
      <c r="AHQ277" s="314"/>
      <c r="AHR277" s="314"/>
      <c r="AHS277" s="314"/>
      <c r="AHT277" s="314"/>
      <c r="AHU277" s="314"/>
      <c r="AHV277" s="314"/>
      <c r="AHW277" s="314"/>
      <c r="AHX277" s="314"/>
      <c r="AHY277" s="314"/>
      <c r="AHZ277" s="314"/>
      <c r="AIA277" s="314"/>
      <c r="AIB277" s="314"/>
      <c r="AIC277" s="314"/>
      <c r="AID277" s="314"/>
      <c r="AIE277" s="314"/>
      <c r="AIF277" s="314"/>
      <c r="AIG277" s="314"/>
      <c r="AIH277" s="314"/>
      <c r="AII277" s="314"/>
      <c r="AIJ277" s="314"/>
      <c r="AIK277" s="314"/>
      <c r="AIL277" s="314"/>
      <c r="AIM277" s="314"/>
      <c r="AIN277" s="314"/>
      <c r="AIO277" s="314"/>
      <c r="AIP277" s="314"/>
      <c r="AIQ277" s="314"/>
      <c r="AIR277" s="314"/>
      <c r="AIS277" s="314"/>
      <c r="AIT277" s="314"/>
      <c r="AIU277" s="314"/>
      <c r="AIV277" s="314"/>
      <c r="AIW277" s="314"/>
      <c r="AIX277" s="314"/>
      <c r="AIY277" s="314"/>
      <c r="AIZ277" s="314"/>
      <c r="AJA277" s="314"/>
      <c r="AJB277" s="314"/>
      <c r="AJC277" s="314"/>
      <c r="AJD277" s="314"/>
      <c r="AJE277" s="314"/>
      <c r="AJF277" s="314"/>
      <c r="AJG277" s="314"/>
      <c r="AJH277" s="314"/>
      <c r="AJI277" s="314"/>
      <c r="AJJ277" s="314"/>
      <c r="AJK277" s="314"/>
      <c r="AJL277" s="314"/>
      <c r="AJM277" s="314"/>
      <c r="AJN277" s="314"/>
      <c r="AJO277" s="314"/>
      <c r="AJP277" s="314"/>
      <c r="AJQ277" s="314"/>
      <c r="AJR277" s="314"/>
      <c r="AJS277" s="314"/>
      <c r="AJT277" s="314"/>
      <c r="AJU277" s="314"/>
      <c r="AJV277" s="314"/>
      <c r="AJW277" s="314"/>
      <c r="AJX277" s="314"/>
      <c r="AJY277" s="314"/>
      <c r="AJZ277" s="314"/>
      <c r="AKA277" s="314"/>
      <c r="AKB277" s="314"/>
      <c r="AKC277" s="314"/>
      <c r="AKD277" s="314"/>
      <c r="AKE277" s="314"/>
      <c r="AKF277" s="314"/>
      <c r="AKG277" s="314"/>
      <c r="AKH277" s="314"/>
      <c r="AKI277" s="314"/>
      <c r="AKJ277" s="314"/>
      <c r="AKK277" s="314"/>
      <c r="AKL277" s="314"/>
      <c r="AKM277" s="314"/>
      <c r="AKN277" s="314"/>
      <c r="AKO277" s="314"/>
      <c r="AKP277" s="314"/>
      <c r="AKQ277" s="314"/>
      <c r="AKR277" s="314"/>
      <c r="AKS277" s="314"/>
      <c r="AKT277" s="314"/>
      <c r="AKU277" s="314"/>
      <c r="AKV277" s="314"/>
      <c r="AKW277" s="314"/>
      <c r="AKX277" s="314"/>
      <c r="AKY277" s="314"/>
      <c r="AKZ277" s="314"/>
      <c r="ALA277" s="314"/>
      <c r="ALB277" s="314"/>
      <c r="ALC277" s="314"/>
      <c r="ALD277" s="314"/>
      <c r="ALE277" s="314"/>
      <c r="ALF277" s="314"/>
      <c r="ALG277" s="314"/>
      <c r="ALH277" s="314"/>
      <c r="ALI277" s="314"/>
      <c r="ALJ277" s="314"/>
      <c r="ALK277" s="314"/>
      <c r="ALL277" s="314"/>
      <c r="ALM277" s="314"/>
      <c r="ALN277" s="314"/>
      <c r="ALO277" s="314"/>
      <c r="ALP277" s="314"/>
      <c r="ALQ277" s="314"/>
      <c r="ALR277" s="314"/>
      <c r="ALS277" s="314"/>
      <c r="ALT277" s="314"/>
      <c r="ALU277" s="314"/>
      <c r="ALV277" s="314"/>
      <c r="ALW277" s="314"/>
      <c r="ALX277" s="314"/>
      <c r="ALY277" s="314"/>
      <c r="ALZ277" s="314"/>
      <c r="AMA277" s="314"/>
      <c r="AMB277" s="314"/>
      <c r="AMC277" s="314"/>
      <c r="AMD277" s="314"/>
      <c r="AME277" s="314"/>
      <c r="AMF277" s="314"/>
      <c r="AMG277" s="314"/>
      <c r="AMH277" s="314"/>
      <c r="AMI277" s="314"/>
      <c r="AMJ277" s="314"/>
      <c r="AMK277" s="314"/>
      <c r="AML277" s="314"/>
      <c r="AMM277" s="314"/>
      <c r="AMN277" s="314"/>
      <c r="AMO277" s="314"/>
      <c r="AMP277" s="314"/>
      <c r="AMQ277" s="314"/>
      <c r="AMR277" s="314"/>
      <c r="AMS277" s="314"/>
      <c r="AMT277" s="314"/>
      <c r="AMU277" s="314"/>
      <c r="AMV277" s="314"/>
      <c r="AMW277" s="314"/>
      <c r="AMX277" s="314"/>
      <c r="AMY277" s="314"/>
      <c r="AMZ277" s="314"/>
      <c r="ANA277" s="314"/>
      <c r="ANB277" s="314"/>
      <c r="ANC277" s="314"/>
      <c r="AND277" s="314"/>
      <c r="ANE277" s="314"/>
      <c r="ANF277" s="314"/>
      <c r="ANG277" s="314"/>
      <c r="ANH277" s="314"/>
      <c r="ANI277" s="314"/>
      <c r="ANJ277" s="314"/>
      <c r="ANK277" s="314"/>
      <c r="ANL277" s="314"/>
      <c r="ANM277" s="314"/>
      <c r="ANN277" s="314"/>
      <c r="ANO277" s="314"/>
      <c r="ANP277" s="314"/>
      <c r="ANQ277" s="314"/>
      <c r="ANR277" s="314"/>
      <c r="ANS277" s="314"/>
      <c r="ANT277" s="314"/>
      <c r="ANU277" s="314"/>
      <c r="ANV277" s="314"/>
      <c r="ANW277" s="314"/>
      <c r="ANX277" s="314"/>
      <c r="ANY277" s="314"/>
      <c r="ANZ277" s="314"/>
      <c r="AOA277" s="314"/>
      <c r="AOB277" s="314"/>
      <c r="AOC277" s="314"/>
      <c r="AOD277" s="314"/>
      <c r="AOE277" s="314"/>
      <c r="AOF277" s="314"/>
      <c r="AOG277" s="314"/>
      <c r="AOH277" s="314"/>
      <c r="AOI277" s="314"/>
      <c r="AOJ277" s="314"/>
      <c r="AOK277" s="314"/>
      <c r="AOL277" s="314"/>
      <c r="AOM277" s="314"/>
      <c r="AON277" s="314"/>
      <c r="AOO277" s="314"/>
      <c r="AOP277" s="314"/>
      <c r="AOQ277" s="314"/>
      <c r="AOR277" s="314"/>
      <c r="AOS277" s="314"/>
      <c r="AOT277" s="314"/>
      <c r="AOU277" s="314"/>
      <c r="AOV277" s="314"/>
      <c r="AOW277" s="314"/>
      <c r="AOX277" s="314"/>
      <c r="AOY277" s="314"/>
      <c r="AOZ277" s="314"/>
      <c r="APA277" s="314"/>
      <c r="APB277" s="314"/>
      <c r="APC277" s="314"/>
      <c r="APD277" s="314"/>
      <c r="APE277" s="314"/>
      <c r="APF277" s="314"/>
      <c r="APG277" s="314"/>
      <c r="APH277" s="314"/>
      <c r="API277" s="314"/>
      <c r="APJ277" s="314"/>
      <c r="APK277" s="314"/>
      <c r="APL277" s="314"/>
      <c r="APM277" s="314"/>
      <c r="APN277" s="314"/>
      <c r="APO277" s="314"/>
      <c r="APP277" s="314"/>
      <c r="APQ277" s="314"/>
      <c r="APR277" s="314"/>
      <c r="APS277" s="314"/>
      <c r="APT277" s="314"/>
      <c r="APU277" s="314"/>
      <c r="APV277" s="314"/>
      <c r="APW277" s="314"/>
      <c r="APX277" s="314"/>
      <c r="APY277" s="314"/>
      <c r="APZ277" s="314"/>
      <c r="AQA277" s="314"/>
      <c r="AQB277" s="314"/>
      <c r="AQC277" s="314"/>
      <c r="AQD277" s="314"/>
      <c r="AQE277" s="314"/>
      <c r="AQF277" s="314"/>
      <c r="AQG277" s="314"/>
      <c r="AQH277" s="314"/>
      <c r="AQI277" s="314"/>
      <c r="AQJ277" s="314"/>
      <c r="AQK277" s="314"/>
      <c r="AQL277" s="314"/>
      <c r="AQM277" s="314"/>
      <c r="AQN277" s="314"/>
      <c r="AQO277" s="314"/>
      <c r="AQP277" s="314"/>
      <c r="AQQ277" s="314"/>
      <c r="AQR277" s="314"/>
      <c r="AQS277" s="314"/>
      <c r="AQT277" s="314"/>
      <c r="AQU277" s="314"/>
      <c r="AQV277" s="314"/>
      <c r="AQW277" s="314"/>
      <c r="AQX277" s="314"/>
      <c r="AQY277" s="314"/>
      <c r="AQZ277" s="314"/>
      <c r="ARA277" s="314"/>
      <c r="ARB277" s="314"/>
      <c r="ARC277" s="314"/>
      <c r="ARD277" s="314"/>
      <c r="ARE277" s="314"/>
      <c r="ARF277" s="314"/>
      <c r="ARG277" s="314"/>
      <c r="ARH277" s="314"/>
      <c r="ARI277" s="314"/>
      <c r="ARJ277" s="314"/>
      <c r="ARK277" s="314"/>
      <c r="ARL277" s="314"/>
      <c r="ARM277" s="314"/>
      <c r="ARN277" s="314"/>
      <c r="ARO277" s="314"/>
      <c r="ARP277" s="314"/>
      <c r="ARQ277" s="314"/>
      <c r="ARR277" s="314"/>
      <c r="ARS277" s="314"/>
      <c r="ART277" s="314"/>
      <c r="ARU277" s="314"/>
      <c r="ARV277" s="314"/>
      <c r="ARW277" s="314"/>
      <c r="ARX277" s="314"/>
      <c r="ARY277" s="314"/>
      <c r="ARZ277" s="314"/>
      <c r="ASA277" s="314"/>
      <c r="ASB277" s="314"/>
      <c r="ASC277" s="314"/>
      <c r="ASD277" s="314"/>
      <c r="ASE277" s="314"/>
      <c r="ASF277" s="314"/>
      <c r="ASG277" s="314"/>
      <c r="ASH277" s="314"/>
      <c r="ASI277" s="314"/>
      <c r="ASJ277" s="314"/>
      <c r="ASK277" s="314"/>
      <c r="ASL277" s="314"/>
      <c r="ASM277" s="314"/>
      <c r="ASN277" s="314"/>
      <c r="ASO277" s="314"/>
      <c r="ASP277" s="314"/>
      <c r="ASQ277" s="314"/>
      <c r="ASR277" s="314"/>
      <c r="ASS277" s="314"/>
      <c r="AST277" s="314"/>
      <c r="ASU277" s="314"/>
      <c r="ASV277" s="314"/>
      <c r="ASW277" s="314"/>
      <c r="ASX277" s="314"/>
      <c r="ASY277" s="314"/>
      <c r="ASZ277" s="314"/>
      <c r="ATA277" s="314"/>
      <c r="ATB277" s="314"/>
      <c r="ATC277" s="314"/>
      <c r="ATD277" s="314"/>
      <c r="ATE277" s="314"/>
      <c r="ATF277" s="314"/>
      <c r="ATG277" s="314"/>
      <c r="ATH277" s="314"/>
      <c r="ATI277" s="314"/>
      <c r="ATJ277" s="314"/>
      <c r="ATK277" s="314"/>
      <c r="ATL277" s="314"/>
      <c r="ATM277" s="314"/>
      <c r="ATN277" s="314"/>
      <c r="ATO277" s="314"/>
      <c r="ATP277" s="314"/>
      <c r="ATQ277" s="314"/>
      <c r="ATR277" s="314"/>
      <c r="ATS277" s="314"/>
      <c r="ATT277" s="314"/>
      <c r="ATU277" s="314"/>
      <c r="ATV277" s="314"/>
      <c r="ATW277" s="314"/>
      <c r="ATX277" s="314"/>
      <c r="ATY277" s="314"/>
      <c r="ATZ277" s="314"/>
      <c r="AUA277" s="314"/>
      <c r="AUB277" s="314"/>
      <c r="AUC277" s="314"/>
      <c r="AUD277" s="314"/>
      <c r="AUE277" s="314"/>
      <c r="AUF277" s="314"/>
      <c r="AUG277" s="314"/>
      <c r="AUH277" s="314"/>
      <c r="AUI277" s="314"/>
      <c r="AUJ277" s="314"/>
      <c r="AUK277" s="314"/>
      <c r="AUL277" s="314"/>
      <c r="AUM277" s="314"/>
      <c r="AUN277" s="314"/>
      <c r="AUO277" s="314"/>
      <c r="AUP277" s="314"/>
      <c r="AUQ277" s="314"/>
      <c r="AUR277" s="314"/>
      <c r="AUS277" s="314"/>
      <c r="AUT277" s="314"/>
      <c r="AUU277" s="314"/>
      <c r="AUV277" s="314"/>
      <c r="AUW277" s="314"/>
      <c r="AUX277" s="314"/>
      <c r="AUY277" s="314"/>
      <c r="AUZ277" s="314"/>
      <c r="AVA277" s="314"/>
      <c r="AVB277" s="314"/>
      <c r="AVC277" s="314"/>
      <c r="AVD277" s="314"/>
      <c r="AVE277" s="314"/>
      <c r="AVF277" s="314"/>
      <c r="AVG277" s="314"/>
      <c r="AVH277" s="314"/>
      <c r="AVI277" s="314"/>
      <c r="AVJ277" s="314"/>
      <c r="AVK277" s="314"/>
      <c r="AVL277" s="314"/>
      <c r="AVM277" s="314"/>
      <c r="AVN277" s="314"/>
      <c r="AVO277" s="314"/>
      <c r="AVP277" s="314"/>
      <c r="AVQ277" s="314"/>
      <c r="AVR277" s="314"/>
      <c r="AVS277" s="314"/>
      <c r="AVT277" s="314"/>
      <c r="AVU277" s="314"/>
      <c r="AVV277" s="314"/>
      <c r="AVW277" s="314"/>
      <c r="AVX277" s="314"/>
      <c r="AVY277" s="314"/>
      <c r="AVZ277" s="314"/>
      <c r="AWA277" s="314"/>
      <c r="AWB277" s="314"/>
      <c r="AWC277" s="314"/>
      <c r="AWD277" s="314"/>
      <c r="AWE277" s="314"/>
      <c r="AWF277" s="314"/>
      <c r="AWG277" s="314"/>
      <c r="AWH277" s="314"/>
      <c r="AWI277" s="314"/>
      <c r="AWJ277" s="314"/>
      <c r="AWK277" s="314"/>
      <c r="AWL277" s="314"/>
      <c r="AWM277" s="314"/>
      <c r="AWN277" s="314"/>
      <c r="AWO277" s="314"/>
      <c r="AWP277" s="314"/>
      <c r="AWQ277" s="314"/>
      <c r="AWR277" s="314"/>
      <c r="AWS277" s="314"/>
      <c r="AWT277" s="314"/>
      <c r="AWU277" s="314"/>
      <c r="AWV277" s="314"/>
      <c r="AWW277" s="314"/>
      <c r="AWX277" s="314"/>
      <c r="AWY277" s="314"/>
      <c r="AWZ277" s="314"/>
      <c r="AXA277" s="314"/>
      <c r="AXB277" s="314"/>
      <c r="AXC277" s="314"/>
      <c r="AXD277" s="314"/>
      <c r="AXE277" s="314"/>
      <c r="AXF277" s="314"/>
      <c r="AXG277" s="314"/>
      <c r="AXH277" s="314"/>
      <c r="AXI277" s="314"/>
      <c r="AXJ277" s="314"/>
      <c r="AXK277" s="314"/>
      <c r="AXL277" s="314"/>
      <c r="AXM277" s="314"/>
      <c r="AXN277" s="314"/>
      <c r="AXO277" s="314"/>
      <c r="AXP277" s="314"/>
      <c r="AXQ277" s="314"/>
      <c r="AXR277" s="314"/>
      <c r="AXS277" s="314"/>
      <c r="AXT277" s="314"/>
      <c r="AXU277" s="314"/>
      <c r="AXV277" s="314"/>
      <c r="AXW277" s="314"/>
      <c r="AXX277" s="314"/>
      <c r="AXY277" s="314"/>
      <c r="AXZ277" s="314"/>
      <c r="AYA277" s="314"/>
      <c r="AYB277" s="314"/>
      <c r="AYC277" s="314"/>
      <c r="AYD277" s="314"/>
      <c r="AYE277" s="314"/>
      <c r="AYF277" s="314"/>
      <c r="AYG277" s="314"/>
      <c r="AYH277" s="314"/>
      <c r="AYI277" s="314"/>
      <c r="AYJ277" s="314"/>
      <c r="AYK277" s="314"/>
      <c r="AYL277" s="314"/>
      <c r="AYM277" s="314"/>
      <c r="AYN277" s="314"/>
      <c r="AYO277" s="314"/>
      <c r="AYP277" s="314"/>
      <c r="AYQ277" s="314"/>
      <c r="AYR277" s="314"/>
      <c r="AYS277" s="314"/>
      <c r="AYT277" s="314"/>
      <c r="AYU277" s="314"/>
      <c r="AYV277" s="314"/>
      <c r="AYW277" s="314"/>
      <c r="AYX277" s="314"/>
      <c r="AYY277" s="314"/>
      <c r="AYZ277" s="314"/>
      <c r="AZA277" s="314"/>
      <c r="AZB277" s="314"/>
      <c r="AZC277" s="314"/>
      <c r="AZD277" s="314"/>
      <c r="AZE277" s="314"/>
      <c r="AZF277" s="314"/>
      <c r="AZG277" s="314"/>
      <c r="AZH277" s="314"/>
      <c r="AZI277" s="314"/>
      <c r="AZJ277" s="314"/>
      <c r="AZK277" s="314"/>
      <c r="AZL277" s="314"/>
      <c r="AZM277" s="314"/>
      <c r="AZN277" s="314"/>
      <c r="AZO277" s="314"/>
      <c r="AZP277" s="314"/>
      <c r="AZQ277" s="314"/>
      <c r="AZR277" s="314"/>
      <c r="AZS277" s="314"/>
      <c r="AZT277" s="314"/>
      <c r="AZU277" s="314"/>
      <c r="AZV277" s="314"/>
      <c r="AZW277" s="314"/>
      <c r="AZX277" s="314"/>
      <c r="AZY277" s="314"/>
      <c r="AZZ277" s="314"/>
      <c r="BAA277" s="314"/>
      <c r="BAB277" s="314"/>
      <c r="BAC277" s="314"/>
      <c r="BAD277" s="314"/>
      <c r="BAE277" s="314"/>
      <c r="BAF277" s="314"/>
      <c r="BAG277" s="314"/>
      <c r="BAH277" s="314"/>
      <c r="BAI277" s="314"/>
      <c r="BAJ277" s="314"/>
      <c r="BAK277" s="314"/>
      <c r="BAL277" s="314"/>
      <c r="BAM277" s="314"/>
      <c r="BAN277" s="314"/>
      <c r="BAO277" s="314"/>
      <c r="BAP277" s="314"/>
      <c r="BAQ277" s="314"/>
      <c r="BAR277" s="314"/>
      <c r="BAS277" s="314"/>
      <c r="BAT277" s="314"/>
      <c r="BAU277" s="314"/>
      <c r="BAV277" s="314"/>
      <c r="BAW277" s="314"/>
      <c r="BAX277" s="314"/>
      <c r="BAY277" s="314"/>
      <c r="BAZ277" s="314"/>
      <c r="BBA277" s="314"/>
      <c r="BBB277" s="314"/>
      <c r="BBC277" s="314"/>
      <c r="BBD277" s="314"/>
      <c r="BBE277" s="314"/>
      <c r="BBF277" s="314"/>
      <c r="BBG277" s="314"/>
      <c r="BBH277" s="314"/>
      <c r="BBI277" s="314"/>
      <c r="BBJ277" s="314"/>
      <c r="BBK277" s="314"/>
      <c r="BBL277" s="314"/>
      <c r="BBM277" s="314"/>
      <c r="BBN277" s="314"/>
      <c r="BBO277" s="314"/>
      <c r="BBP277" s="314"/>
      <c r="BBQ277" s="314"/>
      <c r="BBR277" s="314"/>
      <c r="BBS277" s="314"/>
      <c r="BBT277" s="314"/>
      <c r="BBU277" s="314"/>
      <c r="BBV277" s="314"/>
      <c r="BBW277" s="314"/>
      <c r="BBX277" s="314"/>
      <c r="BBY277" s="314"/>
      <c r="BBZ277" s="314"/>
      <c r="BCA277" s="314"/>
      <c r="BCB277" s="314"/>
      <c r="BCC277" s="314"/>
      <c r="BCD277" s="314"/>
      <c r="BCE277" s="314"/>
      <c r="BCF277" s="314"/>
      <c r="BCG277" s="314"/>
      <c r="BCH277" s="314"/>
      <c r="BCI277" s="314"/>
      <c r="BCJ277" s="314"/>
      <c r="BCK277" s="314"/>
      <c r="BCL277" s="314"/>
      <c r="BCM277" s="314"/>
      <c r="BCN277" s="314"/>
      <c r="BCO277" s="314"/>
      <c r="BCP277" s="314"/>
      <c r="BCQ277" s="314"/>
      <c r="BCR277" s="314"/>
      <c r="BCS277" s="314"/>
      <c r="BCT277" s="314"/>
      <c r="BCU277" s="314"/>
      <c r="BCV277" s="314"/>
      <c r="BCW277" s="314"/>
      <c r="BCX277" s="314"/>
      <c r="BCY277" s="314"/>
      <c r="BCZ277" s="314"/>
      <c r="BDA277" s="314"/>
      <c r="BDB277" s="314"/>
      <c r="BDC277" s="314"/>
      <c r="BDD277" s="314"/>
      <c r="BDE277" s="314"/>
      <c r="BDF277" s="314"/>
      <c r="BDG277" s="314"/>
      <c r="BDH277" s="314"/>
      <c r="BDI277" s="314"/>
      <c r="BDJ277" s="314"/>
      <c r="BDK277" s="314"/>
      <c r="BDL277" s="314"/>
      <c r="BDM277" s="314"/>
      <c r="BDN277" s="314"/>
      <c r="BDO277" s="314"/>
      <c r="BDP277" s="314"/>
      <c r="BDQ277" s="314"/>
      <c r="BDR277" s="314"/>
      <c r="BDS277" s="314"/>
      <c r="BDT277" s="314"/>
      <c r="BDU277" s="314"/>
      <c r="BDV277" s="314"/>
      <c r="BDW277" s="314"/>
      <c r="BDX277" s="314"/>
      <c r="BDY277" s="314"/>
      <c r="BDZ277" s="314"/>
      <c r="BEA277" s="314"/>
      <c r="BEB277" s="314"/>
      <c r="BEC277" s="314"/>
      <c r="BED277" s="314"/>
      <c r="BEE277" s="314"/>
      <c r="BEF277" s="314"/>
      <c r="BEG277" s="314"/>
      <c r="BEH277" s="314"/>
      <c r="BEI277" s="314"/>
      <c r="BEJ277" s="314"/>
      <c r="BEK277" s="314"/>
      <c r="BEL277" s="314"/>
      <c r="BEM277" s="314"/>
      <c r="BEN277" s="314"/>
      <c r="BEO277" s="314"/>
      <c r="BEP277" s="314"/>
      <c r="BEQ277" s="314"/>
      <c r="BER277" s="314"/>
      <c r="BES277" s="314"/>
      <c r="BET277" s="314"/>
      <c r="BEU277" s="314"/>
      <c r="BEV277" s="314"/>
      <c r="BEW277" s="314"/>
      <c r="BEX277" s="314"/>
      <c r="BEY277" s="314"/>
      <c r="BEZ277" s="314"/>
      <c r="BFA277" s="314"/>
      <c r="BFB277" s="314"/>
      <c r="BFC277" s="314"/>
      <c r="BFD277" s="314"/>
      <c r="BFE277" s="314"/>
      <c r="BFF277" s="314"/>
      <c r="BFG277" s="314"/>
      <c r="BFH277" s="314"/>
      <c r="BFI277" s="314"/>
      <c r="BFJ277" s="314"/>
      <c r="BFK277" s="314"/>
      <c r="BFL277" s="314"/>
      <c r="BFM277" s="314"/>
      <c r="BFN277" s="314"/>
      <c r="BFO277" s="314"/>
      <c r="BFP277" s="314"/>
      <c r="BFQ277" s="314"/>
      <c r="BFR277" s="314"/>
      <c r="BFS277" s="314"/>
      <c r="BFT277" s="314"/>
      <c r="BFU277" s="314"/>
      <c r="BFV277" s="314"/>
      <c r="BFW277" s="314"/>
      <c r="BFX277" s="314"/>
      <c r="BFY277" s="314"/>
      <c r="BFZ277" s="314"/>
      <c r="BGA277" s="314"/>
      <c r="BGB277" s="314"/>
      <c r="BGC277" s="314"/>
      <c r="BGD277" s="314"/>
      <c r="BGE277" s="314"/>
      <c r="BGF277" s="314"/>
      <c r="BGG277" s="314"/>
      <c r="BGH277" s="314"/>
      <c r="BGI277" s="314"/>
      <c r="BGJ277" s="314"/>
      <c r="BGK277" s="314"/>
      <c r="BGL277" s="314"/>
      <c r="BGM277" s="314"/>
      <c r="BGN277" s="314"/>
      <c r="BGO277" s="314"/>
      <c r="BGP277" s="314"/>
      <c r="BGQ277" s="314"/>
      <c r="BGR277" s="314"/>
      <c r="BGS277" s="314"/>
      <c r="BGT277" s="314"/>
      <c r="BGU277" s="314"/>
      <c r="BGV277" s="314"/>
      <c r="BGW277" s="314"/>
      <c r="BGX277" s="314"/>
      <c r="BGY277" s="314"/>
      <c r="BGZ277" s="314"/>
      <c r="BHA277" s="314"/>
      <c r="BHB277" s="314"/>
      <c r="BHC277" s="314"/>
      <c r="BHD277" s="314"/>
      <c r="BHE277" s="314"/>
      <c r="BHF277" s="314"/>
      <c r="BHG277" s="314"/>
      <c r="BHH277" s="314"/>
      <c r="BHI277" s="314"/>
      <c r="BHJ277" s="314"/>
      <c r="BHK277" s="314"/>
      <c r="BHL277" s="314"/>
      <c r="BHM277" s="314"/>
      <c r="BHN277" s="314"/>
      <c r="BHO277" s="314"/>
      <c r="BHP277" s="314"/>
      <c r="BHQ277" s="314"/>
      <c r="BHR277" s="314"/>
      <c r="BHS277" s="314"/>
      <c r="BHT277" s="314"/>
      <c r="BHU277" s="314"/>
      <c r="BHV277" s="314"/>
      <c r="BHW277" s="314"/>
      <c r="BHX277" s="314"/>
      <c r="BHY277" s="314"/>
      <c r="BHZ277" s="314"/>
      <c r="BIA277" s="314"/>
      <c r="BIB277" s="314"/>
      <c r="BIC277" s="314"/>
      <c r="BID277" s="314"/>
      <c r="BIE277" s="314"/>
      <c r="BIF277" s="314"/>
      <c r="BIG277" s="314"/>
      <c r="BIH277" s="314"/>
      <c r="BII277" s="314"/>
      <c r="BIJ277" s="314"/>
      <c r="BIK277" s="314"/>
      <c r="BIL277" s="314"/>
      <c r="BIM277" s="314"/>
      <c r="BIN277" s="314"/>
      <c r="BIO277" s="314"/>
      <c r="BIP277" s="314"/>
      <c r="BIQ277" s="314"/>
      <c r="BIR277" s="314"/>
      <c r="BIS277" s="314"/>
      <c r="BIT277" s="314"/>
      <c r="BIU277" s="314"/>
      <c r="BIV277" s="314"/>
      <c r="BIW277" s="314"/>
      <c r="BIX277" s="314"/>
      <c r="BIY277" s="314"/>
      <c r="BIZ277" s="314"/>
      <c r="BJA277" s="314"/>
      <c r="BJB277" s="314"/>
      <c r="BJC277" s="314"/>
      <c r="BJD277" s="314"/>
      <c r="BJE277" s="314"/>
      <c r="BJF277" s="314"/>
      <c r="BJG277" s="314"/>
      <c r="BJH277" s="314"/>
      <c r="BJI277" s="314"/>
      <c r="BJJ277" s="314"/>
      <c r="BJK277" s="314"/>
      <c r="BJL277" s="314"/>
      <c r="BJM277" s="314"/>
      <c r="BJN277" s="314"/>
      <c r="BJO277" s="314"/>
      <c r="BJP277" s="314"/>
      <c r="BJQ277" s="314"/>
      <c r="BJR277" s="314"/>
      <c r="BJS277" s="314"/>
      <c r="BJT277" s="314"/>
      <c r="BJU277" s="314"/>
      <c r="BJV277" s="314"/>
      <c r="BJW277" s="314"/>
      <c r="BJX277" s="314"/>
      <c r="BJY277" s="314"/>
      <c r="BJZ277" s="314"/>
      <c r="BKA277" s="314"/>
      <c r="BKB277" s="314"/>
      <c r="BKC277" s="314"/>
      <c r="BKD277" s="314"/>
      <c r="BKE277" s="314"/>
      <c r="BKF277" s="314"/>
      <c r="BKG277" s="314"/>
      <c r="BKH277" s="314"/>
      <c r="BKI277" s="314"/>
      <c r="BKJ277" s="314"/>
      <c r="BKK277" s="314"/>
      <c r="BKL277" s="314"/>
      <c r="BKM277" s="314"/>
      <c r="BKN277" s="314"/>
      <c r="BKO277" s="314"/>
      <c r="BKP277" s="314"/>
      <c r="BKQ277" s="314"/>
      <c r="BKR277" s="314"/>
      <c r="BKS277" s="314"/>
      <c r="BKT277" s="314"/>
      <c r="BKU277" s="314"/>
      <c r="BKV277" s="314"/>
      <c r="BKW277" s="314"/>
      <c r="BKX277" s="314"/>
      <c r="BKY277" s="314"/>
      <c r="BKZ277" s="314"/>
      <c r="BLA277" s="314"/>
      <c r="BLB277" s="314"/>
      <c r="BLC277" s="314"/>
      <c r="BLD277" s="314"/>
      <c r="BLE277" s="314"/>
      <c r="BLF277" s="314"/>
      <c r="BLG277" s="314"/>
      <c r="BLH277" s="314"/>
      <c r="BLI277" s="314"/>
      <c r="BLJ277" s="314"/>
      <c r="BLK277" s="314"/>
      <c r="BLL277" s="314"/>
      <c r="BLM277" s="314"/>
      <c r="BLN277" s="314"/>
      <c r="BLO277" s="314"/>
      <c r="BLP277" s="314"/>
      <c r="BLQ277" s="314"/>
      <c r="BLR277" s="314"/>
      <c r="BLS277" s="314"/>
      <c r="BLT277" s="314"/>
      <c r="BLU277" s="314"/>
      <c r="BLV277" s="314"/>
      <c r="BLW277" s="314"/>
      <c r="BLX277" s="314"/>
      <c r="BLY277" s="314"/>
      <c r="BLZ277" s="314"/>
      <c r="BMA277" s="314"/>
      <c r="BMB277" s="314"/>
      <c r="BMC277" s="314"/>
      <c r="BMD277" s="314"/>
      <c r="BME277" s="314"/>
      <c r="BMF277" s="314"/>
      <c r="BMG277" s="314"/>
      <c r="BMH277" s="314"/>
      <c r="BMI277" s="314"/>
      <c r="BMJ277" s="314"/>
      <c r="BMK277" s="314"/>
      <c r="BML277" s="314"/>
      <c r="BMM277" s="314"/>
      <c r="BMN277" s="314"/>
      <c r="BMO277" s="314"/>
      <c r="BMP277" s="314"/>
      <c r="BMQ277" s="314"/>
      <c r="BMR277" s="314"/>
      <c r="BMS277" s="314"/>
      <c r="BMT277" s="314"/>
      <c r="BMU277" s="314"/>
      <c r="BMV277" s="314"/>
      <c r="BMW277" s="314"/>
      <c r="BMX277" s="314"/>
      <c r="BMY277" s="314"/>
      <c r="BMZ277" s="314"/>
      <c r="BNA277" s="314"/>
      <c r="BNB277" s="314"/>
      <c r="BNC277" s="314"/>
      <c r="BND277" s="314"/>
      <c r="BNE277" s="314"/>
      <c r="BNF277" s="314"/>
      <c r="BNG277" s="314"/>
      <c r="BNH277" s="314"/>
      <c r="BNI277" s="314"/>
      <c r="BNJ277" s="314"/>
      <c r="BNK277" s="314"/>
      <c r="BNL277" s="314"/>
      <c r="BNM277" s="314"/>
      <c r="BNN277" s="314"/>
      <c r="BNO277" s="314"/>
      <c r="BNP277" s="314"/>
      <c r="BNQ277" s="314"/>
      <c r="BNR277" s="314"/>
      <c r="BNS277" s="314"/>
      <c r="BNT277" s="314"/>
      <c r="BNU277" s="314"/>
      <c r="BNV277" s="314"/>
      <c r="BNW277" s="314"/>
      <c r="BNX277" s="314"/>
      <c r="BNY277" s="314"/>
      <c r="BNZ277" s="314"/>
      <c r="BOA277" s="314"/>
      <c r="BOB277" s="314"/>
      <c r="BOC277" s="314"/>
      <c r="BOD277" s="314"/>
      <c r="BOE277" s="314"/>
      <c r="BOF277" s="314"/>
      <c r="BOG277" s="314"/>
      <c r="BOH277" s="314"/>
      <c r="BOI277" s="314"/>
      <c r="BOJ277" s="314"/>
      <c r="BOK277" s="314"/>
      <c r="BOL277" s="314"/>
      <c r="BOM277" s="314"/>
      <c r="BON277" s="314"/>
      <c r="BOO277" s="314"/>
      <c r="BOP277" s="314"/>
      <c r="BOQ277" s="314"/>
      <c r="BOR277" s="314"/>
      <c r="BOS277" s="314"/>
      <c r="BOT277" s="314"/>
      <c r="BOU277" s="314"/>
      <c r="BOV277" s="314"/>
      <c r="BOW277" s="314"/>
      <c r="BOX277" s="314"/>
      <c r="BOY277" s="314"/>
      <c r="BOZ277" s="314"/>
      <c r="BPA277" s="314"/>
      <c r="BPB277" s="314"/>
      <c r="BPC277" s="314"/>
      <c r="BPD277" s="314"/>
      <c r="BPE277" s="314"/>
      <c r="BPF277" s="314"/>
      <c r="BPG277" s="314"/>
      <c r="BPH277" s="314"/>
      <c r="BPI277" s="314"/>
      <c r="BPJ277" s="314"/>
      <c r="BPK277" s="314"/>
      <c r="BPL277" s="314"/>
      <c r="BPM277" s="314"/>
      <c r="BPN277" s="314"/>
      <c r="BPO277" s="314"/>
      <c r="BPP277" s="314"/>
      <c r="BPQ277" s="314"/>
      <c r="BPR277" s="314"/>
      <c r="BPS277" s="314"/>
      <c r="BPT277" s="314"/>
      <c r="BPU277" s="314"/>
      <c r="BPV277" s="314"/>
      <c r="BPW277" s="314"/>
      <c r="BPX277" s="314"/>
      <c r="BPY277" s="314"/>
      <c r="BPZ277" s="314"/>
      <c r="BQA277" s="314"/>
      <c r="BQB277" s="314"/>
      <c r="BQC277" s="314"/>
      <c r="BQD277" s="314"/>
      <c r="BQE277" s="314"/>
      <c r="BQF277" s="314"/>
      <c r="BQG277" s="314"/>
      <c r="BQH277" s="314"/>
      <c r="BQI277" s="314"/>
      <c r="BQJ277" s="314"/>
      <c r="BQK277" s="314"/>
      <c r="BQL277" s="314"/>
      <c r="BQM277" s="314"/>
      <c r="BQN277" s="314"/>
      <c r="BQO277" s="314"/>
      <c r="BQP277" s="314"/>
      <c r="BQQ277" s="314"/>
      <c r="BQR277" s="314"/>
      <c r="BQS277" s="314"/>
      <c r="BQT277" s="314"/>
      <c r="BQU277" s="314"/>
      <c r="BQV277" s="314"/>
      <c r="BQW277" s="314"/>
      <c r="BQX277" s="314"/>
      <c r="BQY277" s="314"/>
      <c r="BQZ277" s="314"/>
      <c r="BRA277" s="314"/>
      <c r="BRB277" s="314"/>
      <c r="BRC277" s="314"/>
      <c r="BRD277" s="314"/>
      <c r="BRE277" s="314"/>
      <c r="BRF277" s="314"/>
      <c r="BRG277" s="314"/>
      <c r="BRH277" s="314"/>
      <c r="BRI277" s="314"/>
      <c r="BRJ277" s="314"/>
      <c r="BRK277" s="314"/>
      <c r="BRL277" s="314"/>
      <c r="BRM277" s="314"/>
      <c r="BRN277" s="314"/>
      <c r="BRO277" s="314"/>
      <c r="BRP277" s="314"/>
      <c r="BRQ277" s="314"/>
      <c r="BRR277" s="314"/>
      <c r="BRS277" s="314"/>
      <c r="BRT277" s="314"/>
      <c r="BRU277" s="314"/>
      <c r="BRV277" s="314"/>
      <c r="BRW277" s="314"/>
      <c r="BRX277" s="314"/>
      <c r="BRY277" s="314"/>
      <c r="BRZ277" s="314"/>
      <c r="BSA277" s="314"/>
      <c r="BSB277" s="314"/>
      <c r="BSC277" s="314"/>
      <c r="BSD277" s="314"/>
      <c r="BSE277" s="314"/>
      <c r="BSF277" s="314"/>
      <c r="BSG277" s="314"/>
      <c r="BSH277" s="314"/>
      <c r="BSI277" s="314"/>
      <c r="BSJ277" s="314"/>
      <c r="BSK277" s="314"/>
      <c r="BSL277" s="314"/>
      <c r="BSM277" s="314"/>
      <c r="BSN277" s="314"/>
      <c r="BSO277" s="314"/>
      <c r="BSP277" s="314"/>
      <c r="BSQ277" s="314"/>
      <c r="BSR277" s="314"/>
      <c r="BSS277" s="314"/>
      <c r="BST277" s="314"/>
      <c r="BSU277" s="314"/>
      <c r="BSV277" s="314"/>
      <c r="BSW277" s="314"/>
      <c r="BSX277" s="314"/>
      <c r="BSY277" s="314"/>
      <c r="BSZ277" s="314"/>
      <c r="BTA277" s="314"/>
      <c r="BTB277" s="314"/>
      <c r="BTC277" s="314"/>
      <c r="BTD277" s="314"/>
      <c r="BTE277" s="314"/>
      <c r="BTF277" s="314"/>
      <c r="BTG277" s="314"/>
      <c r="BTH277" s="314"/>
      <c r="BTI277" s="314"/>
      <c r="BTJ277" s="314"/>
      <c r="BTK277" s="314"/>
      <c r="BTL277" s="314"/>
      <c r="BTM277" s="314"/>
      <c r="BTN277" s="314"/>
      <c r="BTO277" s="314"/>
      <c r="BTP277" s="314"/>
      <c r="BTQ277" s="314"/>
      <c r="BTR277" s="314"/>
      <c r="BTS277" s="314"/>
      <c r="BTT277" s="314"/>
      <c r="BTU277" s="314"/>
      <c r="BTV277" s="314"/>
      <c r="BTW277" s="314"/>
      <c r="BTX277" s="314"/>
      <c r="BTY277" s="314"/>
      <c r="BTZ277" s="314"/>
      <c r="BUA277" s="314"/>
      <c r="BUB277" s="314"/>
      <c r="BUC277" s="314"/>
      <c r="BUD277" s="314"/>
      <c r="BUE277" s="314"/>
      <c r="BUF277" s="314"/>
      <c r="BUG277" s="314"/>
      <c r="BUH277" s="314"/>
      <c r="BUI277" s="314"/>
      <c r="BUJ277" s="314"/>
      <c r="BUK277" s="314"/>
      <c r="BUL277" s="314"/>
      <c r="BUM277" s="314"/>
      <c r="BUN277" s="314"/>
      <c r="BUO277" s="314"/>
      <c r="BUP277" s="314"/>
      <c r="BUQ277" s="314"/>
      <c r="BUR277" s="314"/>
      <c r="BUS277" s="314"/>
      <c r="BUT277" s="314"/>
      <c r="BUU277" s="314"/>
      <c r="BUV277" s="314"/>
      <c r="BUW277" s="314"/>
      <c r="BUX277" s="314"/>
      <c r="BUY277" s="314"/>
      <c r="BUZ277" s="314"/>
      <c r="BVA277" s="314"/>
      <c r="BVB277" s="314"/>
      <c r="BVC277" s="314"/>
      <c r="BVD277" s="314"/>
      <c r="BVE277" s="314"/>
      <c r="BVF277" s="314"/>
      <c r="BVG277" s="314"/>
      <c r="BVH277" s="314"/>
      <c r="BVI277" s="314"/>
      <c r="BVJ277" s="314"/>
      <c r="BVK277" s="314"/>
      <c r="BVL277" s="314"/>
      <c r="BVM277" s="314"/>
      <c r="BVN277" s="314"/>
      <c r="BVO277" s="314"/>
      <c r="BVP277" s="314"/>
      <c r="BVQ277" s="314"/>
      <c r="BVR277" s="314"/>
      <c r="BVS277" s="314"/>
      <c r="BVT277" s="314"/>
      <c r="BVU277" s="314"/>
      <c r="BVV277" s="314"/>
      <c r="BVW277" s="314"/>
      <c r="BVX277" s="314"/>
      <c r="BVY277" s="314"/>
      <c r="BVZ277" s="314"/>
      <c r="BWA277" s="314"/>
      <c r="BWB277" s="314"/>
      <c r="BWC277" s="314"/>
      <c r="BWD277" s="314"/>
      <c r="BWE277" s="314"/>
      <c r="BWF277" s="314"/>
      <c r="BWG277" s="314"/>
      <c r="BWH277" s="314"/>
      <c r="BWI277" s="314"/>
      <c r="BWJ277" s="314"/>
      <c r="BWK277" s="314"/>
      <c r="BWL277" s="314"/>
      <c r="BWM277" s="314"/>
      <c r="BWN277" s="314"/>
      <c r="BWO277" s="314"/>
      <c r="BWP277" s="314"/>
      <c r="BWQ277" s="314"/>
      <c r="BWR277" s="314"/>
      <c r="BWS277" s="314"/>
      <c r="BWT277" s="314"/>
      <c r="BWU277" s="314"/>
      <c r="BWV277" s="314"/>
      <c r="BWW277" s="314"/>
      <c r="BWX277" s="314"/>
      <c r="BWY277" s="314"/>
      <c r="BWZ277" s="314"/>
      <c r="BXA277" s="314"/>
      <c r="BXB277" s="314"/>
      <c r="BXC277" s="314"/>
      <c r="BXD277" s="314"/>
      <c r="BXE277" s="314"/>
      <c r="BXF277" s="314"/>
      <c r="BXG277" s="314"/>
      <c r="BXH277" s="314"/>
      <c r="BXI277" s="314"/>
      <c r="BXJ277" s="314"/>
      <c r="BXK277" s="314"/>
      <c r="BXL277" s="314"/>
      <c r="BXM277" s="314"/>
      <c r="BXN277" s="314"/>
      <c r="BXO277" s="314"/>
      <c r="BXP277" s="314"/>
      <c r="BXQ277" s="314"/>
      <c r="BXR277" s="314"/>
      <c r="BXS277" s="314"/>
      <c r="BXT277" s="314"/>
      <c r="BXU277" s="314"/>
      <c r="BXV277" s="314"/>
      <c r="BXW277" s="314"/>
      <c r="BXX277" s="314"/>
      <c r="BXY277" s="314"/>
      <c r="BXZ277" s="314"/>
      <c r="BYA277" s="314"/>
      <c r="BYB277" s="314"/>
      <c r="BYC277" s="314"/>
      <c r="BYD277" s="314"/>
      <c r="BYE277" s="314"/>
      <c r="BYF277" s="314"/>
      <c r="BYG277" s="314"/>
      <c r="BYH277" s="314"/>
      <c r="BYI277" s="314"/>
      <c r="BYJ277" s="314"/>
      <c r="BYK277" s="314"/>
      <c r="BYL277" s="314"/>
      <c r="BYM277" s="314"/>
      <c r="BYN277" s="314"/>
      <c r="BYO277" s="314"/>
      <c r="BYP277" s="314"/>
      <c r="BYQ277" s="314"/>
      <c r="BYR277" s="314"/>
      <c r="BYS277" s="314"/>
      <c r="BYT277" s="314"/>
      <c r="BYU277" s="314"/>
      <c r="BYV277" s="314"/>
      <c r="BYW277" s="314"/>
      <c r="BYX277" s="314"/>
      <c r="BYY277" s="314"/>
      <c r="BYZ277" s="314"/>
      <c r="BZA277" s="314"/>
      <c r="BZB277" s="314"/>
      <c r="BZC277" s="314"/>
      <c r="BZD277" s="314"/>
      <c r="BZE277" s="314"/>
      <c r="BZF277" s="314"/>
      <c r="BZG277" s="314"/>
      <c r="BZH277" s="314"/>
      <c r="BZI277" s="314"/>
      <c r="BZJ277" s="314"/>
      <c r="BZK277" s="314"/>
      <c r="BZL277" s="314"/>
      <c r="BZM277" s="314"/>
      <c r="BZN277" s="314"/>
      <c r="BZO277" s="314"/>
      <c r="BZP277" s="314"/>
      <c r="BZQ277" s="314"/>
      <c r="BZR277" s="314"/>
      <c r="BZS277" s="314"/>
      <c r="BZT277" s="314"/>
      <c r="BZU277" s="314"/>
      <c r="BZV277" s="314"/>
      <c r="BZW277" s="314"/>
      <c r="BZX277" s="314"/>
      <c r="BZY277" s="314"/>
      <c r="BZZ277" s="314"/>
      <c r="CAA277" s="314"/>
      <c r="CAB277" s="314"/>
      <c r="CAC277" s="314"/>
      <c r="CAD277" s="314"/>
      <c r="CAE277" s="314"/>
      <c r="CAF277" s="314"/>
      <c r="CAG277" s="314"/>
      <c r="CAH277" s="314"/>
      <c r="CAI277" s="314"/>
      <c r="CAJ277" s="314"/>
      <c r="CAK277" s="314"/>
      <c r="CAL277" s="314"/>
      <c r="CAM277" s="314"/>
      <c r="CAN277" s="314"/>
      <c r="CAO277" s="314"/>
      <c r="CAP277" s="314"/>
      <c r="CAQ277" s="314"/>
      <c r="CAR277" s="314"/>
      <c r="CAS277" s="314"/>
      <c r="CAT277" s="314"/>
      <c r="CAU277" s="314"/>
      <c r="CAV277" s="314"/>
      <c r="CAW277" s="314"/>
      <c r="CAX277" s="314"/>
      <c r="CAY277" s="314"/>
      <c r="CAZ277" s="314"/>
      <c r="CBA277" s="314"/>
      <c r="CBB277" s="314"/>
      <c r="CBC277" s="314"/>
      <c r="CBD277" s="314"/>
      <c r="CBE277" s="314"/>
      <c r="CBF277" s="314"/>
      <c r="CBG277" s="314"/>
      <c r="CBH277" s="314"/>
      <c r="CBI277" s="314"/>
      <c r="CBJ277" s="314"/>
      <c r="CBK277" s="314"/>
      <c r="CBL277" s="314"/>
      <c r="CBM277" s="314"/>
      <c r="CBN277" s="314"/>
      <c r="CBO277" s="314"/>
      <c r="CBP277" s="314"/>
      <c r="CBQ277" s="314"/>
      <c r="CBR277" s="314"/>
      <c r="CBS277" s="314"/>
      <c r="CBT277" s="314"/>
      <c r="CBU277" s="314"/>
      <c r="CBV277" s="314"/>
      <c r="CBW277" s="314"/>
      <c r="CBX277" s="314"/>
      <c r="CBY277" s="314"/>
      <c r="CBZ277" s="314"/>
      <c r="CCA277" s="314"/>
      <c r="CCB277" s="314"/>
      <c r="CCC277" s="314"/>
      <c r="CCD277" s="314"/>
      <c r="CCE277" s="314"/>
      <c r="CCF277" s="314"/>
      <c r="CCG277" s="314"/>
      <c r="CCH277" s="314"/>
      <c r="CCI277" s="314"/>
      <c r="CCJ277" s="314"/>
      <c r="CCK277" s="314"/>
      <c r="CCL277" s="314"/>
      <c r="CCM277" s="314"/>
      <c r="CCN277" s="314"/>
      <c r="CCO277" s="314"/>
      <c r="CCP277" s="314"/>
      <c r="CCQ277" s="314"/>
      <c r="CCR277" s="314"/>
      <c r="CCS277" s="314"/>
      <c r="CCT277" s="314"/>
      <c r="CCU277" s="314"/>
      <c r="CCV277" s="314"/>
      <c r="CCW277" s="314"/>
      <c r="CCX277" s="314"/>
      <c r="CCY277" s="314"/>
      <c r="CCZ277" s="314"/>
      <c r="CDA277" s="314"/>
      <c r="CDB277" s="314"/>
      <c r="CDC277" s="314"/>
      <c r="CDD277" s="314"/>
      <c r="CDE277" s="314"/>
      <c r="CDF277" s="314"/>
      <c r="CDG277" s="314"/>
      <c r="CDH277" s="314"/>
      <c r="CDI277" s="314"/>
      <c r="CDJ277" s="314"/>
      <c r="CDK277" s="314"/>
      <c r="CDL277" s="314"/>
      <c r="CDM277" s="314"/>
      <c r="CDN277" s="314"/>
      <c r="CDO277" s="314"/>
      <c r="CDP277" s="314"/>
      <c r="CDQ277" s="314"/>
      <c r="CDR277" s="314"/>
      <c r="CDS277" s="314"/>
      <c r="CDT277" s="314"/>
      <c r="CDU277" s="314"/>
      <c r="CDV277" s="314"/>
      <c r="CDW277" s="314"/>
      <c r="CDX277" s="314"/>
      <c r="CDY277" s="314"/>
      <c r="CDZ277" s="314"/>
      <c r="CEA277" s="314"/>
      <c r="CEB277" s="314"/>
      <c r="CEC277" s="314"/>
      <c r="CED277" s="314"/>
      <c r="CEE277" s="314"/>
      <c r="CEF277" s="314"/>
      <c r="CEG277" s="314"/>
      <c r="CEH277" s="314"/>
      <c r="CEI277" s="314"/>
      <c r="CEJ277" s="314"/>
      <c r="CEK277" s="314"/>
      <c r="CEL277" s="314"/>
      <c r="CEM277" s="314"/>
      <c r="CEN277" s="314"/>
      <c r="CEO277" s="314"/>
      <c r="CEP277" s="314"/>
      <c r="CEQ277" s="314"/>
      <c r="CER277" s="314"/>
      <c r="CES277" s="314"/>
      <c r="CET277" s="314"/>
      <c r="CEU277" s="314"/>
      <c r="CEV277" s="314"/>
      <c r="CEW277" s="314"/>
      <c r="CEX277" s="314"/>
      <c r="CEY277" s="314"/>
      <c r="CEZ277" s="314"/>
      <c r="CFA277" s="314"/>
      <c r="CFB277" s="314"/>
      <c r="CFC277" s="314"/>
      <c r="CFD277" s="314"/>
      <c r="CFE277" s="314"/>
      <c r="CFF277" s="314"/>
      <c r="CFG277" s="314"/>
      <c r="CFH277" s="314"/>
      <c r="CFI277" s="314"/>
      <c r="CFJ277" s="314"/>
      <c r="CFK277" s="314"/>
      <c r="CFL277" s="314"/>
      <c r="CFM277" s="314"/>
      <c r="CFN277" s="314"/>
      <c r="CFO277" s="314"/>
      <c r="CFP277" s="314"/>
      <c r="CFQ277" s="314"/>
      <c r="CFR277" s="314"/>
      <c r="CFS277" s="314"/>
      <c r="CFT277" s="314"/>
      <c r="CFU277" s="314"/>
      <c r="CFV277" s="314"/>
      <c r="CFW277" s="314"/>
      <c r="CFX277" s="314"/>
      <c r="CFY277" s="314"/>
      <c r="CFZ277" s="314"/>
      <c r="CGA277" s="314"/>
      <c r="CGB277" s="314"/>
      <c r="CGC277" s="314"/>
      <c r="CGD277" s="314"/>
      <c r="CGE277" s="314"/>
      <c r="CGF277" s="314"/>
      <c r="CGG277" s="314"/>
      <c r="CGH277" s="314"/>
      <c r="CGI277" s="314"/>
      <c r="CGJ277" s="314"/>
      <c r="CGK277" s="314"/>
      <c r="CGL277" s="314"/>
      <c r="CGM277" s="314"/>
      <c r="CGN277" s="314"/>
      <c r="CGO277" s="314"/>
      <c r="CGP277" s="314"/>
      <c r="CGQ277" s="314"/>
      <c r="CGR277" s="314"/>
      <c r="CGS277" s="314"/>
      <c r="CGT277" s="314"/>
      <c r="CGU277" s="314"/>
      <c r="CGV277" s="314"/>
      <c r="CGW277" s="314"/>
      <c r="CGX277" s="314"/>
      <c r="CGY277" s="314"/>
      <c r="CGZ277" s="314"/>
      <c r="CHA277" s="314"/>
      <c r="CHB277" s="314"/>
      <c r="CHC277" s="314"/>
      <c r="CHD277" s="314"/>
      <c r="CHE277" s="314"/>
      <c r="CHF277" s="314"/>
      <c r="CHG277" s="314"/>
      <c r="CHH277" s="314"/>
      <c r="CHI277" s="314"/>
      <c r="CHJ277" s="314"/>
      <c r="CHK277" s="314"/>
      <c r="CHL277" s="314"/>
      <c r="CHM277" s="314"/>
      <c r="CHN277" s="314"/>
      <c r="CHO277" s="314"/>
      <c r="CHP277" s="314"/>
      <c r="CHQ277" s="314"/>
      <c r="CHR277" s="314"/>
      <c r="CHS277" s="314"/>
      <c r="CHT277" s="314"/>
      <c r="CHU277" s="314"/>
      <c r="CHV277" s="314"/>
      <c r="CHW277" s="314"/>
      <c r="CHX277" s="314"/>
      <c r="CHY277" s="314"/>
      <c r="CHZ277" s="314"/>
      <c r="CIA277" s="314"/>
      <c r="CIB277" s="314"/>
      <c r="CIC277" s="314"/>
      <c r="CID277" s="314"/>
      <c r="CIE277" s="314"/>
      <c r="CIF277" s="314"/>
      <c r="CIG277" s="314"/>
      <c r="CIH277" s="314"/>
      <c r="CII277" s="314"/>
      <c r="CIJ277" s="314"/>
      <c r="CIK277" s="314"/>
      <c r="CIL277" s="314"/>
      <c r="CIM277" s="314"/>
      <c r="CIN277" s="314"/>
      <c r="CIO277" s="314"/>
      <c r="CIP277" s="314"/>
      <c r="CIQ277" s="314"/>
      <c r="CIR277" s="314"/>
      <c r="CIS277" s="314"/>
      <c r="CIT277" s="314"/>
      <c r="CIU277" s="314"/>
      <c r="CIV277" s="314"/>
      <c r="CIW277" s="314"/>
      <c r="CIX277" s="314"/>
      <c r="CIY277" s="314"/>
      <c r="CIZ277" s="314"/>
      <c r="CJA277" s="314"/>
      <c r="CJB277" s="314"/>
      <c r="CJC277" s="314"/>
      <c r="CJD277" s="314"/>
      <c r="CJE277" s="314"/>
      <c r="CJF277" s="314"/>
      <c r="CJG277" s="314"/>
      <c r="CJH277" s="314"/>
      <c r="CJI277" s="314"/>
      <c r="CJJ277" s="314"/>
      <c r="CJK277" s="314"/>
      <c r="CJL277" s="314"/>
      <c r="CJM277" s="314"/>
      <c r="CJN277" s="314"/>
      <c r="CJO277" s="314"/>
      <c r="CJP277" s="314"/>
      <c r="CJQ277" s="314"/>
      <c r="CJR277" s="314"/>
      <c r="CJS277" s="314"/>
      <c r="CJT277" s="314"/>
      <c r="CJU277" s="314"/>
      <c r="CJV277" s="314"/>
      <c r="CJW277" s="314"/>
      <c r="CJX277" s="314"/>
      <c r="CJY277" s="314"/>
      <c r="CJZ277" s="314"/>
      <c r="CKA277" s="314"/>
      <c r="CKB277" s="314"/>
      <c r="CKC277" s="314"/>
      <c r="CKD277" s="314"/>
      <c r="CKE277" s="314"/>
      <c r="CKF277" s="314"/>
      <c r="CKG277" s="314"/>
      <c r="CKH277" s="314"/>
      <c r="CKI277" s="314"/>
      <c r="CKJ277" s="314"/>
      <c r="CKK277" s="314"/>
      <c r="CKL277" s="314"/>
      <c r="CKM277" s="314"/>
      <c r="CKN277" s="314"/>
      <c r="CKO277" s="314"/>
      <c r="CKP277" s="314"/>
      <c r="CKQ277" s="314"/>
      <c r="CKR277" s="314"/>
      <c r="CKS277" s="314"/>
      <c r="CKT277" s="314"/>
      <c r="CKU277" s="314"/>
      <c r="CKV277" s="314"/>
      <c r="CKW277" s="314"/>
      <c r="CKX277" s="314"/>
      <c r="CKY277" s="314"/>
      <c r="CKZ277" s="314"/>
      <c r="CLA277" s="314"/>
      <c r="CLB277" s="314"/>
      <c r="CLC277" s="314"/>
      <c r="CLD277" s="314"/>
      <c r="CLE277" s="314"/>
      <c r="CLF277" s="314"/>
      <c r="CLG277" s="314"/>
      <c r="CLH277" s="314"/>
      <c r="CLI277" s="314"/>
      <c r="CLJ277" s="314"/>
      <c r="CLK277" s="314"/>
      <c r="CLL277" s="314"/>
      <c r="CLM277" s="314"/>
      <c r="CLN277" s="314"/>
      <c r="CLO277" s="314"/>
      <c r="CLP277" s="314"/>
      <c r="CLQ277" s="314"/>
      <c r="CLR277" s="314"/>
      <c r="CLS277" s="314"/>
      <c r="CLT277" s="314"/>
      <c r="CLU277" s="314"/>
      <c r="CLV277" s="314"/>
      <c r="CLW277" s="314"/>
      <c r="CLX277" s="314"/>
      <c r="CLY277" s="314"/>
      <c r="CLZ277" s="314"/>
      <c r="CMA277" s="314"/>
      <c r="CMB277" s="314"/>
      <c r="CMC277" s="314"/>
      <c r="CMD277" s="314"/>
      <c r="CME277" s="314"/>
      <c r="CMF277" s="314"/>
      <c r="CMG277" s="314"/>
      <c r="CMH277" s="314"/>
      <c r="CMI277" s="314"/>
      <c r="CMJ277" s="314"/>
      <c r="CMK277" s="314"/>
      <c r="CML277" s="314"/>
      <c r="CMM277" s="314"/>
      <c r="CMN277" s="314"/>
      <c r="CMO277" s="314"/>
      <c r="CMP277" s="314"/>
      <c r="CMQ277" s="314"/>
      <c r="CMR277" s="314"/>
      <c r="CMS277" s="314"/>
      <c r="CMT277" s="314"/>
      <c r="CMU277" s="314"/>
      <c r="CMV277" s="314"/>
      <c r="CMW277" s="314"/>
      <c r="CMX277" s="314"/>
      <c r="CMY277" s="314"/>
      <c r="CMZ277" s="314"/>
      <c r="CNA277" s="314"/>
      <c r="CNB277" s="314"/>
      <c r="CNC277" s="314"/>
      <c r="CND277" s="314"/>
      <c r="CNE277" s="314"/>
      <c r="CNF277" s="314"/>
      <c r="CNG277" s="314"/>
      <c r="CNH277" s="314"/>
      <c r="CNI277" s="314"/>
      <c r="CNJ277" s="314"/>
      <c r="CNK277" s="314"/>
      <c r="CNL277" s="314"/>
      <c r="CNM277" s="314"/>
      <c r="CNN277" s="314"/>
      <c r="CNO277" s="314"/>
      <c r="CNP277" s="314"/>
      <c r="CNQ277" s="314"/>
      <c r="CNR277" s="314"/>
      <c r="CNS277" s="314"/>
      <c r="CNT277" s="314"/>
      <c r="CNU277" s="314"/>
      <c r="CNV277" s="314"/>
      <c r="CNW277" s="314"/>
      <c r="CNX277" s="314"/>
      <c r="CNY277" s="314"/>
      <c r="CNZ277" s="314"/>
      <c r="COA277" s="314"/>
      <c r="COB277" s="314"/>
      <c r="COC277" s="314"/>
      <c r="COD277" s="314"/>
      <c r="COE277" s="314"/>
      <c r="COF277" s="314"/>
      <c r="COG277" s="314"/>
      <c r="COH277" s="314"/>
      <c r="COI277" s="314"/>
      <c r="COJ277" s="314"/>
      <c r="COK277" s="314"/>
      <c r="COL277" s="314"/>
      <c r="COM277" s="314"/>
      <c r="CON277" s="314"/>
      <c r="COO277" s="314"/>
      <c r="COP277" s="314"/>
      <c r="COQ277" s="314"/>
      <c r="COR277" s="314"/>
      <c r="COS277" s="314"/>
      <c r="COT277" s="314"/>
      <c r="COU277" s="314"/>
      <c r="COV277" s="314"/>
      <c r="COW277" s="314"/>
      <c r="COX277" s="314"/>
      <c r="COY277" s="314"/>
      <c r="COZ277" s="314"/>
      <c r="CPA277" s="314"/>
      <c r="CPB277" s="314"/>
      <c r="CPC277" s="314"/>
      <c r="CPD277" s="314"/>
      <c r="CPE277" s="314"/>
      <c r="CPF277" s="314"/>
      <c r="CPG277" s="314"/>
      <c r="CPH277" s="314"/>
      <c r="CPI277" s="314"/>
      <c r="CPJ277" s="314"/>
      <c r="CPK277" s="314"/>
      <c r="CPL277" s="314"/>
      <c r="CPM277" s="314"/>
      <c r="CPN277" s="314"/>
      <c r="CPO277" s="314"/>
      <c r="CPP277" s="314"/>
      <c r="CPQ277" s="314"/>
      <c r="CPR277" s="314"/>
      <c r="CPS277" s="314"/>
      <c r="CPT277" s="314"/>
      <c r="CPU277" s="314"/>
      <c r="CPV277" s="314"/>
      <c r="CPW277" s="314"/>
      <c r="CPX277" s="314"/>
      <c r="CPY277" s="314"/>
      <c r="CPZ277" s="314"/>
      <c r="CQA277" s="314"/>
      <c r="CQB277" s="314"/>
      <c r="CQC277" s="314"/>
      <c r="CQD277" s="314"/>
      <c r="CQE277" s="314"/>
      <c r="CQF277" s="314"/>
      <c r="CQG277" s="314"/>
      <c r="CQH277" s="314"/>
      <c r="CQI277" s="314"/>
      <c r="CQJ277" s="314"/>
      <c r="CQK277" s="314"/>
      <c r="CQL277" s="314"/>
      <c r="CQM277" s="314"/>
      <c r="CQN277" s="314"/>
      <c r="CQO277" s="314"/>
      <c r="CQP277" s="314"/>
      <c r="CQQ277" s="314"/>
      <c r="CQR277" s="314"/>
      <c r="CQS277" s="314"/>
      <c r="CQT277" s="314"/>
      <c r="CQU277" s="314"/>
      <c r="CQV277" s="314"/>
      <c r="CQW277" s="314"/>
      <c r="CQX277" s="314"/>
      <c r="CQY277" s="314"/>
      <c r="CQZ277" s="314"/>
      <c r="CRA277" s="314"/>
      <c r="CRB277" s="314"/>
      <c r="CRC277" s="314"/>
      <c r="CRD277" s="314"/>
      <c r="CRE277" s="314"/>
      <c r="CRF277" s="314"/>
      <c r="CRG277" s="314"/>
      <c r="CRH277" s="314"/>
      <c r="CRI277" s="314"/>
      <c r="CRJ277" s="314"/>
      <c r="CRK277" s="314"/>
      <c r="CRL277" s="314"/>
      <c r="CRM277" s="314"/>
      <c r="CRN277" s="314"/>
      <c r="CRO277" s="314"/>
      <c r="CRP277" s="314"/>
      <c r="CRQ277" s="314"/>
      <c r="CRR277" s="314"/>
      <c r="CRS277" s="314"/>
      <c r="CRT277" s="314"/>
      <c r="CRU277" s="314"/>
      <c r="CRV277" s="314"/>
      <c r="CRW277" s="314"/>
      <c r="CRX277" s="314"/>
      <c r="CRY277" s="314"/>
      <c r="CRZ277" s="314"/>
      <c r="CSA277" s="314"/>
      <c r="CSB277" s="314"/>
      <c r="CSC277" s="314"/>
      <c r="CSD277" s="314"/>
      <c r="CSE277" s="314"/>
      <c r="CSF277" s="314"/>
      <c r="CSG277" s="314"/>
      <c r="CSH277" s="314"/>
      <c r="CSI277" s="314"/>
      <c r="CSJ277" s="314"/>
      <c r="CSK277" s="314"/>
      <c r="CSL277" s="314"/>
      <c r="CSM277" s="314"/>
      <c r="CSN277" s="314"/>
      <c r="CSO277" s="314"/>
      <c r="CSP277" s="314"/>
      <c r="CSQ277" s="314"/>
      <c r="CSR277" s="314"/>
      <c r="CSS277" s="314"/>
      <c r="CST277" s="314"/>
      <c r="CSU277" s="314"/>
      <c r="CSV277" s="314"/>
      <c r="CSW277" s="314"/>
      <c r="CSX277" s="314"/>
      <c r="CSY277" s="314"/>
      <c r="CSZ277" s="314"/>
      <c r="CTA277" s="314"/>
      <c r="CTB277" s="314"/>
      <c r="CTC277" s="314"/>
      <c r="CTD277" s="314"/>
      <c r="CTE277" s="314"/>
      <c r="CTF277" s="314"/>
      <c r="CTG277" s="314"/>
      <c r="CTH277" s="314"/>
      <c r="CTI277" s="314"/>
      <c r="CTJ277" s="314"/>
      <c r="CTK277" s="314"/>
      <c r="CTL277" s="314"/>
      <c r="CTM277" s="314"/>
      <c r="CTN277" s="314"/>
      <c r="CTO277" s="314"/>
      <c r="CTP277" s="314"/>
      <c r="CTQ277" s="314"/>
      <c r="CTR277" s="314"/>
      <c r="CTS277" s="314"/>
      <c r="CTT277" s="314"/>
      <c r="CTU277" s="314"/>
      <c r="CTV277" s="314"/>
      <c r="CTW277" s="314"/>
      <c r="CTX277" s="314"/>
      <c r="CTY277" s="314"/>
      <c r="CTZ277" s="314"/>
      <c r="CUA277" s="314"/>
      <c r="CUB277" s="314"/>
      <c r="CUC277" s="314"/>
      <c r="CUD277" s="314"/>
      <c r="CUE277" s="314"/>
      <c r="CUF277" s="314"/>
      <c r="CUG277" s="314"/>
      <c r="CUH277" s="314"/>
      <c r="CUI277" s="314"/>
      <c r="CUJ277" s="314"/>
      <c r="CUK277" s="314"/>
      <c r="CUL277" s="314"/>
      <c r="CUM277" s="314"/>
      <c r="CUN277" s="314"/>
      <c r="CUO277" s="314"/>
      <c r="CUP277" s="314"/>
      <c r="CUQ277" s="314"/>
      <c r="CUR277" s="314"/>
      <c r="CUS277" s="314"/>
      <c r="CUT277" s="314"/>
      <c r="CUU277" s="314"/>
      <c r="CUV277" s="314"/>
      <c r="CUW277" s="314"/>
      <c r="CUX277" s="314"/>
      <c r="CUY277" s="314"/>
      <c r="CUZ277" s="314"/>
      <c r="CVA277" s="314"/>
      <c r="CVB277" s="314"/>
      <c r="CVC277" s="314"/>
      <c r="CVD277" s="314"/>
      <c r="CVE277" s="314"/>
      <c r="CVF277" s="314"/>
      <c r="CVG277" s="314"/>
      <c r="CVH277" s="314"/>
      <c r="CVI277" s="314"/>
      <c r="CVJ277" s="314"/>
      <c r="CVK277" s="314"/>
      <c r="CVL277" s="314"/>
      <c r="CVM277" s="314"/>
      <c r="CVN277" s="314"/>
      <c r="CVO277" s="314"/>
      <c r="CVP277" s="314"/>
      <c r="CVQ277" s="314"/>
      <c r="CVR277" s="314"/>
      <c r="CVS277" s="314"/>
      <c r="CVT277" s="314"/>
      <c r="CVU277" s="314"/>
      <c r="CVV277" s="314"/>
      <c r="CVW277" s="314"/>
      <c r="CVX277" s="314"/>
      <c r="CVY277" s="314"/>
      <c r="CVZ277" s="314"/>
      <c r="CWA277" s="314"/>
      <c r="CWB277" s="314"/>
      <c r="CWC277" s="314"/>
      <c r="CWD277" s="314"/>
      <c r="CWE277" s="314"/>
      <c r="CWF277" s="314"/>
      <c r="CWG277" s="314"/>
      <c r="CWH277" s="314"/>
      <c r="CWI277" s="314"/>
      <c r="CWJ277" s="314"/>
      <c r="CWK277" s="314"/>
      <c r="CWL277" s="314"/>
      <c r="CWM277" s="314"/>
      <c r="CWN277" s="314"/>
      <c r="CWO277" s="314"/>
      <c r="CWP277" s="314"/>
      <c r="CWQ277" s="314"/>
      <c r="CWR277" s="314"/>
      <c r="CWS277" s="314"/>
      <c r="CWT277" s="314"/>
      <c r="CWU277" s="314"/>
      <c r="CWV277" s="314"/>
      <c r="CWW277" s="314"/>
      <c r="CWX277" s="314"/>
      <c r="CWY277" s="314"/>
      <c r="CWZ277" s="314"/>
      <c r="CXA277" s="314"/>
      <c r="CXB277" s="314"/>
      <c r="CXC277" s="314"/>
      <c r="CXD277" s="314"/>
      <c r="CXE277" s="314"/>
      <c r="CXF277" s="314"/>
      <c r="CXG277" s="314"/>
      <c r="CXH277" s="314"/>
      <c r="CXI277" s="314"/>
      <c r="CXJ277" s="314"/>
      <c r="CXK277" s="314"/>
      <c r="CXL277" s="314"/>
      <c r="CXM277" s="314"/>
      <c r="CXN277" s="314"/>
      <c r="CXO277" s="314"/>
      <c r="CXP277" s="314"/>
      <c r="CXQ277" s="314"/>
      <c r="CXR277" s="314"/>
      <c r="CXS277" s="314"/>
      <c r="CXT277" s="314"/>
      <c r="CXU277" s="314"/>
      <c r="CXV277" s="314"/>
      <c r="CXW277" s="314"/>
      <c r="CXX277" s="314"/>
      <c r="CXY277" s="314"/>
      <c r="CXZ277" s="314"/>
      <c r="CYA277" s="314"/>
      <c r="CYB277" s="314"/>
      <c r="CYC277" s="314"/>
      <c r="CYD277" s="314"/>
      <c r="CYE277" s="314"/>
      <c r="CYF277" s="314"/>
      <c r="CYG277" s="314"/>
      <c r="CYH277" s="314"/>
      <c r="CYI277" s="314"/>
      <c r="CYJ277" s="314"/>
      <c r="CYK277" s="314"/>
      <c r="CYL277" s="314"/>
      <c r="CYM277" s="314"/>
      <c r="CYN277" s="314"/>
      <c r="CYO277" s="314"/>
      <c r="CYP277" s="314"/>
      <c r="CYQ277" s="314"/>
      <c r="CYR277" s="314"/>
      <c r="CYS277" s="314"/>
      <c r="CYT277" s="314"/>
      <c r="CYU277" s="314"/>
      <c r="CYV277" s="314"/>
      <c r="CYW277" s="314"/>
      <c r="CYX277" s="314"/>
      <c r="CYY277" s="314"/>
      <c r="CYZ277" s="314"/>
      <c r="CZA277" s="314"/>
      <c r="CZB277" s="314"/>
      <c r="CZC277" s="314"/>
      <c r="CZD277" s="314"/>
      <c r="CZE277" s="314"/>
      <c r="CZF277" s="314"/>
      <c r="CZG277" s="314"/>
      <c r="CZH277" s="314"/>
      <c r="CZI277" s="314"/>
      <c r="CZJ277" s="314"/>
      <c r="CZK277" s="314"/>
      <c r="CZL277" s="314"/>
      <c r="CZM277" s="314"/>
      <c r="CZN277" s="314"/>
      <c r="CZO277" s="314"/>
      <c r="CZP277" s="314"/>
      <c r="CZQ277" s="314"/>
      <c r="CZR277" s="314"/>
      <c r="CZS277" s="314"/>
      <c r="CZT277" s="314"/>
      <c r="CZU277" s="314"/>
      <c r="CZV277" s="314"/>
      <c r="CZW277" s="314"/>
      <c r="CZX277" s="314"/>
      <c r="CZY277" s="314"/>
      <c r="CZZ277" s="314"/>
      <c r="DAA277" s="314"/>
      <c r="DAB277" s="314"/>
      <c r="DAC277" s="314"/>
      <c r="DAD277" s="314"/>
      <c r="DAE277" s="314"/>
      <c r="DAF277" s="314"/>
      <c r="DAG277" s="314"/>
      <c r="DAH277" s="314"/>
      <c r="DAI277" s="314"/>
      <c r="DAJ277" s="314"/>
      <c r="DAK277" s="314"/>
      <c r="DAL277" s="314"/>
      <c r="DAM277" s="314"/>
      <c r="DAN277" s="314"/>
      <c r="DAO277" s="314"/>
      <c r="DAP277" s="314"/>
      <c r="DAQ277" s="314"/>
      <c r="DAR277" s="314"/>
      <c r="DAS277" s="314"/>
      <c r="DAT277" s="314"/>
      <c r="DAU277" s="314"/>
      <c r="DAV277" s="314"/>
      <c r="DAW277" s="314"/>
      <c r="DAX277" s="314"/>
      <c r="DAY277" s="314"/>
      <c r="DAZ277" s="314"/>
      <c r="DBA277" s="314"/>
      <c r="DBB277" s="314"/>
      <c r="DBC277" s="314"/>
      <c r="DBD277" s="314"/>
      <c r="DBE277" s="314"/>
      <c r="DBF277" s="314"/>
      <c r="DBG277" s="314"/>
      <c r="DBH277" s="314"/>
      <c r="DBI277" s="314"/>
      <c r="DBJ277" s="314"/>
      <c r="DBK277" s="314"/>
      <c r="DBL277" s="314"/>
      <c r="DBM277" s="314"/>
      <c r="DBN277" s="314"/>
      <c r="DBO277" s="314"/>
      <c r="DBP277" s="314"/>
      <c r="DBQ277" s="314"/>
      <c r="DBR277" s="314"/>
      <c r="DBS277" s="314"/>
      <c r="DBT277" s="314"/>
      <c r="DBU277" s="314"/>
      <c r="DBV277" s="314"/>
      <c r="DBW277" s="314"/>
      <c r="DBX277" s="314"/>
      <c r="DBY277" s="314"/>
      <c r="DBZ277" s="314"/>
      <c r="DCA277" s="314"/>
      <c r="DCB277" s="314"/>
      <c r="DCC277" s="314"/>
      <c r="DCD277" s="314"/>
      <c r="DCE277" s="314"/>
      <c r="DCF277" s="314"/>
      <c r="DCG277" s="314"/>
      <c r="DCH277" s="314"/>
      <c r="DCI277" s="314"/>
      <c r="DCJ277" s="314"/>
      <c r="DCK277" s="314"/>
      <c r="DCL277" s="314"/>
      <c r="DCM277" s="314"/>
      <c r="DCN277" s="314"/>
      <c r="DCO277" s="314"/>
      <c r="DCP277" s="314"/>
      <c r="DCQ277" s="314"/>
      <c r="DCR277" s="314"/>
      <c r="DCS277" s="314"/>
      <c r="DCT277" s="314"/>
      <c r="DCU277" s="314"/>
      <c r="DCV277" s="314"/>
      <c r="DCW277" s="314"/>
      <c r="DCX277" s="314"/>
      <c r="DCY277" s="314"/>
      <c r="DCZ277" s="314"/>
      <c r="DDA277" s="314"/>
      <c r="DDB277" s="314"/>
      <c r="DDC277" s="314"/>
      <c r="DDD277" s="314"/>
      <c r="DDE277" s="314"/>
      <c r="DDF277" s="314"/>
      <c r="DDG277" s="314"/>
      <c r="DDH277" s="314"/>
      <c r="DDI277" s="314"/>
      <c r="DDJ277" s="314"/>
      <c r="DDK277" s="314"/>
      <c r="DDL277" s="314"/>
      <c r="DDM277" s="314"/>
      <c r="DDN277" s="314"/>
      <c r="DDO277" s="314"/>
      <c r="DDP277" s="314"/>
      <c r="DDQ277" s="314"/>
      <c r="DDR277" s="314"/>
      <c r="DDS277" s="314"/>
      <c r="DDT277" s="314"/>
      <c r="DDU277" s="314"/>
      <c r="DDV277" s="314"/>
      <c r="DDW277" s="314"/>
      <c r="DDX277" s="314"/>
      <c r="DDY277" s="314"/>
      <c r="DDZ277" s="314"/>
      <c r="DEA277" s="314"/>
      <c r="DEB277" s="314"/>
      <c r="DEC277" s="314"/>
      <c r="DED277" s="314"/>
      <c r="DEE277" s="314"/>
      <c r="DEF277" s="314"/>
      <c r="DEG277" s="314"/>
      <c r="DEH277" s="314"/>
      <c r="DEI277" s="314"/>
      <c r="DEJ277" s="314"/>
      <c r="DEK277" s="314"/>
      <c r="DEL277" s="314"/>
      <c r="DEM277" s="314"/>
      <c r="DEN277" s="314"/>
      <c r="DEO277" s="314"/>
      <c r="DEP277" s="314"/>
      <c r="DEQ277" s="314"/>
      <c r="DER277" s="314"/>
      <c r="DES277" s="314"/>
      <c r="DET277" s="314"/>
      <c r="DEU277" s="314"/>
      <c r="DEV277" s="314"/>
      <c r="DEW277" s="314"/>
      <c r="DEX277" s="314"/>
      <c r="DEY277" s="314"/>
      <c r="DEZ277" s="314"/>
      <c r="DFA277" s="314"/>
      <c r="DFB277" s="314"/>
      <c r="DFC277" s="314"/>
      <c r="DFD277" s="314"/>
      <c r="DFE277" s="314"/>
      <c r="DFF277" s="314"/>
      <c r="DFG277" s="314"/>
      <c r="DFH277" s="314"/>
      <c r="DFI277" s="314"/>
      <c r="DFJ277" s="314"/>
      <c r="DFK277" s="314"/>
      <c r="DFL277" s="314"/>
      <c r="DFM277" s="314"/>
      <c r="DFN277" s="314"/>
      <c r="DFO277" s="314"/>
      <c r="DFP277" s="314"/>
      <c r="DFQ277" s="314"/>
      <c r="DFR277" s="314"/>
      <c r="DFS277" s="314"/>
      <c r="DFT277" s="314"/>
      <c r="DFU277" s="314"/>
      <c r="DFV277" s="314"/>
      <c r="DFW277" s="314"/>
      <c r="DFX277" s="314"/>
      <c r="DFY277" s="314"/>
      <c r="DFZ277" s="314"/>
      <c r="DGA277" s="314"/>
      <c r="DGB277" s="314"/>
      <c r="DGC277" s="314"/>
      <c r="DGD277" s="314"/>
      <c r="DGE277" s="314"/>
      <c r="DGF277" s="314"/>
      <c r="DGG277" s="314"/>
      <c r="DGH277" s="314"/>
      <c r="DGI277" s="314"/>
      <c r="DGJ277" s="314"/>
      <c r="DGK277" s="314"/>
      <c r="DGL277" s="314"/>
      <c r="DGM277" s="314"/>
      <c r="DGN277" s="314"/>
      <c r="DGO277" s="314"/>
      <c r="DGP277" s="314"/>
      <c r="DGQ277" s="314"/>
      <c r="DGR277" s="314"/>
      <c r="DGS277" s="314"/>
      <c r="DGT277" s="314"/>
      <c r="DGU277" s="314"/>
      <c r="DGV277" s="314"/>
      <c r="DGW277" s="314"/>
      <c r="DGX277" s="314"/>
      <c r="DGY277" s="314"/>
      <c r="DGZ277" s="314"/>
      <c r="DHA277" s="314"/>
      <c r="DHB277" s="314"/>
      <c r="DHC277" s="314"/>
      <c r="DHD277" s="314"/>
      <c r="DHE277" s="314"/>
      <c r="DHF277" s="314"/>
      <c r="DHG277" s="314"/>
      <c r="DHH277" s="314"/>
      <c r="DHI277" s="314"/>
      <c r="DHJ277" s="314"/>
      <c r="DHK277" s="314"/>
      <c r="DHL277" s="314"/>
      <c r="DHM277" s="314"/>
      <c r="DHN277" s="314"/>
      <c r="DHO277" s="314"/>
      <c r="DHP277" s="314"/>
      <c r="DHQ277" s="314"/>
      <c r="DHR277" s="314"/>
      <c r="DHS277" s="314"/>
      <c r="DHT277" s="314"/>
      <c r="DHU277" s="314"/>
      <c r="DHV277" s="314"/>
      <c r="DHW277" s="314"/>
      <c r="DHX277" s="314"/>
      <c r="DHY277" s="314"/>
      <c r="DHZ277" s="314"/>
      <c r="DIA277" s="314"/>
      <c r="DIB277" s="314"/>
      <c r="DIC277" s="314"/>
      <c r="DID277" s="314"/>
      <c r="DIE277" s="314"/>
      <c r="DIF277" s="314"/>
      <c r="DIG277" s="314"/>
      <c r="DIH277" s="314"/>
      <c r="DII277" s="314"/>
      <c r="DIJ277" s="314"/>
      <c r="DIK277" s="314"/>
      <c r="DIL277" s="314"/>
      <c r="DIM277" s="314"/>
      <c r="DIN277" s="314"/>
      <c r="DIO277" s="314"/>
      <c r="DIP277" s="314"/>
      <c r="DIQ277" s="314"/>
      <c r="DIR277" s="314"/>
      <c r="DIS277" s="314"/>
      <c r="DIT277" s="314"/>
      <c r="DIU277" s="314"/>
      <c r="DIV277" s="314"/>
      <c r="DIW277" s="314"/>
      <c r="DIX277" s="314"/>
      <c r="DIY277" s="314"/>
      <c r="DIZ277" s="314"/>
      <c r="DJA277" s="314"/>
      <c r="DJB277" s="314"/>
      <c r="DJC277" s="314"/>
      <c r="DJD277" s="314"/>
      <c r="DJE277" s="314"/>
      <c r="DJF277" s="314"/>
      <c r="DJG277" s="314"/>
      <c r="DJH277" s="314"/>
      <c r="DJI277" s="314"/>
      <c r="DJJ277" s="314"/>
      <c r="DJK277" s="314"/>
      <c r="DJL277" s="314"/>
      <c r="DJM277" s="314"/>
      <c r="DJN277" s="314"/>
      <c r="DJO277" s="314"/>
      <c r="DJP277" s="314"/>
      <c r="DJQ277" s="314"/>
      <c r="DJR277" s="314"/>
      <c r="DJS277" s="314"/>
      <c r="DJT277" s="314"/>
      <c r="DJU277" s="314"/>
      <c r="DJV277" s="314"/>
      <c r="DJW277" s="314"/>
      <c r="DJX277" s="314"/>
      <c r="DJY277" s="314"/>
      <c r="DJZ277" s="314"/>
      <c r="DKA277" s="314"/>
      <c r="DKB277" s="314"/>
      <c r="DKC277" s="314"/>
      <c r="DKD277" s="314"/>
      <c r="DKE277" s="314"/>
      <c r="DKF277" s="314"/>
      <c r="DKG277" s="314"/>
      <c r="DKH277" s="314"/>
      <c r="DKI277" s="314"/>
      <c r="DKJ277" s="314"/>
      <c r="DKK277" s="314"/>
      <c r="DKL277" s="314"/>
      <c r="DKM277" s="314"/>
      <c r="DKN277" s="314"/>
      <c r="DKO277" s="314"/>
      <c r="DKP277" s="314"/>
      <c r="DKQ277" s="314"/>
      <c r="DKR277" s="314"/>
      <c r="DKS277" s="314"/>
      <c r="DKT277" s="314"/>
      <c r="DKU277" s="314"/>
      <c r="DKV277" s="314"/>
      <c r="DKW277" s="314"/>
      <c r="DKX277" s="314"/>
      <c r="DKY277" s="314"/>
      <c r="DKZ277" s="314"/>
      <c r="DLA277" s="314"/>
      <c r="DLB277" s="314"/>
      <c r="DLC277" s="314"/>
      <c r="DLD277" s="314"/>
      <c r="DLE277" s="314"/>
      <c r="DLF277" s="314"/>
      <c r="DLG277" s="314"/>
      <c r="DLH277" s="314"/>
      <c r="DLI277" s="314"/>
      <c r="DLJ277" s="314"/>
      <c r="DLK277" s="314"/>
      <c r="DLL277" s="314"/>
      <c r="DLM277" s="314"/>
      <c r="DLN277" s="314"/>
      <c r="DLO277" s="314"/>
      <c r="DLP277" s="314"/>
      <c r="DLQ277" s="314"/>
      <c r="DLR277" s="314"/>
      <c r="DLS277" s="314"/>
      <c r="DLT277" s="314"/>
      <c r="DLU277" s="314"/>
      <c r="DLV277" s="314"/>
      <c r="DLW277" s="314"/>
      <c r="DLX277" s="314"/>
      <c r="DLY277" s="314"/>
      <c r="DLZ277" s="314"/>
      <c r="DMA277" s="314"/>
      <c r="DMB277" s="314"/>
      <c r="DMC277" s="314"/>
      <c r="DMD277" s="314"/>
      <c r="DME277" s="314"/>
      <c r="DMF277" s="314"/>
      <c r="DMG277" s="314"/>
      <c r="DMH277" s="314"/>
      <c r="DMI277" s="314"/>
      <c r="DMJ277" s="314"/>
      <c r="DMK277" s="314"/>
      <c r="DML277" s="314"/>
      <c r="DMM277" s="314"/>
      <c r="DMN277" s="314"/>
      <c r="DMO277" s="314"/>
      <c r="DMP277" s="314"/>
      <c r="DMQ277" s="314"/>
      <c r="DMR277" s="314"/>
      <c r="DMS277" s="314"/>
      <c r="DMT277" s="314"/>
      <c r="DMU277" s="314"/>
      <c r="DMV277" s="314"/>
      <c r="DMW277" s="314"/>
      <c r="DMX277" s="314"/>
      <c r="DMY277" s="314"/>
      <c r="DMZ277" s="314"/>
      <c r="DNA277" s="314"/>
      <c r="DNB277" s="314"/>
      <c r="DNC277" s="314"/>
      <c r="DND277" s="314"/>
      <c r="DNE277" s="314"/>
      <c r="DNF277" s="314"/>
      <c r="DNG277" s="314"/>
      <c r="DNH277" s="314"/>
      <c r="DNI277" s="314"/>
      <c r="DNJ277" s="314"/>
      <c r="DNK277" s="314"/>
      <c r="DNL277" s="314"/>
      <c r="DNM277" s="314"/>
      <c r="DNN277" s="314"/>
      <c r="DNO277" s="314"/>
      <c r="DNP277" s="314"/>
      <c r="DNQ277" s="314"/>
      <c r="DNR277" s="314"/>
      <c r="DNS277" s="314"/>
      <c r="DNT277" s="314"/>
      <c r="DNU277" s="314"/>
      <c r="DNV277" s="314"/>
      <c r="DNW277" s="314"/>
      <c r="DNX277" s="314"/>
      <c r="DNY277" s="314"/>
      <c r="DNZ277" s="314"/>
      <c r="DOA277" s="314"/>
      <c r="DOB277" s="314"/>
      <c r="DOC277" s="314"/>
      <c r="DOD277" s="314"/>
      <c r="DOE277" s="314"/>
      <c r="DOF277" s="314"/>
      <c r="DOG277" s="314"/>
      <c r="DOH277" s="314"/>
      <c r="DOI277" s="314"/>
      <c r="DOJ277" s="314"/>
      <c r="DOK277" s="314"/>
      <c r="DOL277" s="314"/>
      <c r="DOM277" s="314"/>
      <c r="DON277" s="314"/>
      <c r="DOO277" s="314"/>
      <c r="DOP277" s="314"/>
      <c r="DOQ277" s="314"/>
      <c r="DOR277" s="314"/>
      <c r="DOS277" s="314"/>
      <c r="DOT277" s="314"/>
      <c r="DOU277" s="314"/>
      <c r="DOV277" s="314"/>
      <c r="DOW277" s="314"/>
      <c r="DOX277" s="314"/>
      <c r="DOY277" s="314"/>
      <c r="DOZ277" s="314"/>
      <c r="DPA277" s="314"/>
      <c r="DPB277" s="314"/>
      <c r="DPC277" s="314"/>
      <c r="DPD277" s="314"/>
      <c r="DPE277" s="314"/>
      <c r="DPF277" s="314"/>
      <c r="DPG277" s="314"/>
      <c r="DPH277" s="314"/>
      <c r="DPI277" s="314"/>
      <c r="DPJ277" s="314"/>
      <c r="DPK277" s="314"/>
      <c r="DPL277" s="314"/>
      <c r="DPM277" s="314"/>
      <c r="DPN277" s="314"/>
      <c r="DPO277" s="314"/>
      <c r="DPP277" s="314"/>
      <c r="DPQ277" s="314"/>
      <c r="DPR277" s="314"/>
      <c r="DPS277" s="314"/>
      <c r="DPT277" s="314"/>
      <c r="DPU277" s="314"/>
      <c r="DPV277" s="314"/>
      <c r="DPW277" s="314"/>
      <c r="DPX277" s="314"/>
      <c r="DPY277" s="314"/>
      <c r="DPZ277" s="314"/>
      <c r="DQA277" s="314"/>
      <c r="DQB277" s="314"/>
      <c r="DQC277" s="314"/>
      <c r="DQD277" s="314"/>
      <c r="DQE277" s="314"/>
      <c r="DQF277" s="314"/>
      <c r="DQG277" s="314"/>
      <c r="DQH277" s="314"/>
      <c r="DQI277" s="314"/>
      <c r="DQJ277" s="314"/>
      <c r="DQK277" s="314"/>
      <c r="DQL277" s="314"/>
      <c r="DQM277" s="314"/>
      <c r="DQN277" s="314"/>
      <c r="DQO277" s="314"/>
      <c r="DQP277" s="314"/>
      <c r="DQQ277" s="314"/>
      <c r="DQR277" s="314"/>
      <c r="DQS277" s="314"/>
      <c r="DQT277" s="314"/>
      <c r="DQU277" s="314"/>
      <c r="DQV277" s="314"/>
      <c r="DQW277" s="314"/>
      <c r="DQX277" s="314"/>
      <c r="DQY277" s="314"/>
      <c r="DQZ277" s="314"/>
      <c r="DRA277" s="314"/>
      <c r="DRB277" s="314"/>
      <c r="DRC277" s="314"/>
      <c r="DRD277" s="314"/>
      <c r="DRE277" s="314"/>
      <c r="DRF277" s="314"/>
      <c r="DRG277" s="314"/>
      <c r="DRH277" s="314"/>
      <c r="DRI277" s="314"/>
      <c r="DRJ277" s="314"/>
      <c r="DRK277" s="314"/>
      <c r="DRL277" s="314"/>
      <c r="DRM277" s="314"/>
      <c r="DRN277" s="314"/>
      <c r="DRO277" s="314"/>
      <c r="DRP277" s="314"/>
      <c r="DRQ277" s="314"/>
      <c r="DRR277" s="314"/>
      <c r="DRS277" s="314"/>
      <c r="DRT277" s="314"/>
      <c r="DRU277" s="314"/>
      <c r="DRV277" s="314"/>
      <c r="DRW277" s="314"/>
      <c r="DRX277" s="314"/>
      <c r="DRY277" s="314"/>
      <c r="DRZ277" s="314"/>
      <c r="DSA277" s="314"/>
      <c r="DSB277" s="314"/>
      <c r="DSC277" s="314"/>
      <c r="DSD277" s="314"/>
      <c r="DSE277" s="314"/>
      <c r="DSF277" s="314"/>
      <c r="DSG277" s="314"/>
      <c r="DSH277" s="314"/>
      <c r="DSI277" s="314"/>
      <c r="DSJ277" s="314"/>
      <c r="DSK277" s="314"/>
      <c r="DSL277" s="314"/>
      <c r="DSM277" s="314"/>
      <c r="DSN277" s="314"/>
      <c r="DSO277" s="314"/>
      <c r="DSP277" s="314"/>
      <c r="DSQ277" s="314"/>
      <c r="DSR277" s="314"/>
      <c r="DSS277" s="314"/>
      <c r="DST277" s="314"/>
      <c r="DSU277" s="314"/>
      <c r="DSV277" s="314"/>
      <c r="DSW277" s="314"/>
      <c r="DSX277" s="314"/>
      <c r="DSY277" s="314"/>
      <c r="DSZ277" s="314"/>
      <c r="DTA277" s="314"/>
      <c r="DTB277" s="314"/>
      <c r="DTC277" s="314"/>
      <c r="DTD277" s="314"/>
      <c r="DTE277" s="314"/>
      <c r="DTF277" s="314"/>
      <c r="DTG277" s="314"/>
      <c r="DTH277" s="314"/>
      <c r="DTI277" s="314"/>
      <c r="DTJ277" s="314"/>
      <c r="DTK277" s="314"/>
      <c r="DTL277" s="314"/>
      <c r="DTM277" s="314"/>
      <c r="DTN277" s="314"/>
      <c r="DTO277" s="314"/>
      <c r="DTP277" s="314"/>
      <c r="DTQ277" s="314"/>
      <c r="DTR277" s="314"/>
      <c r="DTS277" s="314"/>
      <c r="DTT277" s="314"/>
      <c r="DTU277" s="314"/>
      <c r="DTV277" s="314"/>
      <c r="DTW277" s="314"/>
      <c r="DTX277" s="314"/>
      <c r="DTY277" s="314"/>
      <c r="DTZ277" s="314"/>
      <c r="DUA277" s="314"/>
      <c r="DUB277" s="314"/>
      <c r="DUC277" s="314"/>
      <c r="DUD277" s="314"/>
      <c r="DUE277" s="314"/>
      <c r="DUF277" s="314"/>
      <c r="DUG277" s="314"/>
      <c r="DUH277" s="314"/>
      <c r="DUI277" s="314"/>
      <c r="DUJ277" s="314"/>
      <c r="DUK277" s="314"/>
      <c r="DUL277" s="314"/>
      <c r="DUM277" s="314"/>
      <c r="DUN277" s="314"/>
    </row>
    <row r="278" spans="1:3264" ht="15.75" x14ac:dyDescent="0.2">
      <c r="A278" s="313"/>
      <c r="B278" s="75"/>
      <c r="C278" s="74"/>
      <c r="D278" s="74"/>
      <c r="E278" s="74"/>
      <c r="F278" s="74"/>
      <c r="G278" s="75" t="s">
        <v>504</v>
      </c>
      <c r="H278" s="74" t="s">
        <v>143</v>
      </c>
      <c r="I278" s="74">
        <v>2.83</v>
      </c>
      <c r="J278" s="74">
        <f>cement</f>
        <v>15631</v>
      </c>
      <c r="K278" s="74">
        <f>I278*J278</f>
        <v>44235.73</v>
      </c>
      <c r="L278" s="75" t="s">
        <v>272</v>
      </c>
      <c r="M278" s="74" t="s">
        <v>13</v>
      </c>
      <c r="N278" s="74">
        <v>6</v>
      </c>
      <c r="O278" s="74">
        <f>pneumaticroller</f>
        <v>2258</v>
      </c>
      <c r="P278" s="21">
        <f>N278*O278</f>
        <v>13548</v>
      </c>
      <c r="Q278" s="315"/>
      <c r="R278" s="314"/>
      <c r="S278" s="314"/>
      <c r="T278" s="314"/>
      <c r="U278" s="314"/>
      <c r="V278" s="314"/>
      <c r="W278" s="314"/>
      <c r="X278" s="314"/>
      <c r="Y278" s="314"/>
      <c r="Z278" s="314"/>
      <c r="AA278" s="314"/>
      <c r="AB278" s="314"/>
      <c r="AC278" s="314"/>
      <c r="AD278" s="314"/>
      <c r="AE278" s="314"/>
      <c r="AF278" s="314"/>
      <c r="AG278" s="314"/>
      <c r="AH278" s="314"/>
      <c r="AI278" s="314"/>
      <c r="AJ278" s="314"/>
      <c r="AK278" s="314"/>
      <c r="AL278" s="314"/>
      <c r="AM278" s="314"/>
      <c r="AN278" s="314"/>
      <c r="AO278" s="314"/>
      <c r="AP278" s="314"/>
      <c r="AQ278" s="314"/>
      <c r="AR278" s="314"/>
      <c r="AS278" s="314"/>
      <c r="AT278" s="314"/>
      <c r="AU278" s="314"/>
      <c r="AV278" s="314"/>
      <c r="AW278" s="314"/>
      <c r="AX278" s="314"/>
      <c r="AY278" s="314"/>
      <c r="AZ278" s="314"/>
      <c r="BA278" s="314"/>
      <c r="BB278" s="314"/>
      <c r="BC278" s="314"/>
      <c r="BD278" s="314"/>
      <c r="BE278" s="314"/>
      <c r="BF278" s="314"/>
      <c r="BG278" s="314"/>
      <c r="BH278" s="314"/>
      <c r="BI278" s="314"/>
      <c r="BJ278" s="314"/>
      <c r="BK278" s="314"/>
      <c r="BL278" s="314"/>
      <c r="BM278" s="314"/>
      <c r="BN278" s="314"/>
      <c r="BO278" s="314"/>
      <c r="BP278" s="314"/>
      <c r="BQ278" s="314"/>
      <c r="BR278" s="314"/>
      <c r="BS278" s="314"/>
      <c r="BT278" s="314"/>
      <c r="BU278" s="314"/>
      <c r="BV278" s="314"/>
      <c r="BW278" s="314"/>
      <c r="BX278" s="314"/>
      <c r="BY278" s="314"/>
      <c r="BZ278" s="314"/>
      <c r="CA278" s="314"/>
      <c r="CB278" s="314"/>
      <c r="CC278" s="314"/>
      <c r="CD278" s="314"/>
      <c r="CE278" s="314"/>
      <c r="CF278" s="314"/>
      <c r="CG278" s="314"/>
      <c r="CH278" s="314"/>
      <c r="CI278" s="314"/>
      <c r="CJ278" s="314"/>
      <c r="CK278" s="314"/>
      <c r="CL278" s="314"/>
      <c r="CM278" s="314"/>
      <c r="CN278" s="314"/>
      <c r="CO278" s="314"/>
      <c r="CP278" s="314"/>
      <c r="CQ278" s="314"/>
      <c r="CR278" s="314"/>
      <c r="CS278" s="314"/>
      <c r="CT278" s="314"/>
      <c r="CU278" s="314"/>
      <c r="CV278" s="314"/>
      <c r="CW278" s="314"/>
      <c r="CX278" s="314"/>
      <c r="CY278" s="314"/>
      <c r="CZ278" s="314"/>
      <c r="DA278" s="314"/>
      <c r="DB278" s="314"/>
      <c r="DC278" s="314"/>
      <c r="DD278" s="314"/>
      <c r="DE278" s="314"/>
      <c r="DF278" s="314"/>
      <c r="DG278" s="314"/>
      <c r="DH278" s="314"/>
      <c r="DI278" s="314"/>
      <c r="DJ278" s="314"/>
      <c r="DK278" s="314"/>
      <c r="DL278" s="314"/>
      <c r="DM278" s="314"/>
      <c r="DN278" s="314"/>
      <c r="DO278" s="314"/>
      <c r="DP278" s="314"/>
      <c r="DQ278" s="314"/>
      <c r="DR278" s="314"/>
      <c r="DS278" s="314"/>
      <c r="DT278" s="314"/>
      <c r="DU278" s="314"/>
      <c r="DV278" s="314"/>
      <c r="DW278" s="314"/>
      <c r="DX278" s="314"/>
      <c r="DY278" s="314"/>
      <c r="DZ278" s="314"/>
      <c r="EA278" s="314"/>
      <c r="EB278" s="314"/>
      <c r="EC278" s="314"/>
      <c r="ED278" s="314"/>
      <c r="EE278" s="314"/>
      <c r="EF278" s="314"/>
      <c r="EG278" s="314"/>
      <c r="EH278" s="314"/>
      <c r="EI278" s="314"/>
      <c r="EJ278" s="314"/>
      <c r="EK278" s="314"/>
      <c r="EL278" s="314"/>
      <c r="EM278" s="314"/>
      <c r="EN278" s="314"/>
      <c r="EO278" s="314"/>
      <c r="EP278" s="314"/>
      <c r="EQ278" s="314"/>
      <c r="ER278" s="314"/>
      <c r="ES278" s="314"/>
      <c r="ET278" s="314"/>
      <c r="EU278" s="314"/>
      <c r="EV278" s="314"/>
      <c r="EW278" s="314"/>
      <c r="EX278" s="314"/>
      <c r="EY278" s="314"/>
      <c r="EZ278" s="314"/>
      <c r="FA278" s="314"/>
      <c r="FB278" s="314"/>
      <c r="FC278" s="314"/>
      <c r="FD278" s="314"/>
      <c r="FE278" s="314"/>
      <c r="FF278" s="314"/>
      <c r="FG278" s="314"/>
      <c r="FH278" s="314"/>
      <c r="FI278" s="314"/>
      <c r="FJ278" s="314"/>
      <c r="FK278" s="314"/>
      <c r="FL278" s="314"/>
      <c r="FM278" s="314"/>
      <c r="FN278" s="314"/>
      <c r="FO278" s="314"/>
      <c r="FP278" s="314"/>
      <c r="FQ278" s="314"/>
      <c r="FR278" s="314"/>
      <c r="FS278" s="314"/>
      <c r="FT278" s="314"/>
      <c r="FU278" s="314"/>
      <c r="FV278" s="314"/>
      <c r="FW278" s="314"/>
      <c r="FX278" s="314"/>
      <c r="FY278" s="314"/>
      <c r="FZ278" s="314"/>
      <c r="GA278" s="314"/>
      <c r="GB278" s="314"/>
      <c r="GC278" s="314"/>
      <c r="GD278" s="314"/>
      <c r="GE278" s="314"/>
      <c r="GF278" s="314"/>
      <c r="GG278" s="314"/>
      <c r="GH278" s="314"/>
      <c r="GI278" s="314"/>
      <c r="GJ278" s="314"/>
      <c r="GK278" s="314"/>
      <c r="GL278" s="314"/>
      <c r="GM278" s="314"/>
      <c r="GN278" s="314"/>
      <c r="GO278" s="314"/>
      <c r="GP278" s="314"/>
      <c r="GQ278" s="314"/>
      <c r="GR278" s="314"/>
      <c r="GS278" s="314"/>
      <c r="GT278" s="314"/>
      <c r="GU278" s="314"/>
      <c r="GV278" s="314"/>
      <c r="GW278" s="314"/>
      <c r="GX278" s="314"/>
      <c r="GY278" s="314"/>
      <c r="GZ278" s="314"/>
      <c r="HA278" s="314"/>
      <c r="HB278" s="314"/>
      <c r="HC278" s="314"/>
      <c r="HD278" s="314"/>
      <c r="HE278" s="314"/>
      <c r="HF278" s="314"/>
      <c r="HG278" s="314"/>
      <c r="HH278" s="314"/>
      <c r="HI278" s="314"/>
      <c r="HJ278" s="314"/>
      <c r="HK278" s="314"/>
      <c r="HL278" s="314"/>
      <c r="HM278" s="314"/>
      <c r="HN278" s="314"/>
      <c r="HO278" s="314"/>
      <c r="HP278" s="314"/>
      <c r="HQ278" s="314"/>
      <c r="HR278" s="314"/>
      <c r="HS278" s="314"/>
      <c r="HT278" s="314"/>
      <c r="HU278" s="314"/>
      <c r="HV278" s="314"/>
      <c r="HW278" s="314"/>
      <c r="HX278" s="314"/>
      <c r="HY278" s="314"/>
      <c r="HZ278" s="314"/>
      <c r="IA278" s="314"/>
      <c r="IB278" s="314"/>
      <c r="IC278" s="314"/>
      <c r="ID278" s="314"/>
      <c r="IE278" s="314"/>
      <c r="IF278" s="314"/>
      <c r="IG278" s="314"/>
      <c r="IH278" s="314"/>
      <c r="II278" s="314"/>
      <c r="IJ278" s="314"/>
      <c r="IK278" s="314"/>
      <c r="IL278" s="314"/>
      <c r="IM278" s="314"/>
      <c r="IN278" s="314"/>
      <c r="IO278" s="314"/>
      <c r="IP278" s="314"/>
      <c r="IQ278" s="314"/>
      <c r="IR278" s="314"/>
      <c r="IS278" s="314"/>
      <c r="IT278" s="314"/>
      <c r="IU278" s="314"/>
      <c r="IV278" s="314"/>
      <c r="IW278" s="314"/>
      <c r="IX278" s="314"/>
      <c r="IY278" s="314"/>
      <c r="IZ278" s="314"/>
      <c r="JA278" s="314"/>
      <c r="JB278" s="314"/>
      <c r="JC278" s="314"/>
      <c r="JD278" s="314"/>
      <c r="JE278" s="314"/>
      <c r="JF278" s="314"/>
      <c r="JG278" s="314"/>
      <c r="JH278" s="314"/>
      <c r="JI278" s="314"/>
      <c r="JJ278" s="314"/>
      <c r="JK278" s="314"/>
      <c r="JL278" s="314"/>
      <c r="JM278" s="314"/>
      <c r="JN278" s="314"/>
      <c r="JO278" s="314"/>
      <c r="JP278" s="314"/>
      <c r="JQ278" s="314"/>
      <c r="JR278" s="314"/>
      <c r="JS278" s="314"/>
      <c r="JT278" s="314"/>
      <c r="JU278" s="314"/>
      <c r="JV278" s="314"/>
      <c r="JW278" s="314"/>
      <c r="JX278" s="314"/>
      <c r="JY278" s="314"/>
      <c r="JZ278" s="314"/>
      <c r="KA278" s="314"/>
      <c r="KB278" s="314"/>
      <c r="KC278" s="314"/>
      <c r="KD278" s="314"/>
      <c r="KE278" s="314"/>
      <c r="KF278" s="314"/>
      <c r="KG278" s="314"/>
      <c r="KH278" s="314"/>
      <c r="KI278" s="314"/>
      <c r="KJ278" s="314"/>
      <c r="KK278" s="314"/>
      <c r="KL278" s="314"/>
      <c r="KM278" s="314"/>
      <c r="KN278" s="314"/>
      <c r="KO278" s="314"/>
      <c r="KP278" s="314"/>
      <c r="KQ278" s="314"/>
      <c r="KR278" s="314"/>
      <c r="KS278" s="314"/>
      <c r="KT278" s="314"/>
      <c r="KU278" s="314"/>
      <c r="KV278" s="314"/>
      <c r="KW278" s="314"/>
      <c r="KX278" s="314"/>
      <c r="KY278" s="314"/>
      <c r="KZ278" s="314"/>
      <c r="LA278" s="314"/>
      <c r="LB278" s="314"/>
      <c r="LC278" s="314"/>
      <c r="LD278" s="314"/>
      <c r="LE278" s="314"/>
      <c r="LF278" s="314"/>
      <c r="LG278" s="314"/>
      <c r="LH278" s="314"/>
      <c r="LI278" s="314"/>
      <c r="LJ278" s="314"/>
      <c r="LK278" s="314"/>
      <c r="LL278" s="314"/>
      <c r="LM278" s="314"/>
      <c r="LN278" s="314"/>
      <c r="LO278" s="314"/>
      <c r="LP278" s="314"/>
      <c r="LQ278" s="314"/>
      <c r="LR278" s="314"/>
      <c r="LS278" s="314"/>
      <c r="LT278" s="314"/>
      <c r="LU278" s="314"/>
      <c r="LV278" s="314"/>
      <c r="LW278" s="314"/>
      <c r="LX278" s="314"/>
      <c r="LY278" s="314"/>
      <c r="LZ278" s="314"/>
      <c r="MA278" s="314"/>
      <c r="MB278" s="314"/>
      <c r="MC278" s="314"/>
      <c r="MD278" s="314"/>
      <c r="ME278" s="314"/>
      <c r="MF278" s="314"/>
      <c r="MG278" s="314"/>
      <c r="MH278" s="314"/>
      <c r="MI278" s="314"/>
      <c r="MJ278" s="314"/>
      <c r="MK278" s="314"/>
      <c r="ML278" s="314"/>
      <c r="MM278" s="314"/>
      <c r="MN278" s="314"/>
      <c r="MO278" s="314"/>
      <c r="MP278" s="314"/>
      <c r="MQ278" s="314"/>
      <c r="MR278" s="314"/>
      <c r="MS278" s="314"/>
      <c r="MT278" s="314"/>
      <c r="MU278" s="314"/>
      <c r="MV278" s="314"/>
      <c r="MW278" s="314"/>
      <c r="MX278" s="314"/>
      <c r="MY278" s="314"/>
      <c r="MZ278" s="314"/>
      <c r="NA278" s="314"/>
      <c r="NB278" s="314"/>
      <c r="NC278" s="314"/>
      <c r="ND278" s="314"/>
      <c r="NE278" s="314"/>
      <c r="NF278" s="314"/>
      <c r="NG278" s="314"/>
      <c r="NH278" s="314"/>
      <c r="NI278" s="314"/>
      <c r="NJ278" s="314"/>
      <c r="NK278" s="314"/>
      <c r="NL278" s="314"/>
      <c r="NM278" s="314"/>
      <c r="NN278" s="314"/>
      <c r="NO278" s="314"/>
      <c r="NP278" s="314"/>
      <c r="NQ278" s="314"/>
      <c r="NR278" s="314"/>
      <c r="NS278" s="314"/>
      <c r="NT278" s="314"/>
      <c r="NU278" s="314"/>
      <c r="NV278" s="314"/>
      <c r="NW278" s="314"/>
      <c r="NX278" s="314"/>
      <c r="NY278" s="314"/>
      <c r="NZ278" s="314"/>
      <c r="OA278" s="314"/>
      <c r="OB278" s="314"/>
      <c r="OC278" s="314"/>
      <c r="OD278" s="314"/>
      <c r="OE278" s="314"/>
      <c r="OF278" s="314"/>
      <c r="OG278" s="314"/>
      <c r="OH278" s="314"/>
      <c r="OI278" s="314"/>
      <c r="OJ278" s="314"/>
      <c r="OK278" s="314"/>
      <c r="OL278" s="314"/>
      <c r="OM278" s="314"/>
      <c r="ON278" s="314"/>
      <c r="OO278" s="314"/>
      <c r="OP278" s="314"/>
      <c r="OQ278" s="314"/>
      <c r="OR278" s="314"/>
      <c r="OS278" s="314"/>
      <c r="OT278" s="314"/>
      <c r="OU278" s="314"/>
      <c r="OV278" s="314"/>
      <c r="OW278" s="314"/>
      <c r="OX278" s="314"/>
      <c r="OY278" s="314"/>
      <c r="OZ278" s="314"/>
      <c r="PA278" s="314"/>
      <c r="PB278" s="314"/>
      <c r="PC278" s="314"/>
      <c r="PD278" s="314"/>
      <c r="PE278" s="314"/>
      <c r="PF278" s="314"/>
      <c r="PG278" s="314"/>
      <c r="PH278" s="314"/>
      <c r="PI278" s="314"/>
      <c r="PJ278" s="314"/>
      <c r="PK278" s="314"/>
      <c r="PL278" s="314"/>
      <c r="PM278" s="314"/>
      <c r="PN278" s="314"/>
      <c r="PO278" s="314"/>
      <c r="PP278" s="314"/>
      <c r="PQ278" s="314"/>
      <c r="PR278" s="314"/>
      <c r="PS278" s="314"/>
      <c r="PT278" s="314"/>
      <c r="PU278" s="314"/>
      <c r="PV278" s="314"/>
      <c r="PW278" s="314"/>
      <c r="PX278" s="314"/>
      <c r="PY278" s="314"/>
      <c r="PZ278" s="314"/>
      <c r="QA278" s="314"/>
      <c r="QB278" s="314"/>
      <c r="QC278" s="314"/>
      <c r="QD278" s="314"/>
      <c r="QE278" s="314"/>
      <c r="QF278" s="314"/>
      <c r="QG278" s="314"/>
      <c r="QH278" s="314"/>
      <c r="QI278" s="314"/>
      <c r="QJ278" s="314"/>
      <c r="QK278" s="314"/>
      <c r="QL278" s="314"/>
      <c r="QM278" s="314"/>
      <c r="QN278" s="314"/>
      <c r="QO278" s="314"/>
      <c r="QP278" s="314"/>
      <c r="QQ278" s="314"/>
      <c r="QR278" s="314"/>
      <c r="QS278" s="314"/>
      <c r="QT278" s="314"/>
      <c r="QU278" s="314"/>
      <c r="QV278" s="314"/>
      <c r="QW278" s="314"/>
      <c r="QX278" s="314"/>
      <c r="QY278" s="314"/>
      <c r="QZ278" s="314"/>
      <c r="RA278" s="314"/>
      <c r="RB278" s="314"/>
      <c r="RC278" s="314"/>
      <c r="RD278" s="314"/>
      <c r="RE278" s="314"/>
      <c r="RF278" s="314"/>
      <c r="RG278" s="314"/>
      <c r="RH278" s="314"/>
      <c r="RI278" s="314"/>
      <c r="RJ278" s="314"/>
      <c r="RK278" s="314"/>
      <c r="RL278" s="314"/>
      <c r="RM278" s="314"/>
      <c r="RN278" s="314"/>
      <c r="RO278" s="314"/>
      <c r="RP278" s="314"/>
      <c r="RQ278" s="314"/>
      <c r="RR278" s="314"/>
      <c r="RS278" s="314"/>
      <c r="RT278" s="314"/>
      <c r="RU278" s="314"/>
      <c r="RV278" s="314"/>
      <c r="RW278" s="314"/>
      <c r="RX278" s="314"/>
      <c r="RY278" s="314"/>
      <c r="RZ278" s="314"/>
      <c r="SA278" s="314"/>
      <c r="SB278" s="314"/>
      <c r="SC278" s="314"/>
      <c r="SD278" s="314"/>
      <c r="SE278" s="314"/>
      <c r="SF278" s="314"/>
      <c r="SG278" s="314"/>
      <c r="SH278" s="314"/>
      <c r="SI278" s="314"/>
      <c r="SJ278" s="314"/>
      <c r="SK278" s="314"/>
      <c r="SL278" s="314"/>
      <c r="SM278" s="314"/>
      <c r="SN278" s="314"/>
      <c r="SO278" s="314"/>
      <c r="SP278" s="314"/>
      <c r="SQ278" s="314"/>
      <c r="SR278" s="314"/>
      <c r="SS278" s="314"/>
      <c r="ST278" s="314"/>
      <c r="SU278" s="314"/>
      <c r="SV278" s="314"/>
      <c r="SW278" s="314"/>
      <c r="SX278" s="314"/>
      <c r="SY278" s="314"/>
      <c r="SZ278" s="314"/>
      <c r="TA278" s="314"/>
      <c r="TB278" s="314"/>
      <c r="TC278" s="314"/>
      <c r="TD278" s="314"/>
      <c r="TE278" s="314"/>
      <c r="TF278" s="314"/>
      <c r="TG278" s="314"/>
      <c r="TH278" s="314"/>
      <c r="TI278" s="314"/>
      <c r="TJ278" s="314"/>
      <c r="TK278" s="314"/>
      <c r="TL278" s="314"/>
      <c r="TM278" s="314"/>
      <c r="TN278" s="314"/>
      <c r="TO278" s="314"/>
      <c r="TP278" s="314"/>
      <c r="TQ278" s="314"/>
      <c r="TR278" s="314"/>
      <c r="TS278" s="314"/>
      <c r="TT278" s="314"/>
      <c r="TU278" s="314"/>
      <c r="TV278" s="314"/>
      <c r="TW278" s="314"/>
      <c r="TX278" s="314"/>
      <c r="TY278" s="314"/>
      <c r="TZ278" s="314"/>
      <c r="UA278" s="314"/>
      <c r="UB278" s="314"/>
      <c r="UC278" s="314"/>
      <c r="UD278" s="314"/>
      <c r="UE278" s="314"/>
      <c r="UF278" s="314"/>
      <c r="UG278" s="314"/>
      <c r="UH278" s="314"/>
      <c r="UI278" s="314"/>
      <c r="UJ278" s="314"/>
      <c r="UK278" s="314"/>
      <c r="UL278" s="314"/>
      <c r="UM278" s="314"/>
      <c r="UN278" s="314"/>
      <c r="UO278" s="314"/>
      <c r="UP278" s="314"/>
      <c r="UQ278" s="314"/>
      <c r="UR278" s="314"/>
      <c r="US278" s="314"/>
      <c r="UT278" s="314"/>
      <c r="UU278" s="314"/>
      <c r="UV278" s="314"/>
      <c r="UW278" s="314"/>
      <c r="UX278" s="314"/>
      <c r="UY278" s="314"/>
      <c r="UZ278" s="314"/>
      <c r="VA278" s="314"/>
      <c r="VB278" s="314"/>
      <c r="VC278" s="314"/>
      <c r="VD278" s="314"/>
      <c r="VE278" s="314"/>
      <c r="VF278" s="314"/>
      <c r="VG278" s="314"/>
      <c r="VH278" s="314"/>
      <c r="VI278" s="314"/>
      <c r="VJ278" s="314"/>
      <c r="VK278" s="314"/>
      <c r="VL278" s="314"/>
      <c r="VM278" s="314"/>
      <c r="VN278" s="314"/>
      <c r="VO278" s="314"/>
      <c r="VP278" s="314"/>
      <c r="VQ278" s="314"/>
      <c r="VR278" s="314"/>
      <c r="VS278" s="314"/>
      <c r="VT278" s="314"/>
      <c r="VU278" s="314"/>
      <c r="VV278" s="314"/>
      <c r="VW278" s="314"/>
      <c r="VX278" s="314"/>
      <c r="VY278" s="314"/>
      <c r="VZ278" s="314"/>
      <c r="WA278" s="314"/>
      <c r="WB278" s="314"/>
      <c r="WC278" s="314"/>
      <c r="WD278" s="314"/>
      <c r="WE278" s="314"/>
      <c r="WF278" s="314"/>
      <c r="WG278" s="314"/>
      <c r="WH278" s="314"/>
      <c r="WI278" s="314"/>
      <c r="WJ278" s="314"/>
      <c r="WK278" s="314"/>
      <c r="WL278" s="314"/>
      <c r="WM278" s="314"/>
      <c r="WN278" s="314"/>
      <c r="WO278" s="314"/>
      <c r="WP278" s="314"/>
      <c r="WQ278" s="314"/>
      <c r="WR278" s="314"/>
      <c r="WS278" s="314"/>
      <c r="WT278" s="314"/>
      <c r="WU278" s="314"/>
      <c r="WV278" s="314"/>
      <c r="WW278" s="314"/>
      <c r="WX278" s="314"/>
      <c r="WY278" s="314"/>
      <c r="WZ278" s="314"/>
      <c r="XA278" s="314"/>
      <c r="XB278" s="314"/>
      <c r="XC278" s="314"/>
      <c r="XD278" s="314"/>
      <c r="XE278" s="314"/>
      <c r="XF278" s="314"/>
      <c r="XG278" s="314"/>
      <c r="XH278" s="314"/>
      <c r="XI278" s="314"/>
      <c r="XJ278" s="314"/>
      <c r="XK278" s="314"/>
      <c r="XL278" s="314"/>
      <c r="XM278" s="314"/>
      <c r="XN278" s="314"/>
      <c r="XO278" s="314"/>
      <c r="XP278" s="314"/>
      <c r="XQ278" s="314"/>
      <c r="XR278" s="314"/>
      <c r="XS278" s="314"/>
      <c r="XT278" s="314"/>
      <c r="XU278" s="314"/>
      <c r="XV278" s="314"/>
      <c r="XW278" s="314"/>
      <c r="XX278" s="314"/>
      <c r="XY278" s="314"/>
      <c r="XZ278" s="314"/>
      <c r="YA278" s="314"/>
      <c r="YB278" s="314"/>
      <c r="YC278" s="314"/>
      <c r="YD278" s="314"/>
      <c r="YE278" s="314"/>
      <c r="YF278" s="314"/>
      <c r="YG278" s="314"/>
      <c r="YH278" s="314"/>
      <c r="YI278" s="314"/>
      <c r="YJ278" s="314"/>
      <c r="YK278" s="314"/>
      <c r="YL278" s="314"/>
      <c r="YM278" s="314"/>
      <c r="YN278" s="314"/>
      <c r="YO278" s="314"/>
      <c r="YP278" s="314"/>
      <c r="YQ278" s="314"/>
      <c r="YR278" s="314"/>
      <c r="YS278" s="314"/>
      <c r="YT278" s="314"/>
      <c r="YU278" s="314"/>
      <c r="YV278" s="314"/>
      <c r="YW278" s="314"/>
      <c r="YX278" s="314"/>
      <c r="YY278" s="314"/>
      <c r="YZ278" s="314"/>
      <c r="ZA278" s="314"/>
      <c r="ZB278" s="314"/>
      <c r="ZC278" s="314"/>
      <c r="ZD278" s="314"/>
      <c r="ZE278" s="314"/>
      <c r="ZF278" s="314"/>
      <c r="ZG278" s="314"/>
      <c r="ZH278" s="314"/>
      <c r="ZI278" s="314"/>
      <c r="ZJ278" s="314"/>
      <c r="ZK278" s="314"/>
      <c r="ZL278" s="314"/>
      <c r="ZM278" s="314"/>
      <c r="ZN278" s="314"/>
      <c r="ZO278" s="314"/>
      <c r="ZP278" s="314"/>
      <c r="ZQ278" s="314"/>
      <c r="ZR278" s="314"/>
      <c r="ZS278" s="314"/>
      <c r="ZT278" s="314"/>
      <c r="ZU278" s="314"/>
      <c r="ZV278" s="314"/>
      <c r="ZW278" s="314"/>
      <c r="ZX278" s="314"/>
      <c r="ZY278" s="314"/>
      <c r="ZZ278" s="314"/>
      <c r="AAA278" s="314"/>
      <c r="AAB278" s="314"/>
      <c r="AAC278" s="314"/>
      <c r="AAD278" s="314"/>
      <c r="AAE278" s="314"/>
      <c r="AAF278" s="314"/>
      <c r="AAG278" s="314"/>
      <c r="AAH278" s="314"/>
      <c r="AAI278" s="314"/>
      <c r="AAJ278" s="314"/>
      <c r="AAK278" s="314"/>
      <c r="AAL278" s="314"/>
      <c r="AAM278" s="314"/>
      <c r="AAN278" s="314"/>
      <c r="AAO278" s="314"/>
      <c r="AAP278" s="314"/>
      <c r="AAQ278" s="314"/>
      <c r="AAR278" s="314"/>
      <c r="AAS278" s="314"/>
      <c r="AAT278" s="314"/>
      <c r="AAU278" s="314"/>
      <c r="AAV278" s="314"/>
      <c r="AAW278" s="314"/>
      <c r="AAX278" s="314"/>
      <c r="AAY278" s="314"/>
      <c r="AAZ278" s="314"/>
      <c r="ABA278" s="314"/>
      <c r="ABB278" s="314"/>
      <c r="ABC278" s="314"/>
      <c r="ABD278" s="314"/>
      <c r="ABE278" s="314"/>
      <c r="ABF278" s="314"/>
      <c r="ABG278" s="314"/>
      <c r="ABH278" s="314"/>
      <c r="ABI278" s="314"/>
      <c r="ABJ278" s="314"/>
      <c r="ABK278" s="314"/>
      <c r="ABL278" s="314"/>
      <c r="ABM278" s="314"/>
      <c r="ABN278" s="314"/>
      <c r="ABO278" s="314"/>
      <c r="ABP278" s="314"/>
      <c r="ABQ278" s="314"/>
      <c r="ABR278" s="314"/>
      <c r="ABS278" s="314"/>
      <c r="ABT278" s="314"/>
      <c r="ABU278" s="314"/>
      <c r="ABV278" s="314"/>
      <c r="ABW278" s="314"/>
      <c r="ABX278" s="314"/>
      <c r="ABY278" s="314"/>
      <c r="ABZ278" s="314"/>
      <c r="ACA278" s="314"/>
      <c r="ACB278" s="314"/>
      <c r="ACC278" s="314"/>
      <c r="ACD278" s="314"/>
      <c r="ACE278" s="314"/>
      <c r="ACF278" s="314"/>
      <c r="ACG278" s="314"/>
      <c r="ACH278" s="314"/>
      <c r="ACI278" s="314"/>
      <c r="ACJ278" s="314"/>
      <c r="ACK278" s="314"/>
      <c r="ACL278" s="314"/>
      <c r="ACM278" s="314"/>
      <c r="ACN278" s="314"/>
      <c r="ACO278" s="314"/>
      <c r="ACP278" s="314"/>
      <c r="ACQ278" s="314"/>
      <c r="ACR278" s="314"/>
      <c r="ACS278" s="314"/>
      <c r="ACT278" s="314"/>
      <c r="ACU278" s="314"/>
      <c r="ACV278" s="314"/>
      <c r="ACW278" s="314"/>
      <c r="ACX278" s="314"/>
      <c r="ACY278" s="314"/>
      <c r="ACZ278" s="314"/>
      <c r="ADA278" s="314"/>
      <c r="ADB278" s="314"/>
      <c r="ADC278" s="314"/>
      <c r="ADD278" s="314"/>
      <c r="ADE278" s="314"/>
      <c r="ADF278" s="314"/>
      <c r="ADG278" s="314"/>
      <c r="ADH278" s="314"/>
      <c r="ADI278" s="314"/>
      <c r="ADJ278" s="314"/>
      <c r="ADK278" s="314"/>
      <c r="ADL278" s="314"/>
      <c r="ADM278" s="314"/>
      <c r="ADN278" s="314"/>
      <c r="ADO278" s="314"/>
      <c r="ADP278" s="314"/>
      <c r="ADQ278" s="314"/>
      <c r="ADR278" s="314"/>
      <c r="ADS278" s="314"/>
      <c r="ADT278" s="314"/>
      <c r="ADU278" s="314"/>
      <c r="ADV278" s="314"/>
      <c r="ADW278" s="314"/>
      <c r="ADX278" s="314"/>
      <c r="ADY278" s="314"/>
      <c r="ADZ278" s="314"/>
      <c r="AEA278" s="314"/>
      <c r="AEB278" s="314"/>
      <c r="AEC278" s="314"/>
      <c r="AED278" s="314"/>
      <c r="AEE278" s="314"/>
      <c r="AEF278" s="314"/>
      <c r="AEG278" s="314"/>
      <c r="AEH278" s="314"/>
      <c r="AEI278" s="314"/>
      <c r="AEJ278" s="314"/>
      <c r="AEK278" s="314"/>
      <c r="AEL278" s="314"/>
      <c r="AEM278" s="314"/>
      <c r="AEN278" s="314"/>
      <c r="AEO278" s="314"/>
      <c r="AEP278" s="314"/>
      <c r="AEQ278" s="314"/>
      <c r="AER278" s="314"/>
      <c r="AES278" s="314"/>
      <c r="AET278" s="314"/>
      <c r="AEU278" s="314"/>
      <c r="AEV278" s="314"/>
      <c r="AEW278" s="314"/>
      <c r="AEX278" s="314"/>
      <c r="AEY278" s="314"/>
      <c r="AEZ278" s="314"/>
      <c r="AFA278" s="314"/>
      <c r="AFB278" s="314"/>
      <c r="AFC278" s="314"/>
      <c r="AFD278" s="314"/>
      <c r="AFE278" s="314"/>
      <c r="AFF278" s="314"/>
      <c r="AFG278" s="314"/>
      <c r="AFH278" s="314"/>
      <c r="AFI278" s="314"/>
      <c r="AFJ278" s="314"/>
      <c r="AFK278" s="314"/>
      <c r="AFL278" s="314"/>
      <c r="AFM278" s="314"/>
      <c r="AFN278" s="314"/>
      <c r="AFO278" s="314"/>
      <c r="AFP278" s="314"/>
      <c r="AFQ278" s="314"/>
      <c r="AFR278" s="314"/>
      <c r="AFS278" s="314"/>
      <c r="AFT278" s="314"/>
      <c r="AFU278" s="314"/>
      <c r="AFV278" s="314"/>
      <c r="AFW278" s="314"/>
      <c r="AFX278" s="314"/>
      <c r="AFY278" s="314"/>
      <c r="AFZ278" s="314"/>
      <c r="AGA278" s="314"/>
      <c r="AGB278" s="314"/>
      <c r="AGC278" s="314"/>
      <c r="AGD278" s="314"/>
      <c r="AGE278" s="314"/>
      <c r="AGF278" s="314"/>
      <c r="AGG278" s="314"/>
      <c r="AGH278" s="314"/>
      <c r="AGI278" s="314"/>
      <c r="AGJ278" s="314"/>
      <c r="AGK278" s="314"/>
      <c r="AGL278" s="314"/>
      <c r="AGM278" s="314"/>
      <c r="AGN278" s="314"/>
      <c r="AGO278" s="314"/>
      <c r="AGP278" s="314"/>
      <c r="AGQ278" s="314"/>
      <c r="AGR278" s="314"/>
      <c r="AGS278" s="314"/>
      <c r="AGT278" s="314"/>
      <c r="AGU278" s="314"/>
      <c r="AGV278" s="314"/>
      <c r="AGW278" s="314"/>
      <c r="AGX278" s="314"/>
      <c r="AGY278" s="314"/>
      <c r="AGZ278" s="314"/>
      <c r="AHA278" s="314"/>
      <c r="AHB278" s="314"/>
      <c r="AHC278" s="314"/>
      <c r="AHD278" s="314"/>
      <c r="AHE278" s="314"/>
      <c r="AHF278" s="314"/>
      <c r="AHG278" s="314"/>
      <c r="AHH278" s="314"/>
      <c r="AHI278" s="314"/>
      <c r="AHJ278" s="314"/>
      <c r="AHK278" s="314"/>
      <c r="AHL278" s="314"/>
      <c r="AHM278" s="314"/>
      <c r="AHN278" s="314"/>
      <c r="AHO278" s="314"/>
      <c r="AHP278" s="314"/>
      <c r="AHQ278" s="314"/>
      <c r="AHR278" s="314"/>
      <c r="AHS278" s="314"/>
      <c r="AHT278" s="314"/>
      <c r="AHU278" s="314"/>
      <c r="AHV278" s="314"/>
      <c r="AHW278" s="314"/>
      <c r="AHX278" s="314"/>
      <c r="AHY278" s="314"/>
      <c r="AHZ278" s="314"/>
      <c r="AIA278" s="314"/>
      <c r="AIB278" s="314"/>
      <c r="AIC278" s="314"/>
      <c r="AID278" s="314"/>
      <c r="AIE278" s="314"/>
      <c r="AIF278" s="314"/>
      <c r="AIG278" s="314"/>
      <c r="AIH278" s="314"/>
      <c r="AII278" s="314"/>
      <c r="AIJ278" s="314"/>
      <c r="AIK278" s="314"/>
      <c r="AIL278" s="314"/>
      <c r="AIM278" s="314"/>
      <c r="AIN278" s="314"/>
      <c r="AIO278" s="314"/>
      <c r="AIP278" s="314"/>
      <c r="AIQ278" s="314"/>
      <c r="AIR278" s="314"/>
      <c r="AIS278" s="314"/>
      <c r="AIT278" s="314"/>
      <c r="AIU278" s="314"/>
      <c r="AIV278" s="314"/>
      <c r="AIW278" s="314"/>
      <c r="AIX278" s="314"/>
      <c r="AIY278" s="314"/>
      <c r="AIZ278" s="314"/>
      <c r="AJA278" s="314"/>
      <c r="AJB278" s="314"/>
      <c r="AJC278" s="314"/>
      <c r="AJD278" s="314"/>
      <c r="AJE278" s="314"/>
      <c r="AJF278" s="314"/>
      <c r="AJG278" s="314"/>
      <c r="AJH278" s="314"/>
      <c r="AJI278" s="314"/>
      <c r="AJJ278" s="314"/>
      <c r="AJK278" s="314"/>
      <c r="AJL278" s="314"/>
      <c r="AJM278" s="314"/>
      <c r="AJN278" s="314"/>
      <c r="AJO278" s="314"/>
      <c r="AJP278" s="314"/>
      <c r="AJQ278" s="314"/>
      <c r="AJR278" s="314"/>
      <c r="AJS278" s="314"/>
      <c r="AJT278" s="314"/>
      <c r="AJU278" s="314"/>
      <c r="AJV278" s="314"/>
      <c r="AJW278" s="314"/>
      <c r="AJX278" s="314"/>
      <c r="AJY278" s="314"/>
      <c r="AJZ278" s="314"/>
      <c r="AKA278" s="314"/>
      <c r="AKB278" s="314"/>
      <c r="AKC278" s="314"/>
      <c r="AKD278" s="314"/>
      <c r="AKE278" s="314"/>
      <c r="AKF278" s="314"/>
      <c r="AKG278" s="314"/>
      <c r="AKH278" s="314"/>
      <c r="AKI278" s="314"/>
      <c r="AKJ278" s="314"/>
      <c r="AKK278" s="314"/>
      <c r="AKL278" s="314"/>
      <c r="AKM278" s="314"/>
      <c r="AKN278" s="314"/>
      <c r="AKO278" s="314"/>
      <c r="AKP278" s="314"/>
      <c r="AKQ278" s="314"/>
      <c r="AKR278" s="314"/>
      <c r="AKS278" s="314"/>
      <c r="AKT278" s="314"/>
      <c r="AKU278" s="314"/>
      <c r="AKV278" s="314"/>
      <c r="AKW278" s="314"/>
      <c r="AKX278" s="314"/>
      <c r="AKY278" s="314"/>
      <c r="AKZ278" s="314"/>
      <c r="ALA278" s="314"/>
      <c r="ALB278" s="314"/>
      <c r="ALC278" s="314"/>
      <c r="ALD278" s="314"/>
      <c r="ALE278" s="314"/>
      <c r="ALF278" s="314"/>
      <c r="ALG278" s="314"/>
      <c r="ALH278" s="314"/>
      <c r="ALI278" s="314"/>
      <c r="ALJ278" s="314"/>
      <c r="ALK278" s="314"/>
      <c r="ALL278" s="314"/>
      <c r="ALM278" s="314"/>
      <c r="ALN278" s="314"/>
      <c r="ALO278" s="314"/>
      <c r="ALP278" s="314"/>
      <c r="ALQ278" s="314"/>
      <c r="ALR278" s="314"/>
      <c r="ALS278" s="314"/>
      <c r="ALT278" s="314"/>
      <c r="ALU278" s="314"/>
      <c r="ALV278" s="314"/>
      <c r="ALW278" s="314"/>
      <c r="ALX278" s="314"/>
      <c r="ALY278" s="314"/>
      <c r="ALZ278" s="314"/>
      <c r="AMA278" s="314"/>
      <c r="AMB278" s="314"/>
      <c r="AMC278" s="314"/>
      <c r="AMD278" s="314"/>
      <c r="AME278" s="314"/>
      <c r="AMF278" s="314"/>
      <c r="AMG278" s="314"/>
      <c r="AMH278" s="314"/>
      <c r="AMI278" s="314"/>
      <c r="AMJ278" s="314"/>
      <c r="AMK278" s="314"/>
      <c r="AML278" s="314"/>
      <c r="AMM278" s="314"/>
      <c r="AMN278" s="314"/>
      <c r="AMO278" s="314"/>
      <c r="AMP278" s="314"/>
      <c r="AMQ278" s="314"/>
      <c r="AMR278" s="314"/>
      <c r="AMS278" s="314"/>
      <c r="AMT278" s="314"/>
      <c r="AMU278" s="314"/>
      <c r="AMV278" s="314"/>
      <c r="AMW278" s="314"/>
      <c r="AMX278" s="314"/>
      <c r="AMY278" s="314"/>
      <c r="AMZ278" s="314"/>
      <c r="ANA278" s="314"/>
      <c r="ANB278" s="314"/>
      <c r="ANC278" s="314"/>
      <c r="AND278" s="314"/>
      <c r="ANE278" s="314"/>
      <c r="ANF278" s="314"/>
      <c r="ANG278" s="314"/>
      <c r="ANH278" s="314"/>
      <c r="ANI278" s="314"/>
      <c r="ANJ278" s="314"/>
      <c r="ANK278" s="314"/>
      <c r="ANL278" s="314"/>
      <c r="ANM278" s="314"/>
      <c r="ANN278" s="314"/>
      <c r="ANO278" s="314"/>
      <c r="ANP278" s="314"/>
      <c r="ANQ278" s="314"/>
      <c r="ANR278" s="314"/>
      <c r="ANS278" s="314"/>
      <c r="ANT278" s="314"/>
      <c r="ANU278" s="314"/>
      <c r="ANV278" s="314"/>
      <c r="ANW278" s="314"/>
      <c r="ANX278" s="314"/>
      <c r="ANY278" s="314"/>
      <c r="ANZ278" s="314"/>
      <c r="AOA278" s="314"/>
      <c r="AOB278" s="314"/>
      <c r="AOC278" s="314"/>
      <c r="AOD278" s="314"/>
      <c r="AOE278" s="314"/>
      <c r="AOF278" s="314"/>
      <c r="AOG278" s="314"/>
      <c r="AOH278" s="314"/>
      <c r="AOI278" s="314"/>
      <c r="AOJ278" s="314"/>
      <c r="AOK278" s="314"/>
      <c r="AOL278" s="314"/>
      <c r="AOM278" s="314"/>
      <c r="AON278" s="314"/>
      <c r="AOO278" s="314"/>
      <c r="AOP278" s="314"/>
      <c r="AOQ278" s="314"/>
      <c r="AOR278" s="314"/>
      <c r="AOS278" s="314"/>
      <c r="AOT278" s="314"/>
      <c r="AOU278" s="314"/>
      <c r="AOV278" s="314"/>
      <c r="AOW278" s="314"/>
      <c r="AOX278" s="314"/>
      <c r="AOY278" s="314"/>
      <c r="AOZ278" s="314"/>
      <c r="APA278" s="314"/>
      <c r="APB278" s="314"/>
      <c r="APC278" s="314"/>
      <c r="APD278" s="314"/>
      <c r="APE278" s="314"/>
      <c r="APF278" s="314"/>
      <c r="APG278" s="314"/>
      <c r="APH278" s="314"/>
      <c r="API278" s="314"/>
      <c r="APJ278" s="314"/>
      <c r="APK278" s="314"/>
      <c r="APL278" s="314"/>
      <c r="APM278" s="314"/>
      <c r="APN278" s="314"/>
      <c r="APO278" s="314"/>
      <c r="APP278" s="314"/>
      <c r="APQ278" s="314"/>
      <c r="APR278" s="314"/>
      <c r="APS278" s="314"/>
      <c r="APT278" s="314"/>
      <c r="APU278" s="314"/>
      <c r="APV278" s="314"/>
      <c r="APW278" s="314"/>
      <c r="APX278" s="314"/>
      <c r="APY278" s="314"/>
      <c r="APZ278" s="314"/>
      <c r="AQA278" s="314"/>
      <c r="AQB278" s="314"/>
      <c r="AQC278" s="314"/>
      <c r="AQD278" s="314"/>
      <c r="AQE278" s="314"/>
      <c r="AQF278" s="314"/>
      <c r="AQG278" s="314"/>
      <c r="AQH278" s="314"/>
      <c r="AQI278" s="314"/>
      <c r="AQJ278" s="314"/>
      <c r="AQK278" s="314"/>
      <c r="AQL278" s="314"/>
      <c r="AQM278" s="314"/>
      <c r="AQN278" s="314"/>
      <c r="AQO278" s="314"/>
      <c r="AQP278" s="314"/>
      <c r="AQQ278" s="314"/>
      <c r="AQR278" s="314"/>
      <c r="AQS278" s="314"/>
      <c r="AQT278" s="314"/>
      <c r="AQU278" s="314"/>
      <c r="AQV278" s="314"/>
      <c r="AQW278" s="314"/>
      <c r="AQX278" s="314"/>
      <c r="AQY278" s="314"/>
      <c r="AQZ278" s="314"/>
      <c r="ARA278" s="314"/>
      <c r="ARB278" s="314"/>
      <c r="ARC278" s="314"/>
      <c r="ARD278" s="314"/>
      <c r="ARE278" s="314"/>
      <c r="ARF278" s="314"/>
      <c r="ARG278" s="314"/>
      <c r="ARH278" s="314"/>
      <c r="ARI278" s="314"/>
      <c r="ARJ278" s="314"/>
      <c r="ARK278" s="314"/>
      <c r="ARL278" s="314"/>
      <c r="ARM278" s="314"/>
      <c r="ARN278" s="314"/>
      <c r="ARO278" s="314"/>
      <c r="ARP278" s="314"/>
      <c r="ARQ278" s="314"/>
      <c r="ARR278" s="314"/>
      <c r="ARS278" s="314"/>
      <c r="ART278" s="314"/>
      <c r="ARU278" s="314"/>
      <c r="ARV278" s="314"/>
      <c r="ARW278" s="314"/>
      <c r="ARX278" s="314"/>
      <c r="ARY278" s="314"/>
      <c r="ARZ278" s="314"/>
      <c r="ASA278" s="314"/>
      <c r="ASB278" s="314"/>
      <c r="ASC278" s="314"/>
      <c r="ASD278" s="314"/>
      <c r="ASE278" s="314"/>
      <c r="ASF278" s="314"/>
      <c r="ASG278" s="314"/>
      <c r="ASH278" s="314"/>
      <c r="ASI278" s="314"/>
      <c r="ASJ278" s="314"/>
      <c r="ASK278" s="314"/>
      <c r="ASL278" s="314"/>
      <c r="ASM278" s="314"/>
      <c r="ASN278" s="314"/>
      <c r="ASO278" s="314"/>
      <c r="ASP278" s="314"/>
      <c r="ASQ278" s="314"/>
      <c r="ASR278" s="314"/>
      <c r="ASS278" s="314"/>
      <c r="AST278" s="314"/>
      <c r="ASU278" s="314"/>
      <c r="ASV278" s="314"/>
      <c r="ASW278" s="314"/>
      <c r="ASX278" s="314"/>
      <c r="ASY278" s="314"/>
      <c r="ASZ278" s="314"/>
      <c r="ATA278" s="314"/>
      <c r="ATB278" s="314"/>
      <c r="ATC278" s="314"/>
      <c r="ATD278" s="314"/>
      <c r="ATE278" s="314"/>
      <c r="ATF278" s="314"/>
      <c r="ATG278" s="314"/>
      <c r="ATH278" s="314"/>
      <c r="ATI278" s="314"/>
      <c r="ATJ278" s="314"/>
      <c r="ATK278" s="314"/>
      <c r="ATL278" s="314"/>
      <c r="ATM278" s="314"/>
      <c r="ATN278" s="314"/>
      <c r="ATO278" s="314"/>
      <c r="ATP278" s="314"/>
      <c r="ATQ278" s="314"/>
      <c r="ATR278" s="314"/>
      <c r="ATS278" s="314"/>
      <c r="ATT278" s="314"/>
      <c r="ATU278" s="314"/>
      <c r="ATV278" s="314"/>
      <c r="ATW278" s="314"/>
      <c r="ATX278" s="314"/>
      <c r="ATY278" s="314"/>
      <c r="ATZ278" s="314"/>
      <c r="AUA278" s="314"/>
      <c r="AUB278" s="314"/>
      <c r="AUC278" s="314"/>
      <c r="AUD278" s="314"/>
      <c r="AUE278" s="314"/>
      <c r="AUF278" s="314"/>
      <c r="AUG278" s="314"/>
      <c r="AUH278" s="314"/>
      <c r="AUI278" s="314"/>
      <c r="AUJ278" s="314"/>
      <c r="AUK278" s="314"/>
      <c r="AUL278" s="314"/>
      <c r="AUM278" s="314"/>
      <c r="AUN278" s="314"/>
      <c r="AUO278" s="314"/>
      <c r="AUP278" s="314"/>
      <c r="AUQ278" s="314"/>
      <c r="AUR278" s="314"/>
      <c r="AUS278" s="314"/>
      <c r="AUT278" s="314"/>
      <c r="AUU278" s="314"/>
      <c r="AUV278" s="314"/>
      <c r="AUW278" s="314"/>
      <c r="AUX278" s="314"/>
      <c r="AUY278" s="314"/>
      <c r="AUZ278" s="314"/>
      <c r="AVA278" s="314"/>
      <c r="AVB278" s="314"/>
      <c r="AVC278" s="314"/>
      <c r="AVD278" s="314"/>
      <c r="AVE278" s="314"/>
      <c r="AVF278" s="314"/>
      <c r="AVG278" s="314"/>
      <c r="AVH278" s="314"/>
      <c r="AVI278" s="314"/>
      <c r="AVJ278" s="314"/>
      <c r="AVK278" s="314"/>
      <c r="AVL278" s="314"/>
      <c r="AVM278" s="314"/>
      <c r="AVN278" s="314"/>
      <c r="AVO278" s="314"/>
      <c r="AVP278" s="314"/>
      <c r="AVQ278" s="314"/>
      <c r="AVR278" s="314"/>
      <c r="AVS278" s="314"/>
      <c r="AVT278" s="314"/>
      <c r="AVU278" s="314"/>
      <c r="AVV278" s="314"/>
      <c r="AVW278" s="314"/>
      <c r="AVX278" s="314"/>
      <c r="AVY278" s="314"/>
      <c r="AVZ278" s="314"/>
      <c r="AWA278" s="314"/>
      <c r="AWB278" s="314"/>
      <c r="AWC278" s="314"/>
      <c r="AWD278" s="314"/>
      <c r="AWE278" s="314"/>
      <c r="AWF278" s="314"/>
      <c r="AWG278" s="314"/>
      <c r="AWH278" s="314"/>
      <c r="AWI278" s="314"/>
      <c r="AWJ278" s="314"/>
      <c r="AWK278" s="314"/>
      <c r="AWL278" s="314"/>
      <c r="AWM278" s="314"/>
      <c r="AWN278" s="314"/>
      <c r="AWO278" s="314"/>
      <c r="AWP278" s="314"/>
      <c r="AWQ278" s="314"/>
      <c r="AWR278" s="314"/>
      <c r="AWS278" s="314"/>
      <c r="AWT278" s="314"/>
      <c r="AWU278" s="314"/>
      <c r="AWV278" s="314"/>
      <c r="AWW278" s="314"/>
      <c r="AWX278" s="314"/>
      <c r="AWY278" s="314"/>
      <c r="AWZ278" s="314"/>
      <c r="AXA278" s="314"/>
      <c r="AXB278" s="314"/>
      <c r="AXC278" s="314"/>
      <c r="AXD278" s="314"/>
      <c r="AXE278" s="314"/>
      <c r="AXF278" s="314"/>
      <c r="AXG278" s="314"/>
      <c r="AXH278" s="314"/>
      <c r="AXI278" s="314"/>
      <c r="AXJ278" s="314"/>
      <c r="AXK278" s="314"/>
      <c r="AXL278" s="314"/>
      <c r="AXM278" s="314"/>
      <c r="AXN278" s="314"/>
      <c r="AXO278" s="314"/>
      <c r="AXP278" s="314"/>
      <c r="AXQ278" s="314"/>
      <c r="AXR278" s="314"/>
      <c r="AXS278" s="314"/>
      <c r="AXT278" s="314"/>
      <c r="AXU278" s="314"/>
      <c r="AXV278" s="314"/>
      <c r="AXW278" s="314"/>
      <c r="AXX278" s="314"/>
      <c r="AXY278" s="314"/>
      <c r="AXZ278" s="314"/>
      <c r="AYA278" s="314"/>
      <c r="AYB278" s="314"/>
      <c r="AYC278" s="314"/>
      <c r="AYD278" s="314"/>
      <c r="AYE278" s="314"/>
      <c r="AYF278" s="314"/>
      <c r="AYG278" s="314"/>
      <c r="AYH278" s="314"/>
      <c r="AYI278" s="314"/>
      <c r="AYJ278" s="314"/>
      <c r="AYK278" s="314"/>
      <c r="AYL278" s="314"/>
      <c r="AYM278" s="314"/>
      <c r="AYN278" s="314"/>
      <c r="AYO278" s="314"/>
      <c r="AYP278" s="314"/>
      <c r="AYQ278" s="314"/>
      <c r="AYR278" s="314"/>
      <c r="AYS278" s="314"/>
      <c r="AYT278" s="314"/>
      <c r="AYU278" s="314"/>
      <c r="AYV278" s="314"/>
      <c r="AYW278" s="314"/>
      <c r="AYX278" s="314"/>
      <c r="AYY278" s="314"/>
      <c r="AYZ278" s="314"/>
      <c r="AZA278" s="314"/>
      <c r="AZB278" s="314"/>
      <c r="AZC278" s="314"/>
      <c r="AZD278" s="314"/>
      <c r="AZE278" s="314"/>
      <c r="AZF278" s="314"/>
      <c r="AZG278" s="314"/>
      <c r="AZH278" s="314"/>
      <c r="AZI278" s="314"/>
      <c r="AZJ278" s="314"/>
      <c r="AZK278" s="314"/>
      <c r="AZL278" s="314"/>
      <c r="AZM278" s="314"/>
      <c r="AZN278" s="314"/>
      <c r="AZO278" s="314"/>
      <c r="AZP278" s="314"/>
      <c r="AZQ278" s="314"/>
      <c r="AZR278" s="314"/>
      <c r="AZS278" s="314"/>
      <c r="AZT278" s="314"/>
      <c r="AZU278" s="314"/>
      <c r="AZV278" s="314"/>
      <c r="AZW278" s="314"/>
      <c r="AZX278" s="314"/>
      <c r="AZY278" s="314"/>
      <c r="AZZ278" s="314"/>
      <c r="BAA278" s="314"/>
      <c r="BAB278" s="314"/>
      <c r="BAC278" s="314"/>
      <c r="BAD278" s="314"/>
      <c r="BAE278" s="314"/>
      <c r="BAF278" s="314"/>
      <c r="BAG278" s="314"/>
      <c r="BAH278" s="314"/>
      <c r="BAI278" s="314"/>
      <c r="BAJ278" s="314"/>
      <c r="BAK278" s="314"/>
      <c r="BAL278" s="314"/>
      <c r="BAM278" s="314"/>
      <c r="BAN278" s="314"/>
      <c r="BAO278" s="314"/>
      <c r="BAP278" s="314"/>
      <c r="BAQ278" s="314"/>
      <c r="BAR278" s="314"/>
      <c r="BAS278" s="314"/>
      <c r="BAT278" s="314"/>
      <c r="BAU278" s="314"/>
      <c r="BAV278" s="314"/>
      <c r="BAW278" s="314"/>
      <c r="BAX278" s="314"/>
      <c r="BAY278" s="314"/>
      <c r="BAZ278" s="314"/>
      <c r="BBA278" s="314"/>
      <c r="BBB278" s="314"/>
      <c r="BBC278" s="314"/>
      <c r="BBD278" s="314"/>
      <c r="BBE278" s="314"/>
      <c r="BBF278" s="314"/>
      <c r="BBG278" s="314"/>
      <c r="BBH278" s="314"/>
      <c r="BBI278" s="314"/>
      <c r="BBJ278" s="314"/>
      <c r="BBK278" s="314"/>
      <c r="BBL278" s="314"/>
      <c r="BBM278" s="314"/>
      <c r="BBN278" s="314"/>
      <c r="BBO278" s="314"/>
      <c r="BBP278" s="314"/>
      <c r="BBQ278" s="314"/>
      <c r="BBR278" s="314"/>
      <c r="BBS278" s="314"/>
      <c r="BBT278" s="314"/>
      <c r="BBU278" s="314"/>
      <c r="BBV278" s="314"/>
      <c r="BBW278" s="314"/>
      <c r="BBX278" s="314"/>
      <c r="BBY278" s="314"/>
      <c r="BBZ278" s="314"/>
      <c r="BCA278" s="314"/>
      <c r="BCB278" s="314"/>
      <c r="BCC278" s="314"/>
      <c r="BCD278" s="314"/>
      <c r="BCE278" s="314"/>
      <c r="BCF278" s="314"/>
      <c r="BCG278" s="314"/>
      <c r="BCH278" s="314"/>
      <c r="BCI278" s="314"/>
      <c r="BCJ278" s="314"/>
      <c r="BCK278" s="314"/>
      <c r="BCL278" s="314"/>
      <c r="BCM278" s="314"/>
      <c r="BCN278" s="314"/>
      <c r="BCO278" s="314"/>
      <c r="BCP278" s="314"/>
      <c r="BCQ278" s="314"/>
      <c r="BCR278" s="314"/>
      <c r="BCS278" s="314"/>
      <c r="BCT278" s="314"/>
      <c r="BCU278" s="314"/>
      <c r="BCV278" s="314"/>
      <c r="BCW278" s="314"/>
      <c r="BCX278" s="314"/>
      <c r="BCY278" s="314"/>
      <c r="BCZ278" s="314"/>
      <c r="BDA278" s="314"/>
      <c r="BDB278" s="314"/>
      <c r="BDC278" s="314"/>
      <c r="BDD278" s="314"/>
      <c r="BDE278" s="314"/>
      <c r="BDF278" s="314"/>
      <c r="BDG278" s="314"/>
      <c r="BDH278" s="314"/>
      <c r="BDI278" s="314"/>
      <c r="BDJ278" s="314"/>
      <c r="BDK278" s="314"/>
      <c r="BDL278" s="314"/>
      <c r="BDM278" s="314"/>
      <c r="BDN278" s="314"/>
      <c r="BDO278" s="314"/>
      <c r="BDP278" s="314"/>
      <c r="BDQ278" s="314"/>
      <c r="BDR278" s="314"/>
      <c r="BDS278" s="314"/>
      <c r="BDT278" s="314"/>
      <c r="BDU278" s="314"/>
      <c r="BDV278" s="314"/>
      <c r="BDW278" s="314"/>
      <c r="BDX278" s="314"/>
      <c r="BDY278" s="314"/>
      <c r="BDZ278" s="314"/>
      <c r="BEA278" s="314"/>
      <c r="BEB278" s="314"/>
      <c r="BEC278" s="314"/>
      <c r="BED278" s="314"/>
      <c r="BEE278" s="314"/>
      <c r="BEF278" s="314"/>
      <c r="BEG278" s="314"/>
      <c r="BEH278" s="314"/>
      <c r="BEI278" s="314"/>
      <c r="BEJ278" s="314"/>
      <c r="BEK278" s="314"/>
      <c r="BEL278" s="314"/>
      <c r="BEM278" s="314"/>
      <c r="BEN278" s="314"/>
      <c r="BEO278" s="314"/>
      <c r="BEP278" s="314"/>
      <c r="BEQ278" s="314"/>
      <c r="BER278" s="314"/>
      <c r="BES278" s="314"/>
      <c r="BET278" s="314"/>
      <c r="BEU278" s="314"/>
      <c r="BEV278" s="314"/>
      <c r="BEW278" s="314"/>
      <c r="BEX278" s="314"/>
      <c r="BEY278" s="314"/>
      <c r="BEZ278" s="314"/>
      <c r="BFA278" s="314"/>
      <c r="BFB278" s="314"/>
      <c r="BFC278" s="314"/>
      <c r="BFD278" s="314"/>
      <c r="BFE278" s="314"/>
      <c r="BFF278" s="314"/>
      <c r="BFG278" s="314"/>
      <c r="BFH278" s="314"/>
      <c r="BFI278" s="314"/>
      <c r="BFJ278" s="314"/>
      <c r="BFK278" s="314"/>
      <c r="BFL278" s="314"/>
      <c r="BFM278" s="314"/>
      <c r="BFN278" s="314"/>
      <c r="BFO278" s="314"/>
      <c r="BFP278" s="314"/>
      <c r="BFQ278" s="314"/>
      <c r="BFR278" s="314"/>
      <c r="BFS278" s="314"/>
      <c r="BFT278" s="314"/>
      <c r="BFU278" s="314"/>
      <c r="BFV278" s="314"/>
      <c r="BFW278" s="314"/>
      <c r="BFX278" s="314"/>
      <c r="BFY278" s="314"/>
      <c r="BFZ278" s="314"/>
      <c r="BGA278" s="314"/>
      <c r="BGB278" s="314"/>
      <c r="BGC278" s="314"/>
      <c r="BGD278" s="314"/>
      <c r="BGE278" s="314"/>
      <c r="BGF278" s="314"/>
      <c r="BGG278" s="314"/>
      <c r="BGH278" s="314"/>
      <c r="BGI278" s="314"/>
      <c r="BGJ278" s="314"/>
      <c r="BGK278" s="314"/>
      <c r="BGL278" s="314"/>
      <c r="BGM278" s="314"/>
      <c r="BGN278" s="314"/>
      <c r="BGO278" s="314"/>
      <c r="BGP278" s="314"/>
      <c r="BGQ278" s="314"/>
      <c r="BGR278" s="314"/>
      <c r="BGS278" s="314"/>
      <c r="BGT278" s="314"/>
      <c r="BGU278" s="314"/>
      <c r="BGV278" s="314"/>
      <c r="BGW278" s="314"/>
      <c r="BGX278" s="314"/>
      <c r="BGY278" s="314"/>
      <c r="BGZ278" s="314"/>
      <c r="BHA278" s="314"/>
      <c r="BHB278" s="314"/>
      <c r="BHC278" s="314"/>
      <c r="BHD278" s="314"/>
      <c r="BHE278" s="314"/>
      <c r="BHF278" s="314"/>
      <c r="BHG278" s="314"/>
      <c r="BHH278" s="314"/>
      <c r="BHI278" s="314"/>
      <c r="BHJ278" s="314"/>
      <c r="BHK278" s="314"/>
      <c r="BHL278" s="314"/>
      <c r="BHM278" s="314"/>
      <c r="BHN278" s="314"/>
      <c r="BHO278" s="314"/>
      <c r="BHP278" s="314"/>
      <c r="BHQ278" s="314"/>
      <c r="BHR278" s="314"/>
      <c r="BHS278" s="314"/>
      <c r="BHT278" s="314"/>
      <c r="BHU278" s="314"/>
      <c r="BHV278" s="314"/>
      <c r="BHW278" s="314"/>
      <c r="BHX278" s="314"/>
      <c r="BHY278" s="314"/>
      <c r="BHZ278" s="314"/>
      <c r="BIA278" s="314"/>
      <c r="BIB278" s="314"/>
      <c r="BIC278" s="314"/>
      <c r="BID278" s="314"/>
      <c r="BIE278" s="314"/>
      <c r="BIF278" s="314"/>
      <c r="BIG278" s="314"/>
      <c r="BIH278" s="314"/>
      <c r="BII278" s="314"/>
      <c r="BIJ278" s="314"/>
      <c r="BIK278" s="314"/>
      <c r="BIL278" s="314"/>
      <c r="BIM278" s="314"/>
      <c r="BIN278" s="314"/>
      <c r="BIO278" s="314"/>
      <c r="BIP278" s="314"/>
      <c r="BIQ278" s="314"/>
      <c r="BIR278" s="314"/>
      <c r="BIS278" s="314"/>
      <c r="BIT278" s="314"/>
      <c r="BIU278" s="314"/>
      <c r="BIV278" s="314"/>
      <c r="BIW278" s="314"/>
      <c r="BIX278" s="314"/>
      <c r="BIY278" s="314"/>
      <c r="BIZ278" s="314"/>
      <c r="BJA278" s="314"/>
      <c r="BJB278" s="314"/>
      <c r="BJC278" s="314"/>
      <c r="BJD278" s="314"/>
      <c r="BJE278" s="314"/>
      <c r="BJF278" s="314"/>
      <c r="BJG278" s="314"/>
      <c r="BJH278" s="314"/>
      <c r="BJI278" s="314"/>
      <c r="BJJ278" s="314"/>
      <c r="BJK278" s="314"/>
      <c r="BJL278" s="314"/>
      <c r="BJM278" s="314"/>
      <c r="BJN278" s="314"/>
      <c r="BJO278" s="314"/>
      <c r="BJP278" s="314"/>
      <c r="BJQ278" s="314"/>
      <c r="BJR278" s="314"/>
      <c r="BJS278" s="314"/>
      <c r="BJT278" s="314"/>
      <c r="BJU278" s="314"/>
      <c r="BJV278" s="314"/>
      <c r="BJW278" s="314"/>
      <c r="BJX278" s="314"/>
      <c r="BJY278" s="314"/>
      <c r="BJZ278" s="314"/>
      <c r="BKA278" s="314"/>
      <c r="BKB278" s="314"/>
      <c r="BKC278" s="314"/>
      <c r="BKD278" s="314"/>
      <c r="BKE278" s="314"/>
      <c r="BKF278" s="314"/>
      <c r="BKG278" s="314"/>
      <c r="BKH278" s="314"/>
      <c r="BKI278" s="314"/>
      <c r="BKJ278" s="314"/>
      <c r="BKK278" s="314"/>
      <c r="BKL278" s="314"/>
      <c r="BKM278" s="314"/>
      <c r="BKN278" s="314"/>
      <c r="BKO278" s="314"/>
      <c r="BKP278" s="314"/>
      <c r="BKQ278" s="314"/>
      <c r="BKR278" s="314"/>
      <c r="BKS278" s="314"/>
      <c r="BKT278" s="314"/>
      <c r="BKU278" s="314"/>
      <c r="BKV278" s="314"/>
      <c r="BKW278" s="314"/>
      <c r="BKX278" s="314"/>
      <c r="BKY278" s="314"/>
      <c r="BKZ278" s="314"/>
      <c r="BLA278" s="314"/>
      <c r="BLB278" s="314"/>
      <c r="BLC278" s="314"/>
      <c r="BLD278" s="314"/>
      <c r="BLE278" s="314"/>
      <c r="BLF278" s="314"/>
      <c r="BLG278" s="314"/>
      <c r="BLH278" s="314"/>
      <c r="BLI278" s="314"/>
      <c r="BLJ278" s="314"/>
      <c r="BLK278" s="314"/>
      <c r="BLL278" s="314"/>
      <c r="BLM278" s="314"/>
      <c r="BLN278" s="314"/>
      <c r="BLO278" s="314"/>
      <c r="BLP278" s="314"/>
      <c r="BLQ278" s="314"/>
      <c r="BLR278" s="314"/>
      <c r="BLS278" s="314"/>
      <c r="BLT278" s="314"/>
      <c r="BLU278" s="314"/>
      <c r="BLV278" s="314"/>
      <c r="BLW278" s="314"/>
      <c r="BLX278" s="314"/>
      <c r="BLY278" s="314"/>
      <c r="BLZ278" s="314"/>
      <c r="BMA278" s="314"/>
      <c r="BMB278" s="314"/>
      <c r="BMC278" s="314"/>
      <c r="BMD278" s="314"/>
      <c r="BME278" s="314"/>
      <c r="BMF278" s="314"/>
      <c r="BMG278" s="314"/>
      <c r="BMH278" s="314"/>
      <c r="BMI278" s="314"/>
      <c r="BMJ278" s="314"/>
      <c r="BMK278" s="314"/>
      <c r="BML278" s="314"/>
      <c r="BMM278" s="314"/>
      <c r="BMN278" s="314"/>
      <c r="BMO278" s="314"/>
      <c r="BMP278" s="314"/>
      <c r="BMQ278" s="314"/>
      <c r="BMR278" s="314"/>
      <c r="BMS278" s="314"/>
      <c r="BMT278" s="314"/>
      <c r="BMU278" s="314"/>
      <c r="BMV278" s="314"/>
      <c r="BMW278" s="314"/>
      <c r="BMX278" s="314"/>
      <c r="BMY278" s="314"/>
      <c r="BMZ278" s="314"/>
      <c r="BNA278" s="314"/>
      <c r="BNB278" s="314"/>
      <c r="BNC278" s="314"/>
      <c r="BND278" s="314"/>
      <c r="BNE278" s="314"/>
      <c r="BNF278" s="314"/>
      <c r="BNG278" s="314"/>
      <c r="BNH278" s="314"/>
      <c r="BNI278" s="314"/>
      <c r="BNJ278" s="314"/>
      <c r="BNK278" s="314"/>
      <c r="BNL278" s="314"/>
      <c r="BNM278" s="314"/>
      <c r="BNN278" s="314"/>
      <c r="BNO278" s="314"/>
      <c r="BNP278" s="314"/>
      <c r="BNQ278" s="314"/>
      <c r="BNR278" s="314"/>
      <c r="BNS278" s="314"/>
      <c r="BNT278" s="314"/>
      <c r="BNU278" s="314"/>
      <c r="BNV278" s="314"/>
      <c r="BNW278" s="314"/>
      <c r="BNX278" s="314"/>
      <c r="BNY278" s="314"/>
      <c r="BNZ278" s="314"/>
      <c r="BOA278" s="314"/>
      <c r="BOB278" s="314"/>
      <c r="BOC278" s="314"/>
      <c r="BOD278" s="314"/>
      <c r="BOE278" s="314"/>
      <c r="BOF278" s="314"/>
      <c r="BOG278" s="314"/>
      <c r="BOH278" s="314"/>
      <c r="BOI278" s="314"/>
      <c r="BOJ278" s="314"/>
      <c r="BOK278" s="314"/>
      <c r="BOL278" s="314"/>
      <c r="BOM278" s="314"/>
      <c r="BON278" s="314"/>
      <c r="BOO278" s="314"/>
      <c r="BOP278" s="314"/>
      <c r="BOQ278" s="314"/>
      <c r="BOR278" s="314"/>
      <c r="BOS278" s="314"/>
      <c r="BOT278" s="314"/>
      <c r="BOU278" s="314"/>
      <c r="BOV278" s="314"/>
      <c r="BOW278" s="314"/>
      <c r="BOX278" s="314"/>
      <c r="BOY278" s="314"/>
      <c r="BOZ278" s="314"/>
      <c r="BPA278" s="314"/>
      <c r="BPB278" s="314"/>
      <c r="BPC278" s="314"/>
      <c r="BPD278" s="314"/>
      <c r="BPE278" s="314"/>
      <c r="BPF278" s="314"/>
      <c r="BPG278" s="314"/>
      <c r="BPH278" s="314"/>
      <c r="BPI278" s="314"/>
      <c r="BPJ278" s="314"/>
      <c r="BPK278" s="314"/>
      <c r="BPL278" s="314"/>
      <c r="BPM278" s="314"/>
      <c r="BPN278" s="314"/>
      <c r="BPO278" s="314"/>
      <c r="BPP278" s="314"/>
      <c r="BPQ278" s="314"/>
      <c r="BPR278" s="314"/>
      <c r="BPS278" s="314"/>
      <c r="BPT278" s="314"/>
      <c r="BPU278" s="314"/>
      <c r="BPV278" s="314"/>
      <c r="BPW278" s="314"/>
      <c r="BPX278" s="314"/>
      <c r="BPY278" s="314"/>
      <c r="BPZ278" s="314"/>
      <c r="BQA278" s="314"/>
      <c r="BQB278" s="314"/>
      <c r="BQC278" s="314"/>
      <c r="BQD278" s="314"/>
      <c r="BQE278" s="314"/>
      <c r="BQF278" s="314"/>
      <c r="BQG278" s="314"/>
      <c r="BQH278" s="314"/>
      <c r="BQI278" s="314"/>
      <c r="BQJ278" s="314"/>
      <c r="BQK278" s="314"/>
      <c r="BQL278" s="314"/>
      <c r="BQM278" s="314"/>
      <c r="BQN278" s="314"/>
      <c r="BQO278" s="314"/>
      <c r="BQP278" s="314"/>
      <c r="BQQ278" s="314"/>
      <c r="BQR278" s="314"/>
      <c r="BQS278" s="314"/>
      <c r="BQT278" s="314"/>
      <c r="BQU278" s="314"/>
      <c r="BQV278" s="314"/>
      <c r="BQW278" s="314"/>
      <c r="BQX278" s="314"/>
      <c r="BQY278" s="314"/>
      <c r="BQZ278" s="314"/>
      <c r="BRA278" s="314"/>
      <c r="BRB278" s="314"/>
      <c r="BRC278" s="314"/>
      <c r="BRD278" s="314"/>
      <c r="BRE278" s="314"/>
      <c r="BRF278" s="314"/>
      <c r="BRG278" s="314"/>
      <c r="BRH278" s="314"/>
      <c r="BRI278" s="314"/>
      <c r="BRJ278" s="314"/>
      <c r="BRK278" s="314"/>
      <c r="BRL278" s="314"/>
      <c r="BRM278" s="314"/>
      <c r="BRN278" s="314"/>
      <c r="BRO278" s="314"/>
      <c r="BRP278" s="314"/>
      <c r="BRQ278" s="314"/>
      <c r="BRR278" s="314"/>
      <c r="BRS278" s="314"/>
      <c r="BRT278" s="314"/>
      <c r="BRU278" s="314"/>
      <c r="BRV278" s="314"/>
      <c r="BRW278" s="314"/>
      <c r="BRX278" s="314"/>
      <c r="BRY278" s="314"/>
      <c r="BRZ278" s="314"/>
      <c r="BSA278" s="314"/>
      <c r="BSB278" s="314"/>
      <c r="BSC278" s="314"/>
      <c r="BSD278" s="314"/>
      <c r="BSE278" s="314"/>
      <c r="BSF278" s="314"/>
      <c r="BSG278" s="314"/>
      <c r="BSH278" s="314"/>
      <c r="BSI278" s="314"/>
      <c r="BSJ278" s="314"/>
      <c r="BSK278" s="314"/>
      <c r="BSL278" s="314"/>
      <c r="BSM278" s="314"/>
      <c r="BSN278" s="314"/>
      <c r="BSO278" s="314"/>
      <c r="BSP278" s="314"/>
      <c r="BSQ278" s="314"/>
      <c r="BSR278" s="314"/>
      <c r="BSS278" s="314"/>
      <c r="BST278" s="314"/>
      <c r="BSU278" s="314"/>
      <c r="BSV278" s="314"/>
      <c r="BSW278" s="314"/>
      <c r="BSX278" s="314"/>
      <c r="BSY278" s="314"/>
      <c r="BSZ278" s="314"/>
      <c r="BTA278" s="314"/>
      <c r="BTB278" s="314"/>
      <c r="BTC278" s="314"/>
      <c r="BTD278" s="314"/>
      <c r="BTE278" s="314"/>
      <c r="BTF278" s="314"/>
      <c r="BTG278" s="314"/>
      <c r="BTH278" s="314"/>
      <c r="BTI278" s="314"/>
      <c r="BTJ278" s="314"/>
      <c r="BTK278" s="314"/>
      <c r="BTL278" s="314"/>
      <c r="BTM278" s="314"/>
      <c r="BTN278" s="314"/>
      <c r="BTO278" s="314"/>
      <c r="BTP278" s="314"/>
      <c r="BTQ278" s="314"/>
      <c r="BTR278" s="314"/>
      <c r="BTS278" s="314"/>
      <c r="BTT278" s="314"/>
      <c r="BTU278" s="314"/>
      <c r="BTV278" s="314"/>
      <c r="BTW278" s="314"/>
      <c r="BTX278" s="314"/>
      <c r="BTY278" s="314"/>
      <c r="BTZ278" s="314"/>
      <c r="BUA278" s="314"/>
      <c r="BUB278" s="314"/>
      <c r="BUC278" s="314"/>
      <c r="BUD278" s="314"/>
      <c r="BUE278" s="314"/>
      <c r="BUF278" s="314"/>
      <c r="BUG278" s="314"/>
      <c r="BUH278" s="314"/>
      <c r="BUI278" s="314"/>
      <c r="BUJ278" s="314"/>
      <c r="BUK278" s="314"/>
      <c r="BUL278" s="314"/>
      <c r="BUM278" s="314"/>
      <c r="BUN278" s="314"/>
      <c r="BUO278" s="314"/>
      <c r="BUP278" s="314"/>
      <c r="BUQ278" s="314"/>
      <c r="BUR278" s="314"/>
      <c r="BUS278" s="314"/>
      <c r="BUT278" s="314"/>
      <c r="BUU278" s="314"/>
      <c r="BUV278" s="314"/>
      <c r="BUW278" s="314"/>
      <c r="BUX278" s="314"/>
      <c r="BUY278" s="314"/>
      <c r="BUZ278" s="314"/>
      <c r="BVA278" s="314"/>
      <c r="BVB278" s="314"/>
      <c r="BVC278" s="314"/>
      <c r="BVD278" s="314"/>
      <c r="BVE278" s="314"/>
      <c r="BVF278" s="314"/>
      <c r="BVG278" s="314"/>
      <c r="BVH278" s="314"/>
      <c r="BVI278" s="314"/>
      <c r="BVJ278" s="314"/>
      <c r="BVK278" s="314"/>
      <c r="BVL278" s="314"/>
      <c r="BVM278" s="314"/>
      <c r="BVN278" s="314"/>
      <c r="BVO278" s="314"/>
      <c r="BVP278" s="314"/>
      <c r="BVQ278" s="314"/>
      <c r="BVR278" s="314"/>
      <c r="BVS278" s="314"/>
      <c r="BVT278" s="314"/>
      <c r="BVU278" s="314"/>
      <c r="BVV278" s="314"/>
      <c r="BVW278" s="314"/>
      <c r="BVX278" s="314"/>
      <c r="BVY278" s="314"/>
      <c r="BVZ278" s="314"/>
      <c r="BWA278" s="314"/>
      <c r="BWB278" s="314"/>
      <c r="BWC278" s="314"/>
      <c r="BWD278" s="314"/>
      <c r="BWE278" s="314"/>
      <c r="BWF278" s="314"/>
      <c r="BWG278" s="314"/>
      <c r="BWH278" s="314"/>
      <c r="BWI278" s="314"/>
      <c r="BWJ278" s="314"/>
      <c r="BWK278" s="314"/>
      <c r="BWL278" s="314"/>
      <c r="BWM278" s="314"/>
      <c r="BWN278" s="314"/>
      <c r="BWO278" s="314"/>
      <c r="BWP278" s="314"/>
      <c r="BWQ278" s="314"/>
      <c r="BWR278" s="314"/>
      <c r="BWS278" s="314"/>
      <c r="BWT278" s="314"/>
      <c r="BWU278" s="314"/>
      <c r="BWV278" s="314"/>
      <c r="BWW278" s="314"/>
      <c r="BWX278" s="314"/>
      <c r="BWY278" s="314"/>
      <c r="BWZ278" s="314"/>
      <c r="BXA278" s="314"/>
      <c r="BXB278" s="314"/>
      <c r="BXC278" s="314"/>
      <c r="BXD278" s="314"/>
      <c r="BXE278" s="314"/>
      <c r="BXF278" s="314"/>
      <c r="BXG278" s="314"/>
      <c r="BXH278" s="314"/>
      <c r="BXI278" s="314"/>
      <c r="BXJ278" s="314"/>
      <c r="BXK278" s="314"/>
      <c r="BXL278" s="314"/>
      <c r="BXM278" s="314"/>
      <c r="BXN278" s="314"/>
      <c r="BXO278" s="314"/>
      <c r="BXP278" s="314"/>
      <c r="BXQ278" s="314"/>
      <c r="BXR278" s="314"/>
      <c r="BXS278" s="314"/>
      <c r="BXT278" s="314"/>
      <c r="BXU278" s="314"/>
      <c r="BXV278" s="314"/>
      <c r="BXW278" s="314"/>
      <c r="BXX278" s="314"/>
      <c r="BXY278" s="314"/>
      <c r="BXZ278" s="314"/>
      <c r="BYA278" s="314"/>
      <c r="BYB278" s="314"/>
      <c r="BYC278" s="314"/>
      <c r="BYD278" s="314"/>
      <c r="BYE278" s="314"/>
      <c r="BYF278" s="314"/>
      <c r="BYG278" s="314"/>
      <c r="BYH278" s="314"/>
      <c r="BYI278" s="314"/>
      <c r="BYJ278" s="314"/>
      <c r="BYK278" s="314"/>
      <c r="BYL278" s="314"/>
      <c r="BYM278" s="314"/>
      <c r="BYN278" s="314"/>
      <c r="BYO278" s="314"/>
      <c r="BYP278" s="314"/>
      <c r="BYQ278" s="314"/>
      <c r="BYR278" s="314"/>
      <c r="BYS278" s="314"/>
      <c r="BYT278" s="314"/>
      <c r="BYU278" s="314"/>
      <c r="BYV278" s="314"/>
      <c r="BYW278" s="314"/>
      <c r="BYX278" s="314"/>
      <c r="BYY278" s="314"/>
      <c r="BYZ278" s="314"/>
      <c r="BZA278" s="314"/>
      <c r="BZB278" s="314"/>
      <c r="BZC278" s="314"/>
      <c r="BZD278" s="314"/>
      <c r="BZE278" s="314"/>
      <c r="BZF278" s="314"/>
      <c r="BZG278" s="314"/>
      <c r="BZH278" s="314"/>
      <c r="BZI278" s="314"/>
      <c r="BZJ278" s="314"/>
      <c r="BZK278" s="314"/>
      <c r="BZL278" s="314"/>
      <c r="BZM278" s="314"/>
      <c r="BZN278" s="314"/>
      <c r="BZO278" s="314"/>
      <c r="BZP278" s="314"/>
      <c r="BZQ278" s="314"/>
      <c r="BZR278" s="314"/>
      <c r="BZS278" s="314"/>
      <c r="BZT278" s="314"/>
      <c r="BZU278" s="314"/>
      <c r="BZV278" s="314"/>
      <c r="BZW278" s="314"/>
      <c r="BZX278" s="314"/>
      <c r="BZY278" s="314"/>
      <c r="BZZ278" s="314"/>
      <c r="CAA278" s="314"/>
      <c r="CAB278" s="314"/>
      <c r="CAC278" s="314"/>
      <c r="CAD278" s="314"/>
      <c r="CAE278" s="314"/>
      <c r="CAF278" s="314"/>
      <c r="CAG278" s="314"/>
      <c r="CAH278" s="314"/>
      <c r="CAI278" s="314"/>
      <c r="CAJ278" s="314"/>
      <c r="CAK278" s="314"/>
      <c r="CAL278" s="314"/>
      <c r="CAM278" s="314"/>
      <c r="CAN278" s="314"/>
      <c r="CAO278" s="314"/>
      <c r="CAP278" s="314"/>
      <c r="CAQ278" s="314"/>
      <c r="CAR278" s="314"/>
      <c r="CAS278" s="314"/>
      <c r="CAT278" s="314"/>
      <c r="CAU278" s="314"/>
      <c r="CAV278" s="314"/>
      <c r="CAW278" s="314"/>
      <c r="CAX278" s="314"/>
      <c r="CAY278" s="314"/>
      <c r="CAZ278" s="314"/>
      <c r="CBA278" s="314"/>
      <c r="CBB278" s="314"/>
      <c r="CBC278" s="314"/>
      <c r="CBD278" s="314"/>
      <c r="CBE278" s="314"/>
      <c r="CBF278" s="314"/>
      <c r="CBG278" s="314"/>
      <c r="CBH278" s="314"/>
      <c r="CBI278" s="314"/>
      <c r="CBJ278" s="314"/>
      <c r="CBK278" s="314"/>
      <c r="CBL278" s="314"/>
      <c r="CBM278" s="314"/>
      <c r="CBN278" s="314"/>
      <c r="CBO278" s="314"/>
      <c r="CBP278" s="314"/>
      <c r="CBQ278" s="314"/>
      <c r="CBR278" s="314"/>
      <c r="CBS278" s="314"/>
      <c r="CBT278" s="314"/>
      <c r="CBU278" s="314"/>
      <c r="CBV278" s="314"/>
      <c r="CBW278" s="314"/>
      <c r="CBX278" s="314"/>
      <c r="CBY278" s="314"/>
      <c r="CBZ278" s="314"/>
      <c r="CCA278" s="314"/>
      <c r="CCB278" s="314"/>
      <c r="CCC278" s="314"/>
      <c r="CCD278" s="314"/>
      <c r="CCE278" s="314"/>
      <c r="CCF278" s="314"/>
      <c r="CCG278" s="314"/>
      <c r="CCH278" s="314"/>
      <c r="CCI278" s="314"/>
      <c r="CCJ278" s="314"/>
      <c r="CCK278" s="314"/>
      <c r="CCL278" s="314"/>
      <c r="CCM278" s="314"/>
      <c r="CCN278" s="314"/>
      <c r="CCO278" s="314"/>
      <c r="CCP278" s="314"/>
      <c r="CCQ278" s="314"/>
      <c r="CCR278" s="314"/>
      <c r="CCS278" s="314"/>
      <c r="CCT278" s="314"/>
      <c r="CCU278" s="314"/>
      <c r="CCV278" s="314"/>
      <c r="CCW278" s="314"/>
      <c r="CCX278" s="314"/>
      <c r="CCY278" s="314"/>
      <c r="CCZ278" s="314"/>
      <c r="CDA278" s="314"/>
      <c r="CDB278" s="314"/>
      <c r="CDC278" s="314"/>
      <c r="CDD278" s="314"/>
      <c r="CDE278" s="314"/>
      <c r="CDF278" s="314"/>
      <c r="CDG278" s="314"/>
      <c r="CDH278" s="314"/>
      <c r="CDI278" s="314"/>
      <c r="CDJ278" s="314"/>
      <c r="CDK278" s="314"/>
      <c r="CDL278" s="314"/>
      <c r="CDM278" s="314"/>
      <c r="CDN278" s="314"/>
      <c r="CDO278" s="314"/>
      <c r="CDP278" s="314"/>
      <c r="CDQ278" s="314"/>
      <c r="CDR278" s="314"/>
      <c r="CDS278" s="314"/>
      <c r="CDT278" s="314"/>
      <c r="CDU278" s="314"/>
      <c r="CDV278" s="314"/>
      <c r="CDW278" s="314"/>
      <c r="CDX278" s="314"/>
      <c r="CDY278" s="314"/>
      <c r="CDZ278" s="314"/>
      <c r="CEA278" s="314"/>
      <c r="CEB278" s="314"/>
      <c r="CEC278" s="314"/>
      <c r="CED278" s="314"/>
      <c r="CEE278" s="314"/>
      <c r="CEF278" s="314"/>
      <c r="CEG278" s="314"/>
      <c r="CEH278" s="314"/>
      <c r="CEI278" s="314"/>
      <c r="CEJ278" s="314"/>
      <c r="CEK278" s="314"/>
      <c r="CEL278" s="314"/>
      <c r="CEM278" s="314"/>
      <c r="CEN278" s="314"/>
      <c r="CEO278" s="314"/>
      <c r="CEP278" s="314"/>
      <c r="CEQ278" s="314"/>
      <c r="CER278" s="314"/>
      <c r="CES278" s="314"/>
      <c r="CET278" s="314"/>
      <c r="CEU278" s="314"/>
      <c r="CEV278" s="314"/>
      <c r="CEW278" s="314"/>
      <c r="CEX278" s="314"/>
      <c r="CEY278" s="314"/>
      <c r="CEZ278" s="314"/>
      <c r="CFA278" s="314"/>
      <c r="CFB278" s="314"/>
      <c r="CFC278" s="314"/>
      <c r="CFD278" s="314"/>
      <c r="CFE278" s="314"/>
      <c r="CFF278" s="314"/>
      <c r="CFG278" s="314"/>
      <c r="CFH278" s="314"/>
      <c r="CFI278" s="314"/>
      <c r="CFJ278" s="314"/>
      <c r="CFK278" s="314"/>
      <c r="CFL278" s="314"/>
      <c r="CFM278" s="314"/>
      <c r="CFN278" s="314"/>
      <c r="CFO278" s="314"/>
      <c r="CFP278" s="314"/>
      <c r="CFQ278" s="314"/>
      <c r="CFR278" s="314"/>
      <c r="CFS278" s="314"/>
      <c r="CFT278" s="314"/>
      <c r="CFU278" s="314"/>
      <c r="CFV278" s="314"/>
      <c r="CFW278" s="314"/>
      <c r="CFX278" s="314"/>
      <c r="CFY278" s="314"/>
      <c r="CFZ278" s="314"/>
      <c r="CGA278" s="314"/>
      <c r="CGB278" s="314"/>
      <c r="CGC278" s="314"/>
      <c r="CGD278" s="314"/>
      <c r="CGE278" s="314"/>
      <c r="CGF278" s="314"/>
      <c r="CGG278" s="314"/>
      <c r="CGH278" s="314"/>
      <c r="CGI278" s="314"/>
      <c r="CGJ278" s="314"/>
      <c r="CGK278" s="314"/>
      <c r="CGL278" s="314"/>
      <c r="CGM278" s="314"/>
      <c r="CGN278" s="314"/>
      <c r="CGO278" s="314"/>
      <c r="CGP278" s="314"/>
      <c r="CGQ278" s="314"/>
      <c r="CGR278" s="314"/>
      <c r="CGS278" s="314"/>
      <c r="CGT278" s="314"/>
      <c r="CGU278" s="314"/>
      <c r="CGV278" s="314"/>
      <c r="CGW278" s="314"/>
      <c r="CGX278" s="314"/>
      <c r="CGY278" s="314"/>
      <c r="CGZ278" s="314"/>
      <c r="CHA278" s="314"/>
      <c r="CHB278" s="314"/>
      <c r="CHC278" s="314"/>
      <c r="CHD278" s="314"/>
      <c r="CHE278" s="314"/>
      <c r="CHF278" s="314"/>
      <c r="CHG278" s="314"/>
      <c r="CHH278" s="314"/>
      <c r="CHI278" s="314"/>
      <c r="CHJ278" s="314"/>
      <c r="CHK278" s="314"/>
      <c r="CHL278" s="314"/>
      <c r="CHM278" s="314"/>
      <c r="CHN278" s="314"/>
      <c r="CHO278" s="314"/>
      <c r="CHP278" s="314"/>
      <c r="CHQ278" s="314"/>
      <c r="CHR278" s="314"/>
      <c r="CHS278" s="314"/>
      <c r="CHT278" s="314"/>
      <c r="CHU278" s="314"/>
      <c r="CHV278" s="314"/>
      <c r="CHW278" s="314"/>
      <c r="CHX278" s="314"/>
      <c r="CHY278" s="314"/>
      <c r="CHZ278" s="314"/>
      <c r="CIA278" s="314"/>
      <c r="CIB278" s="314"/>
      <c r="CIC278" s="314"/>
      <c r="CID278" s="314"/>
      <c r="CIE278" s="314"/>
      <c r="CIF278" s="314"/>
      <c r="CIG278" s="314"/>
      <c r="CIH278" s="314"/>
      <c r="CII278" s="314"/>
      <c r="CIJ278" s="314"/>
      <c r="CIK278" s="314"/>
      <c r="CIL278" s="314"/>
      <c r="CIM278" s="314"/>
      <c r="CIN278" s="314"/>
      <c r="CIO278" s="314"/>
      <c r="CIP278" s="314"/>
      <c r="CIQ278" s="314"/>
      <c r="CIR278" s="314"/>
      <c r="CIS278" s="314"/>
      <c r="CIT278" s="314"/>
      <c r="CIU278" s="314"/>
      <c r="CIV278" s="314"/>
      <c r="CIW278" s="314"/>
      <c r="CIX278" s="314"/>
      <c r="CIY278" s="314"/>
      <c r="CIZ278" s="314"/>
      <c r="CJA278" s="314"/>
      <c r="CJB278" s="314"/>
      <c r="CJC278" s="314"/>
      <c r="CJD278" s="314"/>
      <c r="CJE278" s="314"/>
      <c r="CJF278" s="314"/>
      <c r="CJG278" s="314"/>
      <c r="CJH278" s="314"/>
      <c r="CJI278" s="314"/>
      <c r="CJJ278" s="314"/>
      <c r="CJK278" s="314"/>
      <c r="CJL278" s="314"/>
      <c r="CJM278" s="314"/>
      <c r="CJN278" s="314"/>
      <c r="CJO278" s="314"/>
      <c r="CJP278" s="314"/>
      <c r="CJQ278" s="314"/>
      <c r="CJR278" s="314"/>
      <c r="CJS278" s="314"/>
      <c r="CJT278" s="314"/>
      <c r="CJU278" s="314"/>
      <c r="CJV278" s="314"/>
      <c r="CJW278" s="314"/>
      <c r="CJX278" s="314"/>
      <c r="CJY278" s="314"/>
      <c r="CJZ278" s="314"/>
      <c r="CKA278" s="314"/>
      <c r="CKB278" s="314"/>
      <c r="CKC278" s="314"/>
      <c r="CKD278" s="314"/>
      <c r="CKE278" s="314"/>
      <c r="CKF278" s="314"/>
      <c r="CKG278" s="314"/>
      <c r="CKH278" s="314"/>
      <c r="CKI278" s="314"/>
      <c r="CKJ278" s="314"/>
      <c r="CKK278" s="314"/>
      <c r="CKL278" s="314"/>
      <c r="CKM278" s="314"/>
      <c r="CKN278" s="314"/>
      <c r="CKO278" s="314"/>
      <c r="CKP278" s="314"/>
      <c r="CKQ278" s="314"/>
      <c r="CKR278" s="314"/>
      <c r="CKS278" s="314"/>
      <c r="CKT278" s="314"/>
      <c r="CKU278" s="314"/>
      <c r="CKV278" s="314"/>
      <c r="CKW278" s="314"/>
      <c r="CKX278" s="314"/>
      <c r="CKY278" s="314"/>
      <c r="CKZ278" s="314"/>
      <c r="CLA278" s="314"/>
      <c r="CLB278" s="314"/>
      <c r="CLC278" s="314"/>
      <c r="CLD278" s="314"/>
      <c r="CLE278" s="314"/>
      <c r="CLF278" s="314"/>
      <c r="CLG278" s="314"/>
      <c r="CLH278" s="314"/>
      <c r="CLI278" s="314"/>
      <c r="CLJ278" s="314"/>
      <c r="CLK278" s="314"/>
      <c r="CLL278" s="314"/>
      <c r="CLM278" s="314"/>
      <c r="CLN278" s="314"/>
      <c r="CLO278" s="314"/>
      <c r="CLP278" s="314"/>
      <c r="CLQ278" s="314"/>
      <c r="CLR278" s="314"/>
      <c r="CLS278" s="314"/>
      <c r="CLT278" s="314"/>
      <c r="CLU278" s="314"/>
      <c r="CLV278" s="314"/>
      <c r="CLW278" s="314"/>
      <c r="CLX278" s="314"/>
      <c r="CLY278" s="314"/>
      <c r="CLZ278" s="314"/>
      <c r="CMA278" s="314"/>
      <c r="CMB278" s="314"/>
      <c r="CMC278" s="314"/>
      <c r="CMD278" s="314"/>
      <c r="CME278" s="314"/>
      <c r="CMF278" s="314"/>
      <c r="CMG278" s="314"/>
      <c r="CMH278" s="314"/>
      <c r="CMI278" s="314"/>
      <c r="CMJ278" s="314"/>
      <c r="CMK278" s="314"/>
      <c r="CML278" s="314"/>
      <c r="CMM278" s="314"/>
      <c r="CMN278" s="314"/>
      <c r="CMO278" s="314"/>
      <c r="CMP278" s="314"/>
      <c r="CMQ278" s="314"/>
      <c r="CMR278" s="314"/>
      <c r="CMS278" s="314"/>
      <c r="CMT278" s="314"/>
      <c r="CMU278" s="314"/>
      <c r="CMV278" s="314"/>
      <c r="CMW278" s="314"/>
      <c r="CMX278" s="314"/>
      <c r="CMY278" s="314"/>
      <c r="CMZ278" s="314"/>
      <c r="CNA278" s="314"/>
      <c r="CNB278" s="314"/>
      <c r="CNC278" s="314"/>
      <c r="CND278" s="314"/>
      <c r="CNE278" s="314"/>
      <c r="CNF278" s="314"/>
      <c r="CNG278" s="314"/>
      <c r="CNH278" s="314"/>
      <c r="CNI278" s="314"/>
      <c r="CNJ278" s="314"/>
      <c r="CNK278" s="314"/>
      <c r="CNL278" s="314"/>
      <c r="CNM278" s="314"/>
      <c r="CNN278" s="314"/>
      <c r="CNO278" s="314"/>
      <c r="CNP278" s="314"/>
      <c r="CNQ278" s="314"/>
      <c r="CNR278" s="314"/>
      <c r="CNS278" s="314"/>
      <c r="CNT278" s="314"/>
      <c r="CNU278" s="314"/>
      <c r="CNV278" s="314"/>
      <c r="CNW278" s="314"/>
      <c r="CNX278" s="314"/>
      <c r="CNY278" s="314"/>
      <c r="CNZ278" s="314"/>
      <c r="COA278" s="314"/>
      <c r="COB278" s="314"/>
      <c r="COC278" s="314"/>
      <c r="COD278" s="314"/>
      <c r="COE278" s="314"/>
      <c r="COF278" s="314"/>
      <c r="COG278" s="314"/>
      <c r="COH278" s="314"/>
      <c r="COI278" s="314"/>
      <c r="COJ278" s="314"/>
      <c r="COK278" s="314"/>
      <c r="COL278" s="314"/>
      <c r="COM278" s="314"/>
      <c r="CON278" s="314"/>
      <c r="COO278" s="314"/>
      <c r="COP278" s="314"/>
      <c r="COQ278" s="314"/>
      <c r="COR278" s="314"/>
      <c r="COS278" s="314"/>
      <c r="COT278" s="314"/>
      <c r="COU278" s="314"/>
      <c r="COV278" s="314"/>
      <c r="COW278" s="314"/>
      <c r="COX278" s="314"/>
      <c r="COY278" s="314"/>
      <c r="COZ278" s="314"/>
      <c r="CPA278" s="314"/>
      <c r="CPB278" s="314"/>
      <c r="CPC278" s="314"/>
      <c r="CPD278" s="314"/>
      <c r="CPE278" s="314"/>
      <c r="CPF278" s="314"/>
      <c r="CPG278" s="314"/>
      <c r="CPH278" s="314"/>
      <c r="CPI278" s="314"/>
      <c r="CPJ278" s="314"/>
      <c r="CPK278" s="314"/>
      <c r="CPL278" s="314"/>
      <c r="CPM278" s="314"/>
      <c r="CPN278" s="314"/>
      <c r="CPO278" s="314"/>
      <c r="CPP278" s="314"/>
      <c r="CPQ278" s="314"/>
      <c r="CPR278" s="314"/>
      <c r="CPS278" s="314"/>
      <c r="CPT278" s="314"/>
      <c r="CPU278" s="314"/>
      <c r="CPV278" s="314"/>
      <c r="CPW278" s="314"/>
      <c r="CPX278" s="314"/>
      <c r="CPY278" s="314"/>
      <c r="CPZ278" s="314"/>
      <c r="CQA278" s="314"/>
      <c r="CQB278" s="314"/>
      <c r="CQC278" s="314"/>
      <c r="CQD278" s="314"/>
      <c r="CQE278" s="314"/>
      <c r="CQF278" s="314"/>
      <c r="CQG278" s="314"/>
      <c r="CQH278" s="314"/>
      <c r="CQI278" s="314"/>
      <c r="CQJ278" s="314"/>
      <c r="CQK278" s="314"/>
      <c r="CQL278" s="314"/>
      <c r="CQM278" s="314"/>
      <c r="CQN278" s="314"/>
      <c r="CQO278" s="314"/>
      <c r="CQP278" s="314"/>
      <c r="CQQ278" s="314"/>
      <c r="CQR278" s="314"/>
      <c r="CQS278" s="314"/>
      <c r="CQT278" s="314"/>
      <c r="CQU278" s="314"/>
      <c r="CQV278" s="314"/>
      <c r="CQW278" s="314"/>
      <c r="CQX278" s="314"/>
      <c r="CQY278" s="314"/>
      <c r="CQZ278" s="314"/>
      <c r="CRA278" s="314"/>
      <c r="CRB278" s="314"/>
      <c r="CRC278" s="314"/>
      <c r="CRD278" s="314"/>
      <c r="CRE278" s="314"/>
      <c r="CRF278" s="314"/>
      <c r="CRG278" s="314"/>
      <c r="CRH278" s="314"/>
      <c r="CRI278" s="314"/>
      <c r="CRJ278" s="314"/>
      <c r="CRK278" s="314"/>
      <c r="CRL278" s="314"/>
      <c r="CRM278" s="314"/>
      <c r="CRN278" s="314"/>
      <c r="CRO278" s="314"/>
      <c r="CRP278" s="314"/>
      <c r="CRQ278" s="314"/>
      <c r="CRR278" s="314"/>
      <c r="CRS278" s="314"/>
      <c r="CRT278" s="314"/>
      <c r="CRU278" s="314"/>
      <c r="CRV278" s="314"/>
      <c r="CRW278" s="314"/>
      <c r="CRX278" s="314"/>
      <c r="CRY278" s="314"/>
      <c r="CRZ278" s="314"/>
      <c r="CSA278" s="314"/>
      <c r="CSB278" s="314"/>
      <c r="CSC278" s="314"/>
      <c r="CSD278" s="314"/>
      <c r="CSE278" s="314"/>
      <c r="CSF278" s="314"/>
      <c r="CSG278" s="314"/>
      <c r="CSH278" s="314"/>
      <c r="CSI278" s="314"/>
      <c r="CSJ278" s="314"/>
      <c r="CSK278" s="314"/>
      <c r="CSL278" s="314"/>
      <c r="CSM278" s="314"/>
      <c r="CSN278" s="314"/>
      <c r="CSO278" s="314"/>
      <c r="CSP278" s="314"/>
      <c r="CSQ278" s="314"/>
      <c r="CSR278" s="314"/>
      <c r="CSS278" s="314"/>
      <c r="CST278" s="314"/>
      <c r="CSU278" s="314"/>
      <c r="CSV278" s="314"/>
      <c r="CSW278" s="314"/>
      <c r="CSX278" s="314"/>
      <c r="CSY278" s="314"/>
      <c r="CSZ278" s="314"/>
      <c r="CTA278" s="314"/>
      <c r="CTB278" s="314"/>
      <c r="CTC278" s="314"/>
      <c r="CTD278" s="314"/>
      <c r="CTE278" s="314"/>
      <c r="CTF278" s="314"/>
      <c r="CTG278" s="314"/>
      <c r="CTH278" s="314"/>
      <c r="CTI278" s="314"/>
      <c r="CTJ278" s="314"/>
      <c r="CTK278" s="314"/>
      <c r="CTL278" s="314"/>
      <c r="CTM278" s="314"/>
      <c r="CTN278" s="314"/>
      <c r="CTO278" s="314"/>
      <c r="CTP278" s="314"/>
      <c r="CTQ278" s="314"/>
      <c r="CTR278" s="314"/>
      <c r="CTS278" s="314"/>
      <c r="CTT278" s="314"/>
      <c r="CTU278" s="314"/>
      <c r="CTV278" s="314"/>
      <c r="CTW278" s="314"/>
      <c r="CTX278" s="314"/>
      <c r="CTY278" s="314"/>
      <c r="CTZ278" s="314"/>
      <c r="CUA278" s="314"/>
      <c r="CUB278" s="314"/>
      <c r="CUC278" s="314"/>
      <c r="CUD278" s="314"/>
      <c r="CUE278" s="314"/>
      <c r="CUF278" s="314"/>
      <c r="CUG278" s="314"/>
      <c r="CUH278" s="314"/>
      <c r="CUI278" s="314"/>
      <c r="CUJ278" s="314"/>
      <c r="CUK278" s="314"/>
      <c r="CUL278" s="314"/>
      <c r="CUM278" s="314"/>
      <c r="CUN278" s="314"/>
      <c r="CUO278" s="314"/>
      <c r="CUP278" s="314"/>
      <c r="CUQ278" s="314"/>
      <c r="CUR278" s="314"/>
      <c r="CUS278" s="314"/>
      <c r="CUT278" s="314"/>
      <c r="CUU278" s="314"/>
      <c r="CUV278" s="314"/>
      <c r="CUW278" s="314"/>
      <c r="CUX278" s="314"/>
      <c r="CUY278" s="314"/>
      <c r="CUZ278" s="314"/>
      <c r="CVA278" s="314"/>
      <c r="CVB278" s="314"/>
      <c r="CVC278" s="314"/>
      <c r="CVD278" s="314"/>
      <c r="CVE278" s="314"/>
      <c r="CVF278" s="314"/>
      <c r="CVG278" s="314"/>
      <c r="CVH278" s="314"/>
      <c r="CVI278" s="314"/>
      <c r="CVJ278" s="314"/>
      <c r="CVK278" s="314"/>
      <c r="CVL278" s="314"/>
      <c r="CVM278" s="314"/>
      <c r="CVN278" s="314"/>
      <c r="CVO278" s="314"/>
      <c r="CVP278" s="314"/>
      <c r="CVQ278" s="314"/>
      <c r="CVR278" s="314"/>
      <c r="CVS278" s="314"/>
      <c r="CVT278" s="314"/>
      <c r="CVU278" s="314"/>
      <c r="CVV278" s="314"/>
      <c r="CVW278" s="314"/>
      <c r="CVX278" s="314"/>
      <c r="CVY278" s="314"/>
      <c r="CVZ278" s="314"/>
      <c r="CWA278" s="314"/>
      <c r="CWB278" s="314"/>
      <c r="CWC278" s="314"/>
      <c r="CWD278" s="314"/>
      <c r="CWE278" s="314"/>
      <c r="CWF278" s="314"/>
      <c r="CWG278" s="314"/>
      <c r="CWH278" s="314"/>
      <c r="CWI278" s="314"/>
      <c r="CWJ278" s="314"/>
      <c r="CWK278" s="314"/>
      <c r="CWL278" s="314"/>
      <c r="CWM278" s="314"/>
      <c r="CWN278" s="314"/>
      <c r="CWO278" s="314"/>
      <c r="CWP278" s="314"/>
      <c r="CWQ278" s="314"/>
      <c r="CWR278" s="314"/>
      <c r="CWS278" s="314"/>
      <c r="CWT278" s="314"/>
      <c r="CWU278" s="314"/>
      <c r="CWV278" s="314"/>
      <c r="CWW278" s="314"/>
      <c r="CWX278" s="314"/>
      <c r="CWY278" s="314"/>
      <c r="CWZ278" s="314"/>
      <c r="CXA278" s="314"/>
      <c r="CXB278" s="314"/>
      <c r="CXC278" s="314"/>
      <c r="CXD278" s="314"/>
      <c r="CXE278" s="314"/>
      <c r="CXF278" s="314"/>
      <c r="CXG278" s="314"/>
      <c r="CXH278" s="314"/>
      <c r="CXI278" s="314"/>
      <c r="CXJ278" s="314"/>
      <c r="CXK278" s="314"/>
      <c r="CXL278" s="314"/>
      <c r="CXM278" s="314"/>
      <c r="CXN278" s="314"/>
      <c r="CXO278" s="314"/>
      <c r="CXP278" s="314"/>
      <c r="CXQ278" s="314"/>
      <c r="CXR278" s="314"/>
      <c r="CXS278" s="314"/>
      <c r="CXT278" s="314"/>
      <c r="CXU278" s="314"/>
      <c r="CXV278" s="314"/>
      <c r="CXW278" s="314"/>
      <c r="CXX278" s="314"/>
      <c r="CXY278" s="314"/>
      <c r="CXZ278" s="314"/>
      <c r="CYA278" s="314"/>
      <c r="CYB278" s="314"/>
      <c r="CYC278" s="314"/>
      <c r="CYD278" s="314"/>
      <c r="CYE278" s="314"/>
      <c r="CYF278" s="314"/>
      <c r="CYG278" s="314"/>
      <c r="CYH278" s="314"/>
      <c r="CYI278" s="314"/>
      <c r="CYJ278" s="314"/>
      <c r="CYK278" s="314"/>
      <c r="CYL278" s="314"/>
      <c r="CYM278" s="314"/>
      <c r="CYN278" s="314"/>
      <c r="CYO278" s="314"/>
      <c r="CYP278" s="314"/>
      <c r="CYQ278" s="314"/>
      <c r="CYR278" s="314"/>
      <c r="CYS278" s="314"/>
      <c r="CYT278" s="314"/>
      <c r="CYU278" s="314"/>
      <c r="CYV278" s="314"/>
      <c r="CYW278" s="314"/>
      <c r="CYX278" s="314"/>
      <c r="CYY278" s="314"/>
      <c r="CYZ278" s="314"/>
      <c r="CZA278" s="314"/>
      <c r="CZB278" s="314"/>
      <c r="CZC278" s="314"/>
      <c r="CZD278" s="314"/>
      <c r="CZE278" s="314"/>
      <c r="CZF278" s="314"/>
      <c r="CZG278" s="314"/>
      <c r="CZH278" s="314"/>
      <c r="CZI278" s="314"/>
      <c r="CZJ278" s="314"/>
      <c r="CZK278" s="314"/>
      <c r="CZL278" s="314"/>
      <c r="CZM278" s="314"/>
      <c r="CZN278" s="314"/>
      <c r="CZO278" s="314"/>
      <c r="CZP278" s="314"/>
      <c r="CZQ278" s="314"/>
      <c r="CZR278" s="314"/>
      <c r="CZS278" s="314"/>
      <c r="CZT278" s="314"/>
      <c r="CZU278" s="314"/>
      <c r="CZV278" s="314"/>
      <c r="CZW278" s="314"/>
      <c r="CZX278" s="314"/>
      <c r="CZY278" s="314"/>
      <c r="CZZ278" s="314"/>
      <c r="DAA278" s="314"/>
      <c r="DAB278" s="314"/>
      <c r="DAC278" s="314"/>
      <c r="DAD278" s="314"/>
      <c r="DAE278" s="314"/>
      <c r="DAF278" s="314"/>
      <c r="DAG278" s="314"/>
      <c r="DAH278" s="314"/>
      <c r="DAI278" s="314"/>
      <c r="DAJ278" s="314"/>
      <c r="DAK278" s="314"/>
      <c r="DAL278" s="314"/>
      <c r="DAM278" s="314"/>
      <c r="DAN278" s="314"/>
      <c r="DAO278" s="314"/>
      <c r="DAP278" s="314"/>
      <c r="DAQ278" s="314"/>
      <c r="DAR278" s="314"/>
      <c r="DAS278" s="314"/>
      <c r="DAT278" s="314"/>
      <c r="DAU278" s="314"/>
      <c r="DAV278" s="314"/>
      <c r="DAW278" s="314"/>
      <c r="DAX278" s="314"/>
      <c r="DAY278" s="314"/>
      <c r="DAZ278" s="314"/>
      <c r="DBA278" s="314"/>
      <c r="DBB278" s="314"/>
      <c r="DBC278" s="314"/>
      <c r="DBD278" s="314"/>
      <c r="DBE278" s="314"/>
      <c r="DBF278" s="314"/>
      <c r="DBG278" s="314"/>
      <c r="DBH278" s="314"/>
      <c r="DBI278" s="314"/>
      <c r="DBJ278" s="314"/>
      <c r="DBK278" s="314"/>
      <c r="DBL278" s="314"/>
      <c r="DBM278" s="314"/>
      <c r="DBN278" s="314"/>
      <c r="DBO278" s="314"/>
      <c r="DBP278" s="314"/>
      <c r="DBQ278" s="314"/>
      <c r="DBR278" s="314"/>
      <c r="DBS278" s="314"/>
      <c r="DBT278" s="314"/>
      <c r="DBU278" s="314"/>
      <c r="DBV278" s="314"/>
      <c r="DBW278" s="314"/>
      <c r="DBX278" s="314"/>
      <c r="DBY278" s="314"/>
      <c r="DBZ278" s="314"/>
      <c r="DCA278" s="314"/>
      <c r="DCB278" s="314"/>
      <c r="DCC278" s="314"/>
      <c r="DCD278" s="314"/>
      <c r="DCE278" s="314"/>
      <c r="DCF278" s="314"/>
      <c r="DCG278" s="314"/>
      <c r="DCH278" s="314"/>
      <c r="DCI278" s="314"/>
      <c r="DCJ278" s="314"/>
      <c r="DCK278" s="314"/>
      <c r="DCL278" s="314"/>
      <c r="DCM278" s="314"/>
      <c r="DCN278" s="314"/>
      <c r="DCO278" s="314"/>
      <c r="DCP278" s="314"/>
      <c r="DCQ278" s="314"/>
      <c r="DCR278" s="314"/>
      <c r="DCS278" s="314"/>
      <c r="DCT278" s="314"/>
      <c r="DCU278" s="314"/>
      <c r="DCV278" s="314"/>
      <c r="DCW278" s="314"/>
      <c r="DCX278" s="314"/>
      <c r="DCY278" s="314"/>
      <c r="DCZ278" s="314"/>
      <c r="DDA278" s="314"/>
      <c r="DDB278" s="314"/>
      <c r="DDC278" s="314"/>
      <c r="DDD278" s="314"/>
      <c r="DDE278" s="314"/>
      <c r="DDF278" s="314"/>
      <c r="DDG278" s="314"/>
      <c r="DDH278" s="314"/>
      <c r="DDI278" s="314"/>
      <c r="DDJ278" s="314"/>
      <c r="DDK278" s="314"/>
      <c r="DDL278" s="314"/>
      <c r="DDM278" s="314"/>
      <c r="DDN278" s="314"/>
      <c r="DDO278" s="314"/>
      <c r="DDP278" s="314"/>
      <c r="DDQ278" s="314"/>
      <c r="DDR278" s="314"/>
      <c r="DDS278" s="314"/>
      <c r="DDT278" s="314"/>
      <c r="DDU278" s="314"/>
      <c r="DDV278" s="314"/>
      <c r="DDW278" s="314"/>
      <c r="DDX278" s="314"/>
      <c r="DDY278" s="314"/>
      <c r="DDZ278" s="314"/>
      <c r="DEA278" s="314"/>
      <c r="DEB278" s="314"/>
      <c r="DEC278" s="314"/>
      <c r="DED278" s="314"/>
      <c r="DEE278" s="314"/>
      <c r="DEF278" s="314"/>
      <c r="DEG278" s="314"/>
      <c r="DEH278" s="314"/>
      <c r="DEI278" s="314"/>
      <c r="DEJ278" s="314"/>
      <c r="DEK278" s="314"/>
      <c r="DEL278" s="314"/>
      <c r="DEM278" s="314"/>
      <c r="DEN278" s="314"/>
      <c r="DEO278" s="314"/>
      <c r="DEP278" s="314"/>
      <c r="DEQ278" s="314"/>
      <c r="DER278" s="314"/>
      <c r="DES278" s="314"/>
      <c r="DET278" s="314"/>
      <c r="DEU278" s="314"/>
      <c r="DEV278" s="314"/>
      <c r="DEW278" s="314"/>
      <c r="DEX278" s="314"/>
      <c r="DEY278" s="314"/>
      <c r="DEZ278" s="314"/>
      <c r="DFA278" s="314"/>
      <c r="DFB278" s="314"/>
      <c r="DFC278" s="314"/>
      <c r="DFD278" s="314"/>
      <c r="DFE278" s="314"/>
      <c r="DFF278" s="314"/>
      <c r="DFG278" s="314"/>
      <c r="DFH278" s="314"/>
      <c r="DFI278" s="314"/>
      <c r="DFJ278" s="314"/>
      <c r="DFK278" s="314"/>
      <c r="DFL278" s="314"/>
      <c r="DFM278" s="314"/>
      <c r="DFN278" s="314"/>
      <c r="DFO278" s="314"/>
      <c r="DFP278" s="314"/>
      <c r="DFQ278" s="314"/>
      <c r="DFR278" s="314"/>
      <c r="DFS278" s="314"/>
      <c r="DFT278" s="314"/>
      <c r="DFU278" s="314"/>
      <c r="DFV278" s="314"/>
      <c r="DFW278" s="314"/>
      <c r="DFX278" s="314"/>
      <c r="DFY278" s="314"/>
      <c r="DFZ278" s="314"/>
      <c r="DGA278" s="314"/>
      <c r="DGB278" s="314"/>
      <c r="DGC278" s="314"/>
      <c r="DGD278" s="314"/>
      <c r="DGE278" s="314"/>
      <c r="DGF278" s="314"/>
      <c r="DGG278" s="314"/>
      <c r="DGH278" s="314"/>
      <c r="DGI278" s="314"/>
      <c r="DGJ278" s="314"/>
      <c r="DGK278" s="314"/>
      <c r="DGL278" s="314"/>
      <c r="DGM278" s="314"/>
      <c r="DGN278" s="314"/>
      <c r="DGO278" s="314"/>
      <c r="DGP278" s="314"/>
      <c r="DGQ278" s="314"/>
      <c r="DGR278" s="314"/>
      <c r="DGS278" s="314"/>
      <c r="DGT278" s="314"/>
      <c r="DGU278" s="314"/>
      <c r="DGV278" s="314"/>
      <c r="DGW278" s="314"/>
      <c r="DGX278" s="314"/>
      <c r="DGY278" s="314"/>
      <c r="DGZ278" s="314"/>
      <c r="DHA278" s="314"/>
      <c r="DHB278" s="314"/>
      <c r="DHC278" s="314"/>
      <c r="DHD278" s="314"/>
      <c r="DHE278" s="314"/>
      <c r="DHF278" s="314"/>
      <c r="DHG278" s="314"/>
      <c r="DHH278" s="314"/>
      <c r="DHI278" s="314"/>
      <c r="DHJ278" s="314"/>
      <c r="DHK278" s="314"/>
      <c r="DHL278" s="314"/>
      <c r="DHM278" s="314"/>
      <c r="DHN278" s="314"/>
      <c r="DHO278" s="314"/>
      <c r="DHP278" s="314"/>
      <c r="DHQ278" s="314"/>
      <c r="DHR278" s="314"/>
      <c r="DHS278" s="314"/>
      <c r="DHT278" s="314"/>
      <c r="DHU278" s="314"/>
      <c r="DHV278" s="314"/>
      <c r="DHW278" s="314"/>
      <c r="DHX278" s="314"/>
      <c r="DHY278" s="314"/>
      <c r="DHZ278" s="314"/>
      <c r="DIA278" s="314"/>
      <c r="DIB278" s="314"/>
      <c r="DIC278" s="314"/>
      <c r="DID278" s="314"/>
      <c r="DIE278" s="314"/>
      <c r="DIF278" s="314"/>
      <c r="DIG278" s="314"/>
      <c r="DIH278" s="314"/>
      <c r="DII278" s="314"/>
      <c r="DIJ278" s="314"/>
      <c r="DIK278" s="314"/>
      <c r="DIL278" s="314"/>
      <c r="DIM278" s="314"/>
      <c r="DIN278" s="314"/>
      <c r="DIO278" s="314"/>
      <c r="DIP278" s="314"/>
      <c r="DIQ278" s="314"/>
      <c r="DIR278" s="314"/>
      <c r="DIS278" s="314"/>
      <c r="DIT278" s="314"/>
      <c r="DIU278" s="314"/>
      <c r="DIV278" s="314"/>
      <c r="DIW278" s="314"/>
      <c r="DIX278" s="314"/>
      <c r="DIY278" s="314"/>
      <c r="DIZ278" s="314"/>
      <c r="DJA278" s="314"/>
      <c r="DJB278" s="314"/>
      <c r="DJC278" s="314"/>
      <c r="DJD278" s="314"/>
      <c r="DJE278" s="314"/>
      <c r="DJF278" s="314"/>
      <c r="DJG278" s="314"/>
      <c r="DJH278" s="314"/>
      <c r="DJI278" s="314"/>
      <c r="DJJ278" s="314"/>
      <c r="DJK278" s="314"/>
      <c r="DJL278" s="314"/>
      <c r="DJM278" s="314"/>
      <c r="DJN278" s="314"/>
      <c r="DJO278" s="314"/>
      <c r="DJP278" s="314"/>
      <c r="DJQ278" s="314"/>
      <c r="DJR278" s="314"/>
      <c r="DJS278" s="314"/>
      <c r="DJT278" s="314"/>
      <c r="DJU278" s="314"/>
      <c r="DJV278" s="314"/>
      <c r="DJW278" s="314"/>
      <c r="DJX278" s="314"/>
      <c r="DJY278" s="314"/>
      <c r="DJZ278" s="314"/>
      <c r="DKA278" s="314"/>
      <c r="DKB278" s="314"/>
      <c r="DKC278" s="314"/>
      <c r="DKD278" s="314"/>
      <c r="DKE278" s="314"/>
      <c r="DKF278" s="314"/>
      <c r="DKG278" s="314"/>
      <c r="DKH278" s="314"/>
      <c r="DKI278" s="314"/>
      <c r="DKJ278" s="314"/>
      <c r="DKK278" s="314"/>
      <c r="DKL278" s="314"/>
      <c r="DKM278" s="314"/>
      <c r="DKN278" s="314"/>
      <c r="DKO278" s="314"/>
      <c r="DKP278" s="314"/>
      <c r="DKQ278" s="314"/>
      <c r="DKR278" s="314"/>
      <c r="DKS278" s="314"/>
      <c r="DKT278" s="314"/>
      <c r="DKU278" s="314"/>
      <c r="DKV278" s="314"/>
      <c r="DKW278" s="314"/>
      <c r="DKX278" s="314"/>
      <c r="DKY278" s="314"/>
      <c r="DKZ278" s="314"/>
      <c r="DLA278" s="314"/>
      <c r="DLB278" s="314"/>
      <c r="DLC278" s="314"/>
      <c r="DLD278" s="314"/>
      <c r="DLE278" s="314"/>
      <c r="DLF278" s="314"/>
      <c r="DLG278" s="314"/>
      <c r="DLH278" s="314"/>
      <c r="DLI278" s="314"/>
      <c r="DLJ278" s="314"/>
      <c r="DLK278" s="314"/>
      <c r="DLL278" s="314"/>
      <c r="DLM278" s="314"/>
      <c r="DLN278" s="314"/>
      <c r="DLO278" s="314"/>
      <c r="DLP278" s="314"/>
      <c r="DLQ278" s="314"/>
      <c r="DLR278" s="314"/>
      <c r="DLS278" s="314"/>
      <c r="DLT278" s="314"/>
      <c r="DLU278" s="314"/>
      <c r="DLV278" s="314"/>
      <c r="DLW278" s="314"/>
      <c r="DLX278" s="314"/>
      <c r="DLY278" s="314"/>
      <c r="DLZ278" s="314"/>
      <c r="DMA278" s="314"/>
      <c r="DMB278" s="314"/>
      <c r="DMC278" s="314"/>
      <c r="DMD278" s="314"/>
      <c r="DME278" s="314"/>
      <c r="DMF278" s="314"/>
      <c r="DMG278" s="314"/>
      <c r="DMH278" s="314"/>
      <c r="DMI278" s="314"/>
      <c r="DMJ278" s="314"/>
      <c r="DMK278" s="314"/>
      <c r="DML278" s="314"/>
      <c r="DMM278" s="314"/>
      <c r="DMN278" s="314"/>
      <c r="DMO278" s="314"/>
      <c r="DMP278" s="314"/>
      <c r="DMQ278" s="314"/>
      <c r="DMR278" s="314"/>
      <c r="DMS278" s="314"/>
      <c r="DMT278" s="314"/>
      <c r="DMU278" s="314"/>
      <c r="DMV278" s="314"/>
      <c r="DMW278" s="314"/>
      <c r="DMX278" s="314"/>
      <c r="DMY278" s="314"/>
      <c r="DMZ278" s="314"/>
      <c r="DNA278" s="314"/>
      <c r="DNB278" s="314"/>
      <c r="DNC278" s="314"/>
      <c r="DND278" s="314"/>
      <c r="DNE278" s="314"/>
      <c r="DNF278" s="314"/>
      <c r="DNG278" s="314"/>
      <c r="DNH278" s="314"/>
      <c r="DNI278" s="314"/>
      <c r="DNJ278" s="314"/>
      <c r="DNK278" s="314"/>
      <c r="DNL278" s="314"/>
      <c r="DNM278" s="314"/>
      <c r="DNN278" s="314"/>
      <c r="DNO278" s="314"/>
      <c r="DNP278" s="314"/>
      <c r="DNQ278" s="314"/>
      <c r="DNR278" s="314"/>
      <c r="DNS278" s="314"/>
      <c r="DNT278" s="314"/>
      <c r="DNU278" s="314"/>
      <c r="DNV278" s="314"/>
      <c r="DNW278" s="314"/>
      <c r="DNX278" s="314"/>
      <c r="DNY278" s="314"/>
      <c r="DNZ278" s="314"/>
      <c r="DOA278" s="314"/>
      <c r="DOB278" s="314"/>
      <c r="DOC278" s="314"/>
      <c r="DOD278" s="314"/>
      <c r="DOE278" s="314"/>
      <c r="DOF278" s="314"/>
      <c r="DOG278" s="314"/>
      <c r="DOH278" s="314"/>
      <c r="DOI278" s="314"/>
      <c r="DOJ278" s="314"/>
      <c r="DOK278" s="314"/>
      <c r="DOL278" s="314"/>
      <c r="DOM278" s="314"/>
      <c r="DON278" s="314"/>
      <c r="DOO278" s="314"/>
      <c r="DOP278" s="314"/>
      <c r="DOQ278" s="314"/>
      <c r="DOR278" s="314"/>
      <c r="DOS278" s="314"/>
      <c r="DOT278" s="314"/>
      <c r="DOU278" s="314"/>
      <c r="DOV278" s="314"/>
      <c r="DOW278" s="314"/>
      <c r="DOX278" s="314"/>
      <c r="DOY278" s="314"/>
      <c r="DOZ278" s="314"/>
      <c r="DPA278" s="314"/>
      <c r="DPB278" s="314"/>
      <c r="DPC278" s="314"/>
      <c r="DPD278" s="314"/>
      <c r="DPE278" s="314"/>
      <c r="DPF278" s="314"/>
      <c r="DPG278" s="314"/>
      <c r="DPH278" s="314"/>
      <c r="DPI278" s="314"/>
      <c r="DPJ278" s="314"/>
      <c r="DPK278" s="314"/>
      <c r="DPL278" s="314"/>
      <c r="DPM278" s="314"/>
      <c r="DPN278" s="314"/>
      <c r="DPO278" s="314"/>
      <c r="DPP278" s="314"/>
      <c r="DPQ278" s="314"/>
      <c r="DPR278" s="314"/>
      <c r="DPS278" s="314"/>
      <c r="DPT278" s="314"/>
      <c r="DPU278" s="314"/>
      <c r="DPV278" s="314"/>
      <c r="DPW278" s="314"/>
      <c r="DPX278" s="314"/>
      <c r="DPY278" s="314"/>
      <c r="DPZ278" s="314"/>
      <c r="DQA278" s="314"/>
      <c r="DQB278" s="314"/>
      <c r="DQC278" s="314"/>
      <c r="DQD278" s="314"/>
      <c r="DQE278" s="314"/>
      <c r="DQF278" s="314"/>
      <c r="DQG278" s="314"/>
      <c r="DQH278" s="314"/>
      <c r="DQI278" s="314"/>
      <c r="DQJ278" s="314"/>
      <c r="DQK278" s="314"/>
      <c r="DQL278" s="314"/>
      <c r="DQM278" s="314"/>
      <c r="DQN278" s="314"/>
      <c r="DQO278" s="314"/>
      <c r="DQP278" s="314"/>
      <c r="DQQ278" s="314"/>
      <c r="DQR278" s="314"/>
      <c r="DQS278" s="314"/>
      <c r="DQT278" s="314"/>
      <c r="DQU278" s="314"/>
      <c r="DQV278" s="314"/>
      <c r="DQW278" s="314"/>
      <c r="DQX278" s="314"/>
      <c r="DQY278" s="314"/>
      <c r="DQZ278" s="314"/>
      <c r="DRA278" s="314"/>
      <c r="DRB278" s="314"/>
      <c r="DRC278" s="314"/>
      <c r="DRD278" s="314"/>
      <c r="DRE278" s="314"/>
      <c r="DRF278" s="314"/>
      <c r="DRG278" s="314"/>
      <c r="DRH278" s="314"/>
      <c r="DRI278" s="314"/>
      <c r="DRJ278" s="314"/>
      <c r="DRK278" s="314"/>
      <c r="DRL278" s="314"/>
      <c r="DRM278" s="314"/>
      <c r="DRN278" s="314"/>
      <c r="DRO278" s="314"/>
      <c r="DRP278" s="314"/>
      <c r="DRQ278" s="314"/>
      <c r="DRR278" s="314"/>
      <c r="DRS278" s="314"/>
      <c r="DRT278" s="314"/>
      <c r="DRU278" s="314"/>
      <c r="DRV278" s="314"/>
      <c r="DRW278" s="314"/>
      <c r="DRX278" s="314"/>
      <c r="DRY278" s="314"/>
      <c r="DRZ278" s="314"/>
      <c r="DSA278" s="314"/>
      <c r="DSB278" s="314"/>
      <c r="DSC278" s="314"/>
      <c r="DSD278" s="314"/>
      <c r="DSE278" s="314"/>
      <c r="DSF278" s="314"/>
      <c r="DSG278" s="314"/>
      <c r="DSH278" s="314"/>
      <c r="DSI278" s="314"/>
      <c r="DSJ278" s="314"/>
      <c r="DSK278" s="314"/>
      <c r="DSL278" s="314"/>
      <c r="DSM278" s="314"/>
      <c r="DSN278" s="314"/>
      <c r="DSO278" s="314"/>
      <c r="DSP278" s="314"/>
      <c r="DSQ278" s="314"/>
      <c r="DSR278" s="314"/>
      <c r="DSS278" s="314"/>
      <c r="DST278" s="314"/>
      <c r="DSU278" s="314"/>
      <c r="DSV278" s="314"/>
      <c r="DSW278" s="314"/>
      <c r="DSX278" s="314"/>
      <c r="DSY278" s="314"/>
      <c r="DSZ278" s="314"/>
      <c r="DTA278" s="314"/>
      <c r="DTB278" s="314"/>
      <c r="DTC278" s="314"/>
      <c r="DTD278" s="314"/>
      <c r="DTE278" s="314"/>
      <c r="DTF278" s="314"/>
      <c r="DTG278" s="314"/>
      <c r="DTH278" s="314"/>
      <c r="DTI278" s="314"/>
      <c r="DTJ278" s="314"/>
      <c r="DTK278" s="314"/>
      <c r="DTL278" s="314"/>
      <c r="DTM278" s="314"/>
      <c r="DTN278" s="314"/>
      <c r="DTO278" s="314"/>
      <c r="DTP278" s="314"/>
      <c r="DTQ278" s="314"/>
      <c r="DTR278" s="314"/>
      <c r="DTS278" s="314"/>
      <c r="DTT278" s="314"/>
      <c r="DTU278" s="314"/>
      <c r="DTV278" s="314"/>
      <c r="DTW278" s="314"/>
      <c r="DTX278" s="314"/>
      <c r="DTY278" s="314"/>
      <c r="DTZ278" s="314"/>
      <c r="DUA278" s="314"/>
      <c r="DUB278" s="314"/>
      <c r="DUC278" s="314"/>
      <c r="DUD278" s="314"/>
      <c r="DUE278" s="314"/>
      <c r="DUF278" s="314"/>
      <c r="DUG278" s="314"/>
      <c r="DUH278" s="314"/>
      <c r="DUI278" s="314"/>
      <c r="DUJ278" s="314"/>
      <c r="DUK278" s="314"/>
      <c r="DUL278" s="314"/>
      <c r="DUM278" s="314"/>
      <c r="DUN278" s="314"/>
    </row>
    <row r="279" spans="1:3264" ht="15.75" x14ac:dyDescent="0.2">
      <c r="A279" s="1005" t="s">
        <v>34</v>
      </c>
      <c r="B279" s="1006"/>
      <c r="C279" s="1006"/>
      <c r="D279" s="1006"/>
      <c r="E279" s="1006"/>
      <c r="F279" s="73">
        <f>SUM(F274:F275)</f>
        <v>17200</v>
      </c>
      <c r="G279" s="1006" t="s">
        <v>35</v>
      </c>
      <c r="H279" s="1006"/>
      <c r="I279" s="1006"/>
      <c r="J279" s="1006"/>
      <c r="K279" s="73">
        <f>SUM(K274:K278)</f>
        <v>1726476.8</v>
      </c>
      <c r="L279" s="1006" t="s">
        <v>36</v>
      </c>
      <c r="M279" s="1006"/>
      <c r="N279" s="1006"/>
      <c r="O279" s="1006"/>
      <c r="P279" s="61">
        <f>SUM(P274:P278)</f>
        <v>242241</v>
      </c>
      <c r="Q279" s="1048"/>
      <c r="R279" s="1049"/>
      <c r="S279" s="1049"/>
      <c r="T279" s="1049"/>
      <c r="U279" s="1049"/>
      <c r="V279" s="62"/>
      <c r="W279" s="1049"/>
      <c r="X279" s="1049"/>
      <c r="Y279" s="1049"/>
      <c r="Z279" s="1049"/>
      <c r="AA279" s="62"/>
      <c r="AB279" s="1049"/>
      <c r="AC279" s="1049"/>
      <c r="AD279" s="1049"/>
      <c r="AE279" s="1049"/>
      <c r="AF279" s="62"/>
      <c r="AG279" s="1049"/>
      <c r="AH279" s="1049"/>
      <c r="AI279" s="1049"/>
      <c r="AJ279" s="1049"/>
      <c r="AK279" s="1049"/>
      <c r="AL279" s="62"/>
      <c r="AM279" s="1049"/>
      <c r="AN279" s="1049"/>
      <c r="AO279" s="1049"/>
      <c r="AP279" s="1049"/>
      <c r="AQ279" s="62"/>
      <c r="AR279" s="1049"/>
      <c r="AS279" s="1049"/>
      <c r="AT279" s="1049"/>
      <c r="AU279" s="1049"/>
      <c r="AV279" s="62"/>
      <c r="AW279" s="1049"/>
      <c r="AX279" s="1049"/>
      <c r="AY279" s="1049"/>
      <c r="AZ279" s="1049"/>
      <c r="BA279" s="1049"/>
      <c r="BB279" s="62"/>
      <c r="BC279" s="1049"/>
      <c r="BD279" s="1049"/>
      <c r="BE279" s="1049"/>
      <c r="BF279" s="1049"/>
      <c r="BG279" s="62"/>
      <c r="BH279" s="1049"/>
      <c r="BI279" s="1049"/>
      <c r="BJ279" s="1049"/>
      <c r="BK279" s="1049"/>
      <c r="BL279" s="62"/>
      <c r="BM279" s="1049"/>
      <c r="BN279" s="1049"/>
      <c r="BO279" s="1049"/>
      <c r="BP279" s="1049"/>
      <c r="BQ279" s="1049"/>
      <c r="BR279" s="62"/>
      <c r="BS279" s="1049"/>
      <c r="BT279" s="1049"/>
      <c r="BU279" s="1049"/>
      <c r="BV279" s="1049"/>
      <c r="BW279" s="62"/>
      <c r="BX279" s="1049"/>
      <c r="BY279" s="1049"/>
      <c r="BZ279" s="1049"/>
      <c r="CA279" s="1049"/>
      <c r="CB279" s="62"/>
      <c r="CC279" s="1049"/>
      <c r="CD279" s="1049"/>
      <c r="CE279" s="1049"/>
      <c r="CF279" s="1049"/>
      <c r="CG279" s="1049"/>
      <c r="CH279" s="62"/>
      <c r="CI279" s="1049"/>
      <c r="CJ279" s="1049"/>
      <c r="CK279" s="1049"/>
      <c r="CL279" s="1049"/>
      <c r="CM279" s="62"/>
      <c r="CN279" s="1049"/>
      <c r="CO279" s="1049"/>
      <c r="CP279" s="1049"/>
      <c r="CQ279" s="1049"/>
      <c r="CR279" s="62"/>
      <c r="CS279" s="1049"/>
      <c r="CT279" s="1049"/>
      <c r="CU279" s="1049"/>
      <c r="CV279" s="1049"/>
      <c r="CW279" s="1049"/>
      <c r="CX279" s="62"/>
      <c r="CY279" s="1049"/>
      <c r="CZ279" s="1049"/>
      <c r="DA279" s="1049"/>
      <c r="DB279" s="1049"/>
      <c r="DC279" s="62"/>
      <c r="DD279" s="1049"/>
      <c r="DE279" s="1049"/>
      <c r="DF279" s="1049"/>
      <c r="DG279" s="1049"/>
      <c r="DH279" s="62"/>
      <c r="DI279" s="1049"/>
      <c r="DJ279" s="1049"/>
      <c r="DK279" s="1049"/>
      <c r="DL279" s="1049"/>
      <c r="DM279" s="1049"/>
      <c r="DN279" s="62"/>
      <c r="DO279" s="1049"/>
      <c r="DP279" s="1049"/>
      <c r="DQ279" s="1049"/>
      <c r="DR279" s="1049"/>
      <c r="DS279" s="62"/>
      <c r="DT279" s="1049"/>
      <c r="DU279" s="1049"/>
      <c r="DV279" s="1049"/>
      <c r="DW279" s="1049"/>
      <c r="DX279" s="62"/>
      <c r="DY279" s="1049"/>
      <c r="DZ279" s="1049"/>
      <c r="EA279" s="1049"/>
      <c r="EB279" s="1049"/>
      <c r="EC279" s="1049"/>
      <c r="ED279" s="62"/>
      <c r="EE279" s="1049"/>
      <c r="EF279" s="1049"/>
      <c r="EG279" s="1049"/>
      <c r="EH279" s="1049"/>
      <c r="EI279" s="62"/>
      <c r="EJ279" s="1049"/>
      <c r="EK279" s="1049"/>
      <c r="EL279" s="1049"/>
      <c r="EM279" s="1049"/>
      <c r="EN279" s="62"/>
      <c r="EO279" s="1049"/>
      <c r="EP279" s="1049"/>
      <c r="EQ279" s="1049"/>
      <c r="ER279" s="1049"/>
      <c r="ES279" s="1049"/>
      <c r="ET279" s="62"/>
      <c r="EU279" s="1049"/>
      <c r="EV279" s="1049"/>
      <c r="EW279" s="1049"/>
      <c r="EX279" s="1049"/>
      <c r="EY279" s="62"/>
      <c r="EZ279" s="1049"/>
      <c r="FA279" s="1049"/>
      <c r="FB279" s="1049"/>
      <c r="FC279" s="1049"/>
      <c r="FD279" s="62"/>
      <c r="FE279" s="1049"/>
      <c r="FF279" s="1049"/>
      <c r="FG279" s="1049"/>
      <c r="FH279" s="1049"/>
      <c r="FI279" s="1049"/>
      <c r="FJ279" s="62"/>
      <c r="FK279" s="1049"/>
      <c r="FL279" s="1049"/>
      <c r="FM279" s="1049"/>
      <c r="FN279" s="1049"/>
      <c r="FO279" s="62"/>
      <c r="FP279" s="1049"/>
      <c r="FQ279" s="1049"/>
      <c r="FR279" s="1049"/>
      <c r="FS279" s="1049"/>
      <c r="FT279" s="62"/>
      <c r="FU279" s="1049"/>
      <c r="FV279" s="1049"/>
      <c r="FW279" s="1049"/>
      <c r="FX279" s="1049"/>
      <c r="FY279" s="1049"/>
      <c r="FZ279" s="62"/>
      <c r="GA279" s="1049"/>
      <c r="GB279" s="1049"/>
      <c r="GC279" s="1049"/>
      <c r="GD279" s="1049"/>
      <c r="GE279" s="62"/>
      <c r="GF279" s="1049"/>
      <c r="GG279" s="1049"/>
      <c r="GH279" s="1049"/>
      <c r="GI279" s="1049"/>
      <c r="GJ279" s="62"/>
      <c r="GK279" s="1049"/>
      <c r="GL279" s="1049"/>
      <c r="GM279" s="1049"/>
      <c r="GN279" s="1049"/>
      <c r="GO279" s="1049"/>
      <c r="GP279" s="62"/>
      <c r="GQ279" s="1049"/>
      <c r="GR279" s="1049"/>
      <c r="GS279" s="1049"/>
      <c r="GT279" s="1049"/>
      <c r="GU279" s="62"/>
      <c r="GV279" s="1049"/>
      <c r="GW279" s="1049"/>
      <c r="GX279" s="1049"/>
      <c r="GY279" s="1049"/>
      <c r="GZ279" s="62"/>
      <c r="HA279" s="1049"/>
      <c r="HB279" s="1049"/>
      <c r="HC279" s="1049"/>
      <c r="HD279" s="1049"/>
      <c r="HE279" s="1049"/>
      <c r="HF279" s="62"/>
      <c r="HG279" s="1049"/>
      <c r="HH279" s="1049"/>
      <c r="HI279" s="1049"/>
      <c r="HJ279" s="1049"/>
      <c r="HK279" s="62"/>
      <c r="HL279" s="1049"/>
      <c r="HM279" s="1049"/>
      <c r="HN279" s="1049"/>
      <c r="HO279" s="1049"/>
      <c r="HP279" s="62"/>
      <c r="HQ279" s="1049"/>
      <c r="HR279" s="1049"/>
      <c r="HS279" s="1049"/>
      <c r="HT279" s="1049"/>
      <c r="HU279" s="1049"/>
      <c r="HV279" s="62"/>
      <c r="HW279" s="1049"/>
      <c r="HX279" s="1049"/>
      <c r="HY279" s="1049"/>
      <c r="HZ279" s="1049"/>
      <c r="IA279" s="62"/>
      <c r="IB279" s="1049"/>
      <c r="IC279" s="1049"/>
      <c r="ID279" s="1049"/>
      <c r="IE279" s="1049"/>
      <c r="IF279" s="62"/>
      <c r="IG279" s="1049"/>
      <c r="IH279" s="1049"/>
      <c r="II279" s="1049"/>
      <c r="IJ279" s="1049"/>
      <c r="IK279" s="1049"/>
      <c r="IL279" s="62"/>
      <c r="IM279" s="1049"/>
      <c r="IN279" s="1049"/>
      <c r="IO279" s="1049"/>
      <c r="IP279" s="1049"/>
      <c r="IQ279" s="62"/>
      <c r="IR279" s="1049"/>
      <c r="IS279" s="1049"/>
      <c r="IT279" s="1049"/>
      <c r="IU279" s="1049"/>
      <c r="IV279" s="62"/>
      <c r="IW279" s="1049"/>
      <c r="IX279" s="1049"/>
      <c r="IY279" s="1049"/>
      <c r="IZ279" s="1049"/>
      <c r="JA279" s="1049"/>
      <c r="JB279" s="62"/>
      <c r="JC279" s="1049"/>
      <c r="JD279" s="1049"/>
      <c r="JE279" s="1049"/>
      <c r="JF279" s="1049"/>
      <c r="JG279" s="62"/>
      <c r="JH279" s="1049"/>
      <c r="JI279" s="1049"/>
      <c r="JJ279" s="1049"/>
      <c r="JK279" s="1049"/>
      <c r="JL279" s="62"/>
      <c r="JM279" s="1049"/>
      <c r="JN279" s="1049"/>
      <c r="JO279" s="1049"/>
      <c r="JP279" s="1049"/>
      <c r="JQ279" s="1049"/>
      <c r="JR279" s="62"/>
      <c r="JS279" s="1049"/>
      <c r="JT279" s="1049"/>
      <c r="JU279" s="1049"/>
      <c r="JV279" s="1049"/>
      <c r="JW279" s="62"/>
      <c r="JX279" s="1049"/>
      <c r="JY279" s="1049"/>
      <c r="JZ279" s="1049"/>
      <c r="KA279" s="1049"/>
      <c r="KB279" s="62"/>
      <c r="KC279" s="1049"/>
      <c r="KD279" s="1049"/>
      <c r="KE279" s="1049"/>
      <c r="KF279" s="1049"/>
      <c r="KG279" s="1049"/>
      <c r="KH279" s="62"/>
      <c r="KI279" s="1049"/>
      <c r="KJ279" s="1049"/>
      <c r="KK279" s="1049"/>
      <c r="KL279" s="1049"/>
      <c r="KM279" s="62"/>
      <c r="KN279" s="1049"/>
      <c r="KO279" s="1049"/>
      <c r="KP279" s="1049"/>
      <c r="KQ279" s="1049"/>
      <c r="KR279" s="62"/>
      <c r="KS279" s="1049"/>
      <c r="KT279" s="1049"/>
      <c r="KU279" s="1049"/>
      <c r="KV279" s="1049"/>
      <c r="KW279" s="1049"/>
      <c r="KX279" s="62"/>
      <c r="KY279" s="1049"/>
      <c r="KZ279" s="1049"/>
      <c r="LA279" s="1049"/>
      <c r="LB279" s="1049"/>
      <c r="LC279" s="62"/>
      <c r="LD279" s="1049"/>
      <c r="LE279" s="1049"/>
      <c r="LF279" s="1049"/>
      <c r="LG279" s="1049"/>
      <c r="LH279" s="62"/>
      <c r="LI279" s="1049"/>
      <c r="LJ279" s="1049"/>
      <c r="LK279" s="1049"/>
      <c r="LL279" s="1049"/>
      <c r="LM279" s="1049"/>
      <c r="LN279" s="62"/>
      <c r="LO279" s="1049"/>
      <c r="LP279" s="1049"/>
      <c r="LQ279" s="1049"/>
      <c r="LR279" s="1049"/>
      <c r="LS279" s="62"/>
      <c r="LT279" s="1049"/>
      <c r="LU279" s="1049"/>
      <c r="LV279" s="1049"/>
      <c r="LW279" s="1049"/>
      <c r="LX279" s="62"/>
      <c r="LY279" s="1049"/>
      <c r="LZ279" s="1049"/>
      <c r="MA279" s="1049"/>
      <c r="MB279" s="1049"/>
      <c r="MC279" s="1049"/>
      <c r="MD279" s="62"/>
      <c r="ME279" s="1049"/>
      <c r="MF279" s="1049"/>
      <c r="MG279" s="1049"/>
      <c r="MH279" s="1049"/>
      <c r="MI279" s="62"/>
      <c r="MJ279" s="1049"/>
      <c r="MK279" s="1049"/>
      <c r="ML279" s="1049"/>
      <c r="MM279" s="1049"/>
      <c r="MN279" s="62"/>
      <c r="MO279" s="1049"/>
      <c r="MP279" s="1049"/>
      <c r="MQ279" s="1049"/>
      <c r="MR279" s="1049"/>
      <c r="MS279" s="1049"/>
      <c r="MT279" s="62"/>
      <c r="MU279" s="1049"/>
      <c r="MV279" s="1049"/>
      <c r="MW279" s="1049"/>
      <c r="MX279" s="1049"/>
      <c r="MY279" s="62"/>
      <c r="MZ279" s="1049"/>
      <c r="NA279" s="1049"/>
      <c r="NB279" s="1049"/>
      <c r="NC279" s="1049"/>
      <c r="ND279" s="62"/>
      <c r="NE279" s="1049"/>
      <c r="NF279" s="1049"/>
      <c r="NG279" s="1049"/>
      <c r="NH279" s="1049"/>
      <c r="NI279" s="1049"/>
      <c r="NJ279" s="62"/>
      <c r="NK279" s="1049"/>
      <c r="NL279" s="1049"/>
      <c r="NM279" s="1049"/>
      <c r="NN279" s="1049"/>
      <c r="NO279" s="62"/>
      <c r="NP279" s="1049"/>
      <c r="NQ279" s="1049"/>
      <c r="NR279" s="1049"/>
      <c r="NS279" s="1049"/>
      <c r="NT279" s="62"/>
      <c r="NU279" s="1049"/>
      <c r="NV279" s="1049"/>
      <c r="NW279" s="1049"/>
      <c r="NX279" s="1049"/>
      <c r="NY279" s="1049"/>
      <c r="NZ279" s="62"/>
      <c r="OA279" s="1049"/>
      <c r="OB279" s="1049"/>
      <c r="OC279" s="1049"/>
      <c r="OD279" s="1049"/>
      <c r="OE279" s="62"/>
      <c r="OF279" s="1049"/>
      <c r="OG279" s="1049"/>
      <c r="OH279" s="1049"/>
      <c r="OI279" s="1049"/>
      <c r="OJ279" s="62"/>
      <c r="OK279" s="1049"/>
      <c r="OL279" s="1049"/>
      <c r="OM279" s="1049"/>
      <c r="ON279" s="1049"/>
      <c r="OO279" s="1049"/>
      <c r="OP279" s="62"/>
      <c r="OQ279" s="1049"/>
      <c r="OR279" s="1049"/>
      <c r="OS279" s="1049"/>
      <c r="OT279" s="1049"/>
      <c r="OU279" s="62"/>
      <c r="OV279" s="1049"/>
      <c r="OW279" s="1049"/>
      <c r="OX279" s="1049"/>
      <c r="OY279" s="1049"/>
      <c r="OZ279" s="62"/>
      <c r="PA279" s="1049"/>
      <c r="PB279" s="1049"/>
      <c r="PC279" s="1049"/>
      <c r="PD279" s="1049"/>
      <c r="PE279" s="1049"/>
      <c r="PF279" s="62"/>
      <c r="PG279" s="1049"/>
      <c r="PH279" s="1049"/>
      <c r="PI279" s="1049"/>
      <c r="PJ279" s="1049"/>
      <c r="PK279" s="62"/>
      <c r="PL279" s="1049"/>
      <c r="PM279" s="1049"/>
      <c r="PN279" s="1049"/>
      <c r="PO279" s="1049"/>
      <c r="PP279" s="62"/>
      <c r="PQ279" s="1049"/>
      <c r="PR279" s="1049"/>
      <c r="PS279" s="1049"/>
      <c r="PT279" s="1049"/>
      <c r="PU279" s="1049"/>
      <c r="PV279" s="62"/>
      <c r="PW279" s="1049"/>
      <c r="PX279" s="1049"/>
      <c r="PY279" s="1049"/>
      <c r="PZ279" s="1049"/>
      <c r="QA279" s="62"/>
      <c r="QB279" s="1049"/>
      <c r="QC279" s="1049"/>
      <c r="QD279" s="1049"/>
      <c r="QE279" s="1049"/>
      <c r="QF279" s="62"/>
      <c r="QG279" s="1049"/>
      <c r="QH279" s="1049"/>
      <c r="QI279" s="1049"/>
      <c r="QJ279" s="1049"/>
      <c r="QK279" s="1049"/>
      <c r="QL279" s="62"/>
      <c r="QM279" s="1049"/>
      <c r="QN279" s="1049"/>
      <c r="QO279" s="1049"/>
      <c r="QP279" s="1049"/>
      <c r="QQ279" s="62"/>
      <c r="QR279" s="1049"/>
      <c r="QS279" s="1049"/>
      <c r="QT279" s="1049"/>
      <c r="QU279" s="1049"/>
      <c r="QV279" s="62"/>
      <c r="QW279" s="1049"/>
      <c r="QX279" s="1049"/>
      <c r="QY279" s="1049"/>
      <c r="QZ279" s="1049"/>
      <c r="RA279" s="1049"/>
      <c r="RB279" s="62"/>
      <c r="RC279" s="1049"/>
      <c r="RD279" s="1049"/>
      <c r="RE279" s="1049"/>
      <c r="RF279" s="1049"/>
      <c r="RG279" s="62"/>
      <c r="RH279" s="1049"/>
      <c r="RI279" s="1049"/>
      <c r="RJ279" s="1049"/>
      <c r="RK279" s="1049"/>
      <c r="RL279" s="62"/>
      <c r="RM279" s="1049"/>
      <c r="RN279" s="1049"/>
      <c r="RO279" s="1049"/>
      <c r="RP279" s="1049"/>
      <c r="RQ279" s="1049"/>
      <c r="RR279" s="62"/>
      <c r="RS279" s="1049"/>
      <c r="RT279" s="1049"/>
      <c r="RU279" s="1049"/>
      <c r="RV279" s="1049"/>
      <c r="RW279" s="62"/>
      <c r="RX279" s="1049"/>
      <c r="RY279" s="1049"/>
      <c r="RZ279" s="1049"/>
      <c r="SA279" s="1049"/>
      <c r="SB279" s="62"/>
      <c r="SC279" s="1049"/>
      <c r="SD279" s="1049"/>
      <c r="SE279" s="1049"/>
      <c r="SF279" s="1049"/>
      <c r="SG279" s="1049"/>
      <c r="SH279" s="62"/>
      <c r="SI279" s="1049"/>
      <c r="SJ279" s="1049"/>
      <c r="SK279" s="1049"/>
      <c r="SL279" s="1049"/>
      <c r="SM279" s="62"/>
      <c r="SN279" s="1049"/>
      <c r="SO279" s="1049"/>
      <c r="SP279" s="1049"/>
      <c r="SQ279" s="1049"/>
      <c r="SR279" s="62"/>
      <c r="SS279" s="1049"/>
      <c r="ST279" s="1049"/>
      <c r="SU279" s="1049"/>
      <c r="SV279" s="1049"/>
      <c r="SW279" s="1049"/>
      <c r="SX279" s="62"/>
      <c r="SY279" s="1049"/>
      <c r="SZ279" s="1049"/>
      <c r="TA279" s="1049"/>
      <c r="TB279" s="1049"/>
      <c r="TC279" s="62"/>
      <c r="TD279" s="1049"/>
      <c r="TE279" s="1049"/>
      <c r="TF279" s="1049"/>
      <c r="TG279" s="1049"/>
      <c r="TH279" s="62"/>
      <c r="TI279" s="1049"/>
      <c r="TJ279" s="1049"/>
      <c r="TK279" s="1049"/>
      <c r="TL279" s="1049"/>
      <c r="TM279" s="1049"/>
      <c r="TN279" s="62"/>
      <c r="TO279" s="1049"/>
      <c r="TP279" s="1049"/>
      <c r="TQ279" s="1049"/>
      <c r="TR279" s="1049"/>
      <c r="TS279" s="62"/>
      <c r="TT279" s="1049"/>
      <c r="TU279" s="1049"/>
      <c r="TV279" s="1049"/>
      <c r="TW279" s="1049"/>
      <c r="TX279" s="62"/>
      <c r="TY279" s="1049"/>
      <c r="TZ279" s="1049"/>
      <c r="UA279" s="1049"/>
      <c r="UB279" s="1049"/>
      <c r="UC279" s="1049"/>
      <c r="UD279" s="62"/>
      <c r="UE279" s="1049"/>
      <c r="UF279" s="1049"/>
      <c r="UG279" s="1049"/>
      <c r="UH279" s="1049"/>
      <c r="UI279" s="62"/>
      <c r="UJ279" s="1049"/>
      <c r="UK279" s="1049"/>
      <c r="UL279" s="1049"/>
      <c r="UM279" s="1049"/>
      <c r="UN279" s="62"/>
      <c r="UO279" s="1049"/>
      <c r="UP279" s="1049"/>
      <c r="UQ279" s="1049"/>
      <c r="UR279" s="1049"/>
      <c r="US279" s="1049"/>
      <c r="UT279" s="62"/>
      <c r="UU279" s="1049"/>
      <c r="UV279" s="1049"/>
      <c r="UW279" s="1049"/>
      <c r="UX279" s="1049"/>
      <c r="UY279" s="62"/>
      <c r="UZ279" s="1049"/>
      <c r="VA279" s="1049"/>
      <c r="VB279" s="1049"/>
      <c r="VC279" s="1049"/>
      <c r="VD279" s="62"/>
      <c r="VE279" s="1049"/>
      <c r="VF279" s="1049"/>
      <c r="VG279" s="1049"/>
      <c r="VH279" s="1049"/>
      <c r="VI279" s="1049"/>
      <c r="VJ279" s="62"/>
      <c r="VK279" s="1049"/>
      <c r="VL279" s="1049"/>
      <c r="VM279" s="1049"/>
      <c r="VN279" s="1049"/>
      <c r="VO279" s="62"/>
      <c r="VP279" s="1049"/>
      <c r="VQ279" s="1049"/>
      <c r="VR279" s="1049"/>
      <c r="VS279" s="1049"/>
      <c r="VT279" s="62"/>
      <c r="VU279" s="1049"/>
      <c r="VV279" s="1049"/>
      <c r="VW279" s="1049"/>
      <c r="VX279" s="1049"/>
      <c r="VY279" s="1049"/>
      <c r="VZ279" s="62"/>
      <c r="WA279" s="1049"/>
      <c r="WB279" s="1049"/>
      <c r="WC279" s="1049"/>
      <c r="WD279" s="1049"/>
      <c r="WE279" s="62"/>
      <c r="WF279" s="1049"/>
      <c r="WG279" s="1049"/>
      <c r="WH279" s="1049"/>
      <c r="WI279" s="1049"/>
      <c r="WJ279" s="62"/>
      <c r="WK279" s="1049"/>
      <c r="WL279" s="1049"/>
      <c r="WM279" s="1049"/>
      <c r="WN279" s="1049"/>
      <c r="WO279" s="1049"/>
      <c r="WP279" s="62"/>
      <c r="WQ279" s="1049"/>
      <c r="WR279" s="1049"/>
      <c r="WS279" s="1049"/>
      <c r="WT279" s="1049"/>
      <c r="WU279" s="62"/>
      <c r="WV279" s="1049"/>
      <c r="WW279" s="1049"/>
      <c r="WX279" s="1049"/>
      <c r="WY279" s="1049"/>
      <c r="WZ279" s="62"/>
      <c r="XA279" s="1049"/>
      <c r="XB279" s="1049"/>
      <c r="XC279" s="1049"/>
      <c r="XD279" s="1049"/>
      <c r="XE279" s="1049"/>
      <c r="XF279" s="62"/>
      <c r="XG279" s="1049"/>
      <c r="XH279" s="1049"/>
      <c r="XI279" s="1049"/>
      <c r="XJ279" s="1049"/>
      <c r="XK279" s="62"/>
      <c r="XL279" s="1049"/>
      <c r="XM279" s="1049"/>
      <c r="XN279" s="1049"/>
      <c r="XO279" s="1049"/>
      <c r="XP279" s="62"/>
      <c r="XQ279" s="1049"/>
      <c r="XR279" s="1049"/>
      <c r="XS279" s="1049"/>
      <c r="XT279" s="1049"/>
      <c r="XU279" s="1049"/>
      <c r="XV279" s="62"/>
      <c r="XW279" s="1049"/>
      <c r="XX279" s="1049"/>
      <c r="XY279" s="1049"/>
      <c r="XZ279" s="1049"/>
      <c r="YA279" s="62"/>
      <c r="YB279" s="1049"/>
      <c r="YC279" s="1049"/>
      <c r="YD279" s="1049"/>
      <c r="YE279" s="1049"/>
      <c r="YF279" s="62"/>
      <c r="YG279" s="1049"/>
      <c r="YH279" s="1049"/>
      <c r="YI279" s="1049"/>
      <c r="YJ279" s="1049"/>
      <c r="YK279" s="1049"/>
      <c r="YL279" s="62"/>
      <c r="YM279" s="1049"/>
      <c r="YN279" s="1049"/>
      <c r="YO279" s="1049"/>
      <c r="YP279" s="1049"/>
      <c r="YQ279" s="62"/>
      <c r="YR279" s="1049"/>
      <c r="YS279" s="1049"/>
      <c r="YT279" s="1049"/>
      <c r="YU279" s="1049"/>
      <c r="YV279" s="62"/>
      <c r="YW279" s="1049"/>
      <c r="YX279" s="1049"/>
      <c r="YY279" s="1049"/>
      <c r="YZ279" s="1049"/>
      <c r="ZA279" s="1049"/>
      <c r="ZB279" s="62"/>
      <c r="ZC279" s="1049"/>
      <c r="ZD279" s="1049"/>
      <c r="ZE279" s="1049"/>
      <c r="ZF279" s="1049"/>
      <c r="ZG279" s="62"/>
      <c r="ZH279" s="1049"/>
      <c r="ZI279" s="1049"/>
      <c r="ZJ279" s="1049"/>
      <c r="ZK279" s="1049"/>
      <c r="ZL279" s="62"/>
      <c r="ZM279" s="1049"/>
      <c r="ZN279" s="1049"/>
      <c r="ZO279" s="1049"/>
      <c r="ZP279" s="1049"/>
      <c r="ZQ279" s="1049"/>
      <c r="ZR279" s="62"/>
      <c r="ZS279" s="1049"/>
      <c r="ZT279" s="1049"/>
      <c r="ZU279" s="1049"/>
      <c r="ZV279" s="1049"/>
      <c r="ZW279" s="62"/>
      <c r="ZX279" s="1049"/>
      <c r="ZY279" s="1049"/>
      <c r="ZZ279" s="1049"/>
      <c r="AAA279" s="1049"/>
      <c r="AAB279" s="62"/>
      <c r="AAC279" s="1049"/>
      <c r="AAD279" s="1049"/>
      <c r="AAE279" s="1049"/>
      <c r="AAF279" s="1049"/>
      <c r="AAG279" s="1049"/>
      <c r="AAH279" s="62"/>
      <c r="AAI279" s="1049"/>
      <c r="AAJ279" s="1049"/>
      <c r="AAK279" s="1049"/>
      <c r="AAL279" s="1049"/>
      <c r="AAM279" s="62"/>
      <c r="AAN279" s="1049"/>
      <c r="AAO279" s="1049"/>
      <c r="AAP279" s="1049"/>
      <c r="AAQ279" s="1049"/>
      <c r="AAR279" s="62"/>
      <c r="AAS279" s="1049"/>
      <c r="AAT279" s="1049"/>
      <c r="AAU279" s="1049"/>
      <c r="AAV279" s="1049"/>
      <c r="AAW279" s="1049"/>
      <c r="AAX279" s="62"/>
      <c r="AAY279" s="1049"/>
      <c r="AAZ279" s="1049"/>
      <c r="ABA279" s="1049"/>
      <c r="ABB279" s="1049"/>
      <c r="ABC279" s="62"/>
      <c r="ABD279" s="1049"/>
      <c r="ABE279" s="1049"/>
      <c r="ABF279" s="1049"/>
      <c r="ABG279" s="1049"/>
      <c r="ABH279" s="62"/>
      <c r="ABI279" s="1049"/>
      <c r="ABJ279" s="1049"/>
      <c r="ABK279" s="1049"/>
      <c r="ABL279" s="1049"/>
      <c r="ABM279" s="1049"/>
      <c r="ABN279" s="62"/>
      <c r="ABO279" s="1049"/>
      <c r="ABP279" s="1049"/>
      <c r="ABQ279" s="1049"/>
      <c r="ABR279" s="1049"/>
      <c r="ABS279" s="62"/>
      <c r="ABT279" s="1049"/>
      <c r="ABU279" s="1049"/>
      <c r="ABV279" s="1049"/>
      <c r="ABW279" s="1049"/>
      <c r="ABX279" s="62"/>
      <c r="ABY279" s="1049"/>
      <c r="ABZ279" s="1049"/>
      <c r="ACA279" s="1049"/>
      <c r="ACB279" s="1049"/>
      <c r="ACC279" s="1049"/>
      <c r="ACD279" s="62"/>
      <c r="ACE279" s="1049"/>
      <c r="ACF279" s="1049"/>
      <c r="ACG279" s="1049"/>
      <c r="ACH279" s="1049"/>
      <c r="ACI279" s="62"/>
      <c r="ACJ279" s="1049"/>
      <c r="ACK279" s="1049"/>
      <c r="ACL279" s="1049"/>
      <c r="ACM279" s="1049"/>
      <c r="ACN279" s="62"/>
      <c r="ACO279" s="1049"/>
      <c r="ACP279" s="1049"/>
      <c r="ACQ279" s="1049"/>
      <c r="ACR279" s="1049"/>
      <c r="ACS279" s="1049"/>
      <c r="ACT279" s="62"/>
      <c r="ACU279" s="1049"/>
      <c r="ACV279" s="1049"/>
      <c r="ACW279" s="1049"/>
      <c r="ACX279" s="1049"/>
      <c r="ACY279" s="62"/>
      <c r="ACZ279" s="1049"/>
      <c r="ADA279" s="1049"/>
      <c r="ADB279" s="1049"/>
      <c r="ADC279" s="1049"/>
      <c r="ADD279" s="62"/>
      <c r="ADE279" s="1049"/>
      <c r="ADF279" s="1049"/>
      <c r="ADG279" s="1049"/>
      <c r="ADH279" s="1049"/>
      <c r="ADI279" s="1049"/>
      <c r="ADJ279" s="62"/>
      <c r="ADK279" s="1049"/>
      <c r="ADL279" s="1049"/>
      <c r="ADM279" s="1049"/>
      <c r="ADN279" s="1049"/>
      <c r="ADO279" s="62"/>
      <c r="ADP279" s="1049"/>
      <c r="ADQ279" s="1049"/>
      <c r="ADR279" s="1049"/>
      <c r="ADS279" s="1049"/>
      <c r="ADT279" s="62"/>
      <c r="ADU279" s="1049"/>
      <c r="ADV279" s="1049"/>
      <c r="ADW279" s="1049"/>
      <c r="ADX279" s="1049"/>
      <c r="ADY279" s="1049"/>
      <c r="ADZ279" s="62"/>
      <c r="AEA279" s="1049"/>
      <c r="AEB279" s="1049"/>
      <c r="AEC279" s="1049"/>
      <c r="AED279" s="1049"/>
      <c r="AEE279" s="62"/>
      <c r="AEF279" s="1049"/>
      <c r="AEG279" s="1049"/>
      <c r="AEH279" s="1049"/>
      <c r="AEI279" s="1049"/>
      <c r="AEJ279" s="62"/>
      <c r="AEK279" s="1049"/>
      <c r="AEL279" s="1049"/>
      <c r="AEM279" s="1049"/>
      <c r="AEN279" s="1049"/>
      <c r="AEO279" s="1049"/>
      <c r="AEP279" s="62"/>
      <c r="AEQ279" s="1049"/>
      <c r="AER279" s="1049"/>
      <c r="AES279" s="1049"/>
      <c r="AET279" s="1049"/>
      <c r="AEU279" s="62"/>
      <c r="AEV279" s="1049"/>
      <c r="AEW279" s="1049"/>
      <c r="AEX279" s="1049"/>
      <c r="AEY279" s="1049"/>
      <c r="AEZ279" s="62"/>
      <c r="AFA279" s="1049"/>
      <c r="AFB279" s="1049"/>
      <c r="AFC279" s="1049"/>
      <c r="AFD279" s="1049"/>
      <c r="AFE279" s="1049"/>
      <c r="AFF279" s="62"/>
      <c r="AFG279" s="1049"/>
      <c r="AFH279" s="1049"/>
      <c r="AFI279" s="1049"/>
      <c r="AFJ279" s="1049"/>
      <c r="AFK279" s="62"/>
      <c r="AFL279" s="1049"/>
      <c r="AFM279" s="1049"/>
      <c r="AFN279" s="1049"/>
      <c r="AFO279" s="1049"/>
      <c r="AFP279" s="62"/>
      <c r="AFQ279" s="1049"/>
      <c r="AFR279" s="1049"/>
      <c r="AFS279" s="1049"/>
      <c r="AFT279" s="1049"/>
      <c r="AFU279" s="1049"/>
      <c r="AFV279" s="62"/>
      <c r="AFW279" s="1049"/>
      <c r="AFX279" s="1049"/>
      <c r="AFY279" s="1049"/>
      <c r="AFZ279" s="1049"/>
      <c r="AGA279" s="62"/>
      <c r="AGB279" s="1049"/>
      <c r="AGC279" s="1049"/>
      <c r="AGD279" s="1049"/>
      <c r="AGE279" s="1049"/>
      <c r="AGF279" s="62"/>
      <c r="AGG279" s="1049"/>
      <c r="AGH279" s="1049"/>
      <c r="AGI279" s="1049"/>
      <c r="AGJ279" s="1049"/>
      <c r="AGK279" s="1049"/>
      <c r="AGL279" s="62"/>
      <c r="AGM279" s="1049"/>
      <c r="AGN279" s="1049"/>
      <c r="AGO279" s="1049"/>
      <c r="AGP279" s="1049"/>
      <c r="AGQ279" s="62"/>
      <c r="AGR279" s="1049"/>
      <c r="AGS279" s="1049"/>
      <c r="AGT279" s="1049"/>
      <c r="AGU279" s="1049"/>
      <c r="AGV279" s="62"/>
      <c r="AGW279" s="1049"/>
      <c r="AGX279" s="1049"/>
      <c r="AGY279" s="1049"/>
      <c r="AGZ279" s="1049"/>
      <c r="AHA279" s="1049"/>
      <c r="AHB279" s="62"/>
      <c r="AHC279" s="1049"/>
      <c r="AHD279" s="1049"/>
      <c r="AHE279" s="1049"/>
      <c r="AHF279" s="1049"/>
      <c r="AHG279" s="62"/>
      <c r="AHH279" s="1049"/>
      <c r="AHI279" s="1049"/>
      <c r="AHJ279" s="1049"/>
      <c r="AHK279" s="1049"/>
      <c r="AHL279" s="62"/>
      <c r="AHM279" s="1049"/>
      <c r="AHN279" s="1049"/>
      <c r="AHO279" s="1049"/>
      <c r="AHP279" s="1049"/>
      <c r="AHQ279" s="1049"/>
      <c r="AHR279" s="62"/>
      <c r="AHS279" s="1049"/>
      <c r="AHT279" s="1049"/>
      <c r="AHU279" s="1049"/>
      <c r="AHV279" s="1049"/>
      <c r="AHW279" s="62"/>
      <c r="AHX279" s="1049"/>
      <c r="AHY279" s="1049"/>
      <c r="AHZ279" s="1049"/>
      <c r="AIA279" s="1049"/>
      <c r="AIB279" s="62"/>
      <c r="AIC279" s="1049"/>
      <c r="AID279" s="1049"/>
      <c r="AIE279" s="1049"/>
      <c r="AIF279" s="1049"/>
      <c r="AIG279" s="1049"/>
      <c r="AIH279" s="62"/>
      <c r="AII279" s="1049"/>
      <c r="AIJ279" s="1049"/>
      <c r="AIK279" s="1049"/>
      <c r="AIL279" s="1049"/>
      <c r="AIM279" s="62"/>
      <c r="AIN279" s="1049"/>
      <c r="AIO279" s="1049"/>
      <c r="AIP279" s="1049"/>
      <c r="AIQ279" s="1049"/>
      <c r="AIR279" s="62"/>
      <c r="AIS279" s="1049"/>
      <c r="AIT279" s="1049"/>
      <c r="AIU279" s="1049"/>
      <c r="AIV279" s="1049"/>
      <c r="AIW279" s="1049"/>
      <c r="AIX279" s="62"/>
      <c r="AIY279" s="1049"/>
      <c r="AIZ279" s="1049"/>
      <c r="AJA279" s="1049"/>
      <c r="AJB279" s="1049"/>
      <c r="AJC279" s="62"/>
      <c r="AJD279" s="1049"/>
      <c r="AJE279" s="1049"/>
      <c r="AJF279" s="1049"/>
      <c r="AJG279" s="1049"/>
      <c r="AJH279" s="62"/>
      <c r="AJI279" s="1049"/>
      <c r="AJJ279" s="1049"/>
      <c r="AJK279" s="1049"/>
      <c r="AJL279" s="1049"/>
      <c r="AJM279" s="1049"/>
      <c r="AJN279" s="62"/>
      <c r="AJO279" s="1049"/>
      <c r="AJP279" s="1049"/>
      <c r="AJQ279" s="1049"/>
      <c r="AJR279" s="1049"/>
      <c r="AJS279" s="62"/>
      <c r="AJT279" s="1049"/>
      <c r="AJU279" s="1049"/>
      <c r="AJV279" s="1049"/>
      <c r="AJW279" s="1049"/>
      <c r="AJX279" s="62"/>
      <c r="AJY279" s="1049"/>
      <c r="AJZ279" s="1049"/>
      <c r="AKA279" s="1049"/>
      <c r="AKB279" s="1049"/>
      <c r="AKC279" s="1049"/>
      <c r="AKD279" s="62"/>
      <c r="AKE279" s="1049"/>
      <c r="AKF279" s="1049"/>
      <c r="AKG279" s="1049"/>
      <c r="AKH279" s="1049"/>
      <c r="AKI279" s="62"/>
      <c r="AKJ279" s="1049"/>
      <c r="AKK279" s="1049"/>
      <c r="AKL279" s="1049"/>
      <c r="AKM279" s="1049"/>
      <c r="AKN279" s="62"/>
      <c r="AKO279" s="1049"/>
      <c r="AKP279" s="1049"/>
      <c r="AKQ279" s="1049"/>
      <c r="AKR279" s="1049"/>
      <c r="AKS279" s="1049"/>
      <c r="AKT279" s="62"/>
      <c r="AKU279" s="1049"/>
      <c r="AKV279" s="1049"/>
      <c r="AKW279" s="1049"/>
      <c r="AKX279" s="1049"/>
      <c r="AKY279" s="62"/>
      <c r="AKZ279" s="1049"/>
      <c r="ALA279" s="1049"/>
      <c r="ALB279" s="1049"/>
      <c r="ALC279" s="1049"/>
      <c r="ALD279" s="62"/>
      <c r="ALE279" s="1049"/>
      <c r="ALF279" s="1049"/>
      <c r="ALG279" s="1049"/>
      <c r="ALH279" s="1049"/>
      <c r="ALI279" s="1049"/>
      <c r="ALJ279" s="62"/>
      <c r="ALK279" s="1049"/>
      <c r="ALL279" s="1049"/>
      <c r="ALM279" s="1049"/>
      <c r="ALN279" s="1049"/>
      <c r="ALO279" s="62"/>
      <c r="ALP279" s="1049"/>
      <c r="ALQ279" s="1049"/>
      <c r="ALR279" s="1049"/>
      <c r="ALS279" s="1049"/>
      <c r="ALT279" s="62"/>
      <c r="ALU279" s="1049"/>
      <c r="ALV279" s="1049"/>
      <c r="ALW279" s="1049"/>
      <c r="ALX279" s="1049"/>
      <c r="ALY279" s="1049"/>
      <c r="ALZ279" s="62"/>
      <c r="AMA279" s="1049"/>
      <c r="AMB279" s="1049"/>
      <c r="AMC279" s="1049"/>
      <c r="AMD279" s="1049"/>
      <c r="AME279" s="62"/>
      <c r="AMF279" s="1049"/>
      <c r="AMG279" s="1049"/>
      <c r="AMH279" s="1049"/>
      <c r="AMI279" s="1049"/>
      <c r="AMJ279" s="62"/>
      <c r="AMK279" s="1049"/>
      <c r="AML279" s="1049"/>
      <c r="AMM279" s="1049"/>
      <c r="AMN279" s="1049"/>
      <c r="AMO279" s="1049"/>
      <c r="AMP279" s="62"/>
      <c r="AMQ279" s="1049"/>
      <c r="AMR279" s="1049"/>
      <c r="AMS279" s="1049"/>
      <c r="AMT279" s="1049"/>
      <c r="AMU279" s="62"/>
      <c r="AMV279" s="1049"/>
      <c r="AMW279" s="1049"/>
      <c r="AMX279" s="1049"/>
      <c r="AMY279" s="1049"/>
      <c r="AMZ279" s="62"/>
      <c r="ANA279" s="1049"/>
      <c r="ANB279" s="1049"/>
      <c r="ANC279" s="1049"/>
      <c r="AND279" s="1049"/>
      <c r="ANE279" s="1049"/>
      <c r="ANF279" s="62"/>
      <c r="ANG279" s="1049"/>
      <c r="ANH279" s="1049"/>
      <c r="ANI279" s="1049"/>
      <c r="ANJ279" s="1049"/>
      <c r="ANK279" s="62"/>
      <c r="ANL279" s="1049"/>
      <c r="ANM279" s="1049"/>
      <c r="ANN279" s="1049"/>
      <c r="ANO279" s="1049"/>
      <c r="ANP279" s="62"/>
      <c r="ANQ279" s="1049"/>
      <c r="ANR279" s="1049"/>
      <c r="ANS279" s="1049"/>
      <c r="ANT279" s="1049"/>
      <c r="ANU279" s="1049"/>
      <c r="ANV279" s="62"/>
      <c r="ANW279" s="1049"/>
      <c r="ANX279" s="1049"/>
      <c r="ANY279" s="1049"/>
      <c r="ANZ279" s="1049"/>
      <c r="AOA279" s="62"/>
      <c r="AOB279" s="1049"/>
      <c r="AOC279" s="1049"/>
      <c r="AOD279" s="1049"/>
      <c r="AOE279" s="1049"/>
      <c r="AOF279" s="62"/>
      <c r="AOG279" s="1049"/>
      <c r="AOH279" s="1049"/>
      <c r="AOI279" s="1049"/>
      <c r="AOJ279" s="1049"/>
      <c r="AOK279" s="1049"/>
      <c r="AOL279" s="62"/>
      <c r="AOM279" s="1049"/>
      <c r="AON279" s="1049"/>
      <c r="AOO279" s="1049"/>
      <c r="AOP279" s="1049"/>
      <c r="AOQ279" s="62"/>
      <c r="AOR279" s="1049"/>
      <c r="AOS279" s="1049"/>
      <c r="AOT279" s="1049"/>
      <c r="AOU279" s="1049"/>
      <c r="AOV279" s="62"/>
      <c r="AOW279" s="1049"/>
      <c r="AOX279" s="1049"/>
      <c r="AOY279" s="1049"/>
      <c r="AOZ279" s="1049"/>
      <c r="APA279" s="1049"/>
      <c r="APB279" s="62"/>
      <c r="APC279" s="1049"/>
      <c r="APD279" s="1049"/>
      <c r="APE279" s="1049"/>
      <c r="APF279" s="1049"/>
      <c r="APG279" s="62"/>
      <c r="APH279" s="1049"/>
      <c r="API279" s="1049"/>
      <c r="APJ279" s="1049"/>
      <c r="APK279" s="1049"/>
      <c r="APL279" s="62"/>
      <c r="APM279" s="1049"/>
      <c r="APN279" s="1049"/>
      <c r="APO279" s="1049"/>
      <c r="APP279" s="1049"/>
      <c r="APQ279" s="1049"/>
      <c r="APR279" s="62"/>
      <c r="APS279" s="1049"/>
      <c r="APT279" s="1049"/>
      <c r="APU279" s="1049"/>
      <c r="APV279" s="1049"/>
      <c r="APW279" s="62"/>
      <c r="APX279" s="1049"/>
      <c r="APY279" s="1049"/>
      <c r="APZ279" s="1049"/>
      <c r="AQA279" s="1049"/>
      <c r="AQB279" s="62"/>
      <c r="AQC279" s="1049"/>
      <c r="AQD279" s="1049"/>
      <c r="AQE279" s="1049"/>
      <c r="AQF279" s="1049"/>
      <c r="AQG279" s="1049"/>
      <c r="AQH279" s="62"/>
      <c r="AQI279" s="1049"/>
      <c r="AQJ279" s="1049"/>
      <c r="AQK279" s="1049"/>
      <c r="AQL279" s="1049"/>
      <c r="AQM279" s="62"/>
      <c r="AQN279" s="1049"/>
      <c r="AQO279" s="1049"/>
      <c r="AQP279" s="1049"/>
      <c r="AQQ279" s="1049"/>
      <c r="AQR279" s="62"/>
      <c r="AQS279" s="1049"/>
      <c r="AQT279" s="1049"/>
      <c r="AQU279" s="1049"/>
      <c r="AQV279" s="1049"/>
      <c r="AQW279" s="1049"/>
      <c r="AQX279" s="62"/>
      <c r="AQY279" s="1049"/>
      <c r="AQZ279" s="1049"/>
      <c r="ARA279" s="1049"/>
      <c r="ARB279" s="1049"/>
      <c r="ARC279" s="62"/>
      <c r="ARD279" s="1049"/>
      <c r="ARE279" s="1049"/>
      <c r="ARF279" s="1049"/>
      <c r="ARG279" s="1049"/>
      <c r="ARH279" s="62"/>
      <c r="ARI279" s="1049"/>
      <c r="ARJ279" s="1049"/>
      <c r="ARK279" s="1049"/>
      <c r="ARL279" s="1049"/>
      <c r="ARM279" s="1049"/>
      <c r="ARN279" s="62"/>
      <c r="ARO279" s="1049"/>
      <c r="ARP279" s="1049"/>
      <c r="ARQ279" s="1049"/>
      <c r="ARR279" s="1049"/>
      <c r="ARS279" s="62"/>
      <c r="ART279" s="1049"/>
      <c r="ARU279" s="1049"/>
      <c r="ARV279" s="1049"/>
      <c r="ARW279" s="1049"/>
      <c r="ARX279" s="62"/>
      <c r="ARY279" s="1049"/>
      <c r="ARZ279" s="1049"/>
      <c r="ASA279" s="1049"/>
      <c r="ASB279" s="1049"/>
      <c r="ASC279" s="1049"/>
      <c r="ASD279" s="62"/>
      <c r="ASE279" s="1049"/>
      <c r="ASF279" s="1049"/>
      <c r="ASG279" s="1049"/>
      <c r="ASH279" s="1049"/>
      <c r="ASI279" s="62"/>
      <c r="ASJ279" s="1049"/>
      <c r="ASK279" s="1049"/>
      <c r="ASL279" s="1049"/>
      <c r="ASM279" s="1049"/>
      <c r="ASN279" s="62"/>
      <c r="ASO279" s="1049"/>
      <c r="ASP279" s="1049"/>
      <c r="ASQ279" s="1049"/>
      <c r="ASR279" s="1049"/>
      <c r="ASS279" s="1049"/>
      <c r="AST279" s="62"/>
      <c r="ASU279" s="1049"/>
      <c r="ASV279" s="1049"/>
      <c r="ASW279" s="1049"/>
      <c r="ASX279" s="1049"/>
      <c r="ASY279" s="62"/>
      <c r="ASZ279" s="1049"/>
      <c r="ATA279" s="1049"/>
      <c r="ATB279" s="1049"/>
      <c r="ATC279" s="1049"/>
      <c r="ATD279" s="62"/>
      <c r="ATE279" s="1049"/>
      <c r="ATF279" s="1049"/>
      <c r="ATG279" s="1049"/>
      <c r="ATH279" s="1049"/>
      <c r="ATI279" s="1049"/>
      <c r="ATJ279" s="62"/>
      <c r="ATK279" s="1049"/>
      <c r="ATL279" s="1049"/>
      <c r="ATM279" s="1049"/>
      <c r="ATN279" s="1049"/>
      <c r="ATO279" s="62"/>
      <c r="ATP279" s="1049"/>
      <c r="ATQ279" s="1049"/>
      <c r="ATR279" s="1049"/>
      <c r="ATS279" s="1049"/>
      <c r="ATT279" s="62"/>
      <c r="ATU279" s="1049"/>
      <c r="ATV279" s="1049"/>
      <c r="ATW279" s="1049"/>
      <c r="ATX279" s="1049"/>
      <c r="ATY279" s="1049"/>
      <c r="ATZ279" s="62"/>
      <c r="AUA279" s="1049"/>
      <c r="AUB279" s="1049"/>
      <c r="AUC279" s="1049"/>
      <c r="AUD279" s="1049"/>
      <c r="AUE279" s="62"/>
      <c r="AUF279" s="1049"/>
      <c r="AUG279" s="1049"/>
      <c r="AUH279" s="1049"/>
      <c r="AUI279" s="1049"/>
      <c r="AUJ279" s="62"/>
      <c r="AUK279" s="1049"/>
      <c r="AUL279" s="1049"/>
      <c r="AUM279" s="1049"/>
      <c r="AUN279" s="1049"/>
      <c r="AUO279" s="1049"/>
      <c r="AUP279" s="62"/>
      <c r="AUQ279" s="1049"/>
      <c r="AUR279" s="1049"/>
      <c r="AUS279" s="1049"/>
      <c r="AUT279" s="1049"/>
      <c r="AUU279" s="62"/>
      <c r="AUV279" s="1049"/>
      <c r="AUW279" s="1049"/>
      <c r="AUX279" s="1049"/>
      <c r="AUY279" s="1049"/>
      <c r="AUZ279" s="62"/>
      <c r="AVA279" s="1049"/>
      <c r="AVB279" s="1049"/>
      <c r="AVC279" s="1049"/>
      <c r="AVD279" s="1049"/>
      <c r="AVE279" s="1049"/>
      <c r="AVF279" s="62"/>
      <c r="AVG279" s="1049"/>
      <c r="AVH279" s="1049"/>
      <c r="AVI279" s="1049"/>
      <c r="AVJ279" s="1049"/>
      <c r="AVK279" s="62"/>
      <c r="AVL279" s="1049"/>
      <c r="AVM279" s="1049"/>
      <c r="AVN279" s="1049"/>
      <c r="AVO279" s="1049"/>
      <c r="AVP279" s="62"/>
      <c r="AVQ279" s="1049"/>
      <c r="AVR279" s="1049"/>
      <c r="AVS279" s="1049"/>
      <c r="AVT279" s="1049"/>
      <c r="AVU279" s="1049"/>
      <c r="AVV279" s="62"/>
      <c r="AVW279" s="1049"/>
      <c r="AVX279" s="1049"/>
      <c r="AVY279" s="1049"/>
      <c r="AVZ279" s="1049"/>
      <c r="AWA279" s="62"/>
      <c r="AWB279" s="1049"/>
      <c r="AWC279" s="1049"/>
      <c r="AWD279" s="1049"/>
      <c r="AWE279" s="1049"/>
      <c r="AWF279" s="62"/>
      <c r="AWG279" s="1049"/>
      <c r="AWH279" s="1049"/>
      <c r="AWI279" s="1049"/>
      <c r="AWJ279" s="1049"/>
      <c r="AWK279" s="1049"/>
      <c r="AWL279" s="62"/>
      <c r="AWM279" s="1049"/>
      <c r="AWN279" s="1049"/>
      <c r="AWO279" s="1049"/>
      <c r="AWP279" s="1049"/>
      <c r="AWQ279" s="62"/>
      <c r="AWR279" s="1049"/>
      <c r="AWS279" s="1049"/>
      <c r="AWT279" s="1049"/>
      <c r="AWU279" s="1049"/>
      <c r="AWV279" s="62"/>
      <c r="AWW279" s="1049"/>
      <c r="AWX279" s="1049"/>
      <c r="AWY279" s="1049"/>
      <c r="AWZ279" s="1049"/>
      <c r="AXA279" s="1049"/>
      <c r="AXB279" s="62"/>
      <c r="AXC279" s="1049"/>
      <c r="AXD279" s="1049"/>
      <c r="AXE279" s="1049"/>
      <c r="AXF279" s="1049"/>
      <c r="AXG279" s="62"/>
      <c r="AXH279" s="1049"/>
      <c r="AXI279" s="1049"/>
      <c r="AXJ279" s="1049"/>
      <c r="AXK279" s="1049"/>
      <c r="AXL279" s="62"/>
      <c r="AXM279" s="1049"/>
      <c r="AXN279" s="1049"/>
      <c r="AXO279" s="1049"/>
      <c r="AXP279" s="1049"/>
      <c r="AXQ279" s="1049"/>
      <c r="AXR279" s="62"/>
      <c r="AXS279" s="1049"/>
      <c r="AXT279" s="1049"/>
      <c r="AXU279" s="1049"/>
      <c r="AXV279" s="1049"/>
      <c r="AXW279" s="62"/>
      <c r="AXX279" s="1049"/>
      <c r="AXY279" s="1049"/>
      <c r="AXZ279" s="1049"/>
      <c r="AYA279" s="1049"/>
      <c r="AYB279" s="62"/>
      <c r="AYC279" s="1049"/>
      <c r="AYD279" s="1049"/>
      <c r="AYE279" s="1049"/>
      <c r="AYF279" s="1049"/>
      <c r="AYG279" s="1049"/>
      <c r="AYH279" s="62"/>
      <c r="AYI279" s="1049"/>
      <c r="AYJ279" s="1049"/>
      <c r="AYK279" s="1049"/>
      <c r="AYL279" s="1049"/>
      <c r="AYM279" s="62"/>
      <c r="AYN279" s="1049"/>
      <c r="AYO279" s="1049"/>
      <c r="AYP279" s="1049"/>
      <c r="AYQ279" s="1049"/>
      <c r="AYR279" s="62"/>
      <c r="AYS279" s="1049"/>
      <c r="AYT279" s="1049"/>
      <c r="AYU279" s="1049"/>
      <c r="AYV279" s="1049"/>
      <c r="AYW279" s="1049"/>
      <c r="AYX279" s="62"/>
      <c r="AYY279" s="1049"/>
      <c r="AYZ279" s="1049"/>
      <c r="AZA279" s="1049"/>
      <c r="AZB279" s="1049"/>
      <c r="AZC279" s="62"/>
      <c r="AZD279" s="1049"/>
      <c r="AZE279" s="1049"/>
      <c r="AZF279" s="1049"/>
      <c r="AZG279" s="1049"/>
      <c r="AZH279" s="62"/>
      <c r="AZI279" s="1049"/>
      <c r="AZJ279" s="1049"/>
      <c r="AZK279" s="1049"/>
      <c r="AZL279" s="1049"/>
      <c r="AZM279" s="1049"/>
      <c r="AZN279" s="62"/>
      <c r="AZO279" s="1049"/>
      <c r="AZP279" s="1049"/>
      <c r="AZQ279" s="1049"/>
      <c r="AZR279" s="1049"/>
      <c r="AZS279" s="62"/>
      <c r="AZT279" s="1049"/>
      <c r="AZU279" s="1049"/>
      <c r="AZV279" s="1049"/>
      <c r="AZW279" s="1049"/>
      <c r="AZX279" s="62"/>
      <c r="AZY279" s="1049"/>
      <c r="AZZ279" s="1049"/>
      <c r="BAA279" s="1049"/>
      <c r="BAB279" s="1049"/>
      <c r="BAC279" s="1049"/>
      <c r="BAD279" s="62"/>
      <c r="BAE279" s="1049"/>
      <c r="BAF279" s="1049"/>
      <c r="BAG279" s="1049"/>
      <c r="BAH279" s="1049"/>
      <c r="BAI279" s="62"/>
      <c r="BAJ279" s="1049"/>
      <c r="BAK279" s="1049"/>
      <c r="BAL279" s="1049"/>
      <c r="BAM279" s="1049"/>
      <c r="BAN279" s="62"/>
      <c r="BAO279" s="1049"/>
      <c r="BAP279" s="1049"/>
      <c r="BAQ279" s="1049"/>
      <c r="BAR279" s="1049"/>
      <c r="BAS279" s="1049"/>
      <c r="BAT279" s="62"/>
      <c r="BAU279" s="1049"/>
      <c r="BAV279" s="1049"/>
      <c r="BAW279" s="1049"/>
      <c r="BAX279" s="1049"/>
      <c r="BAY279" s="62"/>
      <c r="BAZ279" s="1049"/>
      <c r="BBA279" s="1049"/>
      <c r="BBB279" s="1049"/>
      <c r="BBC279" s="1049"/>
      <c r="BBD279" s="62"/>
      <c r="BBE279" s="1049"/>
      <c r="BBF279" s="1049"/>
      <c r="BBG279" s="1049"/>
      <c r="BBH279" s="1049"/>
      <c r="BBI279" s="1049"/>
      <c r="BBJ279" s="62"/>
      <c r="BBK279" s="1049"/>
      <c r="BBL279" s="1049"/>
      <c r="BBM279" s="1049"/>
      <c r="BBN279" s="1049"/>
      <c r="BBO279" s="62"/>
      <c r="BBP279" s="1049"/>
      <c r="BBQ279" s="1049"/>
      <c r="BBR279" s="1049"/>
      <c r="BBS279" s="1049"/>
      <c r="BBT279" s="62"/>
      <c r="BBU279" s="1049"/>
      <c r="BBV279" s="1049"/>
      <c r="BBW279" s="1049"/>
      <c r="BBX279" s="1049"/>
      <c r="BBY279" s="1049"/>
      <c r="BBZ279" s="62"/>
      <c r="BCA279" s="1049"/>
      <c r="BCB279" s="1049"/>
      <c r="BCC279" s="1049"/>
      <c r="BCD279" s="1049"/>
      <c r="BCE279" s="62"/>
      <c r="BCF279" s="1049"/>
      <c r="BCG279" s="1049"/>
      <c r="BCH279" s="1049"/>
      <c r="BCI279" s="1049"/>
      <c r="BCJ279" s="62"/>
      <c r="BCK279" s="1049"/>
      <c r="BCL279" s="1049"/>
      <c r="BCM279" s="1049"/>
      <c r="BCN279" s="1049"/>
      <c r="BCO279" s="1049"/>
      <c r="BCP279" s="62"/>
      <c r="BCQ279" s="1049"/>
      <c r="BCR279" s="1049"/>
      <c r="BCS279" s="1049"/>
      <c r="BCT279" s="1049"/>
      <c r="BCU279" s="62"/>
      <c r="BCV279" s="1049"/>
      <c r="BCW279" s="1049"/>
      <c r="BCX279" s="1049"/>
      <c r="BCY279" s="1049"/>
      <c r="BCZ279" s="62"/>
      <c r="BDA279" s="1049"/>
      <c r="BDB279" s="1049"/>
      <c r="BDC279" s="1049"/>
      <c r="BDD279" s="1049"/>
      <c r="BDE279" s="1049"/>
      <c r="BDF279" s="62"/>
      <c r="BDG279" s="1049"/>
      <c r="BDH279" s="1049"/>
      <c r="BDI279" s="1049"/>
      <c r="BDJ279" s="1049"/>
      <c r="BDK279" s="62"/>
      <c r="BDL279" s="1049"/>
      <c r="BDM279" s="1049"/>
      <c r="BDN279" s="1049"/>
      <c r="BDO279" s="1049"/>
      <c r="BDP279" s="62"/>
      <c r="BDQ279" s="1049"/>
      <c r="BDR279" s="1049"/>
      <c r="BDS279" s="1049"/>
      <c r="BDT279" s="1049"/>
      <c r="BDU279" s="1049"/>
      <c r="BDV279" s="62"/>
      <c r="BDW279" s="1049"/>
      <c r="BDX279" s="1049"/>
      <c r="BDY279" s="1049"/>
      <c r="BDZ279" s="1049"/>
      <c r="BEA279" s="62"/>
      <c r="BEB279" s="1049"/>
      <c r="BEC279" s="1049"/>
      <c r="BED279" s="1049"/>
      <c r="BEE279" s="1049"/>
      <c r="BEF279" s="62"/>
      <c r="BEG279" s="1049"/>
      <c r="BEH279" s="1049"/>
      <c r="BEI279" s="1049"/>
      <c r="BEJ279" s="1049"/>
      <c r="BEK279" s="1049"/>
      <c r="BEL279" s="62"/>
      <c r="BEM279" s="1049"/>
      <c r="BEN279" s="1049"/>
      <c r="BEO279" s="1049"/>
      <c r="BEP279" s="1049"/>
      <c r="BEQ279" s="62"/>
      <c r="BER279" s="1049"/>
      <c r="BES279" s="1049"/>
      <c r="BET279" s="1049"/>
      <c r="BEU279" s="1049"/>
      <c r="BEV279" s="62"/>
      <c r="BEW279" s="1049"/>
      <c r="BEX279" s="1049"/>
      <c r="BEY279" s="1049"/>
      <c r="BEZ279" s="1049"/>
      <c r="BFA279" s="1049"/>
      <c r="BFB279" s="62"/>
      <c r="BFC279" s="1049"/>
      <c r="BFD279" s="1049"/>
      <c r="BFE279" s="1049"/>
      <c r="BFF279" s="1049"/>
      <c r="BFG279" s="62"/>
      <c r="BFH279" s="1049"/>
      <c r="BFI279" s="1049"/>
      <c r="BFJ279" s="1049"/>
      <c r="BFK279" s="1049"/>
      <c r="BFL279" s="62"/>
      <c r="BFM279" s="1049"/>
      <c r="BFN279" s="1049"/>
      <c r="BFO279" s="1049"/>
      <c r="BFP279" s="1049"/>
      <c r="BFQ279" s="1049"/>
      <c r="BFR279" s="62"/>
      <c r="BFS279" s="1049"/>
      <c r="BFT279" s="1049"/>
      <c r="BFU279" s="1049"/>
      <c r="BFV279" s="1049"/>
      <c r="BFW279" s="62"/>
      <c r="BFX279" s="1049"/>
      <c r="BFY279" s="1049"/>
      <c r="BFZ279" s="1049"/>
      <c r="BGA279" s="1049"/>
      <c r="BGB279" s="62"/>
      <c r="BGC279" s="1049"/>
      <c r="BGD279" s="1049"/>
      <c r="BGE279" s="1049"/>
      <c r="BGF279" s="1049"/>
      <c r="BGG279" s="1049"/>
      <c r="BGH279" s="62"/>
      <c r="BGI279" s="1049"/>
      <c r="BGJ279" s="1049"/>
      <c r="BGK279" s="1049"/>
      <c r="BGL279" s="1049"/>
      <c r="BGM279" s="62"/>
      <c r="BGN279" s="1049"/>
      <c r="BGO279" s="1049"/>
      <c r="BGP279" s="1049"/>
      <c r="BGQ279" s="1049"/>
      <c r="BGR279" s="62"/>
      <c r="BGS279" s="1049"/>
      <c r="BGT279" s="1049"/>
      <c r="BGU279" s="1049"/>
      <c r="BGV279" s="1049"/>
      <c r="BGW279" s="1049"/>
      <c r="BGX279" s="62"/>
      <c r="BGY279" s="1049"/>
      <c r="BGZ279" s="1049"/>
      <c r="BHA279" s="1049"/>
      <c r="BHB279" s="1049"/>
      <c r="BHC279" s="62"/>
      <c r="BHD279" s="1049"/>
      <c r="BHE279" s="1049"/>
      <c r="BHF279" s="1049"/>
      <c r="BHG279" s="1049"/>
      <c r="BHH279" s="62"/>
      <c r="BHI279" s="1049"/>
      <c r="BHJ279" s="1049"/>
      <c r="BHK279" s="1049"/>
      <c r="BHL279" s="1049"/>
      <c r="BHM279" s="1049"/>
      <c r="BHN279" s="62"/>
      <c r="BHO279" s="1049"/>
      <c r="BHP279" s="1049"/>
      <c r="BHQ279" s="1049"/>
      <c r="BHR279" s="1049"/>
      <c r="BHS279" s="62"/>
      <c r="BHT279" s="1049"/>
      <c r="BHU279" s="1049"/>
      <c r="BHV279" s="1049"/>
      <c r="BHW279" s="1049"/>
      <c r="BHX279" s="62"/>
      <c r="BHY279" s="1049"/>
      <c r="BHZ279" s="1049"/>
      <c r="BIA279" s="1049"/>
      <c r="BIB279" s="1049"/>
      <c r="BIC279" s="1049"/>
      <c r="BID279" s="62"/>
      <c r="BIE279" s="1049"/>
      <c r="BIF279" s="1049"/>
      <c r="BIG279" s="1049"/>
      <c r="BIH279" s="1049"/>
      <c r="BII279" s="62"/>
      <c r="BIJ279" s="1049"/>
      <c r="BIK279" s="1049"/>
      <c r="BIL279" s="1049"/>
      <c r="BIM279" s="1049"/>
      <c r="BIN279" s="62"/>
      <c r="BIO279" s="1049"/>
      <c r="BIP279" s="1049"/>
      <c r="BIQ279" s="1049"/>
      <c r="BIR279" s="1049"/>
      <c r="BIS279" s="1049"/>
      <c r="BIT279" s="62"/>
      <c r="BIU279" s="1049"/>
      <c r="BIV279" s="1049"/>
      <c r="BIW279" s="1049"/>
      <c r="BIX279" s="1049"/>
      <c r="BIY279" s="62"/>
      <c r="BIZ279" s="1049"/>
      <c r="BJA279" s="1049"/>
      <c r="BJB279" s="1049"/>
      <c r="BJC279" s="1049"/>
      <c r="BJD279" s="62"/>
      <c r="BJE279" s="1049"/>
      <c r="BJF279" s="1049"/>
      <c r="BJG279" s="1049"/>
      <c r="BJH279" s="1049"/>
      <c r="BJI279" s="1049"/>
      <c r="BJJ279" s="62"/>
      <c r="BJK279" s="1049"/>
      <c r="BJL279" s="1049"/>
      <c r="BJM279" s="1049"/>
      <c r="BJN279" s="1049"/>
      <c r="BJO279" s="62"/>
      <c r="BJP279" s="1049"/>
      <c r="BJQ279" s="1049"/>
      <c r="BJR279" s="1049"/>
      <c r="BJS279" s="1049"/>
      <c r="BJT279" s="62"/>
      <c r="BJU279" s="1049"/>
      <c r="BJV279" s="1049"/>
      <c r="BJW279" s="1049"/>
      <c r="BJX279" s="1049"/>
      <c r="BJY279" s="1049"/>
      <c r="BJZ279" s="62"/>
      <c r="BKA279" s="1049"/>
      <c r="BKB279" s="1049"/>
      <c r="BKC279" s="1049"/>
      <c r="BKD279" s="1049"/>
      <c r="BKE279" s="62"/>
      <c r="BKF279" s="1049"/>
      <c r="BKG279" s="1049"/>
      <c r="BKH279" s="1049"/>
      <c r="BKI279" s="1049"/>
      <c r="BKJ279" s="62"/>
      <c r="BKK279" s="1049"/>
      <c r="BKL279" s="1049"/>
      <c r="BKM279" s="1049"/>
      <c r="BKN279" s="1049"/>
      <c r="BKO279" s="1049"/>
      <c r="BKP279" s="62"/>
      <c r="BKQ279" s="1049"/>
      <c r="BKR279" s="1049"/>
      <c r="BKS279" s="1049"/>
      <c r="BKT279" s="1049"/>
      <c r="BKU279" s="62"/>
      <c r="BKV279" s="1049"/>
      <c r="BKW279" s="1049"/>
      <c r="BKX279" s="1049"/>
      <c r="BKY279" s="1049"/>
      <c r="BKZ279" s="62"/>
      <c r="BLA279" s="1049"/>
      <c r="BLB279" s="1049"/>
      <c r="BLC279" s="1049"/>
      <c r="BLD279" s="1049"/>
      <c r="BLE279" s="1049"/>
      <c r="BLF279" s="62"/>
      <c r="BLG279" s="1049"/>
      <c r="BLH279" s="1049"/>
      <c r="BLI279" s="1049"/>
      <c r="BLJ279" s="1049"/>
      <c r="BLK279" s="62"/>
      <c r="BLL279" s="1049"/>
      <c r="BLM279" s="1049"/>
      <c r="BLN279" s="1049"/>
      <c r="BLO279" s="1049"/>
      <c r="BLP279" s="62"/>
      <c r="BLQ279" s="1049"/>
      <c r="BLR279" s="1049"/>
      <c r="BLS279" s="1049"/>
      <c r="BLT279" s="1049"/>
      <c r="BLU279" s="1049"/>
      <c r="BLV279" s="62"/>
      <c r="BLW279" s="1049"/>
      <c r="BLX279" s="1049"/>
      <c r="BLY279" s="1049"/>
      <c r="BLZ279" s="1049"/>
      <c r="BMA279" s="62"/>
      <c r="BMB279" s="1049"/>
      <c r="BMC279" s="1049"/>
      <c r="BMD279" s="1049"/>
      <c r="BME279" s="1049"/>
      <c r="BMF279" s="62"/>
      <c r="BMG279" s="1049"/>
      <c r="BMH279" s="1049"/>
      <c r="BMI279" s="1049"/>
      <c r="BMJ279" s="1049"/>
      <c r="BMK279" s="1049"/>
      <c r="BML279" s="62"/>
      <c r="BMM279" s="1049"/>
      <c r="BMN279" s="1049"/>
      <c r="BMO279" s="1049"/>
      <c r="BMP279" s="1049"/>
      <c r="BMQ279" s="62"/>
      <c r="BMR279" s="1049"/>
      <c r="BMS279" s="1049"/>
      <c r="BMT279" s="1049"/>
      <c r="BMU279" s="1049"/>
      <c r="BMV279" s="62"/>
      <c r="BMW279" s="1049"/>
      <c r="BMX279" s="1049"/>
      <c r="BMY279" s="1049"/>
      <c r="BMZ279" s="1049"/>
      <c r="BNA279" s="1049"/>
      <c r="BNB279" s="62"/>
      <c r="BNC279" s="1049"/>
      <c r="BND279" s="1049"/>
      <c r="BNE279" s="1049"/>
      <c r="BNF279" s="1049"/>
      <c r="BNG279" s="62"/>
      <c r="BNH279" s="1049"/>
      <c r="BNI279" s="1049"/>
      <c r="BNJ279" s="1049"/>
      <c r="BNK279" s="1049"/>
      <c r="BNL279" s="62"/>
      <c r="BNM279" s="1049"/>
      <c r="BNN279" s="1049"/>
      <c r="BNO279" s="1049"/>
      <c r="BNP279" s="1049"/>
      <c r="BNQ279" s="1049"/>
      <c r="BNR279" s="62"/>
      <c r="BNS279" s="1049"/>
      <c r="BNT279" s="1049"/>
      <c r="BNU279" s="1049"/>
      <c r="BNV279" s="1049"/>
      <c r="BNW279" s="62"/>
      <c r="BNX279" s="1049"/>
      <c r="BNY279" s="1049"/>
      <c r="BNZ279" s="1049"/>
      <c r="BOA279" s="1049"/>
      <c r="BOB279" s="62"/>
      <c r="BOC279" s="1049"/>
      <c r="BOD279" s="1049"/>
      <c r="BOE279" s="1049"/>
      <c r="BOF279" s="1049"/>
      <c r="BOG279" s="1049"/>
      <c r="BOH279" s="62"/>
      <c r="BOI279" s="1049"/>
      <c r="BOJ279" s="1049"/>
      <c r="BOK279" s="1049"/>
      <c r="BOL279" s="1049"/>
      <c r="BOM279" s="62"/>
      <c r="BON279" s="1049"/>
      <c r="BOO279" s="1049"/>
      <c r="BOP279" s="1049"/>
      <c r="BOQ279" s="1049"/>
      <c r="BOR279" s="62"/>
      <c r="BOS279" s="1049"/>
      <c r="BOT279" s="1049"/>
      <c r="BOU279" s="1049"/>
      <c r="BOV279" s="1049"/>
      <c r="BOW279" s="1049"/>
      <c r="BOX279" s="62"/>
      <c r="BOY279" s="1049"/>
      <c r="BOZ279" s="1049"/>
      <c r="BPA279" s="1049"/>
      <c r="BPB279" s="1049"/>
      <c r="BPC279" s="62"/>
      <c r="BPD279" s="1049"/>
      <c r="BPE279" s="1049"/>
      <c r="BPF279" s="1049"/>
      <c r="BPG279" s="1049"/>
      <c r="BPH279" s="62"/>
      <c r="BPI279" s="1049"/>
      <c r="BPJ279" s="1049"/>
      <c r="BPK279" s="1049"/>
      <c r="BPL279" s="1049"/>
      <c r="BPM279" s="1049"/>
      <c r="BPN279" s="62"/>
      <c r="BPO279" s="1049"/>
      <c r="BPP279" s="1049"/>
      <c r="BPQ279" s="1049"/>
      <c r="BPR279" s="1049"/>
      <c r="BPS279" s="62"/>
      <c r="BPT279" s="1049"/>
      <c r="BPU279" s="1049"/>
      <c r="BPV279" s="1049"/>
      <c r="BPW279" s="1049"/>
      <c r="BPX279" s="62"/>
      <c r="BPY279" s="1049"/>
      <c r="BPZ279" s="1049"/>
      <c r="BQA279" s="1049"/>
      <c r="BQB279" s="1049"/>
      <c r="BQC279" s="1049"/>
      <c r="BQD279" s="62"/>
      <c r="BQE279" s="1049"/>
      <c r="BQF279" s="1049"/>
      <c r="BQG279" s="1049"/>
      <c r="BQH279" s="1049"/>
      <c r="BQI279" s="62"/>
      <c r="BQJ279" s="1049"/>
      <c r="BQK279" s="1049"/>
      <c r="BQL279" s="1049"/>
      <c r="BQM279" s="1049"/>
      <c r="BQN279" s="62"/>
      <c r="BQO279" s="1049"/>
      <c r="BQP279" s="1049"/>
      <c r="BQQ279" s="1049"/>
      <c r="BQR279" s="1049"/>
      <c r="BQS279" s="1049"/>
      <c r="BQT279" s="62"/>
      <c r="BQU279" s="1049"/>
      <c r="BQV279" s="1049"/>
      <c r="BQW279" s="1049"/>
      <c r="BQX279" s="1049"/>
      <c r="BQY279" s="62"/>
      <c r="BQZ279" s="1049"/>
      <c r="BRA279" s="1049"/>
      <c r="BRB279" s="1049"/>
      <c r="BRC279" s="1049"/>
      <c r="BRD279" s="62"/>
      <c r="BRE279" s="1049"/>
      <c r="BRF279" s="1049"/>
      <c r="BRG279" s="1049"/>
      <c r="BRH279" s="1049"/>
      <c r="BRI279" s="1049"/>
      <c r="BRJ279" s="62"/>
      <c r="BRK279" s="1049"/>
      <c r="BRL279" s="1049"/>
      <c r="BRM279" s="1049"/>
      <c r="BRN279" s="1049"/>
      <c r="BRO279" s="62"/>
      <c r="BRP279" s="1049"/>
      <c r="BRQ279" s="1049"/>
      <c r="BRR279" s="1049"/>
      <c r="BRS279" s="1049"/>
      <c r="BRT279" s="62"/>
      <c r="BRU279" s="1049"/>
      <c r="BRV279" s="1049"/>
      <c r="BRW279" s="1049"/>
      <c r="BRX279" s="1049"/>
      <c r="BRY279" s="1049"/>
      <c r="BRZ279" s="62"/>
      <c r="BSA279" s="1049"/>
      <c r="BSB279" s="1049"/>
      <c r="BSC279" s="1049"/>
      <c r="BSD279" s="1049"/>
      <c r="BSE279" s="62"/>
      <c r="BSF279" s="1049"/>
      <c r="BSG279" s="1049"/>
      <c r="BSH279" s="1049"/>
      <c r="BSI279" s="1049"/>
      <c r="BSJ279" s="62"/>
      <c r="BSK279" s="1049"/>
      <c r="BSL279" s="1049"/>
      <c r="BSM279" s="1049"/>
      <c r="BSN279" s="1049"/>
      <c r="BSO279" s="1049"/>
      <c r="BSP279" s="62"/>
      <c r="BSQ279" s="1049"/>
      <c r="BSR279" s="1049"/>
      <c r="BSS279" s="1049"/>
      <c r="BST279" s="1049"/>
      <c r="BSU279" s="62"/>
      <c r="BSV279" s="1049"/>
      <c r="BSW279" s="1049"/>
      <c r="BSX279" s="1049"/>
      <c r="BSY279" s="1049"/>
      <c r="BSZ279" s="62"/>
      <c r="BTA279" s="1049"/>
      <c r="BTB279" s="1049"/>
      <c r="BTC279" s="1049"/>
      <c r="BTD279" s="1049"/>
      <c r="BTE279" s="1049"/>
      <c r="BTF279" s="62"/>
      <c r="BTG279" s="1049"/>
      <c r="BTH279" s="1049"/>
      <c r="BTI279" s="1049"/>
      <c r="BTJ279" s="1049"/>
      <c r="BTK279" s="62"/>
      <c r="BTL279" s="1049"/>
      <c r="BTM279" s="1049"/>
      <c r="BTN279" s="1049"/>
      <c r="BTO279" s="1049"/>
      <c r="BTP279" s="62"/>
      <c r="BTQ279" s="1049"/>
      <c r="BTR279" s="1049"/>
      <c r="BTS279" s="1049"/>
      <c r="BTT279" s="1049"/>
      <c r="BTU279" s="1049"/>
      <c r="BTV279" s="62"/>
      <c r="BTW279" s="1049"/>
      <c r="BTX279" s="1049"/>
      <c r="BTY279" s="1049"/>
      <c r="BTZ279" s="1049"/>
      <c r="BUA279" s="62"/>
      <c r="BUB279" s="1049"/>
      <c r="BUC279" s="1049"/>
      <c r="BUD279" s="1049"/>
      <c r="BUE279" s="1049"/>
      <c r="BUF279" s="62"/>
      <c r="BUG279" s="1049"/>
      <c r="BUH279" s="1049"/>
      <c r="BUI279" s="1049"/>
      <c r="BUJ279" s="1049"/>
      <c r="BUK279" s="1049"/>
      <c r="BUL279" s="62"/>
      <c r="BUM279" s="1049"/>
      <c r="BUN279" s="1049"/>
      <c r="BUO279" s="1049"/>
      <c r="BUP279" s="1049"/>
      <c r="BUQ279" s="62"/>
      <c r="BUR279" s="1049"/>
      <c r="BUS279" s="1049"/>
      <c r="BUT279" s="1049"/>
      <c r="BUU279" s="1049"/>
      <c r="BUV279" s="62"/>
      <c r="BUW279" s="1049"/>
      <c r="BUX279" s="1049"/>
      <c r="BUY279" s="1049"/>
      <c r="BUZ279" s="1049"/>
      <c r="BVA279" s="1049"/>
      <c r="BVB279" s="62"/>
      <c r="BVC279" s="1049"/>
      <c r="BVD279" s="1049"/>
      <c r="BVE279" s="1049"/>
      <c r="BVF279" s="1049"/>
      <c r="BVG279" s="62"/>
      <c r="BVH279" s="1049"/>
      <c r="BVI279" s="1049"/>
      <c r="BVJ279" s="1049"/>
      <c r="BVK279" s="1049"/>
      <c r="BVL279" s="62"/>
      <c r="BVM279" s="1049"/>
      <c r="BVN279" s="1049"/>
      <c r="BVO279" s="1049"/>
      <c r="BVP279" s="1049"/>
      <c r="BVQ279" s="1049"/>
      <c r="BVR279" s="62"/>
      <c r="BVS279" s="1049"/>
      <c r="BVT279" s="1049"/>
      <c r="BVU279" s="1049"/>
      <c r="BVV279" s="1049"/>
      <c r="BVW279" s="62"/>
      <c r="BVX279" s="1049"/>
      <c r="BVY279" s="1049"/>
      <c r="BVZ279" s="1049"/>
      <c r="BWA279" s="1049"/>
      <c r="BWB279" s="62"/>
      <c r="BWC279" s="1049"/>
      <c r="BWD279" s="1049"/>
      <c r="BWE279" s="1049"/>
      <c r="BWF279" s="1049"/>
      <c r="BWG279" s="1049"/>
      <c r="BWH279" s="62"/>
      <c r="BWI279" s="1049"/>
      <c r="BWJ279" s="1049"/>
      <c r="BWK279" s="1049"/>
      <c r="BWL279" s="1049"/>
      <c r="BWM279" s="62"/>
      <c r="BWN279" s="1049"/>
      <c r="BWO279" s="1049"/>
      <c r="BWP279" s="1049"/>
      <c r="BWQ279" s="1049"/>
      <c r="BWR279" s="62"/>
      <c r="BWS279" s="1049"/>
      <c r="BWT279" s="1049"/>
      <c r="BWU279" s="1049"/>
      <c r="BWV279" s="1049"/>
      <c r="BWW279" s="1049"/>
      <c r="BWX279" s="62"/>
      <c r="BWY279" s="1049"/>
      <c r="BWZ279" s="1049"/>
      <c r="BXA279" s="1049"/>
      <c r="BXB279" s="1049"/>
      <c r="BXC279" s="62"/>
      <c r="BXD279" s="1049"/>
      <c r="BXE279" s="1049"/>
      <c r="BXF279" s="1049"/>
      <c r="BXG279" s="1049"/>
      <c r="BXH279" s="62"/>
      <c r="BXI279" s="1049"/>
      <c r="BXJ279" s="1049"/>
      <c r="BXK279" s="1049"/>
      <c r="BXL279" s="1049"/>
      <c r="BXM279" s="1049"/>
      <c r="BXN279" s="62"/>
      <c r="BXO279" s="1049"/>
      <c r="BXP279" s="1049"/>
      <c r="BXQ279" s="1049"/>
      <c r="BXR279" s="1049"/>
      <c r="BXS279" s="62"/>
      <c r="BXT279" s="1049"/>
      <c r="BXU279" s="1049"/>
      <c r="BXV279" s="1049"/>
      <c r="BXW279" s="1049"/>
      <c r="BXX279" s="62"/>
      <c r="BXY279" s="1049"/>
      <c r="BXZ279" s="1049"/>
      <c r="BYA279" s="1049"/>
      <c r="BYB279" s="1049"/>
      <c r="BYC279" s="1049"/>
      <c r="BYD279" s="62"/>
      <c r="BYE279" s="1049"/>
      <c r="BYF279" s="1049"/>
      <c r="BYG279" s="1049"/>
      <c r="BYH279" s="1049"/>
      <c r="BYI279" s="62"/>
      <c r="BYJ279" s="1049"/>
      <c r="BYK279" s="1049"/>
      <c r="BYL279" s="1049"/>
      <c r="BYM279" s="1049"/>
      <c r="BYN279" s="62"/>
      <c r="BYO279" s="1049"/>
      <c r="BYP279" s="1049"/>
      <c r="BYQ279" s="1049"/>
      <c r="BYR279" s="1049"/>
      <c r="BYS279" s="1049"/>
      <c r="BYT279" s="62"/>
      <c r="BYU279" s="1049"/>
      <c r="BYV279" s="1049"/>
      <c r="BYW279" s="1049"/>
      <c r="BYX279" s="1049"/>
      <c r="BYY279" s="62"/>
      <c r="BYZ279" s="1049"/>
      <c r="BZA279" s="1049"/>
      <c r="BZB279" s="1049"/>
      <c r="BZC279" s="1049"/>
      <c r="BZD279" s="62"/>
      <c r="BZE279" s="1049"/>
      <c r="BZF279" s="1049"/>
      <c r="BZG279" s="1049"/>
      <c r="BZH279" s="1049"/>
      <c r="BZI279" s="1049"/>
      <c r="BZJ279" s="62"/>
      <c r="BZK279" s="1049"/>
      <c r="BZL279" s="1049"/>
      <c r="BZM279" s="1049"/>
      <c r="BZN279" s="1049"/>
      <c r="BZO279" s="62"/>
      <c r="BZP279" s="1049"/>
      <c r="BZQ279" s="1049"/>
      <c r="BZR279" s="1049"/>
      <c r="BZS279" s="1049"/>
      <c r="BZT279" s="62"/>
      <c r="BZU279" s="1049"/>
      <c r="BZV279" s="1049"/>
      <c r="BZW279" s="1049"/>
      <c r="BZX279" s="1049"/>
      <c r="BZY279" s="1049"/>
      <c r="BZZ279" s="62"/>
      <c r="CAA279" s="1049"/>
      <c r="CAB279" s="1049"/>
      <c r="CAC279" s="1049"/>
      <c r="CAD279" s="1049"/>
      <c r="CAE279" s="62"/>
      <c r="CAF279" s="1049"/>
      <c r="CAG279" s="1049"/>
      <c r="CAH279" s="1049"/>
      <c r="CAI279" s="1049"/>
      <c r="CAJ279" s="62"/>
      <c r="CAK279" s="1049"/>
      <c r="CAL279" s="1049"/>
      <c r="CAM279" s="1049"/>
      <c r="CAN279" s="1049"/>
      <c r="CAO279" s="1049"/>
      <c r="CAP279" s="62"/>
      <c r="CAQ279" s="1049"/>
      <c r="CAR279" s="1049"/>
      <c r="CAS279" s="1049"/>
      <c r="CAT279" s="1049"/>
      <c r="CAU279" s="62"/>
      <c r="CAV279" s="1049"/>
      <c r="CAW279" s="1049"/>
      <c r="CAX279" s="1049"/>
      <c r="CAY279" s="1049"/>
      <c r="CAZ279" s="62"/>
      <c r="CBA279" s="1049"/>
      <c r="CBB279" s="1049"/>
      <c r="CBC279" s="1049"/>
      <c r="CBD279" s="1049"/>
      <c r="CBE279" s="1049"/>
      <c r="CBF279" s="62"/>
      <c r="CBG279" s="1049"/>
      <c r="CBH279" s="1049"/>
      <c r="CBI279" s="1049"/>
      <c r="CBJ279" s="1049"/>
      <c r="CBK279" s="62"/>
      <c r="CBL279" s="1049"/>
      <c r="CBM279" s="1049"/>
      <c r="CBN279" s="1049"/>
      <c r="CBO279" s="1049"/>
      <c r="CBP279" s="62"/>
      <c r="CBQ279" s="1049"/>
      <c r="CBR279" s="1049"/>
      <c r="CBS279" s="1049"/>
      <c r="CBT279" s="1049"/>
      <c r="CBU279" s="1049"/>
      <c r="CBV279" s="62"/>
      <c r="CBW279" s="1049"/>
      <c r="CBX279" s="1049"/>
      <c r="CBY279" s="1049"/>
      <c r="CBZ279" s="1049"/>
      <c r="CCA279" s="62"/>
      <c r="CCB279" s="1049"/>
      <c r="CCC279" s="1049"/>
      <c r="CCD279" s="1049"/>
      <c r="CCE279" s="1049"/>
      <c r="CCF279" s="62"/>
      <c r="CCG279" s="1049"/>
      <c r="CCH279" s="1049"/>
      <c r="CCI279" s="1049"/>
      <c r="CCJ279" s="1049"/>
      <c r="CCK279" s="1049"/>
      <c r="CCL279" s="62"/>
      <c r="CCM279" s="1049"/>
      <c r="CCN279" s="1049"/>
      <c r="CCO279" s="1049"/>
      <c r="CCP279" s="1049"/>
      <c r="CCQ279" s="62"/>
      <c r="CCR279" s="1049"/>
      <c r="CCS279" s="1049"/>
      <c r="CCT279" s="1049"/>
      <c r="CCU279" s="1049"/>
      <c r="CCV279" s="62"/>
      <c r="CCW279" s="1049"/>
      <c r="CCX279" s="1049"/>
      <c r="CCY279" s="1049"/>
      <c r="CCZ279" s="1049"/>
      <c r="CDA279" s="1049"/>
      <c r="CDB279" s="62"/>
      <c r="CDC279" s="1049"/>
      <c r="CDD279" s="1049"/>
      <c r="CDE279" s="1049"/>
      <c r="CDF279" s="1049"/>
      <c r="CDG279" s="62"/>
      <c r="CDH279" s="1049"/>
      <c r="CDI279" s="1049"/>
      <c r="CDJ279" s="1049"/>
      <c r="CDK279" s="1049"/>
      <c r="CDL279" s="62"/>
      <c r="CDM279" s="1049"/>
      <c r="CDN279" s="1049"/>
      <c r="CDO279" s="1049"/>
      <c r="CDP279" s="1049"/>
      <c r="CDQ279" s="1049"/>
      <c r="CDR279" s="62"/>
      <c r="CDS279" s="1049"/>
      <c r="CDT279" s="1049"/>
      <c r="CDU279" s="1049"/>
      <c r="CDV279" s="1049"/>
      <c r="CDW279" s="62"/>
      <c r="CDX279" s="1049"/>
      <c r="CDY279" s="1049"/>
      <c r="CDZ279" s="1049"/>
      <c r="CEA279" s="1049"/>
      <c r="CEB279" s="62"/>
      <c r="CEC279" s="1049"/>
      <c r="CED279" s="1049"/>
      <c r="CEE279" s="1049"/>
      <c r="CEF279" s="1049"/>
      <c r="CEG279" s="1049"/>
      <c r="CEH279" s="62"/>
      <c r="CEI279" s="1049"/>
      <c r="CEJ279" s="1049"/>
      <c r="CEK279" s="1049"/>
      <c r="CEL279" s="1049"/>
      <c r="CEM279" s="62"/>
      <c r="CEN279" s="1049"/>
      <c r="CEO279" s="1049"/>
      <c r="CEP279" s="1049"/>
      <c r="CEQ279" s="1049"/>
      <c r="CER279" s="62"/>
      <c r="CES279" s="1049"/>
      <c r="CET279" s="1049"/>
      <c r="CEU279" s="1049"/>
      <c r="CEV279" s="1049"/>
      <c r="CEW279" s="1049"/>
      <c r="CEX279" s="62"/>
      <c r="CEY279" s="1049"/>
      <c r="CEZ279" s="1049"/>
      <c r="CFA279" s="1049"/>
      <c r="CFB279" s="1049"/>
      <c r="CFC279" s="62"/>
      <c r="CFD279" s="1049"/>
      <c r="CFE279" s="1049"/>
      <c r="CFF279" s="1049"/>
      <c r="CFG279" s="1049"/>
      <c r="CFH279" s="62"/>
      <c r="CFI279" s="1049"/>
      <c r="CFJ279" s="1049"/>
      <c r="CFK279" s="1049"/>
      <c r="CFL279" s="1049"/>
      <c r="CFM279" s="1049"/>
      <c r="CFN279" s="62"/>
      <c r="CFO279" s="1049"/>
      <c r="CFP279" s="1049"/>
      <c r="CFQ279" s="1049"/>
      <c r="CFR279" s="1049"/>
      <c r="CFS279" s="62"/>
      <c r="CFT279" s="1049"/>
      <c r="CFU279" s="1049"/>
      <c r="CFV279" s="1049"/>
      <c r="CFW279" s="1049"/>
      <c r="CFX279" s="62"/>
      <c r="CFY279" s="1049"/>
      <c r="CFZ279" s="1049"/>
      <c r="CGA279" s="1049"/>
      <c r="CGB279" s="1049"/>
      <c r="CGC279" s="1049"/>
      <c r="CGD279" s="62"/>
      <c r="CGE279" s="1049"/>
      <c r="CGF279" s="1049"/>
      <c r="CGG279" s="1049"/>
      <c r="CGH279" s="1049"/>
      <c r="CGI279" s="62"/>
      <c r="CGJ279" s="1049"/>
      <c r="CGK279" s="1049"/>
      <c r="CGL279" s="1049"/>
      <c r="CGM279" s="1049"/>
      <c r="CGN279" s="62"/>
      <c r="CGO279" s="1049"/>
      <c r="CGP279" s="1049"/>
      <c r="CGQ279" s="1049"/>
      <c r="CGR279" s="1049"/>
      <c r="CGS279" s="1049"/>
      <c r="CGT279" s="62"/>
      <c r="CGU279" s="1049"/>
      <c r="CGV279" s="1049"/>
      <c r="CGW279" s="1049"/>
      <c r="CGX279" s="1049"/>
      <c r="CGY279" s="62"/>
      <c r="CGZ279" s="1049"/>
      <c r="CHA279" s="1049"/>
      <c r="CHB279" s="1049"/>
      <c r="CHC279" s="1049"/>
      <c r="CHD279" s="62"/>
      <c r="CHE279" s="1049"/>
      <c r="CHF279" s="1049"/>
      <c r="CHG279" s="1049"/>
      <c r="CHH279" s="1049"/>
      <c r="CHI279" s="1049"/>
      <c r="CHJ279" s="62"/>
      <c r="CHK279" s="1049"/>
      <c r="CHL279" s="1049"/>
      <c r="CHM279" s="1049"/>
      <c r="CHN279" s="1049"/>
      <c r="CHO279" s="62"/>
      <c r="CHP279" s="1049"/>
      <c r="CHQ279" s="1049"/>
      <c r="CHR279" s="1049"/>
      <c r="CHS279" s="1049"/>
      <c r="CHT279" s="62"/>
      <c r="CHU279" s="1049"/>
      <c r="CHV279" s="1049"/>
      <c r="CHW279" s="1049"/>
      <c r="CHX279" s="1049"/>
      <c r="CHY279" s="1049"/>
      <c r="CHZ279" s="62"/>
      <c r="CIA279" s="1049"/>
      <c r="CIB279" s="1049"/>
      <c r="CIC279" s="1049"/>
      <c r="CID279" s="1049"/>
      <c r="CIE279" s="62"/>
      <c r="CIF279" s="1049"/>
      <c r="CIG279" s="1049"/>
      <c r="CIH279" s="1049"/>
      <c r="CII279" s="1049"/>
      <c r="CIJ279" s="62"/>
      <c r="CIK279" s="1049"/>
      <c r="CIL279" s="1049"/>
      <c r="CIM279" s="1049"/>
      <c r="CIN279" s="1049"/>
      <c r="CIO279" s="1049"/>
      <c r="CIP279" s="62"/>
      <c r="CIQ279" s="1049"/>
      <c r="CIR279" s="1049"/>
      <c r="CIS279" s="1049"/>
      <c r="CIT279" s="1049"/>
      <c r="CIU279" s="62"/>
      <c r="CIV279" s="1049"/>
      <c r="CIW279" s="1049"/>
      <c r="CIX279" s="1049"/>
      <c r="CIY279" s="1049"/>
      <c r="CIZ279" s="62"/>
      <c r="CJA279" s="1049"/>
      <c r="CJB279" s="1049"/>
      <c r="CJC279" s="1049"/>
      <c r="CJD279" s="1049"/>
      <c r="CJE279" s="1049"/>
      <c r="CJF279" s="62"/>
      <c r="CJG279" s="1049"/>
      <c r="CJH279" s="1049"/>
      <c r="CJI279" s="1049"/>
      <c r="CJJ279" s="1049"/>
      <c r="CJK279" s="62"/>
      <c r="CJL279" s="1049"/>
      <c r="CJM279" s="1049"/>
      <c r="CJN279" s="1049"/>
      <c r="CJO279" s="1049"/>
      <c r="CJP279" s="62"/>
      <c r="CJQ279" s="1049"/>
      <c r="CJR279" s="1049"/>
      <c r="CJS279" s="1049"/>
      <c r="CJT279" s="1049"/>
      <c r="CJU279" s="1049"/>
      <c r="CJV279" s="62"/>
      <c r="CJW279" s="1049"/>
      <c r="CJX279" s="1049"/>
      <c r="CJY279" s="1049"/>
      <c r="CJZ279" s="1049"/>
      <c r="CKA279" s="62"/>
      <c r="CKB279" s="1049"/>
      <c r="CKC279" s="1049"/>
      <c r="CKD279" s="1049"/>
      <c r="CKE279" s="1049"/>
      <c r="CKF279" s="62"/>
      <c r="CKG279" s="1049"/>
      <c r="CKH279" s="1049"/>
      <c r="CKI279" s="1049"/>
      <c r="CKJ279" s="1049"/>
      <c r="CKK279" s="1049"/>
      <c r="CKL279" s="62"/>
      <c r="CKM279" s="1049"/>
      <c r="CKN279" s="1049"/>
      <c r="CKO279" s="1049"/>
      <c r="CKP279" s="1049"/>
      <c r="CKQ279" s="62"/>
      <c r="CKR279" s="1049"/>
      <c r="CKS279" s="1049"/>
      <c r="CKT279" s="1049"/>
      <c r="CKU279" s="1049"/>
      <c r="CKV279" s="62"/>
      <c r="CKW279" s="1049"/>
      <c r="CKX279" s="1049"/>
      <c r="CKY279" s="1049"/>
      <c r="CKZ279" s="1049"/>
      <c r="CLA279" s="1049"/>
      <c r="CLB279" s="62"/>
      <c r="CLC279" s="1049"/>
      <c r="CLD279" s="1049"/>
      <c r="CLE279" s="1049"/>
      <c r="CLF279" s="1049"/>
      <c r="CLG279" s="62"/>
      <c r="CLH279" s="1049"/>
      <c r="CLI279" s="1049"/>
      <c r="CLJ279" s="1049"/>
      <c r="CLK279" s="1049"/>
      <c r="CLL279" s="62"/>
      <c r="CLM279" s="1049"/>
      <c r="CLN279" s="1049"/>
      <c r="CLO279" s="1049"/>
      <c r="CLP279" s="1049"/>
      <c r="CLQ279" s="1049"/>
      <c r="CLR279" s="62"/>
      <c r="CLS279" s="1049"/>
      <c r="CLT279" s="1049"/>
      <c r="CLU279" s="1049"/>
      <c r="CLV279" s="1049"/>
      <c r="CLW279" s="62"/>
      <c r="CLX279" s="1049"/>
      <c r="CLY279" s="1049"/>
      <c r="CLZ279" s="1049"/>
      <c r="CMA279" s="1049"/>
      <c r="CMB279" s="62"/>
      <c r="CMC279" s="1049"/>
      <c r="CMD279" s="1049"/>
      <c r="CME279" s="1049"/>
      <c r="CMF279" s="1049"/>
      <c r="CMG279" s="1049"/>
      <c r="CMH279" s="62"/>
      <c r="CMI279" s="1049"/>
      <c r="CMJ279" s="1049"/>
      <c r="CMK279" s="1049"/>
      <c r="CML279" s="1049"/>
      <c r="CMM279" s="62"/>
      <c r="CMN279" s="1049"/>
      <c r="CMO279" s="1049"/>
      <c r="CMP279" s="1049"/>
      <c r="CMQ279" s="1049"/>
      <c r="CMR279" s="62"/>
      <c r="CMS279" s="1049"/>
      <c r="CMT279" s="1049"/>
      <c r="CMU279" s="1049"/>
      <c r="CMV279" s="1049"/>
      <c r="CMW279" s="1049"/>
      <c r="CMX279" s="62"/>
      <c r="CMY279" s="1049"/>
      <c r="CMZ279" s="1049"/>
      <c r="CNA279" s="1049"/>
      <c r="CNB279" s="1049"/>
      <c r="CNC279" s="62"/>
      <c r="CND279" s="1049"/>
      <c r="CNE279" s="1049"/>
      <c r="CNF279" s="1049"/>
      <c r="CNG279" s="1049"/>
      <c r="CNH279" s="62"/>
      <c r="CNI279" s="1049"/>
      <c r="CNJ279" s="1049"/>
      <c r="CNK279" s="1049"/>
      <c r="CNL279" s="1049"/>
      <c r="CNM279" s="1049"/>
      <c r="CNN279" s="62"/>
      <c r="CNO279" s="1049"/>
      <c r="CNP279" s="1049"/>
      <c r="CNQ279" s="1049"/>
      <c r="CNR279" s="1049"/>
      <c r="CNS279" s="62"/>
      <c r="CNT279" s="1049"/>
      <c r="CNU279" s="1049"/>
      <c r="CNV279" s="1049"/>
      <c r="CNW279" s="1049"/>
      <c r="CNX279" s="62"/>
      <c r="CNY279" s="1049"/>
      <c r="CNZ279" s="1049"/>
      <c r="COA279" s="1049"/>
      <c r="COB279" s="1049"/>
      <c r="COC279" s="1049"/>
      <c r="COD279" s="62"/>
      <c r="COE279" s="1049"/>
      <c r="COF279" s="1049"/>
      <c r="COG279" s="1049"/>
      <c r="COH279" s="1049"/>
      <c r="COI279" s="62"/>
      <c r="COJ279" s="1049"/>
      <c r="COK279" s="1049"/>
      <c r="COL279" s="1049"/>
      <c r="COM279" s="1049"/>
      <c r="CON279" s="62"/>
      <c r="COO279" s="1049"/>
      <c r="COP279" s="1049"/>
      <c r="COQ279" s="1049"/>
      <c r="COR279" s="1049"/>
      <c r="COS279" s="1049"/>
      <c r="COT279" s="62"/>
      <c r="COU279" s="1049"/>
      <c r="COV279" s="1049"/>
      <c r="COW279" s="1049"/>
      <c r="COX279" s="1049"/>
      <c r="COY279" s="62"/>
      <c r="COZ279" s="1049"/>
      <c r="CPA279" s="1049"/>
      <c r="CPB279" s="1049"/>
      <c r="CPC279" s="1049"/>
      <c r="CPD279" s="62"/>
      <c r="CPE279" s="1049"/>
      <c r="CPF279" s="1049"/>
      <c r="CPG279" s="1049"/>
      <c r="CPH279" s="1049"/>
      <c r="CPI279" s="1049"/>
      <c r="CPJ279" s="62"/>
      <c r="CPK279" s="1049"/>
      <c r="CPL279" s="1049"/>
      <c r="CPM279" s="1049"/>
      <c r="CPN279" s="1049"/>
      <c r="CPO279" s="62"/>
      <c r="CPP279" s="1049"/>
      <c r="CPQ279" s="1049"/>
      <c r="CPR279" s="1049"/>
      <c r="CPS279" s="1049"/>
      <c r="CPT279" s="62"/>
      <c r="CPU279" s="1049"/>
      <c r="CPV279" s="1049"/>
      <c r="CPW279" s="1049"/>
      <c r="CPX279" s="1049"/>
      <c r="CPY279" s="1049"/>
      <c r="CPZ279" s="62"/>
      <c r="CQA279" s="1049"/>
      <c r="CQB279" s="1049"/>
      <c r="CQC279" s="1049"/>
      <c r="CQD279" s="1049"/>
      <c r="CQE279" s="62"/>
      <c r="CQF279" s="1049"/>
      <c r="CQG279" s="1049"/>
      <c r="CQH279" s="1049"/>
      <c r="CQI279" s="1049"/>
      <c r="CQJ279" s="62"/>
      <c r="CQK279" s="1049"/>
      <c r="CQL279" s="1049"/>
      <c r="CQM279" s="1049"/>
      <c r="CQN279" s="1049"/>
      <c r="CQO279" s="1049"/>
      <c r="CQP279" s="62"/>
      <c r="CQQ279" s="1049"/>
      <c r="CQR279" s="1049"/>
      <c r="CQS279" s="1049"/>
      <c r="CQT279" s="1049"/>
      <c r="CQU279" s="62"/>
      <c r="CQV279" s="1049"/>
      <c r="CQW279" s="1049"/>
      <c r="CQX279" s="1049"/>
      <c r="CQY279" s="1049"/>
      <c r="CQZ279" s="62"/>
      <c r="CRA279" s="1049"/>
      <c r="CRB279" s="1049"/>
      <c r="CRC279" s="1049"/>
      <c r="CRD279" s="1049"/>
      <c r="CRE279" s="1049"/>
      <c r="CRF279" s="62"/>
      <c r="CRG279" s="1049"/>
      <c r="CRH279" s="1049"/>
      <c r="CRI279" s="1049"/>
      <c r="CRJ279" s="1049"/>
      <c r="CRK279" s="62"/>
      <c r="CRL279" s="1049"/>
      <c r="CRM279" s="1049"/>
      <c r="CRN279" s="1049"/>
      <c r="CRO279" s="1049"/>
      <c r="CRP279" s="62"/>
      <c r="CRQ279" s="1049"/>
      <c r="CRR279" s="1049"/>
      <c r="CRS279" s="1049"/>
      <c r="CRT279" s="1049"/>
      <c r="CRU279" s="1049"/>
      <c r="CRV279" s="62"/>
      <c r="CRW279" s="1049"/>
      <c r="CRX279" s="1049"/>
      <c r="CRY279" s="1049"/>
      <c r="CRZ279" s="1049"/>
      <c r="CSA279" s="62"/>
      <c r="CSB279" s="1049"/>
      <c r="CSC279" s="1049"/>
      <c r="CSD279" s="1049"/>
      <c r="CSE279" s="1049"/>
      <c r="CSF279" s="62"/>
      <c r="CSG279" s="1049"/>
      <c r="CSH279" s="1049"/>
      <c r="CSI279" s="1049"/>
      <c r="CSJ279" s="1049"/>
      <c r="CSK279" s="1049"/>
      <c r="CSL279" s="62"/>
      <c r="CSM279" s="1049"/>
      <c r="CSN279" s="1049"/>
      <c r="CSO279" s="1049"/>
      <c r="CSP279" s="1049"/>
      <c r="CSQ279" s="62"/>
      <c r="CSR279" s="1049"/>
      <c r="CSS279" s="1049"/>
      <c r="CST279" s="1049"/>
      <c r="CSU279" s="1049"/>
      <c r="CSV279" s="62"/>
      <c r="CSW279" s="1049"/>
      <c r="CSX279" s="1049"/>
      <c r="CSY279" s="1049"/>
      <c r="CSZ279" s="1049"/>
      <c r="CTA279" s="1049"/>
      <c r="CTB279" s="62"/>
      <c r="CTC279" s="1049"/>
      <c r="CTD279" s="1049"/>
      <c r="CTE279" s="1049"/>
      <c r="CTF279" s="1049"/>
      <c r="CTG279" s="62"/>
      <c r="CTH279" s="1049"/>
      <c r="CTI279" s="1049"/>
      <c r="CTJ279" s="1049"/>
      <c r="CTK279" s="1049"/>
      <c r="CTL279" s="62"/>
      <c r="CTM279" s="1049"/>
      <c r="CTN279" s="1049"/>
      <c r="CTO279" s="1049"/>
      <c r="CTP279" s="1049"/>
      <c r="CTQ279" s="1049"/>
      <c r="CTR279" s="62"/>
      <c r="CTS279" s="1049"/>
      <c r="CTT279" s="1049"/>
      <c r="CTU279" s="1049"/>
      <c r="CTV279" s="1049"/>
      <c r="CTW279" s="62"/>
      <c r="CTX279" s="1049"/>
      <c r="CTY279" s="1049"/>
      <c r="CTZ279" s="1049"/>
      <c r="CUA279" s="1049"/>
      <c r="CUB279" s="62"/>
      <c r="CUC279" s="1049"/>
      <c r="CUD279" s="1049"/>
      <c r="CUE279" s="1049"/>
      <c r="CUF279" s="1049"/>
      <c r="CUG279" s="1049"/>
      <c r="CUH279" s="62"/>
      <c r="CUI279" s="1049"/>
      <c r="CUJ279" s="1049"/>
      <c r="CUK279" s="1049"/>
      <c r="CUL279" s="1049"/>
      <c r="CUM279" s="62"/>
      <c r="CUN279" s="1049"/>
      <c r="CUO279" s="1049"/>
      <c r="CUP279" s="1049"/>
      <c r="CUQ279" s="1049"/>
      <c r="CUR279" s="62"/>
      <c r="CUS279" s="1049"/>
      <c r="CUT279" s="1049"/>
      <c r="CUU279" s="1049"/>
      <c r="CUV279" s="1049"/>
      <c r="CUW279" s="1049"/>
      <c r="CUX279" s="62"/>
      <c r="CUY279" s="1049"/>
      <c r="CUZ279" s="1049"/>
      <c r="CVA279" s="1049"/>
      <c r="CVB279" s="1049"/>
      <c r="CVC279" s="62"/>
      <c r="CVD279" s="1049"/>
      <c r="CVE279" s="1049"/>
      <c r="CVF279" s="1049"/>
      <c r="CVG279" s="1049"/>
      <c r="CVH279" s="62"/>
      <c r="CVI279" s="1049"/>
      <c r="CVJ279" s="1049"/>
      <c r="CVK279" s="1049"/>
      <c r="CVL279" s="1049"/>
      <c r="CVM279" s="1049"/>
      <c r="CVN279" s="62"/>
      <c r="CVO279" s="1049"/>
      <c r="CVP279" s="1049"/>
      <c r="CVQ279" s="1049"/>
      <c r="CVR279" s="1049"/>
      <c r="CVS279" s="62"/>
      <c r="CVT279" s="1049"/>
      <c r="CVU279" s="1049"/>
      <c r="CVV279" s="1049"/>
      <c r="CVW279" s="1049"/>
      <c r="CVX279" s="62"/>
      <c r="CVY279" s="1049"/>
      <c r="CVZ279" s="1049"/>
      <c r="CWA279" s="1049"/>
      <c r="CWB279" s="1049"/>
      <c r="CWC279" s="1049"/>
      <c r="CWD279" s="62"/>
      <c r="CWE279" s="1049"/>
      <c r="CWF279" s="1049"/>
      <c r="CWG279" s="1049"/>
      <c r="CWH279" s="1049"/>
      <c r="CWI279" s="62"/>
      <c r="CWJ279" s="1049"/>
      <c r="CWK279" s="1049"/>
      <c r="CWL279" s="1049"/>
      <c r="CWM279" s="1049"/>
      <c r="CWN279" s="62"/>
      <c r="CWO279" s="1049"/>
      <c r="CWP279" s="1049"/>
      <c r="CWQ279" s="1049"/>
      <c r="CWR279" s="1049"/>
      <c r="CWS279" s="1049"/>
      <c r="CWT279" s="62"/>
      <c r="CWU279" s="1049"/>
      <c r="CWV279" s="1049"/>
      <c r="CWW279" s="1049"/>
      <c r="CWX279" s="1049"/>
      <c r="CWY279" s="62"/>
      <c r="CWZ279" s="1049"/>
      <c r="CXA279" s="1049"/>
      <c r="CXB279" s="1049"/>
      <c r="CXC279" s="1049"/>
      <c r="CXD279" s="62"/>
      <c r="CXE279" s="1049"/>
      <c r="CXF279" s="1049"/>
      <c r="CXG279" s="1049"/>
      <c r="CXH279" s="1049"/>
      <c r="CXI279" s="1049"/>
      <c r="CXJ279" s="62"/>
      <c r="CXK279" s="1049"/>
      <c r="CXL279" s="1049"/>
      <c r="CXM279" s="1049"/>
      <c r="CXN279" s="1049"/>
      <c r="CXO279" s="62"/>
      <c r="CXP279" s="1049"/>
      <c r="CXQ279" s="1049"/>
      <c r="CXR279" s="1049"/>
      <c r="CXS279" s="1049"/>
      <c r="CXT279" s="62"/>
      <c r="CXU279" s="1049"/>
      <c r="CXV279" s="1049"/>
      <c r="CXW279" s="1049"/>
      <c r="CXX279" s="1049"/>
      <c r="CXY279" s="1049"/>
      <c r="CXZ279" s="62"/>
      <c r="CYA279" s="1049"/>
      <c r="CYB279" s="1049"/>
      <c r="CYC279" s="1049"/>
      <c r="CYD279" s="1049"/>
      <c r="CYE279" s="62"/>
      <c r="CYF279" s="1049"/>
      <c r="CYG279" s="1049"/>
      <c r="CYH279" s="1049"/>
      <c r="CYI279" s="1049"/>
      <c r="CYJ279" s="62"/>
      <c r="CYK279" s="1049"/>
      <c r="CYL279" s="1049"/>
      <c r="CYM279" s="1049"/>
      <c r="CYN279" s="1049"/>
      <c r="CYO279" s="1049"/>
      <c r="CYP279" s="62"/>
      <c r="CYQ279" s="1049"/>
      <c r="CYR279" s="1049"/>
      <c r="CYS279" s="1049"/>
      <c r="CYT279" s="1049"/>
      <c r="CYU279" s="62"/>
      <c r="CYV279" s="1049"/>
      <c r="CYW279" s="1049"/>
      <c r="CYX279" s="1049"/>
      <c r="CYY279" s="1049"/>
      <c r="CYZ279" s="62"/>
      <c r="CZA279" s="1049"/>
      <c r="CZB279" s="1049"/>
      <c r="CZC279" s="1049"/>
      <c r="CZD279" s="1049"/>
      <c r="CZE279" s="1049"/>
      <c r="CZF279" s="62"/>
      <c r="CZG279" s="1049"/>
      <c r="CZH279" s="1049"/>
      <c r="CZI279" s="1049"/>
      <c r="CZJ279" s="1049"/>
      <c r="CZK279" s="62"/>
      <c r="CZL279" s="1049"/>
      <c r="CZM279" s="1049"/>
      <c r="CZN279" s="1049"/>
      <c r="CZO279" s="1049"/>
      <c r="CZP279" s="62"/>
      <c r="CZQ279" s="1049"/>
      <c r="CZR279" s="1049"/>
      <c r="CZS279" s="1049"/>
      <c r="CZT279" s="1049"/>
      <c r="CZU279" s="1049"/>
      <c r="CZV279" s="62"/>
      <c r="CZW279" s="1049"/>
      <c r="CZX279" s="1049"/>
      <c r="CZY279" s="1049"/>
      <c r="CZZ279" s="1049"/>
      <c r="DAA279" s="62"/>
      <c r="DAB279" s="1049"/>
      <c r="DAC279" s="1049"/>
      <c r="DAD279" s="1049"/>
      <c r="DAE279" s="1049"/>
      <c r="DAF279" s="62"/>
      <c r="DAG279" s="1049"/>
      <c r="DAH279" s="1049"/>
      <c r="DAI279" s="1049"/>
      <c r="DAJ279" s="1049"/>
      <c r="DAK279" s="1049"/>
      <c r="DAL279" s="62"/>
      <c r="DAM279" s="1049"/>
      <c r="DAN279" s="1049"/>
      <c r="DAO279" s="1049"/>
      <c r="DAP279" s="1049"/>
      <c r="DAQ279" s="62"/>
      <c r="DAR279" s="1049"/>
      <c r="DAS279" s="1049"/>
      <c r="DAT279" s="1049"/>
      <c r="DAU279" s="1049"/>
      <c r="DAV279" s="62"/>
      <c r="DAW279" s="1049"/>
      <c r="DAX279" s="1049"/>
      <c r="DAY279" s="1049"/>
      <c r="DAZ279" s="1049"/>
      <c r="DBA279" s="1049"/>
      <c r="DBB279" s="62"/>
      <c r="DBC279" s="1049"/>
      <c r="DBD279" s="1049"/>
      <c r="DBE279" s="1049"/>
      <c r="DBF279" s="1049"/>
      <c r="DBG279" s="62"/>
      <c r="DBH279" s="1049"/>
      <c r="DBI279" s="1049"/>
      <c r="DBJ279" s="1049"/>
      <c r="DBK279" s="1049"/>
      <c r="DBL279" s="62"/>
      <c r="DBM279" s="1049"/>
      <c r="DBN279" s="1049"/>
      <c r="DBO279" s="1049"/>
      <c r="DBP279" s="1049"/>
      <c r="DBQ279" s="1049"/>
      <c r="DBR279" s="62"/>
      <c r="DBS279" s="1049"/>
      <c r="DBT279" s="1049"/>
      <c r="DBU279" s="1049"/>
      <c r="DBV279" s="1049"/>
      <c r="DBW279" s="62"/>
      <c r="DBX279" s="1049"/>
      <c r="DBY279" s="1049"/>
      <c r="DBZ279" s="1049"/>
      <c r="DCA279" s="1049"/>
      <c r="DCB279" s="62"/>
      <c r="DCC279" s="1049"/>
      <c r="DCD279" s="1049"/>
      <c r="DCE279" s="1049"/>
      <c r="DCF279" s="1049"/>
      <c r="DCG279" s="1049"/>
      <c r="DCH279" s="62"/>
      <c r="DCI279" s="1049"/>
      <c r="DCJ279" s="1049"/>
      <c r="DCK279" s="1049"/>
      <c r="DCL279" s="1049"/>
      <c r="DCM279" s="62"/>
      <c r="DCN279" s="1049"/>
      <c r="DCO279" s="1049"/>
      <c r="DCP279" s="1049"/>
      <c r="DCQ279" s="1049"/>
      <c r="DCR279" s="62"/>
      <c r="DCS279" s="1049"/>
      <c r="DCT279" s="1049"/>
      <c r="DCU279" s="1049"/>
      <c r="DCV279" s="1049"/>
      <c r="DCW279" s="1049"/>
      <c r="DCX279" s="62"/>
      <c r="DCY279" s="1049"/>
      <c r="DCZ279" s="1049"/>
      <c r="DDA279" s="1049"/>
      <c r="DDB279" s="1049"/>
      <c r="DDC279" s="62"/>
      <c r="DDD279" s="1049"/>
      <c r="DDE279" s="1049"/>
      <c r="DDF279" s="1049"/>
      <c r="DDG279" s="1049"/>
      <c r="DDH279" s="62"/>
      <c r="DDI279" s="1049"/>
      <c r="DDJ279" s="1049"/>
      <c r="DDK279" s="1049"/>
      <c r="DDL279" s="1049"/>
      <c r="DDM279" s="1049"/>
      <c r="DDN279" s="62"/>
      <c r="DDO279" s="1049"/>
      <c r="DDP279" s="1049"/>
      <c r="DDQ279" s="1049"/>
      <c r="DDR279" s="1049"/>
      <c r="DDS279" s="62"/>
      <c r="DDT279" s="1049"/>
      <c r="DDU279" s="1049"/>
      <c r="DDV279" s="1049"/>
      <c r="DDW279" s="1049"/>
      <c r="DDX279" s="62"/>
      <c r="DDY279" s="1049"/>
      <c r="DDZ279" s="1049"/>
      <c r="DEA279" s="1049"/>
      <c r="DEB279" s="1049"/>
      <c r="DEC279" s="1049"/>
      <c r="DED279" s="62"/>
      <c r="DEE279" s="1049"/>
      <c r="DEF279" s="1049"/>
      <c r="DEG279" s="1049"/>
      <c r="DEH279" s="1049"/>
      <c r="DEI279" s="62"/>
      <c r="DEJ279" s="1049"/>
      <c r="DEK279" s="1049"/>
      <c r="DEL279" s="1049"/>
      <c r="DEM279" s="1049"/>
      <c r="DEN279" s="62"/>
      <c r="DEO279" s="1049"/>
      <c r="DEP279" s="1049"/>
      <c r="DEQ279" s="1049"/>
      <c r="DER279" s="1049"/>
      <c r="DES279" s="1049"/>
      <c r="DET279" s="62"/>
      <c r="DEU279" s="1049"/>
      <c r="DEV279" s="1049"/>
      <c r="DEW279" s="1049"/>
      <c r="DEX279" s="1049"/>
      <c r="DEY279" s="62"/>
      <c r="DEZ279" s="1049"/>
      <c r="DFA279" s="1049"/>
      <c r="DFB279" s="1049"/>
      <c r="DFC279" s="1049"/>
      <c r="DFD279" s="62"/>
      <c r="DFE279" s="1049"/>
      <c r="DFF279" s="1049"/>
      <c r="DFG279" s="1049"/>
      <c r="DFH279" s="1049"/>
      <c r="DFI279" s="1049"/>
      <c r="DFJ279" s="62"/>
      <c r="DFK279" s="1049"/>
      <c r="DFL279" s="1049"/>
      <c r="DFM279" s="1049"/>
      <c r="DFN279" s="1049"/>
      <c r="DFO279" s="62"/>
      <c r="DFP279" s="1049"/>
      <c r="DFQ279" s="1049"/>
      <c r="DFR279" s="1049"/>
      <c r="DFS279" s="1049"/>
      <c r="DFT279" s="62"/>
      <c r="DFU279" s="1049"/>
      <c r="DFV279" s="1049"/>
      <c r="DFW279" s="1049"/>
      <c r="DFX279" s="1049"/>
      <c r="DFY279" s="1049"/>
      <c r="DFZ279" s="62"/>
      <c r="DGA279" s="1049"/>
      <c r="DGB279" s="1049"/>
      <c r="DGC279" s="1049"/>
      <c r="DGD279" s="1049"/>
      <c r="DGE279" s="62"/>
      <c r="DGF279" s="1049"/>
      <c r="DGG279" s="1049"/>
      <c r="DGH279" s="1049"/>
      <c r="DGI279" s="1049"/>
      <c r="DGJ279" s="62"/>
      <c r="DGK279" s="1049"/>
      <c r="DGL279" s="1049"/>
      <c r="DGM279" s="1049"/>
      <c r="DGN279" s="1049"/>
      <c r="DGO279" s="1049"/>
      <c r="DGP279" s="62"/>
      <c r="DGQ279" s="1049"/>
      <c r="DGR279" s="1049"/>
      <c r="DGS279" s="1049"/>
      <c r="DGT279" s="1049"/>
      <c r="DGU279" s="62"/>
      <c r="DGV279" s="1049"/>
      <c r="DGW279" s="1049"/>
      <c r="DGX279" s="1049"/>
      <c r="DGY279" s="1049"/>
      <c r="DGZ279" s="62"/>
      <c r="DHA279" s="1049"/>
      <c r="DHB279" s="1049"/>
      <c r="DHC279" s="1049"/>
      <c r="DHD279" s="1049"/>
      <c r="DHE279" s="1049"/>
      <c r="DHF279" s="62"/>
      <c r="DHG279" s="1049"/>
      <c r="DHH279" s="1049"/>
      <c r="DHI279" s="1049"/>
      <c r="DHJ279" s="1049"/>
      <c r="DHK279" s="62"/>
      <c r="DHL279" s="1049"/>
      <c r="DHM279" s="1049"/>
      <c r="DHN279" s="1049"/>
      <c r="DHO279" s="1049"/>
      <c r="DHP279" s="62"/>
      <c r="DHQ279" s="1049"/>
      <c r="DHR279" s="1049"/>
      <c r="DHS279" s="1049"/>
      <c r="DHT279" s="1049"/>
      <c r="DHU279" s="1049"/>
      <c r="DHV279" s="62"/>
      <c r="DHW279" s="1049"/>
      <c r="DHX279" s="1049"/>
      <c r="DHY279" s="1049"/>
      <c r="DHZ279" s="1049"/>
      <c r="DIA279" s="62"/>
      <c r="DIB279" s="1049"/>
      <c r="DIC279" s="1049"/>
      <c r="DID279" s="1049"/>
      <c r="DIE279" s="1049"/>
      <c r="DIF279" s="62"/>
      <c r="DIG279" s="1049"/>
      <c r="DIH279" s="1049"/>
      <c r="DII279" s="1049"/>
      <c r="DIJ279" s="1049"/>
      <c r="DIK279" s="1049"/>
      <c r="DIL279" s="62"/>
      <c r="DIM279" s="1049"/>
      <c r="DIN279" s="1049"/>
      <c r="DIO279" s="1049"/>
      <c r="DIP279" s="1049"/>
      <c r="DIQ279" s="62"/>
      <c r="DIR279" s="1049"/>
      <c r="DIS279" s="1049"/>
      <c r="DIT279" s="1049"/>
      <c r="DIU279" s="1049"/>
      <c r="DIV279" s="62"/>
      <c r="DIW279" s="1049"/>
      <c r="DIX279" s="1049"/>
      <c r="DIY279" s="1049"/>
      <c r="DIZ279" s="1049"/>
      <c r="DJA279" s="1049"/>
      <c r="DJB279" s="62"/>
      <c r="DJC279" s="1049"/>
      <c r="DJD279" s="1049"/>
      <c r="DJE279" s="1049"/>
      <c r="DJF279" s="1049"/>
      <c r="DJG279" s="62"/>
      <c r="DJH279" s="1049"/>
      <c r="DJI279" s="1049"/>
      <c r="DJJ279" s="1049"/>
      <c r="DJK279" s="1049"/>
      <c r="DJL279" s="62"/>
      <c r="DJM279" s="1049"/>
      <c r="DJN279" s="1049"/>
      <c r="DJO279" s="1049"/>
      <c r="DJP279" s="1049"/>
      <c r="DJQ279" s="1049"/>
      <c r="DJR279" s="62"/>
      <c r="DJS279" s="1049"/>
      <c r="DJT279" s="1049"/>
      <c r="DJU279" s="1049"/>
      <c r="DJV279" s="1049"/>
      <c r="DJW279" s="62"/>
      <c r="DJX279" s="1049"/>
      <c r="DJY279" s="1049"/>
      <c r="DJZ279" s="1049"/>
      <c r="DKA279" s="1049"/>
      <c r="DKB279" s="62"/>
      <c r="DKC279" s="1049"/>
      <c r="DKD279" s="1049"/>
      <c r="DKE279" s="1049"/>
      <c r="DKF279" s="1049"/>
      <c r="DKG279" s="1049"/>
      <c r="DKH279" s="62"/>
      <c r="DKI279" s="1049"/>
      <c r="DKJ279" s="1049"/>
      <c r="DKK279" s="1049"/>
      <c r="DKL279" s="1049"/>
      <c r="DKM279" s="62"/>
      <c r="DKN279" s="1049"/>
      <c r="DKO279" s="1049"/>
      <c r="DKP279" s="1049"/>
      <c r="DKQ279" s="1049"/>
      <c r="DKR279" s="62"/>
      <c r="DKS279" s="1049"/>
      <c r="DKT279" s="1049"/>
      <c r="DKU279" s="1049"/>
      <c r="DKV279" s="1049"/>
      <c r="DKW279" s="1049"/>
      <c r="DKX279" s="62"/>
      <c r="DKY279" s="1049"/>
      <c r="DKZ279" s="1049"/>
      <c r="DLA279" s="1049"/>
      <c r="DLB279" s="1049"/>
      <c r="DLC279" s="62"/>
      <c r="DLD279" s="1049"/>
      <c r="DLE279" s="1049"/>
      <c r="DLF279" s="1049"/>
      <c r="DLG279" s="1049"/>
      <c r="DLH279" s="62"/>
      <c r="DLI279" s="1049"/>
      <c r="DLJ279" s="1049"/>
      <c r="DLK279" s="1049"/>
      <c r="DLL279" s="1049"/>
      <c r="DLM279" s="1049"/>
      <c r="DLN279" s="62"/>
      <c r="DLO279" s="1049"/>
      <c r="DLP279" s="1049"/>
      <c r="DLQ279" s="1049"/>
      <c r="DLR279" s="1049"/>
      <c r="DLS279" s="62"/>
      <c r="DLT279" s="1049"/>
      <c r="DLU279" s="1049"/>
      <c r="DLV279" s="1049"/>
      <c r="DLW279" s="1049"/>
      <c r="DLX279" s="62"/>
      <c r="DLY279" s="1049"/>
      <c r="DLZ279" s="1049"/>
      <c r="DMA279" s="1049"/>
      <c r="DMB279" s="1049"/>
      <c r="DMC279" s="1049"/>
      <c r="DMD279" s="62"/>
      <c r="DME279" s="1049"/>
      <c r="DMF279" s="1049"/>
      <c r="DMG279" s="1049"/>
      <c r="DMH279" s="1049"/>
      <c r="DMI279" s="62"/>
      <c r="DMJ279" s="1049"/>
      <c r="DMK279" s="1049"/>
      <c r="DML279" s="1049"/>
      <c r="DMM279" s="1049"/>
      <c r="DMN279" s="62"/>
      <c r="DMO279" s="1049"/>
      <c r="DMP279" s="1049"/>
      <c r="DMQ279" s="1049"/>
      <c r="DMR279" s="1049"/>
      <c r="DMS279" s="1049"/>
      <c r="DMT279" s="62"/>
      <c r="DMU279" s="1049"/>
      <c r="DMV279" s="1049"/>
      <c r="DMW279" s="1049"/>
      <c r="DMX279" s="1049"/>
      <c r="DMY279" s="62"/>
      <c r="DMZ279" s="1049"/>
      <c r="DNA279" s="1049"/>
      <c r="DNB279" s="1049"/>
      <c r="DNC279" s="1049"/>
      <c r="DND279" s="62"/>
      <c r="DNE279" s="1049"/>
      <c r="DNF279" s="1049"/>
      <c r="DNG279" s="1049"/>
      <c r="DNH279" s="1049"/>
      <c r="DNI279" s="1049"/>
      <c r="DNJ279" s="62"/>
      <c r="DNK279" s="1049"/>
      <c r="DNL279" s="1049"/>
      <c r="DNM279" s="1049"/>
      <c r="DNN279" s="1049"/>
      <c r="DNO279" s="62"/>
      <c r="DNP279" s="1049"/>
      <c r="DNQ279" s="1049"/>
      <c r="DNR279" s="1049"/>
      <c r="DNS279" s="1049"/>
      <c r="DNT279" s="62"/>
      <c r="DNU279" s="1049"/>
      <c r="DNV279" s="1049"/>
      <c r="DNW279" s="1049"/>
      <c r="DNX279" s="1049"/>
      <c r="DNY279" s="1049"/>
      <c r="DNZ279" s="62"/>
      <c r="DOA279" s="1049"/>
      <c r="DOB279" s="1049"/>
      <c r="DOC279" s="1049"/>
      <c r="DOD279" s="1049"/>
      <c r="DOE279" s="62"/>
      <c r="DOF279" s="1049"/>
      <c r="DOG279" s="1049"/>
      <c r="DOH279" s="1049"/>
      <c r="DOI279" s="1049"/>
      <c r="DOJ279" s="62"/>
      <c r="DOK279" s="1049"/>
      <c r="DOL279" s="1049"/>
      <c r="DOM279" s="1049"/>
      <c r="DON279" s="1049"/>
      <c r="DOO279" s="1049"/>
      <c r="DOP279" s="62"/>
      <c r="DOQ279" s="1049"/>
      <c r="DOR279" s="1049"/>
      <c r="DOS279" s="1049"/>
      <c r="DOT279" s="1049"/>
      <c r="DOU279" s="62"/>
      <c r="DOV279" s="1049"/>
      <c r="DOW279" s="1049"/>
      <c r="DOX279" s="1049"/>
      <c r="DOY279" s="1049"/>
      <c r="DOZ279" s="62"/>
      <c r="DPA279" s="1049"/>
      <c r="DPB279" s="1049"/>
      <c r="DPC279" s="1049"/>
      <c r="DPD279" s="1049"/>
      <c r="DPE279" s="1049"/>
      <c r="DPF279" s="62"/>
      <c r="DPG279" s="1049"/>
      <c r="DPH279" s="1049"/>
      <c r="DPI279" s="1049"/>
      <c r="DPJ279" s="1049"/>
      <c r="DPK279" s="62"/>
      <c r="DPL279" s="1049"/>
      <c r="DPM279" s="1049"/>
      <c r="DPN279" s="1049"/>
      <c r="DPO279" s="1049"/>
      <c r="DPP279" s="62"/>
      <c r="DPQ279" s="1049"/>
      <c r="DPR279" s="1049"/>
      <c r="DPS279" s="1049"/>
      <c r="DPT279" s="1049"/>
      <c r="DPU279" s="1049"/>
      <c r="DPV279" s="62"/>
      <c r="DPW279" s="1049"/>
      <c r="DPX279" s="1049"/>
      <c r="DPY279" s="1049"/>
      <c r="DPZ279" s="1049"/>
      <c r="DQA279" s="62"/>
      <c r="DQB279" s="1049"/>
      <c r="DQC279" s="1049"/>
      <c r="DQD279" s="1049"/>
      <c r="DQE279" s="1049"/>
      <c r="DQF279" s="62"/>
      <c r="DQG279" s="1049"/>
      <c r="DQH279" s="1049"/>
      <c r="DQI279" s="1049"/>
      <c r="DQJ279" s="1049"/>
      <c r="DQK279" s="1049"/>
      <c r="DQL279" s="62"/>
      <c r="DQM279" s="1049"/>
      <c r="DQN279" s="1049"/>
      <c r="DQO279" s="1049"/>
      <c r="DQP279" s="1049"/>
      <c r="DQQ279" s="62"/>
      <c r="DQR279" s="1049"/>
      <c r="DQS279" s="1049"/>
      <c r="DQT279" s="1049"/>
      <c r="DQU279" s="1049"/>
      <c r="DQV279" s="62"/>
      <c r="DQW279" s="1049"/>
      <c r="DQX279" s="1049"/>
      <c r="DQY279" s="1049"/>
      <c r="DQZ279" s="1049"/>
      <c r="DRA279" s="1049"/>
      <c r="DRB279" s="62"/>
      <c r="DRC279" s="1049"/>
      <c r="DRD279" s="1049"/>
      <c r="DRE279" s="1049"/>
      <c r="DRF279" s="1049"/>
      <c r="DRG279" s="62"/>
      <c r="DRH279" s="1049"/>
      <c r="DRI279" s="1049"/>
      <c r="DRJ279" s="1049"/>
      <c r="DRK279" s="1049"/>
      <c r="DRL279" s="62"/>
      <c r="DRM279" s="1049"/>
      <c r="DRN279" s="1049"/>
      <c r="DRO279" s="1049"/>
      <c r="DRP279" s="1049"/>
      <c r="DRQ279" s="1049"/>
      <c r="DRR279" s="62"/>
      <c r="DRS279" s="1049"/>
      <c r="DRT279" s="1049"/>
      <c r="DRU279" s="1049"/>
      <c r="DRV279" s="1049"/>
      <c r="DRW279" s="62"/>
      <c r="DRX279" s="1049"/>
      <c r="DRY279" s="1049"/>
      <c r="DRZ279" s="1049"/>
      <c r="DSA279" s="1049"/>
      <c r="DSB279" s="62"/>
      <c r="DSC279" s="1049"/>
      <c r="DSD279" s="1049"/>
      <c r="DSE279" s="1049"/>
      <c r="DSF279" s="1049"/>
      <c r="DSG279" s="1049"/>
      <c r="DSH279" s="62"/>
      <c r="DSI279" s="1049"/>
      <c r="DSJ279" s="1049"/>
      <c r="DSK279" s="1049"/>
      <c r="DSL279" s="1049"/>
      <c r="DSM279" s="62"/>
      <c r="DSN279" s="1049"/>
      <c r="DSO279" s="1049"/>
      <c r="DSP279" s="1049"/>
      <c r="DSQ279" s="1049"/>
      <c r="DSR279" s="62"/>
      <c r="DSS279" s="1049"/>
      <c r="DST279" s="1049"/>
      <c r="DSU279" s="1049"/>
      <c r="DSV279" s="1049"/>
      <c r="DSW279" s="1049"/>
      <c r="DSX279" s="62"/>
      <c r="DSY279" s="1049"/>
      <c r="DSZ279" s="1049"/>
      <c r="DTA279" s="1049"/>
      <c r="DTB279" s="1049"/>
      <c r="DTC279" s="62"/>
      <c r="DTD279" s="1049"/>
      <c r="DTE279" s="1049"/>
      <c r="DTF279" s="1049"/>
      <c r="DTG279" s="1049"/>
      <c r="DTH279" s="62"/>
      <c r="DTI279" s="1049"/>
      <c r="DTJ279" s="1049"/>
      <c r="DTK279" s="1049"/>
      <c r="DTL279" s="1049"/>
      <c r="DTM279" s="1049"/>
      <c r="DTN279" s="62"/>
      <c r="DTO279" s="1049"/>
      <c r="DTP279" s="1049"/>
      <c r="DTQ279" s="1049"/>
      <c r="DTR279" s="1049"/>
      <c r="DTS279" s="62"/>
      <c r="DTT279" s="1049"/>
      <c r="DTU279" s="1049"/>
      <c r="DTV279" s="1049"/>
      <c r="DTW279" s="1049"/>
      <c r="DTX279" s="62"/>
      <c r="DTY279" s="1049"/>
      <c r="DTZ279" s="1049"/>
      <c r="DUA279" s="1049"/>
      <c r="DUB279" s="1049"/>
      <c r="DUC279" s="1049"/>
      <c r="DUD279" s="62"/>
      <c r="DUE279" s="1049"/>
      <c r="DUF279" s="1049"/>
      <c r="DUG279" s="1049"/>
      <c r="DUH279" s="1049"/>
      <c r="DUI279" s="62"/>
      <c r="DUJ279" s="1049"/>
      <c r="DUK279" s="1049"/>
      <c r="DUL279" s="1049"/>
      <c r="DUM279" s="1049"/>
      <c r="DUN279" s="62"/>
    </row>
    <row r="280" spans="1:3264" ht="15.75" x14ac:dyDescent="0.2">
      <c r="A280" s="1005" t="s">
        <v>487</v>
      </c>
      <c r="B280" s="1006"/>
      <c r="C280" s="1006"/>
      <c r="D280" s="1006"/>
      <c r="E280" s="1006"/>
      <c r="F280" s="74">
        <f>F279+K279+P279</f>
        <v>1985917.8</v>
      </c>
      <c r="G280" s="150"/>
      <c r="H280" s="150"/>
      <c r="I280" s="150"/>
      <c r="J280" s="150"/>
      <c r="K280" s="73"/>
      <c r="L280" s="150"/>
      <c r="M280" s="150"/>
      <c r="N280" s="150"/>
      <c r="O280" s="150"/>
      <c r="P280" s="61"/>
      <c r="Q280" s="1048"/>
      <c r="R280" s="1049"/>
      <c r="S280" s="1049"/>
      <c r="T280" s="1049"/>
      <c r="U280" s="1049"/>
      <c r="W280" s="154"/>
      <c r="X280" s="154"/>
      <c r="Y280" s="154"/>
      <c r="Z280" s="154"/>
      <c r="AA280" s="62"/>
      <c r="AB280" s="154"/>
      <c r="AC280" s="154"/>
      <c r="AD280" s="154"/>
      <c r="AE280" s="154"/>
      <c r="AF280" s="62"/>
      <c r="AG280" s="1049"/>
      <c r="AH280" s="1049"/>
      <c r="AI280" s="1049"/>
      <c r="AJ280" s="1049"/>
      <c r="AK280" s="1049"/>
      <c r="AM280" s="154"/>
      <c r="AN280" s="154"/>
      <c r="AO280" s="154"/>
      <c r="AP280" s="154"/>
      <c r="AQ280" s="62"/>
      <c r="AR280" s="154"/>
      <c r="AS280" s="154"/>
      <c r="AT280" s="154"/>
      <c r="AU280" s="154"/>
      <c r="AV280" s="62"/>
      <c r="AW280" s="1049"/>
      <c r="AX280" s="1049"/>
      <c r="AY280" s="1049"/>
      <c r="AZ280" s="1049"/>
      <c r="BA280" s="1049"/>
      <c r="BC280" s="154"/>
      <c r="BD280" s="154"/>
      <c r="BE280" s="154"/>
      <c r="BF280" s="154"/>
      <c r="BG280" s="62"/>
      <c r="BH280" s="154"/>
      <c r="BI280" s="154"/>
      <c r="BJ280" s="154"/>
      <c r="BK280" s="154"/>
      <c r="BL280" s="62"/>
      <c r="BM280" s="1049"/>
      <c r="BN280" s="1049"/>
      <c r="BO280" s="1049"/>
      <c r="BP280" s="1049"/>
      <c r="BQ280" s="1049"/>
      <c r="BS280" s="154"/>
      <c r="BT280" s="154"/>
      <c r="BU280" s="154"/>
      <c r="BV280" s="154"/>
      <c r="BW280" s="62"/>
      <c r="BX280" s="154"/>
      <c r="BY280" s="154"/>
      <c r="BZ280" s="154"/>
      <c r="CA280" s="154"/>
      <c r="CB280" s="62"/>
      <c r="CC280" s="1049"/>
      <c r="CD280" s="1049"/>
      <c r="CE280" s="1049"/>
      <c r="CF280" s="1049"/>
      <c r="CG280" s="1049"/>
      <c r="CI280" s="154"/>
      <c r="CJ280" s="154"/>
      <c r="CK280" s="154"/>
      <c r="CL280" s="154"/>
      <c r="CM280" s="62"/>
      <c r="CN280" s="154"/>
      <c r="CO280" s="154"/>
      <c r="CP280" s="154"/>
      <c r="CQ280" s="154"/>
      <c r="CR280" s="62"/>
      <c r="CS280" s="1049"/>
      <c r="CT280" s="1049"/>
      <c r="CU280" s="1049"/>
      <c r="CV280" s="1049"/>
      <c r="CW280" s="1049"/>
      <c r="CY280" s="154"/>
      <c r="CZ280" s="154"/>
      <c r="DA280" s="154"/>
      <c r="DB280" s="154"/>
      <c r="DC280" s="62"/>
      <c r="DD280" s="154"/>
      <c r="DE280" s="154"/>
      <c r="DF280" s="154"/>
      <c r="DG280" s="154"/>
      <c r="DH280" s="62"/>
      <c r="DI280" s="1049"/>
      <c r="DJ280" s="1049"/>
      <c r="DK280" s="1049"/>
      <c r="DL280" s="1049"/>
      <c r="DM280" s="1049"/>
      <c r="DO280" s="154"/>
      <c r="DP280" s="154"/>
      <c r="DQ280" s="154"/>
      <c r="DR280" s="154"/>
      <c r="DS280" s="62"/>
      <c r="DT280" s="154"/>
      <c r="DU280" s="154"/>
      <c r="DV280" s="154"/>
      <c r="DW280" s="154"/>
      <c r="DX280" s="62"/>
      <c r="DY280" s="1049"/>
      <c r="DZ280" s="1049"/>
      <c r="EA280" s="1049"/>
      <c r="EB280" s="1049"/>
      <c r="EC280" s="1049"/>
      <c r="EE280" s="154"/>
      <c r="EF280" s="154"/>
      <c r="EG280" s="154"/>
      <c r="EH280" s="154"/>
      <c r="EI280" s="62"/>
      <c r="EJ280" s="154"/>
      <c r="EK280" s="154"/>
      <c r="EL280" s="154"/>
      <c r="EM280" s="154"/>
      <c r="EN280" s="62"/>
      <c r="EO280" s="1049"/>
      <c r="EP280" s="1049"/>
      <c r="EQ280" s="1049"/>
      <c r="ER280" s="1049"/>
      <c r="ES280" s="1049"/>
      <c r="EU280" s="154"/>
      <c r="EV280" s="154"/>
      <c r="EW280" s="154"/>
      <c r="EX280" s="154"/>
      <c r="EY280" s="62"/>
      <c r="EZ280" s="154"/>
      <c r="FA280" s="154"/>
      <c r="FB280" s="154"/>
      <c r="FC280" s="154"/>
      <c r="FD280" s="62"/>
      <c r="FE280" s="1049"/>
      <c r="FF280" s="1049"/>
      <c r="FG280" s="1049"/>
      <c r="FH280" s="1049"/>
      <c r="FI280" s="1049"/>
      <c r="FK280" s="154"/>
      <c r="FL280" s="154"/>
      <c r="FM280" s="154"/>
      <c r="FN280" s="154"/>
      <c r="FO280" s="62"/>
      <c r="FP280" s="154"/>
      <c r="FQ280" s="154"/>
      <c r="FR280" s="154"/>
      <c r="FS280" s="154"/>
      <c r="FT280" s="62"/>
      <c r="FU280" s="1049"/>
      <c r="FV280" s="1049"/>
      <c r="FW280" s="1049"/>
      <c r="FX280" s="1049"/>
      <c r="FY280" s="1049"/>
      <c r="GA280" s="154"/>
      <c r="GB280" s="154"/>
      <c r="GC280" s="154"/>
      <c r="GD280" s="154"/>
      <c r="GE280" s="62"/>
      <c r="GF280" s="154"/>
      <c r="GG280" s="154"/>
      <c r="GH280" s="154"/>
      <c r="GI280" s="154"/>
      <c r="GJ280" s="62"/>
      <c r="GK280" s="1049"/>
      <c r="GL280" s="1049"/>
      <c r="GM280" s="1049"/>
      <c r="GN280" s="1049"/>
      <c r="GO280" s="1049"/>
      <c r="GQ280" s="154"/>
      <c r="GR280" s="154"/>
      <c r="GS280" s="154"/>
      <c r="GT280" s="154"/>
      <c r="GU280" s="62"/>
      <c r="GV280" s="154"/>
      <c r="GW280" s="154"/>
      <c r="GX280" s="154"/>
      <c r="GY280" s="154"/>
      <c r="GZ280" s="62"/>
      <c r="HA280" s="1049"/>
      <c r="HB280" s="1049"/>
      <c r="HC280" s="1049"/>
      <c r="HD280" s="1049"/>
      <c r="HE280" s="1049"/>
      <c r="HG280" s="154"/>
      <c r="HH280" s="154"/>
      <c r="HI280" s="154"/>
      <c r="HJ280" s="154"/>
      <c r="HK280" s="62"/>
      <c r="HL280" s="154"/>
      <c r="HM280" s="154"/>
      <c r="HN280" s="154"/>
      <c r="HO280" s="154"/>
      <c r="HP280" s="62"/>
      <c r="HQ280" s="1049"/>
      <c r="HR280" s="1049"/>
      <c r="HS280" s="1049"/>
      <c r="HT280" s="1049"/>
      <c r="HU280" s="1049"/>
      <c r="HW280" s="154"/>
      <c r="HX280" s="154"/>
      <c r="HY280" s="154"/>
      <c r="HZ280" s="154"/>
      <c r="IA280" s="62"/>
      <c r="IB280" s="154"/>
      <c r="IC280" s="154"/>
      <c r="ID280" s="154"/>
      <c r="IE280" s="154"/>
      <c r="IF280" s="62"/>
      <c r="IG280" s="1049"/>
      <c r="IH280" s="1049"/>
      <c r="II280" s="1049"/>
      <c r="IJ280" s="1049"/>
      <c r="IK280" s="1049"/>
      <c r="IM280" s="154"/>
      <c r="IN280" s="154"/>
      <c r="IO280" s="154"/>
      <c r="IP280" s="154"/>
      <c r="IQ280" s="62"/>
      <c r="IR280" s="154"/>
      <c r="IS280" s="154"/>
      <c r="IT280" s="154"/>
      <c r="IU280" s="154"/>
      <c r="IV280" s="62"/>
      <c r="IW280" s="1049"/>
      <c r="IX280" s="1049"/>
      <c r="IY280" s="1049"/>
      <c r="IZ280" s="1049"/>
      <c r="JA280" s="1049"/>
      <c r="JC280" s="154"/>
      <c r="JD280" s="154"/>
      <c r="JE280" s="154"/>
      <c r="JF280" s="154"/>
      <c r="JG280" s="62"/>
      <c r="JH280" s="154"/>
      <c r="JI280" s="154"/>
      <c r="JJ280" s="154"/>
      <c r="JK280" s="154"/>
      <c r="JL280" s="62"/>
      <c r="JM280" s="1049"/>
      <c r="JN280" s="1049"/>
      <c r="JO280" s="1049"/>
      <c r="JP280" s="1049"/>
      <c r="JQ280" s="1049"/>
      <c r="JS280" s="154"/>
      <c r="JT280" s="154"/>
      <c r="JU280" s="154"/>
      <c r="JV280" s="154"/>
      <c r="JW280" s="62"/>
      <c r="JX280" s="154"/>
      <c r="JY280" s="154"/>
      <c r="JZ280" s="154"/>
      <c r="KA280" s="154"/>
      <c r="KB280" s="62"/>
      <c r="KC280" s="1049"/>
      <c r="KD280" s="1049"/>
      <c r="KE280" s="1049"/>
      <c r="KF280" s="1049"/>
      <c r="KG280" s="1049"/>
      <c r="KI280" s="154"/>
      <c r="KJ280" s="154"/>
      <c r="KK280" s="154"/>
      <c r="KL280" s="154"/>
      <c r="KM280" s="62"/>
      <c r="KN280" s="154"/>
      <c r="KO280" s="154"/>
      <c r="KP280" s="154"/>
      <c r="KQ280" s="154"/>
      <c r="KR280" s="62"/>
      <c r="KS280" s="1049"/>
      <c r="KT280" s="1049"/>
      <c r="KU280" s="1049"/>
      <c r="KV280" s="1049"/>
      <c r="KW280" s="1049"/>
      <c r="KY280" s="154"/>
      <c r="KZ280" s="154"/>
      <c r="LA280" s="154"/>
      <c r="LB280" s="154"/>
      <c r="LC280" s="62"/>
      <c r="LD280" s="154"/>
      <c r="LE280" s="154"/>
      <c r="LF280" s="154"/>
      <c r="LG280" s="154"/>
      <c r="LH280" s="62"/>
      <c r="LI280" s="1049"/>
      <c r="LJ280" s="1049"/>
      <c r="LK280" s="1049"/>
      <c r="LL280" s="1049"/>
      <c r="LM280" s="1049"/>
      <c r="LO280" s="154"/>
      <c r="LP280" s="154"/>
      <c r="LQ280" s="154"/>
      <c r="LR280" s="154"/>
      <c r="LS280" s="62"/>
      <c r="LT280" s="154"/>
      <c r="LU280" s="154"/>
      <c r="LV280" s="154"/>
      <c r="LW280" s="154"/>
      <c r="LX280" s="62"/>
      <c r="LY280" s="1049"/>
      <c r="LZ280" s="1049"/>
      <c r="MA280" s="1049"/>
      <c r="MB280" s="1049"/>
      <c r="MC280" s="1049"/>
      <c r="ME280" s="154"/>
      <c r="MF280" s="154"/>
      <c r="MG280" s="154"/>
      <c r="MH280" s="154"/>
      <c r="MI280" s="62"/>
      <c r="MJ280" s="154"/>
      <c r="MK280" s="154"/>
      <c r="ML280" s="154"/>
      <c r="MM280" s="154"/>
      <c r="MN280" s="62"/>
      <c r="MO280" s="1049"/>
      <c r="MP280" s="1049"/>
      <c r="MQ280" s="1049"/>
      <c r="MR280" s="1049"/>
      <c r="MS280" s="1049"/>
      <c r="MU280" s="154"/>
      <c r="MV280" s="154"/>
      <c r="MW280" s="154"/>
      <c r="MX280" s="154"/>
      <c r="MY280" s="62"/>
      <c r="MZ280" s="154"/>
      <c r="NA280" s="154"/>
      <c r="NB280" s="154"/>
      <c r="NC280" s="154"/>
      <c r="ND280" s="62"/>
      <c r="NE280" s="1049"/>
      <c r="NF280" s="1049"/>
      <c r="NG280" s="1049"/>
      <c r="NH280" s="1049"/>
      <c r="NI280" s="1049"/>
      <c r="NK280" s="154"/>
      <c r="NL280" s="154"/>
      <c r="NM280" s="154"/>
      <c r="NN280" s="154"/>
      <c r="NO280" s="62"/>
      <c r="NP280" s="154"/>
      <c r="NQ280" s="154"/>
      <c r="NR280" s="154"/>
      <c r="NS280" s="154"/>
      <c r="NT280" s="62"/>
      <c r="NU280" s="1049"/>
      <c r="NV280" s="1049"/>
      <c r="NW280" s="1049"/>
      <c r="NX280" s="1049"/>
      <c r="NY280" s="1049"/>
      <c r="OA280" s="154"/>
      <c r="OB280" s="154"/>
      <c r="OC280" s="154"/>
      <c r="OD280" s="154"/>
      <c r="OE280" s="62"/>
      <c r="OF280" s="154"/>
      <c r="OG280" s="154"/>
      <c r="OH280" s="154"/>
      <c r="OI280" s="154"/>
      <c r="OJ280" s="62"/>
      <c r="OK280" s="1049"/>
      <c r="OL280" s="1049"/>
      <c r="OM280" s="1049"/>
      <c r="ON280" s="1049"/>
      <c r="OO280" s="1049"/>
      <c r="OQ280" s="154"/>
      <c r="OR280" s="154"/>
      <c r="OS280" s="154"/>
      <c r="OT280" s="154"/>
      <c r="OU280" s="62"/>
      <c r="OV280" s="154"/>
      <c r="OW280" s="154"/>
      <c r="OX280" s="154"/>
      <c r="OY280" s="154"/>
      <c r="OZ280" s="62"/>
      <c r="PA280" s="1049"/>
      <c r="PB280" s="1049"/>
      <c r="PC280" s="1049"/>
      <c r="PD280" s="1049"/>
      <c r="PE280" s="1049"/>
      <c r="PG280" s="154"/>
      <c r="PH280" s="154"/>
      <c r="PI280" s="154"/>
      <c r="PJ280" s="154"/>
      <c r="PK280" s="62"/>
      <c r="PL280" s="154"/>
      <c r="PM280" s="154"/>
      <c r="PN280" s="154"/>
      <c r="PO280" s="154"/>
      <c r="PP280" s="62"/>
      <c r="PQ280" s="1049"/>
      <c r="PR280" s="1049"/>
      <c r="PS280" s="1049"/>
      <c r="PT280" s="1049"/>
      <c r="PU280" s="1049"/>
      <c r="PW280" s="154"/>
      <c r="PX280" s="154"/>
      <c r="PY280" s="154"/>
      <c r="PZ280" s="154"/>
      <c r="QA280" s="62"/>
      <c r="QB280" s="154"/>
      <c r="QC280" s="154"/>
      <c r="QD280" s="154"/>
      <c r="QE280" s="154"/>
      <c r="QF280" s="62"/>
      <c r="QG280" s="1049"/>
      <c r="QH280" s="1049"/>
      <c r="QI280" s="1049"/>
      <c r="QJ280" s="1049"/>
      <c r="QK280" s="1049"/>
      <c r="QM280" s="154"/>
      <c r="QN280" s="154"/>
      <c r="QO280" s="154"/>
      <c r="QP280" s="154"/>
      <c r="QQ280" s="62"/>
      <c r="QR280" s="154"/>
      <c r="QS280" s="154"/>
      <c r="QT280" s="154"/>
      <c r="QU280" s="154"/>
      <c r="QV280" s="62"/>
      <c r="QW280" s="1049"/>
      <c r="QX280" s="1049"/>
      <c r="QY280" s="1049"/>
      <c r="QZ280" s="1049"/>
      <c r="RA280" s="1049"/>
      <c r="RC280" s="154"/>
      <c r="RD280" s="154"/>
      <c r="RE280" s="154"/>
      <c r="RF280" s="154"/>
      <c r="RG280" s="62"/>
      <c r="RH280" s="154"/>
      <c r="RI280" s="154"/>
      <c r="RJ280" s="154"/>
      <c r="RK280" s="154"/>
      <c r="RL280" s="62"/>
      <c r="RM280" s="1049"/>
      <c r="RN280" s="1049"/>
      <c r="RO280" s="1049"/>
      <c r="RP280" s="1049"/>
      <c r="RQ280" s="1049"/>
      <c r="RS280" s="154"/>
      <c r="RT280" s="154"/>
      <c r="RU280" s="154"/>
      <c r="RV280" s="154"/>
      <c r="RW280" s="62"/>
      <c r="RX280" s="154"/>
      <c r="RY280" s="154"/>
      <c r="RZ280" s="154"/>
      <c r="SA280" s="154"/>
      <c r="SB280" s="62"/>
      <c r="SC280" s="1049"/>
      <c r="SD280" s="1049"/>
      <c r="SE280" s="1049"/>
      <c r="SF280" s="1049"/>
      <c r="SG280" s="1049"/>
      <c r="SI280" s="154"/>
      <c r="SJ280" s="154"/>
      <c r="SK280" s="154"/>
      <c r="SL280" s="154"/>
      <c r="SM280" s="62"/>
      <c r="SN280" s="154"/>
      <c r="SO280" s="154"/>
      <c r="SP280" s="154"/>
      <c r="SQ280" s="154"/>
      <c r="SR280" s="62"/>
      <c r="SS280" s="1049"/>
      <c r="ST280" s="1049"/>
      <c r="SU280" s="1049"/>
      <c r="SV280" s="1049"/>
      <c r="SW280" s="1049"/>
      <c r="SY280" s="154"/>
      <c r="SZ280" s="154"/>
      <c r="TA280" s="154"/>
      <c r="TB280" s="154"/>
      <c r="TC280" s="62"/>
      <c r="TD280" s="154"/>
      <c r="TE280" s="154"/>
      <c r="TF280" s="154"/>
      <c r="TG280" s="154"/>
      <c r="TH280" s="62"/>
      <c r="TI280" s="1049"/>
      <c r="TJ280" s="1049"/>
      <c r="TK280" s="1049"/>
      <c r="TL280" s="1049"/>
      <c r="TM280" s="1049"/>
      <c r="TO280" s="154"/>
      <c r="TP280" s="154"/>
      <c r="TQ280" s="154"/>
      <c r="TR280" s="154"/>
      <c r="TS280" s="62"/>
      <c r="TT280" s="154"/>
      <c r="TU280" s="154"/>
      <c r="TV280" s="154"/>
      <c r="TW280" s="154"/>
      <c r="TX280" s="62"/>
      <c r="TY280" s="1049"/>
      <c r="TZ280" s="1049"/>
      <c r="UA280" s="1049"/>
      <c r="UB280" s="1049"/>
      <c r="UC280" s="1049"/>
      <c r="UE280" s="154"/>
      <c r="UF280" s="154"/>
      <c r="UG280" s="154"/>
      <c r="UH280" s="154"/>
      <c r="UI280" s="62"/>
      <c r="UJ280" s="154"/>
      <c r="UK280" s="154"/>
      <c r="UL280" s="154"/>
      <c r="UM280" s="154"/>
      <c r="UN280" s="62"/>
      <c r="UO280" s="1049"/>
      <c r="UP280" s="1049"/>
      <c r="UQ280" s="1049"/>
      <c r="UR280" s="1049"/>
      <c r="US280" s="1049"/>
      <c r="UU280" s="154"/>
      <c r="UV280" s="154"/>
      <c r="UW280" s="154"/>
      <c r="UX280" s="154"/>
      <c r="UY280" s="62"/>
      <c r="UZ280" s="154"/>
      <c r="VA280" s="154"/>
      <c r="VB280" s="154"/>
      <c r="VC280" s="154"/>
      <c r="VD280" s="62"/>
      <c r="VE280" s="1049"/>
      <c r="VF280" s="1049"/>
      <c r="VG280" s="1049"/>
      <c r="VH280" s="1049"/>
      <c r="VI280" s="1049"/>
      <c r="VK280" s="154"/>
      <c r="VL280" s="154"/>
      <c r="VM280" s="154"/>
      <c r="VN280" s="154"/>
      <c r="VO280" s="62"/>
      <c r="VP280" s="154"/>
      <c r="VQ280" s="154"/>
      <c r="VR280" s="154"/>
      <c r="VS280" s="154"/>
      <c r="VT280" s="62"/>
      <c r="VU280" s="1049"/>
      <c r="VV280" s="1049"/>
      <c r="VW280" s="1049"/>
      <c r="VX280" s="1049"/>
      <c r="VY280" s="1049"/>
      <c r="WA280" s="154"/>
      <c r="WB280" s="154"/>
      <c r="WC280" s="154"/>
      <c r="WD280" s="154"/>
      <c r="WE280" s="62"/>
      <c r="WF280" s="154"/>
      <c r="WG280" s="154"/>
      <c r="WH280" s="154"/>
      <c r="WI280" s="154"/>
      <c r="WJ280" s="62"/>
      <c r="WK280" s="1049"/>
      <c r="WL280" s="1049"/>
      <c r="WM280" s="1049"/>
      <c r="WN280" s="1049"/>
      <c r="WO280" s="1049"/>
      <c r="WQ280" s="154"/>
      <c r="WR280" s="154"/>
      <c r="WS280" s="154"/>
      <c r="WT280" s="154"/>
      <c r="WU280" s="62"/>
      <c r="WV280" s="154"/>
      <c r="WW280" s="154"/>
      <c r="WX280" s="154"/>
      <c r="WY280" s="154"/>
      <c r="WZ280" s="62"/>
      <c r="XA280" s="1049"/>
      <c r="XB280" s="1049"/>
      <c r="XC280" s="1049"/>
      <c r="XD280" s="1049"/>
      <c r="XE280" s="1049"/>
      <c r="XG280" s="154"/>
      <c r="XH280" s="154"/>
      <c r="XI280" s="154"/>
      <c r="XJ280" s="154"/>
      <c r="XK280" s="62"/>
      <c r="XL280" s="154"/>
      <c r="XM280" s="154"/>
      <c r="XN280" s="154"/>
      <c r="XO280" s="154"/>
      <c r="XP280" s="62"/>
      <c r="XQ280" s="1049"/>
      <c r="XR280" s="1049"/>
      <c r="XS280" s="1049"/>
      <c r="XT280" s="1049"/>
      <c r="XU280" s="1049"/>
      <c r="XW280" s="154"/>
      <c r="XX280" s="154"/>
      <c r="XY280" s="154"/>
      <c r="XZ280" s="154"/>
      <c r="YA280" s="62"/>
      <c r="YB280" s="154"/>
      <c r="YC280" s="154"/>
      <c r="YD280" s="154"/>
      <c r="YE280" s="154"/>
      <c r="YF280" s="62"/>
      <c r="YG280" s="1049"/>
      <c r="YH280" s="1049"/>
      <c r="YI280" s="1049"/>
      <c r="YJ280" s="1049"/>
      <c r="YK280" s="1049"/>
      <c r="YM280" s="154"/>
      <c r="YN280" s="154"/>
      <c r="YO280" s="154"/>
      <c r="YP280" s="154"/>
      <c r="YQ280" s="62"/>
      <c r="YR280" s="154"/>
      <c r="YS280" s="154"/>
      <c r="YT280" s="154"/>
      <c r="YU280" s="154"/>
      <c r="YV280" s="62"/>
      <c r="YW280" s="1049"/>
      <c r="YX280" s="1049"/>
      <c r="YY280" s="1049"/>
      <c r="YZ280" s="1049"/>
      <c r="ZA280" s="1049"/>
      <c r="ZC280" s="154"/>
      <c r="ZD280" s="154"/>
      <c r="ZE280" s="154"/>
      <c r="ZF280" s="154"/>
      <c r="ZG280" s="62"/>
      <c r="ZH280" s="154"/>
      <c r="ZI280" s="154"/>
      <c r="ZJ280" s="154"/>
      <c r="ZK280" s="154"/>
      <c r="ZL280" s="62"/>
      <c r="ZM280" s="1049"/>
      <c r="ZN280" s="1049"/>
      <c r="ZO280" s="1049"/>
      <c r="ZP280" s="1049"/>
      <c r="ZQ280" s="1049"/>
      <c r="ZS280" s="154"/>
      <c r="ZT280" s="154"/>
      <c r="ZU280" s="154"/>
      <c r="ZV280" s="154"/>
      <c r="ZW280" s="62"/>
      <c r="ZX280" s="154"/>
      <c r="ZY280" s="154"/>
      <c r="ZZ280" s="154"/>
      <c r="AAA280" s="154"/>
      <c r="AAB280" s="62"/>
      <c r="AAC280" s="1049"/>
      <c r="AAD280" s="1049"/>
      <c r="AAE280" s="1049"/>
      <c r="AAF280" s="1049"/>
      <c r="AAG280" s="1049"/>
      <c r="AAI280" s="154"/>
      <c r="AAJ280" s="154"/>
      <c r="AAK280" s="154"/>
      <c r="AAL280" s="154"/>
      <c r="AAM280" s="62"/>
      <c r="AAN280" s="154"/>
      <c r="AAO280" s="154"/>
      <c r="AAP280" s="154"/>
      <c r="AAQ280" s="154"/>
      <c r="AAR280" s="62"/>
      <c r="AAS280" s="1049"/>
      <c r="AAT280" s="1049"/>
      <c r="AAU280" s="1049"/>
      <c r="AAV280" s="1049"/>
      <c r="AAW280" s="1049"/>
      <c r="AAY280" s="154"/>
      <c r="AAZ280" s="154"/>
      <c r="ABA280" s="154"/>
      <c r="ABB280" s="154"/>
      <c r="ABC280" s="62"/>
      <c r="ABD280" s="154"/>
      <c r="ABE280" s="154"/>
      <c r="ABF280" s="154"/>
      <c r="ABG280" s="154"/>
      <c r="ABH280" s="62"/>
      <c r="ABI280" s="1049"/>
      <c r="ABJ280" s="1049"/>
      <c r="ABK280" s="1049"/>
      <c r="ABL280" s="1049"/>
      <c r="ABM280" s="1049"/>
      <c r="ABO280" s="154"/>
      <c r="ABP280" s="154"/>
      <c r="ABQ280" s="154"/>
      <c r="ABR280" s="154"/>
      <c r="ABS280" s="62"/>
      <c r="ABT280" s="154"/>
      <c r="ABU280" s="154"/>
      <c r="ABV280" s="154"/>
      <c r="ABW280" s="154"/>
      <c r="ABX280" s="62"/>
      <c r="ABY280" s="1049"/>
      <c r="ABZ280" s="1049"/>
      <c r="ACA280" s="1049"/>
      <c r="ACB280" s="1049"/>
      <c r="ACC280" s="1049"/>
      <c r="ACE280" s="154"/>
      <c r="ACF280" s="154"/>
      <c r="ACG280" s="154"/>
      <c r="ACH280" s="154"/>
      <c r="ACI280" s="62"/>
      <c r="ACJ280" s="154"/>
      <c r="ACK280" s="154"/>
      <c r="ACL280" s="154"/>
      <c r="ACM280" s="154"/>
      <c r="ACN280" s="62"/>
      <c r="ACO280" s="1049"/>
      <c r="ACP280" s="1049"/>
      <c r="ACQ280" s="1049"/>
      <c r="ACR280" s="1049"/>
      <c r="ACS280" s="1049"/>
      <c r="ACU280" s="154"/>
      <c r="ACV280" s="154"/>
      <c r="ACW280" s="154"/>
      <c r="ACX280" s="154"/>
      <c r="ACY280" s="62"/>
      <c r="ACZ280" s="154"/>
      <c r="ADA280" s="154"/>
      <c r="ADB280" s="154"/>
      <c r="ADC280" s="154"/>
      <c r="ADD280" s="62"/>
      <c r="ADE280" s="1049"/>
      <c r="ADF280" s="1049"/>
      <c r="ADG280" s="1049"/>
      <c r="ADH280" s="1049"/>
      <c r="ADI280" s="1049"/>
      <c r="ADK280" s="154"/>
      <c r="ADL280" s="154"/>
      <c r="ADM280" s="154"/>
      <c r="ADN280" s="154"/>
      <c r="ADO280" s="62"/>
      <c r="ADP280" s="154"/>
      <c r="ADQ280" s="154"/>
      <c r="ADR280" s="154"/>
      <c r="ADS280" s="154"/>
      <c r="ADT280" s="62"/>
      <c r="ADU280" s="1049"/>
      <c r="ADV280" s="1049"/>
      <c r="ADW280" s="1049"/>
      <c r="ADX280" s="1049"/>
      <c r="ADY280" s="1049"/>
      <c r="AEA280" s="154"/>
      <c r="AEB280" s="154"/>
      <c r="AEC280" s="154"/>
      <c r="AED280" s="154"/>
      <c r="AEE280" s="62"/>
      <c r="AEF280" s="154"/>
      <c r="AEG280" s="154"/>
      <c r="AEH280" s="154"/>
      <c r="AEI280" s="154"/>
      <c r="AEJ280" s="62"/>
      <c r="AEK280" s="1049"/>
      <c r="AEL280" s="1049"/>
      <c r="AEM280" s="1049"/>
      <c r="AEN280" s="1049"/>
      <c r="AEO280" s="1049"/>
      <c r="AEQ280" s="154"/>
      <c r="AER280" s="154"/>
      <c r="AES280" s="154"/>
      <c r="AET280" s="154"/>
      <c r="AEU280" s="62"/>
      <c r="AEV280" s="154"/>
      <c r="AEW280" s="154"/>
      <c r="AEX280" s="154"/>
      <c r="AEY280" s="154"/>
      <c r="AEZ280" s="62"/>
      <c r="AFA280" s="1049"/>
      <c r="AFB280" s="1049"/>
      <c r="AFC280" s="1049"/>
      <c r="AFD280" s="1049"/>
      <c r="AFE280" s="1049"/>
      <c r="AFG280" s="154"/>
      <c r="AFH280" s="154"/>
      <c r="AFI280" s="154"/>
      <c r="AFJ280" s="154"/>
      <c r="AFK280" s="62"/>
      <c r="AFL280" s="154"/>
      <c r="AFM280" s="154"/>
      <c r="AFN280" s="154"/>
      <c r="AFO280" s="154"/>
      <c r="AFP280" s="62"/>
      <c r="AFQ280" s="1049"/>
      <c r="AFR280" s="1049"/>
      <c r="AFS280" s="1049"/>
      <c r="AFT280" s="1049"/>
      <c r="AFU280" s="1049"/>
      <c r="AFW280" s="154"/>
      <c r="AFX280" s="154"/>
      <c r="AFY280" s="154"/>
      <c r="AFZ280" s="154"/>
      <c r="AGA280" s="62"/>
      <c r="AGB280" s="154"/>
      <c r="AGC280" s="154"/>
      <c r="AGD280" s="154"/>
      <c r="AGE280" s="154"/>
      <c r="AGF280" s="62"/>
      <c r="AGG280" s="1049"/>
      <c r="AGH280" s="1049"/>
      <c r="AGI280" s="1049"/>
      <c r="AGJ280" s="1049"/>
      <c r="AGK280" s="1049"/>
      <c r="AGM280" s="154"/>
      <c r="AGN280" s="154"/>
      <c r="AGO280" s="154"/>
      <c r="AGP280" s="154"/>
      <c r="AGQ280" s="62"/>
      <c r="AGR280" s="154"/>
      <c r="AGS280" s="154"/>
      <c r="AGT280" s="154"/>
      <c r="AGU280" s="154"/>
      <c r="AGV280" s="62"/>
      <c r="AGW280" s="1049"/>
      <c r="AGX280" s="1049"/>
      <c r="AGY280" s="1049"/>
      <c r="AGZ280" s="1049"/>
      <c r="AHA280" s="1049"/>
      <c r="AHC280" s="154"/>
      <c r="AHD280" s="154"/>
      <c r="AHE280" s="154"/>
      <c r="AHF280" s="154"/>
      <c r="AHG280" s="62"/>
      <c r="AHH280" s="154"/>
      <c r="AHI280" s="154"/>
      <c r="AHJ280" s="154"/>
      <c r="AHK280" s="154"/>
      <c r="AHL280" s="62"/>
      <c r="AHM280" s="1049"/>
      <c r="AHN280" s="1049"/>
      <c r="AHO280" s="1049"/>
      <c r="AHP280" s="1049"/>
      <c r="AHQ280" s="1049"/>
      <c r="AHS280" s="154"/>
      <c r="AHT280" s="154"/>
      <c r="AHU280" s="154"/>
      <c r="AHV280" s="154"/>
      <c r="AHW280" s="62"/>
      <c r="AHX280" s="154"/>
      <c r="AHY280" s="154"/>
      <c r="AHZ280" s="154"/>
      <c r="AIA280" s="154"/>
      <c r="AIB280" s="62"/>
      <c r="AIC280" s="1049"/>
      <c r="AID280" s="1049"/>
      <c r="AIE280" s="1049"/>
      <c r="AIF280" s="1049"/>
      <c r="AIG280" s="1049"/>
      <c r="AII280" s="154"/>
      <c r="AIJ280" s="154"/>
      <c r="AIK280" s="154"/>
      <c r="AIL280" s="154"/>
      <c r="AIM280" s="62"/>
      <c r="AIN280" s="154"/>
      <c r="AIO280" s="154"/>
      <c r="AIP280" s="154"/>
      <c r="AIQ280" s="154"/>
      <c r="AIR280" s="62"/>
      <c r="AIS280" s="1049"/>
      <c r="AIT280" s="1049"/>
      <c r="AIU280" s="1049"/>
      <c r="AIV280" s="1049"/>
      <c r="AIW280" s="1049"/>
      <c r="AIY280" s="154"/>
      <c r="AIZ280" s="154"/>
      <c r="AJA280" s="154"/>
      <c r="AJB280" s="154"/>
      <c r="AJC280" s="62"/>
      <c r="AJD280" s="154"/>
      <c r="AJE280" s="154"/>
      <c r="AJF280" s="154"/>
      <c r="AJG280" s="154"/>
      <c r="AJH280" s="62"/>
      <c r="AJI280" s="1049"/>
      <c r="AJJ280" s="1049"/>
      <c r="AJK280" s="1049"/>
      <c r="AJL280" s="1049"/>
      <c r="AJM280" s="1049"/>
      <c r="AJO280" s="154"/>
      <c r="AJP280" s="154"/>
      <c r="AJQ280" s="154"/>
      <c r="AJR280" s="154"/>
      <c r="AJS280" s="62"/>
      <c r="AJT280" s="154"/>
      <c r="AJU280" s="154"/>
      <c r="AJV280" s="154"/>
      <c r="AJW280" s="154"/>
      <c r="AJX280" s="62"/>
      <c r="AJY280" s="1049"/>
      <c r="AJZ280" s="1049"/>
      <c r="AKA280" s="1049"/>
      <c r="AKB280" s="1049"/>
      <c r="AKC280" s="1049"/>
      <c r="AKE280" s="154"/>
      <c r="AKF280" s="154"/>
      <c r="AKG280" s="154"/>
      <c r="AKH280" s="154"/>
      <c r="AKI280" s="62"/>
      <c r="AKJ280" s="154"/>
      <c r="AKK280" s="154"/>
      <c r="AKL280" s="154"/>
      <c r="AKM280" s="154"/>
      <c r="AKN280" s="62"/>
      <c r="AKO280" s="1049"/>
      <c r="AKP280" s="1049"/>
      <c r="AKQ280" s="1049"/>
      <c r="AKR280" s="1049"/>
      <c r="AKS280" s="1049"/>
      <c r="AKU280" s="154"/>
      <c r="AKV280" s="154"/>
      <c r="AKW280" s="154"/>
      <c r="AKX280" s="154"/>
      <c r="AKY280" s="62"/>
      <c r="AKZ280" s="154"/>
      <c r="ALA280" s="154"/>
      <c r="ALB280" s="154"/>
      <c r="ALC280" s="154"/>
      <c r="ALD280" s="62"/>
      <c r="ALE280" s="1049"/>
      <c r="ALF280" s="1049"/>
      <c r="ALG280" s="1049"/>
      <c r="ALH280" s="1049"/>
      <c r="ALI280" s="1049"/>
      <c r="ALK280" s="154"/>
      <c r="ALL280" s="154"/>
      <c r="ALM280" s="154"/>
      <c r="ALN280" s="154"/>
      <c r="ALO280" s="62"/>
      <c r="ALP280" s="154"/>
      <c r="ALQ280" s="154"/>
      <c r="ALR280" s="154"/>
      <c r="ALS280" s="154"/>
      <c r="ALT280" s="62"/>
      <c r="ALU280" s="1049"/>
      <c r="ALV280" s="1049"/>
      <c r="ALW280" s="1049"/>
      <c r="ALX280" s="1049"/>
      <c r="ALY280" s="1049"/>
      <c r="AMA280" s="154"/>
      <c r="AMB280" s="154"/>
      <c r="AMC280" s="154"/>
      <c r="AMD280" s="154"/>
      <c r="AME280" s="62"/>
      <c r="AMF280" s="154"/>
      <c r="AMG280" s="154"/>
      <c r="AMH280" s="154"/>
      <c r="AMI280" s="154"/>
      <c r="AMJ280" s="62"/>
      <c r="AMK280" s="1049"/>
      <c r="AML280" s="1049"/>
      <c r="AMM280" s="1049"/>
      <c r="AMN280" s="1049"/>
      <c r="AMO280" s="1049"/>
      <c r="AMQ280" s="154"/>
      <c r="AMR280" s="154"/>
      <c r="AMS280" s="154"/>
      <c r="AMT280" s="154"/>
      <c r="AMU280" s="62"/>
      <c r="AMV280" s="154"/>
      <c r="AMW280" s="154"/>
      <c r="AMX280" s="154"/>
      <c r="AMY280" s="154"/>
      <c r="AMZ280" s="62"/>
      <c r="ANA280" s="1049"/>
      <c r="ANB280" s="1049"/>
      <c r="ANC280" s="1049"/>
      <c r="AND280" s="1049"/>
      <c r="ANE280" s="1049"/>
      <c r="ANG280" s="154"/>
      <c r="ANH280" s="154"/>
      <c r="ANI280" s="154"/>
      <c r="ANJ280" s="154"/>
      <c r="ANK280" s="62"/>
      <c r="ANL280" s="154"/>
      <c r="ANM280" s="154"/>
      <c r="ANN280" s="154"/>
      <c r="ANO280" s="154"/>
      <c r="ANP280" s="62"/>
      <c r="ANQ280" s="1049"/>
      <c r="ANR280" s="1049"/>
      <c r="ANS280" s="1049"/>
      <c r="ANT280" s="1049"/>
      <c r="ANU280" s="1049"/>
      <c r="ANW280" s="154"/>
      <c r="ANX280" s="154"/>
      <c r="ANY280" s="154"/>
      <c r="ANZ280" s="154"/>
      <c r="AOA280" s="62"/>
      <c r="AOB280" s="154"/>
      <c r="AOC280" s="154"/>
      <c r="AOD280" s="154"/>
      <c r="AOE280" s="154"/>
      <c r="AOF280" s="62"/>
      <c r="AOG280" s="1049"/>
      <c r="AOH280" s="1049"/>
      <c r="AOI280" s="1049"/>
      <c r="AOJ280" s="1049"/>
      <c r="AOK280" s="1049"/>
      <c r="AOM280" s="154"/>
      <c r="AON280" s="154"/>
      <c r="AOO280" s="154"/>
      <c r="AOP280" s="154"/>
      <c r="AOQ280" s="62"/>
      <c r="AOR280" s="154"/>
      <c r="AOS280" s="154"/>
      <c r="AOT280" s="154"/>
      <c r="AOU280" s="154"/>
      <c r="AOV280" s="62"/>
      <c r="AOW280" s="1049"/>
      <c r="AOX280" s="1049"/>
      <c r="AOY280" s="1049"/>
      <c r="AOZ280" s="1049"/>
      <c r="APA280" s="1049"/>
      <c r="APC280" s="154"/>
      <c r="APD280" s="154"/>
      <c r="APE280" s="154"/>
      <c r="APF280" s="154"/>
      <c r="APG280" s="62"/>
      <c r="APH280" s="154"/>
      <c r="API280" s="154"/>
      <c r="APJ280" s="154"/>
      <c r="APK280" s="154"/>
      <c r="APL280" s="62"/>
      <c r="APM280" s="1049"/>
      <c r="APN280" s="1049"/>
      <c r="APO280" s="1049"/>
      <c r="APP280" s="1049"/>
      <c r="APQ280" s="1049"/>
      <c r="APS280" s="154"/>
      <c r="APT280" s="154"/>
      <c r="APU280" s="154"/>
      <c r="APV280" s="154"/>
      <c r="APW280" s="62"/>
      <c r="APX280" s="154"/>
      <c r="APY280" s="154"/>
      <c r="APZ280" s="154"/>
      <c r="AQA280" s="154"/>
      <c r="AQB280" s="62"/>
      <c r="AQC280" s="1049"/>
      <c r="AQD280" s="1049"/>
      <c r="AQE280" s="1049"/>
      <c r="AQF280" s="1049"/>
      <c r="AQG280" s="1049"/>
      <c r="AQI280" s="154"/>
      <c r="AQJ280" s="154"/>
      <c r="AQK280" s="154"/>
      <c r="AQL280" s="154"/>
      <c r="AQM280" s="62"/>
      <c r="AQN280" s="154"/>
      <c r="AQO280" s="154"/>
      <c r="AQP280" s="154"/>
      <c r="AQQ280" s="154"/>
      <c r="AQR280" s="62"/>
      <c r="AQS280" s="1049"/>
      <c r="AQT280" s="1049"/>
      <c r="AQU280" s="1049"/>
      <c r="AQV280" s="1049"/>
      <c r="AQW280" s="1049"/>
      <c r="AQY280" s="154"/>
      <c r="AQZ280" s="154"/>
      <c r="ARA280" s="154"/>
      <c r="ARB280" s="154"/>
      <c r="ARC280" s="62"/>
      <c r="ARD280" s="154"/>
      <c r="ARE280" s="154"/>
      <c r="ARF280" s="154"/>
      <c r="ARG280" s="154"/>
      <c r="ARH280" s="62"/>
      <c r="ARI280" s="1049"/>
      <c r="ARJ280" s="1049"/>
      <c r="ARK280" s="1049"/>
      <c r="ARL280" s="1049"/>
      <c r="ARM280" s="1049"/>
      <c r="ARO280" s="154"/>
      <c r="ARP280" s="154"/>
      <c r="ARQ280" s="154"/>
      <c r="ARR280" s="154"/>
      <c r="ARS280" s="62"/>
      <c r="ART280" s="154"/>
      <c r="ARU280" s="154"/>
      <c r="ARV280" s="154"/>
      <c r="ARW280" s="154"/>
      <c r="ARX280" s="62"/>
      <c r="ARY280" s="1049"/>
      <c r="ARZ280" s="1049"/>
      <c r="ASA280" s="1049"/>
      <c r="ASB280" s="1049"/>
      <c r="ASC280" s="1049"/>
      <c r="ASE280" s="154"/>
      <c r="ASF280" s="154"/>
      <c r="ASG280" s="154"/>
      <c r="ASH280" s="154"/>
      <c r="ASI280" s="62"/>
      <c r="ASJ280" s="154"/>
      <c r="ASK280" s="154"/>
      <c r="ASL280" s="154"/>
      <c r="ASM280" s="154"/>
      <c r="ASN280" s="62"/>
      <c r="ASO280" s="1049"/>
      <c r="ASP280" s="1049"/>
      <c r="ASQ280" s="1049"/>
      <c r="ASR280" s="1049"/>
      <c r="ASS280" s="1049"/>
      <c r="ASU280" s="154"/>
      <c r="ASV280" s="154"/>
      <c r="ASW280" s="154"/>
      <c r="ASX280" s="154"/>
      <c r="ASY280" s="62"/>
      <c r="ASZ280" s="154"/>
      <c r="ATA280" s="154"/>
      <c r="ATB280" s="154"/>
      <c r="ATC280" s="154"/>
      <c r="ATD280" s="62"/>
      <c r="ATE280" s="1049"/>
      <c r="ATF280" s="1049"/>
      <c r="ATG280" s="1049"/>
      <c r="ATH280" s="1049"/>
      <c r="ATI280" s="1049"/>
      <c r="ATK280" s="154"/>
      <c r="ATL280" s="154"/>
      <c r="ATM280" s="154"/>
      <c r="ATN280" s="154"/>
      <c r="ATO280" s="62"/>
      <c r="ATP280" s="154"/>
      <c r="ATQ280" s="154"/>
      <c r="ATR280" s="154"/>
      <c r="ATS280" s="154"/>
      <c r="ATT280" s="62"/>
      <c r="ATU280" s="1049"/>
      <c r="ATV280" s="1049"/>
      <c r="ATW280" s="1049"/>
      <c r="ATX280" s="1049"/>
      <c r="ATY280" s="1049"/>
      <c r="AUA280" s="154"/>
      <c r="AUB280" s="154"/>
      <c r="AUC280" s="154"/>
      <c r="AUD280" s="154"/>
      <c r="AUE280" s="62"/>
      <c r="AUF280" s="154"/>
      <c r="AUG280" s="154"/>
      <c r="AUH280" s="154"/>
      <c r="AUI280" s="154"/>
      <c r="AUJ280" s="62"/>
      <c r="AUK280" s="1049"/>
      <c r="AUL280" s="1049"/>
      <c r="AUM280" s="1049"/>
      <c r="AUN280" s="1049"/>
      <c r="AUO280" s="1049"/>
      <c r="AUQ280" s="154"/>
      <c r="AUR280" s="154"/>
      <c r="AUS280" s="154"/>
      <c r="AUT280" s="154"/>
      <c r="AUU280" s="62"/>
      <c r="AUV280" s="154"/>
      <c r="AUW280" s="154"/>
      <c r="AUX280" s="154"/>
      <c r="AUY280" s="154"/>
      <c r="AUZ280" s="62"/>
      <c r="AVA280" s="1049"/>
      <c r="AVB280" s="1049"/>
      <c r="AVC280" s="1049"/>
      <c r="AVD280" s="1049"/>
      <c r="AVE280" s="1049"/>
      <c r="AVG280" s="154"/>
      <c r="AVH280" s="154"/>
      <c r="AVI280" s="154"/>
      <c r="AVJ280" s="154"/>
      <c r="AVK280" s="62"/>
      <c r="AVL280" s="154"/>
      <c r="AVM280" s="154"/>
      <c r="AVN280" s="154"/>
      <c r="AVO280" s="154"/>
      <c r="AVP280" s="62"/>
      <c r="AVQ280" s="1049"/>
      <c r="AVR280" s="1049"/>
      <c r="AVS280" s="1049"/>
      <c r="AVT280" s="1049"/>
      <c r="AVU280" s="1049"/>
      <c r="AVW280" s="154"/>
      <c r="AVX280" s="154"/>
      <c r="AVY280" s="154"/>
      <c r="AVZ280" s="154"/>
      <c r="AWA280" s="62"/>
      <c r="AWB280" s="154"/>
      <c r="AWC280" s="154"/>
      <c r="AWD280" s="154"/>
      <c r="AWE280" s="154"/>
      <c r="AWF280" s="62"/>
      <c r="AWG280" s="1049"/>
      <c r="AWH280" s="1049"/>
      <c r="AWI280" s="1049"/>
      <c r="AWJ280" s="1049"/>
      <c r="AWK280" s="1049"/>
      <c r="AWM280" s="154"/>
      <c r="AWN280" s="154"/>
      <c r="AWO280" s="154"/>
      <c r="AWP280" s="154"/>
      <c r="AWQ280" s="62"/>
      <c r="AWR280" s="154"/>
      <c r="AWS280" s="154"/>
      <c r="AWT280" s="154"/>
      <c r="AWU280" s="154"/>
      <c r="AWV280" s="62"/>
      <c r="AWW280" s="1049"/>
      <c r="AWX280" s="1049"/>
      <c r="AWY280" s="1049"/>
      <c r="AWZ280" s="1049"/>
      <c r="AXA280" s="1049"/>
      <c r="AXC280" s="154"/>
      <c r="AXD280" s="154"/>
      <c r="AXE280" s="154"/>
      <c r="AXF280" s="154"/>
      <c r="AXG280" s="62"/>
      <c r="AXH280" s="154"/>
      <c r="AXI280" s="154"/>
      <c r="AXJ280" s="154"/>
      <c r="AXK280" s="154"/>
      <c r="AXL280" s="62"/>
      <c r="AXM280" s="1049"/>
      <c r="AXN280" s="1049"/>
      <c r="AXO280" s="1049"/>
      <c r="AXP280" s="1049"/>
      <c r="AXQ280" s="1049"/>
      <c r="AXS280" s="154"/>
      <c r="AXT280" s="154"/>
      <c r="AXU280" s="154"/>
      <c r="AXV280" s="154"/>
      <c r="AXW280" s="62"/>
      <c r="AXX280" s="154"/>
      <c r="AXY280" s="154"/>
      <c r="AXZ280" s="154"/>
      <c r="AYA280" s="154"/>
      <c r="AYB280" s="62"/>
      <c r="AYC280" s="1049"/>
      <c r="AYD280" s="1049"/>
      <c r="AYE280" s="1049"/>
      <c r="AYF280" s="1049"/>
      <c r="AYG280" s="1049"/>
      <c r="AYI280" s="154"/>
      <c r="AYJ280" s="154"/>
      <c r="AYK280" s="154"/>
      <c r="AYL280" s="154"/>
      <c r="AYM280" s="62"/>
      <c r="AYN280" s="154"/>
      <c r="AYO280" s="154"/>
      <c r="AYP280" s="154"/>
      <c r="AYQ280" s="154"/>
      <c r="AYR280" s="62"/>
      <c r="AYS280" s="1049"/>
      <c r="AYT280" s="1049"/>
      <c r="AYU280" s="1049"/>
      <c r="AYV280" s="1049"/>
      <c r="AYW280" s="1049"/>
      <c r="AYY280" s="154"/>
      <c r="AYZ280" s="154"/>
      <c r="AZA280" s="154"/>
      <c r="AZB280" s="154"/>
      <c r="AZC280" s="62"/>
      <c r="AZD280" s="154"/>
      <c r="AZE280" s="154"/>
      <c r="AZF280" s="154"/>
      <c r="AZG280" s="154"/>
      <c r="AZH280" s="62"/>
      <c r="AZI280" s="1049"/>
      <c r="AZJ280" s="1049"/>
      <c r="AZK280" s="1049"/>
      <c r="AZL280" s="1049"/>
      <c r="AZM280" s="1049"/>
      <c r="AZO280" s="154"/>
      <c r="AZP280" s="154"/>
      <c r="AZQ280" s="154"/>
      <c r="AZR280" s="154"/>
      <c r="AZS280" s="62"/>
      <c r="AZT280" s="154"/>
      <c r="AZU280" s="154"/>
      <c r="AZV280" s="154"/>
      <c r="AZW280" s="154"/>
      <c r="AZX280" s="62"/>
      <c r="AZY280" s="1049"/>
      <c r="AZZ280" s="1049"/>
      <c r="BAA280" s="1049"/>
      <c r="BAB280" s="1049"/>
      <c r="BAC280" s="1049"/>
      <c r="BAE280" s="154"/>
      <c r="BAF280" s="154"/>
      <c r="BAG280" s="154"/>
      <c r="BAH280" s="154"/>
      <c r="BAI280" s="62"/>
      <c r="BAJ280" s="154"/>
      <c r="BAK280" s="154"/>
      <c r="BAL280" s="154"/>
      <c r="BAM280" s="154"/>
      <c r="BAN280" s="62"/>
      <c r="BAO280" s="1049"/>
      <c r="BAP280" s="1049"/>
      <c r="BAQ280" s="1049"/>
      <c r="BAR280" s="1049"/>
      <c r="BAS280" s="1049"/>
      <c r="BAU280" s="154"/>
      <c r="BAV280" s="154"/>
      <c r="BAW280" s="154"/>
      <c r="BAX280" s="154"/>
      <c r="BAY280" s="62"/>
      <c r="BAZ280" s="154"/>
      <c r="BBA280" s="154"/>
      <c r="BBB280" s="154"/>
      <c r="BBC280" s="154"/>
      <c r="BBD280" s="62"/>
      <c r="BBE280" s="1049"/>
      <c r="BBF280" s="1049"/>
      <c r="BBG280" s="1049"/>
      <c r="BBH280" s="1049"/>
      <c r="BBI280" s="1049"/>
      <c r="BBK280" s="154"/>
      <c r="BBL280" s="154"/>
      <c r="BBM280" s="154"/>
      <c r="BBN280" s="154"/>
      <c r="BBO280" s="62"/>
      <c r="BBP280" s="154"/>
      <c r="BBQ280" s="154"/>
      <c r="BBR280" s="154"/>
      <c r="BBS280" s="154"/>
      <c r="BBT280" s="62"/>
      <c r="BBU280" s="1049"/>
      <c r="BBV280" s="1049"/>
      <c r="BBW280" s="1049"/>
      <c r="BBX280" s="1049"/>
      <c r="BBY280" s="1049"/>
      <c r="BCA280" s="154"/>
      <c r="BCB280" s="154"/>
      <c r="BCC280" s="154"/>
      <c r="BCD280" s="154"/>
      <c r="BCE280" s="62"/>
      <c r="BCF280" s="154"/>
      <c r="BCG280" s="154"/>
      <c r="BCH280" s="154"/>
      <c r="BCI280" s="154"/>
      <c r="BCJ280" s="62"/>
      <c r="BCK280" s="1049"/>
      <c r="BCL280" s="1049"/>
      <c r="BCM280" s="1049"/>
      <c r="BCN280" s="1049"/>
      <c r="BCO280" s="1049"/>
      <c r="BCQ280" s="154"/>
      <c r="BCR280" s="154"/>
      <c r="BCS280" s="154"/>
      <c r="BCT280" s="154"/>
      <c r="BCU280" s="62"/>
      <c r="BCV280" s="154"/>
      <c r="BCW280" s="154"/>
      <c r="BCX280" s="154"/>
      <c r="BCY280" s="154"/>
      <c r="BCZ280" s="62"/>
      <c r="BDA280" s="1049"/>
      <c r="BDB280" s="1049"/>
      <c r="BDC280" s="1049"/>
      <c r="BDD280" s="1049"/>
      <c r="BDE280" s="1049"/>
      <c r="BDG280" s="154"/>
      <c r="BDH280" s="154"/>
      <c r="BDI280" s="154"/>
      <c r="BDJ280" s="154"/>
      <c r="BDK280" s="62"/>
      <c r="BDL280" s="154"/>
      <c r="BDM280" s="154"/>
      <c r="BDN280" s="154"/>
      <c r="BDO280" s="154"/>
      <c r="BDP280" s="62"/>
      <c r="BDQ280" s="1049"/>
      <c r="BDR280" s="1049"/>
      <c r="BDS280" s="1049"/>
      <c r="BDT280" s="1049"/>
      <c r="BDU280" s="1049"/>
      <c r="BDW280" s="154"/>
      <c r="BDX280" s="154"/>
      <c r="BDY280" s="154"/>
      <c r="BDZ280" s="154"/>
      <c r="BEA280" s="62"/>
      <c r="BEB280" s="154"/>
      <c r="BEC280" s="154"/>
      <c r="BED280" s="154"/>
      <c r="BEE280" s="154"/>
      <c r="BEF280" s="62"/>
      <c r="BEG280" s="1049"/>
      <c r="BEH280" s="1049"/>
      <c r="BEI280" s="1049"/>
      <c r="BEJ280" s="1049"/>
      <c r="BEK280" s="1049"/>
      <c r="BEM280" s="154"/>
      <c r="BEN280" s="154"/>
      <c r="BEO280" s="154"/>
      <c r="BEP280" s="154"/>
      <c r="BEQ280" s="62"/>
      <c r="BER280" s="154"/>
      <c r="BES280" s="154"/>
      <c r="BET280" s="154"/>
      <c r="BEU280" s="154"/>
      <c r="BEV280" s="62"/>
      <c r="BEW280" s="1049"/>
      <c r="BEX280" s="1049"/>
      <c r="BEY280" s="1049"/>
      <c r="BEZ280" s="1049"/>
      <c r="BFA280" s="1049"/>
      <c r="BFC280" s="154"/>
      <c r="BFD280" s="154"/>
      <c r="BFE280" s="154"/>
      <c r="BFF280" s="154"/>
      <c r="BFG280" s="62"/>
      <c r="BFH280" s="154"/>
      <c r="BFI280" s="154"/>
      <c r="BFJ280" s="154"/>
      <c r="BFK280" s="154"/>
      <c r="BFL280" s="62"/>
      <c r="BFM280" s="1049"/>
      <c r="BFN280" s="1049"/>
      <c r="BFO280" s="1049"/>
      <c r="BFP280" s="1049"/>
      <c r="BFQ280" s="1049"/>
      <c r="BFS280" s="154"/>
      <c r="BFT280" s="154"/>
      <c r="BFU280" s="154"/>
      <c r="BFV280" s="154"/>
      <c r="BFW280" s="62"/>
      <c r="BFX280" s="154"/>
      <c r="BFY280" s="154"/>
      <c r="BFZ280" s="154"/>
      <c r="BGA280" s="154"/>
      <c r="BGB280" s="62"/>
      <c r="BGC280" s="1049"/>
      <c r="BGD280" s="1049"/>
      <c r="BGE280" s="1049"/>
      <c r="BGF280" s="1049"/>
      <c r="BGG280" s="1049"/>
      <c r="BGI280" s="154"/>
      <c r="BGJ280" s="154"/>
      <c r="BGK280" s="154"/>
      <c r="BGL280" s="154"/>
      <c r="BGM280" s="62"/>
      <c r="BGN280" s="154"/>
      <c r="BGO280" s="154"/>
      <c r="BGP280" s="154"/>
      <c r="BGQ280" s="154"/>
      <c r="BGR280" s="62"/>
      <c r="BGS280" s="1049"/>
      <c r="BGT280" s="1049"/>
      <c r="BGU280" s="1049"/>
      <c r="BGV280" s="1049"/>
      <c r="BGW280" s="1049"/>
      <c r="BGY280" s="154"/>
      <c r="BGZ280" s="154"/>
      <c r="BHA280" s="154"/>
      <c r="BHB280" s="154"/>
      <c r="BHC280" s="62"/>
      <c r="BHD280" s="154"/>
      <c r="BHE280" s="154"/>
      <c r="BHF280" s="154"/>
      <c r="BHG280" s="154"/>
      <c r="BHH280" s="62"/>
      <c r="BHI280" s="1049"/>
      <c r="BHJ280" s="1049"/>
      <c r="BHK280" s="1049"/>
      <c r="BHL280" s="1049"/>
      <c r="BHM280" s="1049"/>
      <c r="BHO280" s="154"/>
      <c r="BHP280" s="154"/>
      <c r="BHQ280" s="154"/>
      <c r="BHR280" s="154"/>
      <c r="BHS280" s="62"/>
      <c r="BHT280" s="154"/>
      <c r="BHU280" s="154"/>
      <c r="BHV280" s="154"/>
      <c r="BHW280" s="154"/>
      <c r="BHX280" s="62"/>
      <c r="BHY280" s="1049"/>
      <c r="BHZ280" s="1049"/>
      <c r="BIA280" s="1049"/>
      <c r="BIB280" s="1049"/>
      <c r="BIC280" s="1049"/>
      <c r="BIE280" s="154"/>
      <c r="BIF280" s="154"/>
      <c r="BIG280" s="154"/>
      <c r="BIH280" s="154"/>
      <c r="BII280" s="62"/>
      <c r="BIJ280" s="154"/>
      <c r="BIK280" s="154"/>
      <c r="BIL280" s="154"/>
      <c r="BIM280" s="154"/>
      <c r="BIN280" s="62"/>
      <c r="BIO280" s="1049"/>
      <c r="BIP280" s="1049"/>
      <c r="BIQ280" s="1049"/>
      <c r="BIR280" s="1049"/>
      <c r="BIS280" s="1049"/>
      <c r="BIU280" s="154"/>
      <c r="BIV280" s="154"/>
      <c r="BIW280" s="154"/>
      <c r="BIX280" s="154"/>
      <c r="BIY280" s="62"/>
      <c r="BIZ280" s="154"/>
      <c r="BJA280" s="154"/>
      <c r="BJB280" s="154"/>
      <c r="BJC280" s="154"/>
      <c r="BJD280" s="62"/>
      <c r="BJE280" s="1049"/>
      <c r="BJF280" s="1049"/>
      <c r="BJG280" s="1049"/>
      <c r="BJH280" s="1049"/>
      <c r="BJI280" s="1049"/>
      <c r="BJK280" s="154"/>
      <c r="BJL280" s="154"/>
      <c r="BJM280" s="154"/>
      <c r="BJN280" s="154"/>
      <c r="BJO280" s="62"/>
      <c r="BJP280" s="154"/>
      <c r="BJQ280" s="154"/>
      <c r="BJR280" s="154"/>
      <c r="BJS280" s="154"/>
      <c r="BJT280" s="62"/>
      <c r="BJU280" s="1049"/>
      <c r="BJV280" s="1049"/>
      <c r="BJW280" s="1049"/>
      <c r="BJX280" s="1049"/>
      <c r="BJY280" s="1049"/>
      <c r="BKA280" s="154"/>
      <c r="BKB280" s="154"/>
      <c r="BKC280" s="154"/>
      <c r="BKD280" s="154"/>
      <c r="BKE280" s="62"/>
      <c r="BKF280" s="154"/>
      <c r="BKG280" s="154"/>
      <c r="BKH280" s="154"/>
      <c r="BKI280" s="154"/>
      <c r="BKJ280" s="62"/>
      <c r="BKK280" s="1049"/>
      <c r="BKL280" s="1049"/>
      <c r="BKM280" s="1049"/>
      <c r="BKN280" s="1049"/>
      <c r="BKO280" s="1049"/>
      <c r="BKQ280" s="154"/>
      <c r="BKR280" s="154"/>
      <c r="BKS280" s="154"/>
      <c r="BKT280" s="154"/>
      <c r="BKU280" s="62"/>
      <c r="BKV280" s="154"/>
      <c r="BKW280" s="154"/>
      <c r="BKX280" s="154"/>
      <c r="BKY280" s="154"/>
      <c r="BKZ280" s="62"/>
      <c r="BLA280" s="1049"/>
      <c r="BLB280" s="1049"/>
      <c r="BLC280" s="1049"/>
      <c r="BLD280" s="1049"/>
      <c r="BLE280" s="1049"/>
      <c r="BLG280" s="154"/>
      <c r="BLH280" s="154"/>
      <c r="BLI280" s="154"/>
      <c r="BLJ280" s="154"/>
      <c r="BLK280" s="62"/>
      <c r="BLL280" s="154"/>
      <c r="BLM280" s="154"/>
      <c r="BLN280" s="154"/>
      <c r="BLO280" s="154"/>
      <c r="BLP280" s="62"/>
      <c r="BLQ280" s="1049"/>
      <c r="BLR280" s="1049"/>
      <c r="BLS280" s="1049"/>
      <c r="BLT280" s="1049"/>
      <c r="BLU280" s="1049"/>
      <c r="BLW280" s="154"/>
      <c r="BLX280" s="154"/>
      <c r="BLY280" s="154"/>
      <c r="BLZ280" s="154"/>
      <c r="BMA280" s="62"/>
      <c r="BMB280" s="154"/>
      <c r="BMC280" s="154"/>
      <c r="BMD280" s="154"/>
      <c r="BME280" s="154"/>
      <c r="BMF280" s="62"/>
      <c r="BMG280" s="1049"/>
      <c r="BMH280" s="1049"/>
      <c r="BMI280" s="1049"/>
      <c r="BMJ280" s="1049"/>
      <c r="BMK280" s="1049"/>
      <c r="BMM280" s="154"/>
      <c r="BMN280" s="154"/>
      <c r="BMO280" s="154"/>
      <c r="BMP280" s="154"/>
      <c r="BMQ280" s="62"/>
      <c r="BMR280" s="154"/>
      <c r="BMS280" s="154"/>
      <c r="BMT280" s="154"/>
      <c r="BMU280" s="154"/>
      <c r="BMV280" s="62"/>
      <c r="BMW280" s="1049"/>
      <c r="BMX280" s="1049"/>
      <c r="BMY280" s="1049"/>
      <c r="BMZ280" s="1049"/>
      <c r="BNA280" s="1049"/>
      <c r="BNC280" s="154"/>
      <c r="BND280" s="154"/>
      <c r="BNE280" s="154"/>
      <c r="BNF280" s="154"/>
      <c r="BNG280" s="62"/>
      <c r="BNH280" s="154"/>
      <c r="BNI280" s="154"/>
      <c r="BNJ280" s="154"/>
      <c r="BNK280" s="154"/>
      <c r="BNL280" s="62"/>
      <c r="BNM280" s="1049"/>
      <c r="BNN280" s="1049"/>
      <c r="BNO280" s="1049"/>
      <c r="BNP280" s="1049"/>
      <c r="BNQ280" s="1049"/>
      <c r="BNS280" s="154"/>
      <c r="BNT280" s="154"/>
      <c r="BNU280" s="154"/>
      <c r="BNV280" s="154"/>
      <c r="BNW280" s="62"/>
      <c r="BNX280" s="154"/>
      <c r="BNY280" s="154"/>
      <c r="BNZ280" s="154"/>
      <c r="BOA280" s="154"/>
      <c r="BOB280" s="62"/>
      <c r="BOC280" s="1049"/>
      <c r="BOD280" s="1049"/>
      <c r="BOE280" s="1049"/>
      <c r="BOF280" s="1049"/>
      <c r="BOG280" s="1049"/>
      <c r="BOI280" s="154"/>
      <c r="BOJ280" s="154"/>
      <c r="BOK280" s="154"/>
      <c r="BOL280" s="154"/>
      <c r="BOM280" s="62"/>
      <c r="BON280" s="154"/>
      <c r="BOO280" s="154"/>
      <c r="BOP280" s="154"/>
      <c r="BOQ280" s="154"/>
      <c r="BOR280" s="62"/>
      <c r="BOS280" s="1049"/>
      <c r="BOT280" s="1049"/>
      <c r="BOU280" s="1049"/>
      <c r="BOV280" s="1049"/>
      <c r="BOW280" s="1049"/>
      <c r="BOY280" s="154"/>
      <c r="BOZ280" s="154"/>
      <c r="BPA280" s="154"/>
      <c r="BPB280" s="154"/>
      <c r="BPC280" s="62"/>
      <c r="BPD280" s="154"/>
      <c r="BPE280" s="154"/>
      <c r="BPF280" s="154"/>
      <c r="BPG280" s="154"/>
      <c r="BPH280" s="62"/>
      <c r="BPI280" s="1049"/>
      <c r="BPJ280" s="1049"/>
      <c r="BPK280" s="1049"/>
      <c r="BPL280" s="1049"/>
      <c r="BPM280" s="1049"/>
      <c r="BPO280" s="154"/>
      <c r="BPP280" s="154"/>
      <c r="BPQ280" s="154"/>
      <c r="BPR280" s="154"/>
      <c r="BPS280" s="62"/>
      <c r="BPT280" s="154"/>
      <c r="BPU280" s="154"/>
      <c r="BPV280" s="154"/>
      <c r="BPW280" s="154"/>
      <c r="BPX280" s="62"/>
      <c r="BPY280" s="1049"/>
      <c r="BPZ280" s="1049"/>
      <c r="BQA280" s="1049"/>
      <c r="BQB280" s="1049"/>
      <c r="BQC280" s="1049"/>
      <c r="BQE280" s="154"/>
      <c r="BQF280" s="154"/>
      <c r="BQG280" s="154"/>
      <c r="BQH280" s="154"/>
      <c r="BQI280" s="62"/>
      <c r="BQJ280" s="154"/>
      <c r="BQK280" s="154"/>
      <c r="BQL280" s="154"/>
      <c r="BQM280" s="154"/>
      <c r="BQN280" s="62"/>
      <c r="BQO280" s="1049"/>
      <c r="BQP280" s="1049"/>
      <c r="BQQ280" s="1049"/>
      <c r="BQR280" s="1049"/>
      <c r="BQS280" s="1049"/>
      <c r="BQU280" s="154"/>
      <c r="BQV280" s="154"/>
      <c r="BQW280" s="154"/>
      <c r="BQX280" s="154"/>
      <c r="BQY280" s="62"/>
      <c r="BQZ280" s="154"/>
      <c r="BRA280" s="154"/>
      <c r="BRB280" s="154"/>
      <c r="BRC280" s="154"/>
      <c r="BRD280" s="62"/>
      <c r="BRE280" s="1049"/>
      <c r="BRF280" s="1049"/>
      <c r="BRG280" s="1049"/>
      <c r="BRH280" s="1049"/>
      <c r="BRI280" s="1049"/>
      <c r="BRK280" s="154"/>
      <c r="BRL280" s="154"/>
      <c r="BRM280" s="154"/>
      <c r="BRN280" s="154"/>
      <c r="BRO280" s="62"/>
      <c r="BRP280" s="154"/>
      <c r="BRQ280" s="154"/>
      <c r="BRR280" s="154"/>
      <c r="BRS280" s="154"/>
      <c r="BRT280" s="62"/>
      <c r="BRU280" s="1049"/>
      <c r="BRV280" s="1049"/>
      <c r="BRW280" s="1049"/>
      <c r="BRX280" s="1049"/>
      <c r="BRY280" s="1049"/>
      <c r="BSA280" s="154"/>
      <c r="BSB280" s="154"/>
      <c r="BSC280" s="154"/>
      <c r="BSD280" s="154"/>
      <c r="BSE280" s="62"/>
      <c r="BSF280" s="154"/>
      <c r="BSG280" s="154"/>
      <c r="BSH280" s="154"/>
      <c r="BSI280" s="154"/>
      <c r="BSJ280" s="62"/>
      <c r="BSK280" s="1049"/>
      <c r="BSL280" s="1049"/>
      <c r="BSM280" s="1049"/>
      <c r="BSN280" s="1049"/>
      <c r="BSO280" s="1049"/>
      <c r="BSQ280" s="154"/>
      <c r="BSR280" s="154"/>
      <c r="BSS280" s="154"/>
      <c r="BST280" s="154"/>
      <c r="BSU280" s="62"/>
      <c r="BSV280" s="154"/>
      <c r="BSW280" s="154"/>
      <c r="BSX280" s="154"/>
      <c r="BSY280" s="154"/>
      <c r="BSZ280" s="62"/>
      <c r="BTA280" s="1049"/>
      <c r="BTB280" s="1049"/>
      <c r="BTC280" s="1049"/>
      <c r="BTD280" s="1049"/>
      <c r="BTE280" s="1049"/>
      <c r="BTG280" s="154"/>
      <c r="BTH280" s="154"/>
      <c r="BTI280" s="154"/>
      <c r="BTJ280" s="154"/>
      <c r="BTK280" s="62"/>
      <c r="BTL280" s="154"/>
      <c r="BTM280" s="154"/>
      <c r="BTN280" s="154"/>
      <c r="BTO280" s="154"/>
      <c r="BTP280" s="62"/>
      <c r="BTQ280" s="1049"/>
      <c r="BTR280" s="1049"/>
      <c r="BTS280" s="1049"/>
      <c r="BTT280" s="1049"/>
      <c r="BTU280" s="1049"/>
      <c r="BTW280" s="154"/>
      <c r="BTX280" s="154"/>
      <c r="BTY280" s="154"/>
      <c r="BTZ280" s="154"/>
      <c r="BUA280" s="62"/>
      <c r="BUB280" s="154"/>
      <c r="BUC280" s="154"/>
      <c r="BUD280" s="154"/>
      <c r="BUE280" s="154"/>
      <c r="BUF280" s="62"/>
      <c r="BUG280" s="1049"/>
      <c r="BUH280" s="1049"/>
      <c r="BUI280" s="1049"/>
      <c r="BUJ280" s="1049"/>
      <c r="BUK280" s="1049"/>
      <c r="BUM280" s="154"/>
      <c r="BUN280" s="154"/>
      <c r="BUO280" s="154"/>
      <c r="BUP280" s="154"/>
      <c r="BUQ280" s="62"/>
      <c r="BUR280" s="154"/>
      <c r="BUS280" s="154"/>
      <c r="BUT280" s="154"/>
      <c r="BUU280" s="154"/>
      <c r="BUV280" s="62"/>
      <c r="BUW280" s="1049"/>
      <c r="BUX280" s="1049"/>
      <c r="BUY280" s="1049"/>
      <c r="BUZ280" s="1049"/>
      <c r="BVA280" s="1049"/>
      <c r="BVC280" s="154"/>
      <c r="BVD280" s="154"/>
      <c r="BVE280" s="154"/>
      <c r="BVF280" s="154"/>
      <c r="BVG280" s="62"/>
      <c r="BVH280" s="154"/>
      <c r="BVI280" s="154"/>
      <c r="BVJ280" s="154"/>
      <c r="BVK280" s="154"/>
      <c r="BVL280" s="62"/>
      <c r="BVM280" s="1049"/>
      <c r="BVN280" s="1049"/>
      <c r="BVO280" s="1049"/>
      <c r="BVP280" s="1049"/>
      <c r="BVQ280" s="1049"/>
      <c r="BVS280" s="154"/>
      <c r="BVT280" s="154"/>
      <c r="BVU280" s="154"/>
      <c r="BVV280" s="154"/>
      <c r="BVW280" s="62"/>
      <c r="BVX280" s="154"/>
      <c r="BVY280" s="154"/>
      <c r="BVZ280" s="154"/>
      <c r="BWA280" s="154"/>
      <c r="BWB280" s="62"/>
      <c r="BWC280" s="1049"/>
      <c r="BWD280" s="1049"/>
      <c r="BWE280" s="1049"/>
      <c r="BWF280" s="1049"/>
      <c r="BWG280" s="1049"/>
      <c r="BWI280" s="154"/>
      <c r="BWJ280" s="154"/>
      <c r="BWK280" s="154"/>
      <c r="BWL280" s="154"/>
      <c r="BWM280" s="62"/>
      <c r="BWN280" s="154"/>
      <c r="BWO280" s="154"/>
      <c r="BWP280" s="154"/>
      <c r="BWQ280" s="154"/>
      <c r="BWR280" s="62"/>
      <c r="BWS280" s="1049"/>
      <c r="BWT280" s="1049"/>
      <c r="BWU280" s="1049"/>
      <c r="BWV280" s="1049"/>
      <c r="BWW280" s="1049"/>
      <c r="BWY280" s="154"/>
      <c r="BWZ280" s="154"/>
      <c r="BXA280" s="154"/>
      <c r="BXB280" s="154"/>
      <c r="BXC280" s="62"/>
      <c r="BXD280" s="154"/>
      <c r="BXE280" s="154"/>
      <c r="BXF280" s="154"/>
      <c r="BXG280" s="154"/>
      <c r="BXH280" s="62"/>
      <c r="BXI280" s="1049"/>
      <c r="BXJ280" s="1049"/>
      <c r="BXK280" s="1049"/>
      <c r="BXL280" s="1049"/>
      <c r="BXM280" s="1049"/>
      <c r="BXO280" s="154"/>
      <c r="BXP280" s="154"/>
      <c r="BXQ280" s="154"/>
      <c r="BXR280" s="154"/>
      <c r="BXS280" s="62"/>
      <c r="BXT280" s="154"/>
      <c r="BXU280" s="154"/>
      <c r="BXV280" s="154"/>
      <c r="BXW280" s="154"/>
      <c r="BXX280" s="62"/>
      <c r="BXY280" s="1049"/>
      <c r="BXZ280" s="1049"/>
      <c r="BYA280" s="1049"/>
      <c r="BYB280" s="1049"/>
      <c r="BYC280" s="1049"/>
      <c r="BYE280" s="154"/>
      <c r="BYF280" s="154"/>
      <c r="BYG280" s="154"/>
      <c r="BYH280" s="154"/>
      <c r="BYI280" s="62"/>
      <c r="BYJ280" s="154"/>
      <c r="BYK280" s="154"/>
      <c r="BYL280" s="154"/>
      <c r="BYM280" s="154"/>
      <c r="BYN280" s="62"/>
      <c r="BYO280" s="1049"/>
      <c r="BYP280" s="1049"/>
      <c r="BYQ280" s="1049"/>
      <c r="BYR280" s="1049"/>
      <c r="BYS280" s="1049"/>
      <c r="BYU280" s="154"/>
      <c r="BYV280" s="154"/>
      <c r="BYW280" s="154"/>
      <c r="BYX280" s="154"/>
      <c r="BYY280" s="62"/>
      <c r="BYZ280" s="154"/>
      <c r="BZA280" s="154"/>
      <c r="BZB280" s="154"/>
      <c r="BZC280" s="154"/>
      <c r="BZD280" s="62"/>
      <c r="BZE280" s="1049"/>
      <c r="BZF280" s="1049"/>
      <c r="BZG280" s="1049"/>
      <c r="BZH280" s="1049"/>
      <c r="BZI280" s="1049"/>
      <c r="BZK280" s="154"/>
      <c r="BZL280" s="154"/>
      <c r="BZM280" s="154"/>
      <c r="BZN280" s="154"/>
      <c r="BZO280" s="62"/>
      <c r="BZP280" s="154"/>
      <c r="BZQ280" s="154"/>
      <c r="BZR280" s="154"/>
      <c r="BZS280" s="154"/>
      <c r="BZT280" s="62"/>
      <c r="BZU280" s="1049"/>
      <c r="BZV280" s="1049"/>
      <c r="BZW280" s="1049"/>
      <c r="BZX280" s="1049"/>
      <c r="BZY280" s="1049"/>
      <c r="CAA280" s="154"/>
      <c r="CAB280" s="154"/>
      <c r="CAC280" s="154"/>
      <c r="CAD280" s="154"/>
      <c r="CAE280" s="62"/>
      <c r="CAF280" s="154"/>
      <c r="CAG280" s="154"/>
      <c r="CAH280" s="154"/>
      <c r="CAI280" s="154"/>
      <c r="CAJ280" s="62"/>
      <c r="CAK280" s="1049"/>
      <c r="CAL280" s="1049"/>
      <c r="CAM280" s="1049"/>
      <c r="CAN280" s="1049"/>
      <c r="CAO280" s="1049"/>
      <c r="CAQ280" s="154"/>
      <c r="CAR280" s="154"/>
      <c r="CAS280" s="154"/>
      <c r="CAT280" s="154"/>
      <c r="CAU280" s="62"/>
      <c r="CAV280" s="154"/>
      <c r="CAW280" s="154"/>
      <c r="CAX280" s="154"/>
      <c r="CAY280" s="154"/>
      <c r="CAZ280" s="62"/>
      <c r="CBA280" s="1049"/>
      <c r="CBB280" s="1049"/>
      <c r="CBC280" s="1049"/>
      <c r="CBD280" s="1049"/>
      <c r="CBE280" s="1049"/>
      <c r="CBG280" s="154"/>
      <c r="CBH280" s="154"/>
      <c r="CBI280" s="154"/>
      <c r="CBJ280" s="154"/>
      <c r="CBK280" s="62"/>
      <c r="CBL280" s="154"/>
      <c r="CBM280" s="154"/>
      <c r="CBN280" s="154"/>
      <c r="CBO280" s="154"/>
      <c r="CBP280" s="62"/>
      <c r="CBQ280" s="1049"/>
      <c r="CBR280" s="1049"/>
      <c r="CBS280" s="1049"/>
      <c r="CBT280" s="1049"/>
      <c r="CBU280" s="1049"/>
      <c r="CBW280" s="154"/>
      <c r="CBX280" s="154"/>
      <c r="CBY280" s="154"/>
      <c r="CBZ280" s="154"/>
      <c r="CCA280" s="62"/>
      <c r="CCB280" s="154"/>
      <c r="CCC280" s="154"/>
      <c r="CCD280" s="154"/>
      <c r="CCE280" s="154"/>
      <c r="CCF280" s="62"/>
      <c r="CCG280" s="1049"/>
      <c r="CCH280" s="1049"/>
      <c r="CCI280" s="1049"/>
      <c r="CCJ280" s="1049"/>
      <c r="CCK280" s="1049"/>
      <c r="CCM280" s="154"/>
      <c r="CCN280" s="154"/>
      <c r="CCO280" s="154"/>
      <c r="CCP280" s="154"/>
      <c r="CCQ280" s="62"/>
      <c r="CCR280" s="154"/>
      <c r="CCS280" s="154"/>
      <c r="CCT280" s="154"/>
      <c r="CCU280" s="154"/>
      <c r="CCV280" s="62"/>
      <c r="CCW280" s="1049"/>
      <c r="CCX280" s="1049"/>
      <c r="CCY280" s="1049"/>
      <c r="CCZ280" s="1049"/>
      <c r="CDA280" s="1049"/>
      <c r="CDC280" s="154"/>
      <c r="CDD280" s="154"/>
      <c r="CDE280" s="154"/>
      <c r="CDF280" s="154"/>
      <c r="CDG280" s="62"/>
      <c r="CDH280" s="154"/>
      <c r="CDI280" s="154"/>
      <c r="CDJ280" s="154"/>
      <c r="CDK280" s="154"/>
      <c r="CDL280" s="62"/>
      <c r="CDM280" s="1049"/>
      <c r="CDN280" s="1049"/>
      <c r="CDO280" s="1049"/>
      <c r="CDP280" s="1049"/>
      <c r="CDQ280" s="1049"/>
      <c r="CDS280" s="154"/>
      <c r="CDT280" s="154"/>
      <c r="CDU280" s="154"/>
      <c r="CDV280" s="154"/>
      <c r="CDW280" s="62"/>
      <c r="CDX280" s="154"/>
      <c r="CDY280" s="154"/>
      <c r="CDZ280" s="154"/>
      <c r="CEA280" s="154"/>
      <c r="CEB280" s="62"/>
      <c r="CEC280" s="1049"/>
      <c r="CED280" s="1049"/>
      <c r="CEE280" s="1049"/>
      <c r="CEF280" s="1049"/>
      <c r="CEG280" s="1049"/>
      <c r="CEI280" s="154"/>
      <c r="CEJ280" s="154"/>
      <c r="CEK280" s="154"/>
      <c r="CEL280" s="154"/>
      <c r="CEM280" s="62"/>
      <c r="CEN280" s="154"/>
      <c r="CEO280" s="154"/>
      <c r="CEP280" s="154"/>
      <c r="CEQ280" s="154"/>
      <c r="CER280" s="62"/>
      <c r="CES280" s="1049"/>
      <c r="CET280" s="1049"/>
      <c r="CEU280" s="1049"/>
      <c r="CEV280" s="1049"/>
      <c r="CEW280" s="1049"/>
      <c r="CEY280" s="154"/>
      <c r="CEZ280" s="154"/>
      <c r="CFA280" s="154"/>
      <c r="CFB280" s="154"/>
      <c r="CFC280" s="62"/>
      <c r="CFD280" s="154"/>
      <c r="CFE280" s="154"/>
      <c r="CFF280" s="154"/>
      <c r="CFG280" s="154"/>
      <c r="CFH280" s="62"/>
      <c r="CFI280" s="1049"/>
      <c r="CFJ280" s="1049"/>
      <c r="CFK280" s="1049"/>
      <c r="CFL280" s="1049"/>
      <c r="CFM280" s="1049"/>
      <c r="CFO280" s="154"/>
      <c r="CFP280" s="154"/>
      <c r="CFQ280" s="154"/>
      <c r="CFR280" s="154"/>
      <c r="CFS280" s="62"/>
      <c r="CFT280" s="154"/>
      <c r="CFU280" s="154"/>
      <c r="CFV280" s="154"/>
      <c r="CFW280" s="154"/>
      <c r="CFX280" s="62"/>
      <c r="CFY280" s="1049"/>
      <c r="CFZ280" s="1049"/>
      <c r="CGA280" s="1049"/>
      <c r="CGB280" s="1049"/>
      <c r="CGC280" s="1049"/>
      <c r="CGE280" s="154"/>
      <c r="CGF280" s="154"/>
      <c r="CGG280" s="154"/>
      <c r="CGH280" s="154"/>
      <c r="CGI280" s="62"/>
      <c r="CGJ280" s="154"/>
      <c r="CGK280" s="154"/>
      <c r="CGL280" s="154"/>
      <c r="CGM280" s="154"/>
      <c r="CGN280" s="62"/>
      <c r="CGO280" s="1049"/>
      <c r="CGP280" s="1049"/>
      <c r="CGQ280" s="1049"/>
      <c r="CGR280" s="1049"/>
      <c r="CGS280" s="1049"/>
      <c r="CGU280" s="154"/>
      <c r="CGV280" s="154"/>
      <c r="CGW280" s="154"/>
      <c r="CGX280" s="154"/>
      <c r="CGY280" s="62"/>
      <c r="CGZ280" s="154"/>
      <c r="CHA280" s="154"/>
      <c r="CHB280" s="154"/>
      <c r="CHC280" s="154"/>
      <c r="CHD280" s="62"/>
      <c r="CHE280" s="1049"/>
      <c r="CHF280" s="1049"/>
      <c r="CHG280" s="1049"/>
      <c r="CHH280" s="1049"/>
      <c r="CHI280" s="1049"/>
      <c r="CHK280" s="154"/>
      <c r="CHL280" s="154"/>
      <c r="CHM280" s="154"/>
      <c r="CHN280" s="154"/>
      <c r="CHO280" s="62"/>
      <c r="CHP280" s="154"/>
      <c r="CHQ280" s="154"/>
      <c r="CHR280" s="154"/>
      <c r="CHS280" s="154"/>
      <c r="CHT280" s="62"/>
      <c r="CHU280" s="1049"/>
      <c r="CHV280" s="1049"/>
      <c r="CHW280" s="1049"/>
      <c r="CHX280" s="1049"/>
      <c r="CHY280" s="1049"/>
      <c r="CIA280" s="154"/>
      <c r="CIB280" s="154"/>
      <c r="CIC280" s="154"/>
      <c r="CID280" s="154"/>
      <c r="CIE280" s="62"/>
      <c r="CIF280" s="154"/>
      <c r="CIG280" s="154"/>
      <c r="CIH280" s="154"/>
      <c r="CII280" s="154"/>
      <c r="CIJ280" s="62"/>
      <c r="CIK280" s="1049"/>
      <c r="CIL280" s="1049"/>
      <c r="CIM280" s="1049"/>
      <c r="CIN280" s="1049"/>
      <c r="CIO280" s="1049"/>
      <c r="CIQ280" s="154"/>
      <c r="CIR280" s="154"/>
      <c r="CIS280" s="154"/>
      <c r="CIT280" s="154"/>
      <c r="CIU280" s="62"/>
      <c r="CIV280" s="154"/>
      <c r="CIW280" s="154"/>
      <c r="CIX280" s="154"/>
      <c r="CIY280" s="154"/>
      <c r="CIZ280" s="62"/>
      <c r="CJA280" s="1049"/>
      <c r="CJB280" s="1049"/>
      <c r="CJC280" s="1049"/>
      <c r="CJD280" s="1049"/>
      <c r="CJE280" s="1049"/>
      <c r="CJG280" s="154"/>
      <c r="CJH280" s="154"/>
      <c r="CJI280" s="154"/>
      <c r="CJJ280" s="154"/>
      <c r="CJK280" s="62"/>
      <c r="CJL280" s="154"/>
      <c r="CJM280" s="154"/>
      <c r="CJN280" s="154"/>
      <c r="CJO280" s="154"/>
      <c r="CJP280" s="62"/>
      <c r="CJQ280" s="1049"/>
      <c r="CJR280" s="1049"/>
      <c r="CJS280" s="1049"/>
      <c r="CJT280" s="1049"/>
      <c r="CJU280" s="1049"/>
      <c r="CJW280" s="154"/>
      <c r="CJX280" s="154"/>
      <c r="CJY280" s="154"/>
      <c r="CJZ280" s="154"/>
      <c r="CKA280" s="62"/>
      <c r="CKB280" s="154"/>
      <c r="CKC280" s="154"/>
      <c r="CKD280" s="154"/>
      <c r="CKE280" s="154"/>
      <c r="CKF280" s="62"/>
      <c r="CKG280" s="1049"/>
      <c r="CKH280" s="1049"/>
      <c r="CKI280" s="1049"/>
      <c r="CKJ280" s="1049"/>
      <c r="CKK280" s="1049"/>
      <c r="CKM280" s="154"/>
      <c r="CKN280" s="154"/>
      <c r="CKO280" s="154"/>
      <c r="CKP280" s="154"/>
      <c r="CKQ280" s="62"/>
      <c r="CKR280" s="154"/>
      <c r="CKS280" s="154"/>
      <c r="CKT280" s="154"/>
      <c r="CKU280" s="154"/>
      <c r="CKV280" s="62"/>
      <c r="CKW280" s="1049"/>
      <c r="CKX280" s="1049"/>
      <c r="CKY280" s="1049"/>
      <c r="CKZ280" s="1049"/>
      <c r="CLA280" s="1049"/>
      <c r="CLC280" s="154"/>
      <c r="CLD280" s="154"/>
      <c r="CLE280" s="154"/>
      <c r="CLF280" s="154"/>
      <c r="CLG280" s="62"/>
      <c r="CLH280" s="154"/>
      <c r="CLI280" s="154"/>
      <c r="CLJ280" s="154"/>
      <c r="CLK280" s="154"/>
      <c r="CLL280" s="62"/>
      <c r="CLM280" s="1049"/>
      <c r="CLN280" s="1049"/>
      <c r="CLO280" s="1049"/>
      <c r="CLP280" s="1049"/>
      <c r="CLQ280" s="1049"/>
      <c r="CLS280" s="154"/>
      <c r="CLT280" s="154"/>
      <c r="CLU280" s="154"/>
      <c r="CLV280" s="154"/>
      <c r="CLW280" s="62"/>
      <c r="CLX280" s="154"/>
      <c r="CLY280" s="154"/>
      <c r="CLZ280" s="154"/>
      <c r="CMA280" s="154"/>
      <c r="CMB280" s="62"/>
      <c r="CMC280" s="1049"/>
      <c r="CMD280" s="1049"/>
      <c r="CME280" s="1049"/>
      <c r="CMF280" s="1049"/>
      <c r="CMG280" s="1049"/>
      <c r="CMI280" s="154"/>
      <c r="CMJ280" s="154"/>
      <c r="CMK280" s="154"/>
      <c r="CML280" s="154"/>
      <c r="CMM280" s="62"/>
      <c r="CMN280" s="154"/>
      <c r="CMO280" s="154"/>
      <c r="CMP280" s="154"/>
      <c r="CMQ280" s="154"/>
      <c r="CMR280" s="62"/>
      <c r="CMS280" s="1049"/>
      <c r="CMT280" s="1049"/>
      <c r="CMU280" s="1049"/>
      <c r="CMV280" s="1049"/>
      <c r="CMW280" s="1049"/>
      <c r="CMY280" s="154"/>
      <c r="CMZ280" s="154"/>
      <c r="CNA280" s="154"/>
      <c r="CNB280" s="154"/>
      <c r="CNC280" s="62"/>
      <c r="CND280" s="154"/>
      <c r="CNE280" s="154"/>
      <c r="CNF280" s="154"/>
      <c r="CNG280" s="154"/>
      <c r="CNH280" s="62"/>
      <c r="CNI280" s="1049"/>
      <c r="CNJ280" s="1049"/>
      <c r="CNK280" s="1049"/>
      <c r="CNL280" s="1049"/>
      <c r="CNM280" s="1049"/>
      <c r="CNO280" s="154"/>
      <c r="CNP280" s="154"/>
      <c r="CNQ280" s="154"/>
      <c r="CNR280" s="154"/>
      <c r="CNS280" s="62"/>
      <c r="CNT280" s="154"/>
      <c r="CNU280" s="154"/>
      <c r="CNV280" s="154"/>
      <c r="CNW280" s="154"/>
      <c r="CNX280" s="62"/>
      <c r="CNY280" s="1049"/>
      <c r="CNZ280" s="1049"/>
      <c r="COA280" s="1049"/>
      <c r="COB280" s="1049"/>
      <c r="COC280" s="1049"/>
      <c r="COE280" s="154"/>
      <c r="COF280" s="154"/>
      <c r="COG280" s="154"/>
      <c r="COH280" s="154"/>
      <c r="COI280" s="62"/>
      <c r="COJ280" s="154"/>
      <c r="COK280" s="154"/>
      <c r="COL280" s="154"/>
      <c r="COM280" s="154"/>
      <c r="CON280" s="62"/>
      <c r="COO280" s="1049"/>
      <c r="COP280" s="1049"/>
      <c r="COQ280" s="1049"/>
      <c r="COR280" s="1049"/>
      <c r="COS280" s="1049"/>
      <c r="COU280" s="154"/>
      <c r="COV280" s="154"/>
      <c r="COW280" s="154"/>
      <c r="COX280" s="154"/>
      <c r="COY280" s="62"/>
      <c r="COZ280" s="154"/>
      <c r="CPA280" s="154"/>
      <c r="CPB280" s="154"/>
      <c r="CPC280" s="154"/>
      <c r="CPD280" s="62"/>
      <c r="CPE280" s="1049"/>
      <c r="CPF280" s="1049"/>
      <c r="CPG280" s="1049"/>
      <c r="CPH280" s="1049"/>
      <c r="CPI280" s="1049"/>
      <c r="CPK280" s="154"/>
      <c r="CPL280" s="154"/>
      <c r="CPM280" s="154"/>
      <c r="CPN280" s="154"/>
      <c r="CPO280" s="62"/>
      <c r="CPP280" s="154"/>
      <c r="CPQ280" s="154"/>
      <c r="CPR280" s="154"/>
      <c r="CPS280" s="154"/>
      <c r="CPT280" s="62"/>
      <c r="CPU280" s="1049"/>
      <c r="CPV280" s="1049"/>
      <c r="CPW280" s="1049"/>
      <c r="CPX280" s="1049"/>
      <c r="CPY280" s="1049"/>
      <c r="CQA280" s="154"/>
      <c r="CQB280" s="154"/>
      <c r="CQC280" s="154"/>
      <c r="CQD280" s="154"/>
      <c r="CQE280" s="62"/>
      <c r="CQF280" s="154"/>
      <c r="CQG280" s="154"/>
      <c r="CQH280" s="154"/>
      <c r="CQI280" s="154"/>
      <c r="CQJ280" s="62"/>
      <c r="CQK280" s="1049"/>
      <c r="CQL280" s="1049"/>
      <c r="CQM280" s="1049"/>
      <c r="CQN280" s="1049"/>
      <c r="CQO280" s="1049"/>
      <c r="CQQ280" s="154"/>
      <c r="CQR280" s="154"/>
      <c r="CQS280" s="154"/>
      <c r="CQT280" s="154"/>
      <c r="CQU280" s="62"/>
      <c r="CQV280" s="154"/>
      <c r="CQW280" s="154"/>
      <c r="CQX280" s="154"/>
      <c r="CQY280" s="154"/>
      <c r="CQZ280" s="62"/>
      <c r="CRA280" s="1049"/>
      <c r="CRB280" s="1049"/>
      <c r="CRC280" s="1049"/>
      <c r="CRD280" s="1049"/>
      <c r="CRE280" s="1049"/>
      <c r="CRG280" s="154"/>
      <c r="CRH280" s="154"/>
      <c r="CRI280" s="154"/>
      <c r="CRJ280" s="154"/>
      <c r="CRK280" s="62"/>
      <c r="CRL280" s="154"/>
      <c r="CRM280" s="154"/>
      <c r="CRN280" s="154"/>
      <c r="CRO280" s="154"/>
      <c r="CRP280" s="62"/>
      <c r="CRQ280" s="1049"/>
      <c r="CRR280" s="1049"/>
      <c r="CRS280" s="1049"/>
      <c r="CRT280" s="1049"/>
      <c r="CRU280" s="1049"/>
      <c r="CRW280" s="154"/>
      <c r="CRX280" s="154"/>
      <c r="CRY280" s="154"/>
      <c r="CRZ280" s="154"/>
      <c r="CSA280" s="62"/>
      <c r="CSB280" s="154"/>
      <c r="CSC280" s="154"/>
      <c r="CSD280" s="154"/>
      <c r="CSE280" s="154"/>
      <c r="CSF280" s="62"/>
      <c r="CSG280" s="1049"/>
      <c r="CSH280" s="1049"/>
      <c r="CSI280" s="1049"/>
      <c r="CSJ280" s="1049"/>
      <c r="CSK280" s="1049"/>
      <c r="CSM280" s="154"/>
      <c r="CSN280" s="154"/>
      <c r="CSO280" s="154"/>
      <c r="CSP280" s="154"/>
      <c r="CSQ280" s="62"/>
      <c r="CSR280" s="154"/>
      <c r="CSS280" s="154"/>
      <c r="CST280" s="154"/>
      <c r="CSU280" s="154"/>
      <c r="CSV280" s="62"/>
      <c r="CSW280" s="1049"/>
      <c r="CSX280" s="1049"/>
      <c r="CSY280" s="1049"/>
      <c r="CSZ280" s="1049"/>
      <c r="CTA280" s="1049"/>
      <c r="CTC280" s="154"/>
      <c r="CTD280" s="154"/>
      <c r="CTE280" s="154"/>
      <c r="CTF280" s="154"/>
      <c r="CTG280" s="62"/>
      <c r="CTH280" s="154"/>
      <c r="CTI280" s="154"/>
      <c r="CTJ280" s="154"/>
      <c r="CTK280" s="154"/>
      <c r="CTL280" s="62"/>
      <c r="CTM280" s="1049"/>
      <c r="CTN280" s="1049"/>
      <c r="CTO280" s="1049"/>
      <c r="CTP280" s="1049"/>
      <c r="CTQ280" s="1049"/>
      <c r="CTS280" s="154"/>
      <c r="CTT280" s="154"/>
      <c r="CTU280" s="154"/>
      <c r="CTV280" s="154"/>
      <c r="CTW280" s="62"/>
      <c r="CTX280" s="154"/>
      <c r="CTY280" s="154"/>
      <c r="CTZ280" s="154"/>
      <c r="CUA280" s="154"/>
      <c r="CUB280" s="62"/>
      <c r="CUC280" s="1049"/>
      <c r="CUD280" s="1049"/>
      <c r="CUE280" s="1049"/>
      <c r="CUF280" s="1049"/>
      <c r="CUG280" s="1049"/>
      <c r="CUI280" s="154"/>
      <c r="CUJ280" s="154"/>
      <c r="CUK280" s="154"/>
      <c r="CUL280" s="154"/>
      <c r="CUM280" s="62"/>
      <c r="CUN280" s="154"/>
      <c r="CUO280" s="154"/>
      <c r="CUP280" s="154"/>
      <c r="CUQ280" s="154"/>
      <c r="CUR280" s="62"/>
      <c r="CUS280" s="1049"/>
      <c r="CUT280" s="1049"/>
      <c r="CUU280" s="1049"/>
      <c r="CUV280" s="1049"/>
      <c r="CUW280" s="1049"/>
      <c r="CUY280" s="154"/>
      <c r="CUZ280" s="154"/>
      <c r="CVA280" s="154"/>
      <c r="CVB280" s="154"/>
      <c r="CVC280" s="62"/>
      <c r="CVD280" s="154"/>
      <c r="CVE280" s="154"/>
      <c r="CVF280" s="154"/>
      <c r="CVG280" s="154"/>
      <c r="CVH280" s="62"/>
      <c r="CVI280" s="1049"/>
      <c r="CVJ280" s="1049"/>
      <c r="CVK280" s="1049"/>
      <c r="CVL280" s="1049"/>
      <c r="CVM280" s="1049"/>
      <c r="CVO280" s="154"/>
      <c r="CVP280" s="154"/>
      <c r="CVQ280" s="154"/>
      <c r="CVR280" s="154"/>
      <c r="CVS280" s="62"/>
      <c r="CVT280" s="154"/>
      <c r="CVU280" s="154"/>
      <c r="CVV280" s="154"/>
      <c r="CVW280" s="154"/>
      <c r="CVX280" s="62"/>
      <c r="CVY280" s="1049"/>
      <c r="CVZ280" s="1049"/>
      <c r="CWA280" s="1049"/>
      <c r="CWB280" s="1049"/>
      <c r="CWC280" s="1049"/>
      <c r="CWE280" s="154"/>
      <c r="CWF280" s="154"/>
      <c r="CWG280" s="154"/>
      <c r="CWH280" s="154"/>
      <c r="CWI280" s="62"/>
      <c r="CWJ280" s="154"/>
      <c r="CWK280" s="154"/>
      <c r="CWL280" s="154"/>
      <c r="CWM280" s="154"/>
      <c r="CWN280" s="62"/>
      <c r="CWO280" s="1049"/>
      <c r="CWP280" s="1049"/>
      <c r="CWQ280" s="1049"/>
      <c r="CWR280" s="1049"/>
      <c r="CWS280" s="1049"/>
      <c r="CWU280" s="154"/>
      <c r="CWV280" s="154"/>
      <c r="CWW280" s="154"/>
      <c r="CWX280" s="154"/>
      <c r="CWY280" s="62"/>
      <c r="CWZ280" s="154"/>
      <c r="CXA280" s="154"/>
      <c r="CXB280" s="154"/>
      <c r="CXC280" s="154"/>
      <c r="CXD280" s="62"/>
      <c r="CXE280" s="1049"/>
      <c r="CXF280" s="1049"/>
      <c r="CXG280" s="1049"/>
      <c r="CXH280" s="1049"/>
      <c r="CXI280" s="1049"/>
      <c r="CXK280" s="154"/>
      <c r="CXL280" s="154"/>
      <c r="CXM280" s="154"/>
      <c r="CXN280" s="154"/>
      <c r="CXO280" s="62"/>
      <c r="CXP280" s="154"/>
      <c r="CXQ280" s="154"/>
      <c r="CXR280" s="154"/>
      <c r="CXS280" s="154"/>
      <c r="CXT280" s="62"/>
      <c r="CXU280" s="1049"/>
      <c r="CXV280" s="1049"/>
      <c r="CXW280" s="1049"/>
      <c r="CXX280" s="1049"/>
      <c r="CXY280" s="1049"/>
      <c r="CYA280" s="154"/>
      <c r="CYB280" s="154"/>
      <c r="CYC280" s="154"/>
      <c r="CYD280" s="154"/>
      <c r="CYE280" s="62"/>
      <c r="CYF280" s="154"/>
      <c r="CYG280" s="154"/>
      <c r="CYH280" s="154"/>
      <c r="CYI280" s="154"/>
      <c r="CYJ280" s="62"/>
      <c r="CYK280" s="1049"/>
      <c r="CYL280" s="1049"/>
      <c r="CYM280" s="1049"/>
      <c r="CYN280" s="1049"/>
      <c r="CYO280" s="1049"/>
      <c r="CYQ280" s="154"/>
      <c r="CYR280" s="154"/>
      <c r="CYS280" s="154"/>
      <c r="CYT280" s="154"/>
      <c r="CYU280" s="62"/>
      <c r="CYV280" s="154"/>
      <c r="CYW280" s="154"/>
      <c r="CYX280" s="154"/>
      <c r="CYY280" s="154"/>
      <c r="CYZ280" s="62"/>
      <c r="CZA280" s="1049"/>
      <c r="CZB280" s="1049"/>
      <c r="CZC280" s="1049"/>
      <c r="CZD280" s="1049"/>
      <c r="CZE280" s="1049"/>
      <c r="CZG280" s="154"/>
      <c r="CZH280" s="154"/>
      <c r="CZI280" s="154"/>
      <c r="CZJ280" s="154"/>
      <c r="CZK280" s="62"/>
      <c r="CZL280" s="154"/>
      <c r="CZM280" s="154"/>
      <c r="CZN280" s="154"/>
      <c r="CZO280" s="154"/>
      <c r="CZP280" s="62"/>
      <c r="CZQ280" s="1049"/>
      <c r="CZR280" s="1049"/>
      <c r="CZS280" s="1049"/>
      <c r="CZT280" s="1049"/>
      <c r="CZU280" s="1049"/>
      <c r="CZW280" s="154"/>
      <c r="CZX280" s="154"/>
      <c r="CZY280" s="154"/>
      <c r="CZZ280" s="154"/>
      <c r="DAA280" s="62"/>
      <c r="DAB280" s="154"/>
      <c r="DAC280" s="154"/>
      <c r="DAD280" s="154"/>
      <c r="DAE280" s="154"/>
      <c r="DAF280" s="62"/>
      <c r="DAG280" s="1049"/>
      <c r="DAH280" s="1049"/>
      <c r="DAI280" s="1049"/>
      <c r="DAJ280" s="1049"/>
      <c r="DAK280" s="1049"/>
      <c r="DAM280" s="154"/>
      <c r="DAN280" s="154"/>
      <c r="DAO280" s="154"/>
      <c r="DAP280" s="154"/>
      <c r="DAQ280" s="62"/>
      <c r="DAR280" s="154"/>
      <c r="DAS280" s="154"/>
      <c r="DAT280" s="154"/>
      <c r="DAU280" s="154"/>
      <c r="DAV280" s="62"/>
      <c r="DAW280" s="1049"/>
      <c r="DAX280" s="1049"/>
      <c r="DAY280" s="1049"/>
      <c r="DAZ280" s="1049"/>
      <c r="DBA280" s="1049"/>
      <c r="DBC280" s="154"/>
      <c r="DBD280" s="154"/>
      <c r="DBE280" s="154"/>
      <c r="DBF280" s="154"/>
      <c r="DBG280" s="62"/>
      <c r="DBH280" s="154"/>
      <c r="DBI280" s="154"/>
      <c r="DBJ280" s="154"/>
      <c r="DBK280" s="154"/>
      <c r="DBL280" s="62"/>
      <c r="DBM280" s="1049"/>
      <c r="DBN280" s="1049"/>
      <c r="DBO280" s="1049"/>
      <c r="DBP280" s="1049"/>
      <c r="DBQ280" s="1049"/>
      <c r="DBS280" s="154"/>
      <c r="DBT280" s="154"/>
      <c r="DBU280" s="154"/>
      <c r="DBV280" s="154"/>
      <c r="DBW280" s="62"/>
      <c r="DBX280" s="154"/>
      <c r="DBY280" s="154"/>
      <c r="DBZ280" s="154"/>
      <c r="DCA280" s="154"/>
      <c r="DCB280" s="62"/>
      <c r="DCC280" s="1049"/>
      <c r="DCD280" s="1049"/>
      <c r="DCE280" s="1049"/>
      <c r="DCF280" s="1049"/>
      <c r="DCG280" s="1049"/>
      <c r="DCI280" s="154"/>
      <c r="DCJ280" s="154"/>
      <c r="DCK280" s="154"/>
      <c r="DCL280" s="154"/>
      <c r="DCM280" s="62"/>
      <c r="DCN280" s="154"/>
      <c r="DCO280" s="154"/>
      <c r="DCP280" s="154"/>
      <c r="DCQ280" s="154"/>
      <c r="DCR280" s="62"/>
      <c r="DCS280" s="1049"/>
      <c r="DCT280" s="1049"/>
      <c r="DCU280" s="1049"/>
      <c r="DCV280" s="1049"/>
      <c r="DCW280" s="1049"/>
      <c r="DCY280" s="154"/>
      <c r="DCZ280" s="154"/>
      <c r="DDA280" s="154"/>
      <c r="DDB280" s="154"/>
      <c r="DDC280" s="62"/>
      <c r="DDD280" s="154"/>
      <c r="DDE280" s="154"/>
      <c r="DDF280" s="154"/>
      <c r="DDG280" s="154"/>
      <c r="DDH280" s="62"/>
      <c r="DDI280" s="1049"/>
      <c r="DDJ280" s="1049"/>
      <c r="DDK280" s="1049"/>
      <c r="DDL280" s="1049"/>
      <c r="DDM280" s="1049"/>
      <c r="DDO280" s="154"/>
      <c r="DDP280" s="154"/>
      <c r="DDQ280" s="154"/>
      <c r="DDR280" s="154"/>
      <c r="DDS280" s="62"/>
      <c r="DDT280" s="154"/>
      <c r="DDU280" s="154"/>
      <c r="DDV280" s="154"/>
      <c r="DDW280" s="154"/>
      <c r="DDX280" s="62"/>
      <c r="DDY280" s="1049"/>
      <c r="DDZ280" s="1049"/>
      <c r="DEA280" s="1049"/>
      <c r="DEB280" s="1049"/>
      <c r="DEC280" s="1049"/>
      <c r="DEE280" s="154"/>
      <c r="DEF280" s="154"/>
      <c r="DEG280" s="154"/>
      <c r="DEH280" s="154"/>
      <c r="DEI280" s="62"/>
      <c r="DEJ280" s="154"/>
      <c r="DEK280" s="154"/>
      <c r="DEL280" s="154"/>
      <c r="DEM280" s="154"/>
      <c r="DEN280" s="62"/>
      <c r="DEO280" s="1049"/>
      <c r="DEP280" s="1049"/>
      <c r="DEQ280" s="1049"/>
      <c r="DER280" s="1049"/>
      <c r="DES280" s="1049"/>
      <c r="DEU280" s="154"/>
      <c r="DEV280" s="154"/>
      <c r="DEW280" s="154"/>
      <c r="DEX280" s="154"/>
      <c r="DEY280" s="62"/>
      <c r="DEZ280" s="154"/>
      <c r="DFA280" s="154"/>
      <c r="DFB280" s="154"/>
      <c r="DFC280" s="154"/>
      <c r="DFD280" s="62"/>
      <c r="DFE280" s="1049"/>
      <c r="DFF280" s="1049"/>
      <c r="DFG280" s="1049"/>
      <c r="DFH280" s="1049"/>
      <c r="DFI280" s="1049"/>
      <c r="DFK280" s="154"/>
      <c r="DFL280" s="154"/>
      <c r="DFM280" s="154"/>
      <c r="DFN280" s="154"/>
      <c r="DFO280" s="62"/>
      <c r="DFP280" s="154"/>
      <c r="DFQ280" s="154"/>
      <c r="DFR280" s="154"/>
      <c r="DFS280" s="154"/>
      <c r="DFT280" s="62"/>
      <c r="DFU280" s="1049"/>
      <c r="DFV280" s="1049"/>
      <c r="DFW280" s="1049"/>
      <c r="DFX280" s="1049"/>
      <c r="DFY280" s="1049"/>
      <c r="DGA280" s="154"/>
      <c r="DGB280" s="154"/>
      <c r="DGC280" s="154"/>
      <c r="DGD280" s="154"/>
      <c r="DGE280" s="62"/>
      <c r="DGF280" s="154"/>
      <c r="DGG280" s="154"/>
      <c r="DGH280" s="154"/>
      <c r="DGI280" s="154"/>
      <c r="DGJ280" s="62"/>
      <c r="DGK280" s="1049"/>
      <c r="DGL280" s="1049"/>
      <c r="DGM280" s="1049"/>
      <c r="DGN280" s="1049"/>
      <c r="DGO280" s="1049"/>
      <c r="DGQ280" s="154"/>
      <c r="DGR280" s="154"/>
      <c r="DGS280" s="154"/>
      <c r="DGT280" s="154"/>
      <c r="DGU280" s="62"/>
      <c r="DGV280" s="154"/>
      <c r="DGW280" s="154"/>
      <c r="DGX280" s="154"/>
      <c r="DGY280" s="154"/>
      <c r="DGZ280" s="62"/>
      <c r="DHA280" s="1049"/>
      <c r="DHB280" s="1049"/>
      <c r="DHC280" s="1049"/>
      <c r="DHD280" s="1049"/>
      <c r="DHE280" s="1049"/>
      <c r="DHG280" s="154"/>
      <c r="DHH280" s="154"/>
      <c r="DHI280" s="154"/>
      <c r="DHJ280" s="154"/>
      <c r="DHK280" s="62"/>
      <c r="DHL280" s="154"/>
      <c r="DHM280" s="154"/>
      <c r="DHN280" s="154"/>
      <c r="DHO280" s="154"/>
      <c r="DHP280" s="62"/>
      <c r="DHQ280" s="1049"/>
      <c r="DHR280" s="1049"/>
      <c r="DHS280" s="1049"/>
      <c r="DHT280" s="1049"/>
      <c r="DHU280" s="1049"/>
      <c r="DHW280" s="154"/>
      <c r="DHX280" s="154"/>
      <c r="DHY280" s="154"/>
      <c r="DHZ280" s="154"/>
      <c r="DIA280" s="62"/>
      <c r="DIB280" s="154"/>
      <c r="DIC280" s="154"/>
      <c r="DID280" s="154"/>
      <c r="DIE280" s="154"/>
      <c r="DIF280" s="62"/>
      <c r="DIG280" s="1049"/>
      <c r="DIH280" s="1049"/>
      <c r="DII280" s="1049"/>
      <c r="DIJ280" s="1049"/>
      <c r="DIK280" s="1049"/>
      <c r="DIM280" s="154"/>
      <c r="DIN280" s="154"/>
      <c r="DIO280" s="154"/>
      <c r="DIP280" s="154"/>
      <c r="DIQ280" s="62"/>
      <c r="DIR280" s="154"/>
      <c r="DIS280" s="154"/>
      <c r="DIT280" s="154"/>
      <c r="DIU280" s="154"/>
      <c r="DIV280" s="62"/>
      <c r="DIW280" s="1049"/>
      <c r="DIX280" s="1049"/>
      <c r="DIY280" s="1049"/>
      <c r="DIZ280" s="1049"/>
      <c r="DJA280" s="1049"/>
      <c r="DJC280" s="154"/>
      <c r="DJD280" s="154"/>
      <c r="DJE280" s="154"/>
      <c r="DJF280" s="154"/>
      <c r="DJG280" s="62"/>
      <c r="DJH280" s="154"/>
      <c r="DJI280" s="154"/>
      <c r="DJJ280" s="154"/>
      <c r="DJK280" s="154"/>
      <c r="DJL280" s="62"/>
      <c r="DJM280" s="1049"/>
      <c r="DJN280" s="1049"/>
      <c r="DJO280" s="1049"/>
      <c r="DJP280" s="1049"/>
      <c r="DJQ280" s="1049"/>
      <c r="DJS280" s="154"/>
      <c r="DJT280" s="154"/>
      <c r="DJU280" s="154"/>
      <c r="DJV280" s="154"/>
      <c r="DJW280" s="62"/>
      <c r="DJX280" s="154"/>
      <c r="DJY280" s="154"/>
      <c r="DJZ280" s="154"/>
      <c r="DKA280" s="154"/>
      <c r="DKB280" s="62"/>
      <c r="DKC280" s="1049"/>
      <c r="DKD280" s="1049"/>
      <c r="DKE280" s="1049"/>
      <c r="DKF280" s="1049"/>
      <c r="DKG280" s="1049"/>
      <c r="DKI280" s="154"/>
      <c r="DKJ280" s="154"/>
      <c r="DKK280" s="154"/>
      <c r="DKL280" s="154"/>
      <c r="DKM280" s="62"/>
      <c r="DKN280" s="154"/>
      <c r="DKO280" s="154"/>
      <c r="DKP280" s="154"/>
      <c r="DKQ280" s="154"/>
      <c r="DKR280" s="62"/>
      <c r="DKS280" s="1049"/>
      <c r="DKT280" s="1049"/>
      <c r="DKU280" s="1049"/>
      <c r="DKV280" s="1049"/>
      <c r="DKW280" s="1049"/>
      <c r="DKY280" s="154"/>
      <c r="DKZ280" s="154"/>
      <c r="DLA280" s="154"/>
      <c r="DLB280" s="154"/>
      <c r="DLC280" s="62"/>
      <c r="DLD280" s="154"/>
      <c r="DLE280" s="154"/>
      <c r="DLF280" s="154"/>
      <c r="DLG280" s="154"/>
      <c r="DLH280" s="62"/>
      <c r="DLI280" s="1049"/>
      <c r="DLJ280" s="1049"/>
      <c r="DLK280" s="1049"/>
      <c r="DLL280" s="1049"/>
      <c r="DLM280" s="1049"/>
      <c r="DLO280" s="154"/>
      <c r="DLP280" s="154"/>
      <c r="DLQ280" s="154"/>
      <c r="DLR280" s="154"/>
      <c r="DLS280" s="62"/>
      <c r="DLT280" s="154"/>
      <c r="DLU280" s="154"/>
      <c r="DLV280" s="154"/>
      <c r="DLW280" s="154"/>
      <c r="DLX280" s="62"/>
      <c r="DLY280" s="1049"/>
      <c r="DLZ280" s="1049"/>
      <c r="DMA280" s="1049"/>
      <c r="DMB280" s="1049"/>
      <c r="DMC280" s="1049"/>
      <c r="DME280" s="154"/>
      <c r="DMF280" s="154"/>
      <c r="DMG280" s="154"/>
      <c r="DMH280" s="154"/>
      <c r="DMI280" s="62"/>
      <c r="DMJ280" s="154"/>
      <c r="DMK280" s="154"/>
      <c r="DML280" s="154"/>
      <c r="DMM280" s="154"/>
      <c r="DMN280" s="62"/>
      <c r="DMO280" s="1049"/>
      <c r="DMP280" s="1049"/>
      <c r="DMQ280" s="1049"/>
      <c r="DMR280" s="1049"/>
      <c r="DMS280" s="1049"/>
      <c r="DMU280" s="154"/>
      <c r="DMV280" s="154"/>
      <c r="DMW280" s="154"/>
      <c r="DMX280" s="154"/>
      <c r="DMY280" s="62"/>
      <c r="DMZ280" s="154"/>
      <c r="DNA280" s="154"/>
      <c r="DNB280" s="154"/>
      <c r="DNC280" s="154"/>
      <c r="DND280" s="62"/>
      <c r="DNE280" s="1049"/>
      <c r="DNF280" s="1049"/>
      <c r="DNG280" s="1049"/>
      <c r="DNH280" s="1049"/>
      <c r="DNI280" s="1049"/>
      <c r="DNK280" s="154"/>
      <c r="DNL280" s="154"/>
      <c r="DNM280" s="154"/>
      <c r="DNN280" s="154"/>
      <c r="DNO280" s="62"/>
      <c r="DNP280" s="154"/>
      <c r="DNQ280" s="154"/>
      <c r="DNR280" s="154"/>
      <c r="DNS280" s="154"/>
      <c r="DNT280" s="62"/>
      <c r="DNU280" s="1049"/>
      <c r="DNV280" s="1049"/>
      <c r="DNW280" s="1049"/>
      <c r="DNX280" s="1049"/>
      <c r="DNY280" s="1049"/>
      <c r="DOA280" s="154"/>
      <c r="DOB280" s="154"/>
      <c r="DOC280" s="154"/>
      <c r="DOD280" s="154"/>
      <c r="DOE280" s="62"/>
      <c r="DOF280" s="154"/>
      <c r="DOG280" s="154"/>
      <c r="DOH280" s="154"/>
      <c r="DOI280" s="154"/>
      <c r="DOJ280" s="62"/>
      <c r="DOK280" s="1049"/>
      <c r="DOL280" s="1049"/>
      <c r="DOM280" s="1049"/>
      <c r="DON280" s="1049"/>
      <c r="DOO280" s="1049"/>
      <c r="DOQ280" s="154"/>
      <c r="DOR280" s="154"/>
      <c r="DOS280" s="154"/>
      <c r="DOT280" s="154"/>
      <c r="DOU280" s="62"/>
      <c r="DOV280" s="154"/>
      <c r="DOW280" s="154"/>
      <c r="DOX280" s="154"/>
      <c r="DOY280" s="154"/>
      <c r="DOZ280" s="62"/>
      <c r="DPA280" s="1049"/>
      <c r="DPB280" s="1049"/>
      <c r="DPC280" s="1049"/>
      <c r="DPD280" s="1049"/>
      <c r="DPE280" s="1049"/>
      <c r="DPG280" s="154"/>
      <c r="DPH280" s="154"/>
      <c r="DPI280" s="154"/>
      <c r="DPJ280" s="154"/>
      <c r="DPK280" s="62"/>
      <c r="DPL280" s="154"/>
      <c r="DPM280" s="154"/>
      <c r="DPN280" s="154"/>
      <c r="DPO280" s="154"/>
      <c r="DPP280" s="62"/>
      <c r="DPQ280" s="1049"/>
      <c r="DPR280" s="1049"/>
      <c r="DPS280" s="1049"/>
      <c r="DPT280" s="1049"/>
      <c r="DPU280" s="1049"/>
      <c r="DPW280" s="154"/>
      <c r="DPX280" s="154"/>
      <c r="DPY280" s="154"/>
      <c r="DPZ280" s="154"/>
      <c r="DQA280" s="62"/>
      <c r="DQB280" s="154"/>
      <c r="DQC280" s="154"/>
      <c r="DQD280" s="154"/>
      <c r="DQE280" s="154"/>
      <c r="DQF280" s="62"/>
      <c r="DQG280" s="1049"/>
      <c r="DQH280" s="1049"/>
      <c r="DQI280" s="1049"/>
      <c r="DQJ280" s="1049"/>
      <c r="DQK280" s="1049"/>
      <c r="DQM280" s="154"/>
      <c r="DQN280" s="154"/>
      <c r="DQO280" s="154"/>
      <c r="DQP280" s="154"/>
      <c r="DQQ280" s="62"/>
      <c r="DQR280" s="154"/>
      <c r="DQS280" s="154"/>
      <c r="DQT280" s="154"/>
      <c r="DQU280" s="154"/>
      <c r="DQV280" s="62"/>
      <c r="DQW280" s="1049"/>
      <c r="DQX280" s="1049"/>
      <c r="DQY280" s="1049"/>
      <c r="DQZ280" s="1049"/>
      <c r="DRA280" s="1049"/>
      <c r="DRC280" s="154"/>
      <c r="DRD280" s="154"/>
      <c r="DRE280" s="154"/>
      <c r="DRF280" s="154"/>
      <c r="DRG280" s="62"/>
      <c r="DRH280" s="154"/>
      <c r="DRI280" s="154"/>
      <c r="DRJ280" s="154"/>
      <c r="DRK280" s="154"/>
      <c r="DRL280" s="62"/>
      <c r="DRM280" s="1049"/>
      <c r="DRN280" s="1049"/>
      <c r="DRO280" s="1049"/>
      <c r="DRP280" s="1049"/>
      <c r="DRQ280" s="1049"/>
      <c r="DRS280" s="154"/>
      <c r="DRT280" s="154"/>
      <c r="DRU280" s="154"/>
      <c r="DRV280" s="154"/>
      <c r="DRW280" s="62"/>
      <c r="DRX280" s="154"/>
      <c r="DRY280" s="154"/>
      <c r="DRZ280" s="154"/>
      <c r="DSA280" s="154"/>
      <c r="DSB280" s="62"/>
      <c r="DSC280" s="1049"/>
      <c r="DSD280" s="1049"/>
      <c r="DSE280" s="1049"/>
      <c r="DSF280" s="1049"/>
      <c r="DSG280" s="1049"/>
      <c r="DSI280" s="154"/>
      <c r="DSJ280" s="154"/>
      <c r="DSK280" s="154"/>
      <c r="DSL280" s="154"/>
      <c r="DSM280" s="62"/>
      <c r="DSN280" s="154"/>
      <c r="DSO280" s="154"/>
      <c r="DSP280" s="154"/>
      <c r="DSQ280" s="154"/>
      <c r="DSR280" s="62"/>
      <c r="DSS280" s="1049"/>
      <c r="DST280" s="1049"/>
      <c r="DSU280" s="1049"/>
      <c r="DSV280" s="1049"/>
      <c r="DSW280" s="1049"/>
      <c r="DSY280" s="154"/>
      <c r="DSZ280" s="154"/>
      <c r="DTA280" s="154"/>
      <c r="DTB280" s="154"/>
      <c r="DTC280" s="62"/>
      <c r="DTD280" s="154"/>
      <c r="DTE280" s="154"/>
      <c r="DTF280" s="154"/>
      <c r="DTG280" s="154"/>
      <c r="DTH280" s="62"/>
      <c r="DTI280" s="1049"/>
      <c r="DTJ280" s="1049"/>
      <c r="DTK280" s="1049"/>
      <c r="DTL280" s="1049"/>
      <c r="DTM280" s="1049"/>
      <c r="DTO280" s="154"/>
      <c r="DTP280" s="154"/>
      <c r="DTQ280" s="154"/>
      <c r="DTR280" s="154"/>
      <c r="DTS280" s="62"/>
      <c r="DTT280" s="154"/>
      <c r="DTU280" s="154"/>
      <c r="DTV280" s="154"/>
      <c r="DTW280" s="154"/>
      <c r="DTX280" s="62"/>
      <c r="DTY280" s="1049"/>
      <c r="DTZ280" s="1049"/>
      <c r="DUA280" s="1049"/>
      <c r="DUB280" s="1049"/>
      <c r="DUC280" s="1049"/>
      <c r="DUE280" s="154"/>
      <c r="DUF280" s="154"/>
      <c r="DUG280" s="154"/>
      <c r="DUH280" s="154"/>
      <c r="DUI280" s="62"/>
      <c r="DUJ280" s="154"/>
      <c r="DUK280" s="154"/>
      <c r="DUL280" s="154"/>
      <c r="DUM280" s="154"/>
      <c r="DUN280" s="62"/>
    </row>
    <row r="281" spans="1:3264" ht="16.5" thickBot="1" x14ac:dyDescent="0.25">
      <c r="A281" s="82"/>
      <c r="B281" s="999" t="s">
        <v>110</v>
      </c>
      <c r="C281" s="999"/>
      <c r="D281" s="999"/>
      <c r="E281" s="999"/>
      <c r="F281" s="17">
        <f>15%*F280</f>
        <v>297887.67</v>
      </c>
      <c r="G281" s="83"/>
      <c r="H281" s="83"/>
      <c r="I281" s="83"/>
      <c r="J281" s="83"/>
      <c r="K281" s="83"/>
      <c r="L281" s="17"/>
      <c r="M281" s="295"/>
      <c r="N281" s="1000" t="s">
        <v>53</v>
      </c>
      <c r="O281" s="1000"/>
      <c r="P281" s="18">
        <f>(F281+F280)/P271</f>
        <v>23914.19</v>
      </c>
    </row>
    <row r="282" spans="1:3264" ht="15.75" x14ac:dyDescent="0.2">
      <c r="A282" s="301"/>
      <c r="B282" s="301"/>
      <c r="C282" s="301"/>
      <c r="D282" s="301"/>
      <c r="E282" s="301"/>
      <c r="F282" s="51"/>
      <c r="G282" s="301"/>
      <c r="H282" s="301"/>
      <c r="I282" s="301"/>
      <c r="J282" s="301"/>
      <c r="K282" s="301"/>
      <c r="L282" s="51"/>
      <c r="M282" s="303"/>
      <c r="N282" s="303"/>
      <c r="O282" s="303"/>
      <c r="P282" s="52"/>
    </row>
    <row r="283" spans="1:3264" ht="15.75" x14ac:dyDescent="0.2">
      <c r="A283" s="1009" t="s">
        <v>505</v>
      </c>
      <c r="B283" s="1009"/>
      <c r="C283" s="1009"/>
      <c r="D283" s="1009"/>
      <c r="E283" s="1009"/>
      <c r="F283" s="1009"/>
      <c r="G283" s="1009"/>
      <c r="H283" s="1009"/>
      <c r="I283" s="1009"/>
      <c r="J283" s="1009"/>
      <c r="K283" s="1009"/>
      <c r="L283" s="1009"/>
      <c r="M283" s="1009"/>
      <c r="N283" s="1009"/>
      <c r="O283" s="1009"/>
      <c r="P283" s="1009"/>
    </row>
    <row r="284" spans="1:3264" ht="15.75" x14ac:dyDescent="0.2">
      <c r="A284" s="1009" t="s">
        <v>506</v>
      </c>
      <c r="B284" s="1009"/>
      <c r="C284" s="1009"/>
      <c r="D284" s="1009"/>
      <c r="E284" s="1009"/>
      <c r="F284" s="1009"/>
      <c r="G284" s="1009"/>
      <c r="H284" s="1009"/>
      <c r="I284" s="1009"/>
      <c r="J284" s="1009"/>
      <c r="K284" s="1009"/>
      <c r="L284" s="1009"/>
      <c r="M284" s="1009"/>
      <c r="N284" s="1009"/>
      <c r="O284" s="1009"/>
      <c r="P284" s="1009"/>
    </row>
    <row r="285" spans="1:3264" ht="16.5" thickBot="1" x14ac:dyDescent="0.25">
      <c r="A285" s="271" t="s">
        <v>507</v>
      </c>
      <c r="B285" s="47"/>
      <c r="C285" s="47"/>
      <c r="D285" s="47"/>
      <c r="E285" s="47"/>
      <c r="F285" s="47"/>
      <c r="G285" s="47"/>
      <c r="H285" s="47"/>
      <c r="I285" s="47"/>
      <c r="J285" s="47"/>
      <c r="K285" s="47"/>
      <c r="L285" s="47"/>
      <c r="M285" s="47"/>
      <c r="N285" s="47"/>
      <c r="O285" s="47"/>
      <c r="P285" s="47"/>
    </row>
    <row r="286" spans="1:3264" ht="15.6" customHeight="1" x14ac:dyDescent="0.2">
      <c r="A286" s="310" t="s">
        <v>29</v>
      </c>
      <c r="B286" s="310"/>
      <c r="C286" s="988" t="s">
        <v>564</v>
      </c>
      <c r="D286" s="988"/>
      <c r="E286" s="988"/>
      <c r="F286" s="988"/>
      <c r="G286" s="988"/>
      <c r="H286" s="988"/>
      <c r="I286" s="988"/>
      <c r="J286" s="988"/>
      <c r="K286" s="988"/>
      <c r="L286" s="988"/>
      <c r="M286" s="988"/>
      <c r="N286" s="988"/>
      <c r="O286" s="988"/>
      <c r="P286" s="274" t="s">
        <v>432</v>
      </c>
    </row>
    <row r="287" spans="1:3264" ht="15.75" x14ac:dyDescent="0.2">
      <c r="A287" s="1011" t="s">
        <v>508</v>
      </c>
      <c r="B287" s="1012"/>
      <c r="C287" s="1024"/>
      <c r="D287" s="1024"/>
      <c r="E287" s="1024"/>
      <c r="F287" s="1024"/>
      <c r="G287" s="1024"/>
      <c r="H287" s="1024"/>
      <c r="I287" s="1024"/>
      <c r="J287" s="1024"/>
      <c r="K287" s="1024"/>
      <c r="L287" s="1024"/>
      <c r="M287" s="1024"/>
      <c r="N287" s="1024"/>
      <c r="O287" s="1024"/>
      <c r="P287" s="275">
        <v>10</v>
      </c>
    </row>
    <row r="288" spans="1:3264" ht="15.75" x14ac:dyDescent="0.2">
      <c r="A288" s="1001" t="s">
        <v>30</v>
      </c>
      <c r="B288" s="1003" t="s">
        <v>31</v>
      </c>
      <c r="C288" s="1003"/>
      <c r="D288" s="1003"/>
      <c r="E288" s="1003"/>
      <c r="F288" s="1003"/>
      <c r="G288" s="1003" t="s">
        <v>32</v>
      </c>
      <c r="H288" s="1003"/>
      <c r="I288" s="1003"/>
      <c r="J288" s="1003"/>
      <c r="K288" s="1003"/>
      <c r="L288" s="1003" t="s">
        <v>33</v>
      </c>
      <c r="M288" s="1003"/>
      <c r="N288" s="1003"/>
      <c r="O288" s="1003"/>
      <c r="P288" s="1004"/>
    </row>
    <row r="289" spans="1:16" ht="15.75" x14ac:dyDescent="0.2">
      <c r="A289" s="1002"/>
      <c r="B289" s="79" t="s">
        <v>8</v>
      </c>
      <c r="C289" s="79" t="s">
        <v>7</v>
      </c>
      <c r="D289" s="79" t="s">
        <v>9</v>
      </c>
      <c r="E289" s="79" t="s">
        <v>19</v>
      </c>
      <c r="F289" s="79" t="s">
        <v>20</v>
      </c>
      <c r="G289" s="79" t="s">
        <v>8</v>
      </c>
      <c r="H289" s="79" t="s">
        <v>7</v>
      </c>
      <c r="I289" s="79" t="s">
        <v>9</v>
      </c>
      <c r="J289" s="79" t="s">
        <v>19</v>
      </c>
      <c r="K289" s="79" t="s">
        <v>20</v>
      </c>
      <c r="L289" s="79" t="s">
        <v>8</v>
      </c>
      <c r="M289" s="79" t="s">
        <v>7</v>
      </c>
      <c r="N289" s="79" t="s">
        <v>9</v>
      </c>
      <c r="O289" s="79" t="s">
        <v>19</v>
      </c>
      <c r="P289" s="24" t="s">
        <v>20</v>
      </c>
    </row>
    <row r="290" spans="1:16" ht="15.75" x14ac:dyDescent="0.2">
      <c r="A290" s="72">
        <v>15.4</v>
      </c>
      <c r="B290" s="75" t="s">
        <v>16</v>
      </c>
      <c r="C290" s="74" t="s">
        <v>11</v>
      </c>
      <c r="D290" s="74">
        <v>3</v>
      </c>
      <c r="E290" s="74">
        <f>skilled</f>
        <v>1100</v>
      </c>
      <c r="F290" s="74">
        <f>D290*E290</f>
        <v>3300</v>
      </c>
      <c r="G290" s="75" t="s">
        <v>108</v>
      </c>
      <c r="H290" s="74" t="s">
        <v>12</v>
      </c>
      <c r="I290" s="74">
        <v>6</v>
      </c>
      <c r="J290" s="74">
        <f>enamel</f>
        <v>572.12</v>
      </c>
      <c r="K290" s="74">
        <f>I290*J290</f>
        <v>3432.72</v>
      </c>
      <c r="L290" s="151"/>
      <c r="M290" s="74"/>
      <c r="N290" s="74"/>
      <c r="O290" s="74"/>
      <c r="P290" s="21"/>
    </row>
    <row r="291" spans="1:16" ht="15.75" x14ac:dyDescent="0.2">
      <c r="A291" s="313"/>
      <c r="B291" s="75" t="s">
        <v>28</v>
      </c>
      <c r="C291" s="74" t="s">
        <v>11</v>
      </c>
      <c r="D291" s="74">
        <v>2</v>
      </c>
      <c r="E291" s="74">
        <f>unskilled</f>
        <v>780</v>
      </c>
      <c r="F291" s="74">
        <f>D291*E291</f>
        <v>1560</v>
      </c>
      <c r="G291" s="75"/>
      <c r="H291" s="74"/>
      <c r="I291" s="74"/>
      <c r="J291" s="74"/>
      <c r="K291" s="74"/>
      <c r="L291" s="75"/>
      <c r="M291" s="74"/>
      <c r="N291" s="74"/>
      <c r="O291" s="74"/>
      <c r="P291" s="21"/>
    </row>
    <row r="292" spans="1:16" ht="15.75" x14ac:dyDescent="0.2">
      <c r="A292" s="1005" t="s">
        <v>34</v>
      </c>
      <c r="B292" s="1006"/>
      <c r="C292" s="1006"/>
      <c r="D292" s="1006"/>
      <c r="E292" s="1006"/>
      <c r="F292" s="73">
        <f>SUM(F290:F291)</f>
        <v>4860</v>
      </c>
      <c r="G292" s="1006" t="s">
        <v>35</v>
      </c>
      <c r="H292" s="1006"/>
      <c r="I292" s="1006"/>
      <c r="J292" s="1006"/>
      <c r="K292" s="73">
        <f>SUM(K290)</f>
        <v>3432.72</v>
      </c>
      <c r="L292" s="1006" t="s">
        <v>36</v>
      </c>
      <c r="M292" s="1006"/>
      <c r="N292" s="1006"/>
      <c r="O292" s="1006"/>
      <c r="P292" s="61">
        <f>P290+P291</f>
        <v>0</v>
      </c>
    </row>
    <row r="293" spans="1:16" ht="12.75" customHeight="1" x14ac:dyDescent="0.2">
      <c r="A293" s="1005" t="s">
        <v>487</v>
      </c>
      <c r="B293" s="1006"/>
      <c r="C293" s="1006"/>
      <c r="D293" s="1006"/>
      <c r="E293" s="1006"/>
      <c r="F293" s="74">
        <f>F292+K292+P292</f>
        <v>8292.7199999999993</v>
      </c>
      <c r="G293" s="150"/>
      <c r="H293" s="150"/>
      <c r="I293" s="150"/>
      <c r="J293" s="150"/>
      <c r="K293" s="73"/>
      <c r="L293" s="150"/>
      <c r="M293" s="150"/>
      <c r="N293" s="150"/>
      <c r="O293" s="150"/>
      <c r="P293" s="61"/>
    </row>
    <row r="294" spans="1:16" ht="16.5" thickBot="1" x14ac:dyDescent="0.25">
      <c r="A294" s="82"/>
      <c r="B294" s="999" t="s">
        <v>110</v>
      </c>
      <c r="C294" s="999"/>
      <c r="D294" s="999"/>
      <c r="E294" s="999"/>
      <c r="F294" s="17">
        <f>15%*F293</f>
        <v>1243.9100000000001</v>
      </c>
      <c r="G294" s="83"/>
      <c r="H294" s="83"/>
      <c r="I294" s="83"/>
      <c r="J294" s="83"/>
      <c r="K294" s="83"/>
      <c r="L294" s="17"/>
      <c r="M294" s="295"/>
      <c r="N294" s="1000" t="s">
        <v>53</v>
      </c>
      <c r="O294" s="1000"/>
      <c r="P294" s="18">
        <f>(F294+F293)/P287</f>
        <v>953.66</v>
      </c>
    </row>
    <row r="295" spans="1:16" ht="15.75" hidden="1" x14ac:dyDescent="0.2">
      <c r="A295" s="301"/>
      <c r="B295" s="301"/>
      <c r="C295" s="301"/>
      <c r="D295" s="301"/>
      <c r="E295" s="301"/>
      <c r="F295" s="51"/>
      <c r="G295" s="301"/>
      <c r="H295" s="301"/>
      <c r="I295" s="301"/>
      <c r="J295" s="301"/>
      <c r="K295" s="301"/>
      <c r="L295" s="51"/>
      <c r="M295" s="303"/>
      <c r="N295" s="303"/>
      <c r="O295" s="303"/>
      <c r="P295" s="52"/>
    </row>
    <row r="296" spans="1:16" ht="13.5" hidden="1" customHeight="1" thickBot="1" x14ac:dyDescent="0.25">
      <c r="A296" s="280" t="s">
        <v>509</v>
      </c>
      <c r="B296" s="280"/>
      <c r="C296" s="280"/>
      <c r="D296" s="280"/>
      <c r="E296" s="301"/>
      <c r="F296" s="51"/>
      <c r="G296" s="301"/>
      <c r="H296" s="301"/>
      <c r="I296" s="301"/>
      <c r="J296" s="301"/>
      <c r="K296" s="301"/>
      <c r="L296" s="51"/>
      <c r="M296" s="303"/>
      <c r="N296" s="303"/>
      <c r="O296" s="303"/>
      <c r="P296" s="52"/>
    </row>
    <row r="297" spans="1:16" ht="15.75" hidden="1" x14ac:dyDescent="0.2">
      <c r="A297" s="310" t="s">
        <v>29</v>
      </c>
      <c r="B297" s="310"/>
      <c r="C297" s="988" t="s">
        <v>515</v>
      </c>
      <c r="D297" s="988"/>
      <c r="E297" s="988"/>
      <c r="F297" s="988"/>
      <c r="G297" s="988"/>
      <c r="H297" s="988"/>
      <c r="I297" s="988"/>
      <c r="J297" s="988"/>
      <c r="K297" s="988"/>
      <c r="L297" s="988"/>
      <c r="M297" s="988"/>
      <c r="N297" s="988"/>
      <c r="O297" s="988"/>
      <c r="P297" s="274" t="s">
        <v>510</v>
      </c>
    </row>
    <row r="298" spans="1:16" ht="31.15" hidden="1" customHeight="1" x14ac:dyDescent="0.2">
      <c r="A298" s="1011" t="s">
        <v>511</v>
      </c>
      <c r="B298" s="1012"/>
      <c r="C298" s="1024"/>
      <c r="D298" s="1024"/>
      <c r="E298" s="1024"/>
      <c r="F298" s="1024"/>
      <c r="G298" s="1024"/>
      <c r="H298" s="1024"/>
      <c r="I298" s="1024"/>
      <c r="J298" s="1024"/>
      <c r="K298" s="1024"/>
      <c r="L298" s="1024"/>
      <c r="M298" s="1024"/>
      <c r="N298" s="1024"/>
      <c r="O298" s="1024"/>
      <c r="P298" s="275">
        <v>30</v>
      </c>
    </row>
    <row r="299" spans="1:16" ht="15.75" hidden="1" x14ac:dyDescent="0.2">
      <c r="A299" s="1001" t="s">
        <v>30</v>
      </c>
      <c r="B299" s="1003" t="s">
        <v>31</v>
      </c>
      <c r="C299" s="1003"/>
      <c r="D299" s="1003"/>
      <c r="E299" s="1003"/>
      <c r="F299" s="1003"/>
      <c r="G299" s="1003" t="s">
        <v>32</v>
      </c>
      <c r="H299" s="1003"/>
      <c r="I299" s="1003"/>
      <c r="J299" s="1003"/>
      <c r="K299" s="1003"/>
      <c r="L299" s="1003" t="s">
        <v>33</v>
      </c>
      <c r="M299" s="1003"/>
      <c r="N299" s="1003"/>
      <c r="O299" s="1003"/>
      <c r="P299" s="1004"/>
    </row>
    <row r="300" spans="1:16" ht="15.75" hidden="1" x14ac:dyDescent="0.2">
      <c r="A300" s="1002"/>
      <c r="B300" s="79" t="s">
        <v>8</v>
      </c>
      <c r="C300" s="79" t="s">
        <v>7</v>
      </c>
      <c r="D300" s="79" t="s">
        <v>9</v>
      </c>
      <c r="E300" s="79" t="s">
        <v>19</v>
      </c>
      <c r="F300" s="79" t="s">
        <v>20</v>
      </c>
      <c r="G300" s="79" t="s">
        <v>8</v>
      </c>
      <c r="H300" s="79" t="s">
        <v>7</v>
      </c>
      <c r="I300" s="79" t="s">
        <v>9</v>
      </c>
      <c r="J300" s="79" t="s">
        <v>19</v>
      </c>
      <c r="K300" s="79" t="s">
        <v>20</v>
      </c>
      <c r="L300" s="79" t="s">
        <v>8</v>
      </c>
      <c r="M300" s="79" t="s">
        <v>7</v>
      </c>
      <c r="N300" s="79" t="s">
        <v>9</v>
      </c>
      <c r="O300" s="79" t="s">
        <v>19</v>
      </c>
      <c r="P300" s="24" t="s">
        <v>20</v>
      </c>
    </row>
    <row r="301" spans="1:16" ht="15.75" hidden="1" x14ac:dyDescent="0.2">
      <c r="A301" s="72">
        <v>15.12</v>
      </c>
      <c r="B301" s="75" t="s">
        <v>16</v>
      </c>
      <c r="C301" s="74" t="s">
        <v>11</v>
      </c>
      <c r="D301" s="74">
        <v>1</v>
      </c>
      <c r="E301" s="74">
        <f>skilled</f>
        <v>1100</v>
      </c>
      <c r="F301" s="74">
        <f>D301*E301</f>
        <v>1100</v>
      </c>
      <c r="G301" s="75" t="s">
        <v>512</v>
      </c>
      <c r="H301" s="74" t="s">
        <v>250</v>
      </c>
      <c r="I301" s="74">
        <v>1.01</v>
      </c>
      <c r="J301" s="74">
        <f>concrete_m15_foundation</f>
        <v>10232.049999999999</v>
      </c>
      <c r="K301" s="74">
        <f>I301*J301</f>
        <v>10334.370000000001</v>
      </c>
      <c r="L301" s="151" t="s">
        <v>418</v>
      </c>
      <c r="M301" s="74" t="s">
        <v>13</v>
      </c>
      <c r="N301" s="74">
        <v>3</v>
      </c>
      <c r="O301" s="74">
        <f>tractortrolley</f>
        <v>1039</v>
      </c>
      <c r="P301" s="21">
        <f>N301*O301</f>
        <v>3117</v>
      </c>
    </row>
    <row r="302" spans="1:16" ht="15.75" hidden="1" x14ac:dyDescent="0.2">
      <c r="A302" s="72"/>
      <c r="B302" s="75" t="s">
        <v>28</v>
      </c>
      <c r="C302" s="74" t="s">
        <v>11</v>
      </c>
      <c r="D302" s="74">
        <v>7</v>
      </c>
      <c r="E302" s="74">
        <f>unskilled</f>
        <v>780</v>
      </c>
      <c r="F302" s="74">
        <f>D302*E302</f>
        <v>5460</v>
      </c>
      <c r="G302" s="75" t="s">
        <v>427</v>
      </c>
      <c r="H302" s="74" t="s">
        <v>50</v>
      </c>
      <c r="I302" s="74">
        <v>112.8</v>
      </c>
      <c r="J302" s="74">
        <f>reinforcement/1000</f>
        <v>101.5</v>
      </c>
      <c r="K302" s="74">
        <f>I302*J302</f>
        <v>11449.2</v>
      </c>
      <c r="L302" s="75"/>
      <c r="M302" s="74"/>
      <c r="N302" s="74"/>
      <c r="O302" s="74"/>
      <c r="P302" s="21"/>
    </row>
    <row r="303" spans="1:16" ht="31.5" hidden="1" x14ac:dyDescent="0.2">
      <c r="A303" s="72"/>
      <c r="B303" s="75"/>
      <c r="C303" s="74"/>
      <c r="D303" s="74"/>
      <c r="E303" s="74"/>
      <c r="F303" s="74"/>
      <c r="G303" s="151" t="s">
        <v>513</v>
      </c>
      <c r="H303" s="74" t="s">
        <v>250</v>
      </c>
      <c r="I303" s="74">
        <v>0.47</v>
      </c>
      <c r="J303" s="74">
        <f>foundationexc_soil</f>
        <v>138.84</v>
      </c>
      <c r="K303" s="74">
        <f>I303*J303</f>
        <v>65.25</v>
      </c>
      <c r="L303" s="75"/>
      <c r="M303" s="74"/>
      <c r="N303" s="74"/>
      <c r="O303" s="74"/>
      <c r="P303" s="21"/>
    </row>
    <row r="304" spans="1:16" ht="31.5" hidden="1" x14ac:dyDescent="0.2">
      <c r="A304" s="72"/>
      <c r="B304" s="75"/>
      <c r="C304" s="74"/>
      <c r="D304" s="74"/>
      <c r="E304" s="74"/>
      <c r="F304" s="74"/>
      <c r="G304" s="151" t="s">
        <v>514</v>
      </c>
      <c r="H304" s="74" t="s">
        <v>249</v>
      </c>
      <c r="I304" s="74">
        <v>14.4</v>
      </c>
      <c r="J304" s="74">
        <f>painting_concrete</f>
        <v>953.66</v>
      </c>
      <c r="K304" s="74">
        <f>I304*J304</f>
        <v>13732.7</v>
      </c>
      <c r="L304" s="75"/>
      <c r="M304" s="74"/>
      <c r="N304" s="74"/>
      <c r="O304" s="74"/>
      <c r="P304" s="21"/>
    </row>
    <row r="305" spans="1:16" ht="15.75" hidden="1" x14ac:dyDescent="0.2">
      <c r="A305" s="1005" t="s">
        <v>34</v>
      </c>
      <c r="B305" s="1006"/>
      <c r="C305" s="1006"/>
      <c r="D305" s="1006"/>
      <c r="E305" s="1006"/>
      <c r="F305" s="73">
        <f>SUM(F301:F302)</f>
        <v>6560</v>
      </c>
      <c r="G305" s="1006" t="s">
        <v>35</v>
      </c>
      <c r="H305" s="1006"/>
      <c r="I305" s="1006"/>
      <c r="J305" s="1006"/>
      <c r="K305" s="73">
        <f>SUM(K301:K304)</f>
        <v>35581.519999999997</v>
      </c>
      <c r="L305" s="1006" t="s">
        <v>36</v>
      </c>
      <c r="M305" s="1006"/>
      <c r="N305" s="1006"/>
      <c r="O305" s="1006"/>
      <c r="P305" s="61">
        <f>SUM(P301)</f>
        <v>3117</v>
      </c>
    </row>
    <row r="306" spans="1:16" ht="12.6" hidden="1" customHeight="1" x14ac:dyDescent="0.2">
      <c r="A306" s="1005" t="s">
        <v>487</v>
      </c>
      <c r="B306" s="1006"/>
      <c r="C306" s="1006"/>
      <c r="D306" s="1006"/>
      <c r="E306" s="1006"/>
      <c r="F306" s="73">
        <f>F305+K305+P305</f>
        <v>45258.52</v>
      </c>
      <c r="G306" s="150"/>
      <c r="H306" s="150"/>
      <c r="I306" s="150"/>
      <c r="J306" s="150"/>
      <c r="K306" s="73"/>
      <c r="L306" s="150"/>
      <c r="M306" s="150"/>
      <c r="N306" s="150"/>
      <c r="O306" s="150"/>
      <c r="P306" s="61"/>
    </row>
    <row r="307" spans="1:16" ht="16.5" hidden="1" thickBot="1" x14ac:dyDescent="0.25">
      <c r="A307" s="82"/>
      <c r="B307" s="999" t="s">
        <v>110</v>
      </c>
      <c r="C307" s="999"/>
      <c r="D307" s="999"/>
      <c r="E307" s="999"/>
      <c r="F307" s="17">
        <f>15%*F306</f>
        <v>6788.78</v>
      </c>
      <c r="G307" s="83"/>
      <c r="H307" s="83"/>
      <c r="I307" s="83"/>
      <c r="J307" s="83"/>
      <c r="K307" s="83"/>
      <c r="L307" s="17"/>
      <c r="M307" s="295"/>
      <c r="N307" s="1000" t="s">
        <v>53</v>
      </c>
      <c r="O307" s="1000"/>
      <c r="P307" s="18">
        <f>(F307+F306)/P298</f>
        <v>1734.91</v>
      </c>
    </row>
    <row r="308" spans="1:16" ht="15.75" x14ac:dyDescent="0.2">
      <c r="A308" s="51"/>
      <c r="B308" s="47"/>
      <c r="C308" s="51"/>
      <c r="D308" s="51"/>
      <c r="E308" s="51"/>
      <c r="F308" s="51"/>
      <c r="G308" s="51"/>
      <c r="H308" s="51"/>
      <c r="I308" s="51"/>
      <c r="J308" s="51"/>
      <c r="K308" s="51"/>
      <c r="L308" s="51"/>
      <c r="M308" s="51"/>
      <c r="N308" s="51"/>
      <c r="O308" s="51"/>
      <c r="P308" s="51"/>
    </row>
    <row r="309" spans="1:16" ht="15.75" x14ac:dyDescent="0.2">
      <c r="A309" s="1009" t="s">
        <v>516</v>
      </c>
      <c r="B309" s="1009"/>
      <c r="C309" s="1009"/>
      <c r="D309" s="1009"/>
      <c r="E309" s="1009"/>
      <c r="F309" s="1009"/>
      <c r="G309" s="1009"/>
      <c r="H309" s="1009"/>
      <c r="I309" s="1009"/>
      <c r="J309" s="1009"/>
      <c r="K309" s="1009"/>
      <c r="L309" s="1009"/>
      <c r="M309" s="1009"/>
      <c r="N309" s="1009"/>
      <c r="O309" s="1009"/>
      <c r="P309" s="1009"/>
    </row>
    <row r="310" spans="1:16" ht="15.75" x14ac:dyDescent="0.2">
      <c r="A310" s="1009" t="s">
        <v>517</v>
      </c>
      <c r="B310" s="1009"/>
      <c r="C310" s="1009"/>
      <c r="D310" s="1009"/>
      <c r="E310" s="1009"/>
      <c r="F310" s="1009"/>
      <c r="G310" s="1009"/>
      <c r="H310" s="1009"/>
      <c r="I310" s="1009"/>
      <c r="J310" s="1009"/>
      <c r="K310" s="1009"/>
      <c r="L310" s="1009"/>
      <c r="M310" s="1009"/>
      <c r="N310" s="1009"/>
      <c r="O310" s="1009"/>
      <c r="P310" s="1009"/>
    </row>
    <row r="311" spans="1:16" ht="16.5" thickBot="1" x14ac:dyDescent="0.25">
      <c r="A311" s="271" t="s">
        <v>518</v>
      </c>
      <c r="B311" s="47"/>
      <c r="C311" s="47"/>
      <c r="D311" s="47"/>
      <c r="E311" s="47"/>
      <c r="F311" s="47"/>
      <c r="G311" s="47"/>
      <c r="H311" s="47"/>
      <c r="I311" s="47"/>
      <c r="J311" s="47"/>
      <c r="K311" s="47"/>
      <c r="L311" s="47"/>
      <c r="M311" s="47"/>
      <c r="N311" s="47"/>
      <c r="O311" s="47"/>
      <c r="P311" s="47"/>
    </row>
    <row r="312" spans="1:16" ht="15.6" customHeight="1" x14ac:dyDescent="0.2">
      <c r="A312" s="310" t="s">
        <v>29</v>
      </c>
      <c r="B312" s="310"/>
      <c r="C312" s="988" t="s">
        <v>1247</v>
      </c>
      <c r="D312" s="988"/>
      <c r="E312" s="988"/>
      <c r="F312" s="988"/>
      <c r="G312" s="988"/>
      <c r="H312" s="988"/>
      <c r="I312" s="988"/>
      <c r="J312" s="988"/>
      <c r="K312" s="988"/>
      <c r="L312" s="988"/>
      <c r="M312" s="988"/>
      <c r="N312" s="988"/>
      <c r="O312" s="988"/>
      <c r="P312" s="274" t="s">
        <v>434</v>
      </c>
    </row>
    <row r="313" spans="1:16" ht="30.6" customHeight="1" x14ac:dyDescent="0.2">
      <c r="A313" s="1011" t="s">
        <v>522</v>
      </c>
      <c r="B313" s="1012"/>
      <c r="C313" s="1024"/>
      <c r="D313" s="1024"/>
      <c r="E313" s="1024"/>
      <c r="F313" s="1024"/>
      <c r="G313" s="1024"/>
      <c r="H313" s="1024"/>
      <c r="I313" s="1024"/>
      <c r="J313" s="1024"/>
      <c r="K313" s="1024"/>
      <c r="L313" s="1024"/>
      <c r="M313" s="1024"/>
      <c r="N313" s="1024"/>
      <c r="O313" s="1024"/>
      <c r="P313" s="275">
        <v>5</v>
      </c>
    </row>
    <row r="314" spans="1:16" ht="15.75" x14ac:dyDescent="0.2">
      <c r="A314" s="1001" t="s">
        <v>30</v>
      </c>
      <c r="B314" s="1003" t="s">
        <v>31</v>
      </c>
      <c r="C314" s="1003"/>
      <c r="D314" s="1003"/>
      <c r="E314" s="1003"/>
      <c r="F314" s="1003"/>
      <c r="G314" s="1003" t="s">
        <v>32</v>
      </c>
      <c r="H314" s="1003"/>
      <c r="I314" s="1003"/>
      <c r="J314" s="1003"/>
      <c r="K314" s="1003"/>
      <c r="L314" s="1003" t="s">
        <v>33</v>
      </c>
      <c r="M314" s="1003"/>
      <c r="N314" s="1003"/>
      <c r="O314" s="1003"/>
      <c r="P314" s="1004"/>
    </row>
    <row r="315" spans="1:16" ht="15.75" x14ac:dyDescent="0.2">
      <c r="A315" s="1002"/>
      <c r="B315" s="79" t="s">
        <v>8</v>
      </c>
      <c r="C315" s="79" t="s">
        <v>7</v>
      </c>
      <c r="D315" s="79" t="s">
        <v>9</v>
      </c>
      <c r="E315" s="79" t="s">
        <v>19</v>
      </c>
      <c r="F315" s="79" t="s">
        <v>20</v>
      </c>
      <c r="G315" s="79" t="s">
        <v>8</v>
      </c>
      <c r="H315" s="79" t="s">
        <v>7</v>
      </c>
      <c r="I315" s="79" t="s">
        <v>9</v>
      </c>
      <c r="J315" s="79" t="s">
        <v>19</v>
      </c>
      <c r="K315" s="79" t="s">
        <v>20</v>
      </c>
      <c r="L315" s="79" t="s">
        <v>8</v>
      </c>
      <c r="M315" s="79" t="s">
        <v>7</v>
      </c>
      <c r="N315" s="79" t="s">
        <v>9</v>
      </c>
      <c r="O315" s="79" t="s">
        <v>19</v>
      </c>
      <c r="P315" s="24" t="s">
        <v>20</v>
      </c>
    </row>
    <row r="316" spans="1:16" ht="15.75" x14ac:dyDescent="0.2">
      <c r="A316" s="287" t="s">
        <v>1246</v>
      </c>
      <c r="B316" s="75" t="s">
        <v>16</v>
      </c>
      <c r="C316" s="74" t="s">
        <v>11</v>
      </c>
      <c r="D316" s="74">
        <v>3</v>
      </c>
      <c r="E316" s="74">
        <f>skilled</f>
        <v>1100</v>
      </c>
      <c r="F316" s="74">
        <f>D316*E316</f>
        <v>3300</v>
      </c>
      <c r="G316" s="75" t="s">
        <v>519</v>
      </c>
      <c r="H316" s="74" t="s">
        <v>50</v>
      </c>
      <c r="I316" s="74">
        <v>320</v>
      </c>
      <c r="J316" s="74">
        <f>bentonite</f>
        <v>33</v>
      </c>
      <c r="K316" s="74">
        <f>I316*J316</f>
        <v>10560</v>
      </c>
      <c r="L316" s="151" t="s">
        <v>520</v>
      </c>
      <c r="M316" s="74" t="s">
        <v>13</v>
      </c>
      <c r="N316" s="74">
        <v>7.5</v>
      </c>
      <c r="O316" s="74">
        <f>pilingrig</f>
        <v>3545</v>
      </c>
      <c r="P316" s="21">
        <f>N316*O316</f>
        <v>26587.5</v>
      </c>
    </row>
    <row r="317" spans="1:16" ht="15.75" x14ac:dyDescent="0.2">
      <c r="A317" s="313"/>
      <c r="B317" s="75" t="s">
        <v>28</v>
      </c>
      <c r="C317" s="74" t="s">
        <v>11</v>
      </c>
      <c r="D317" s="74">
        <v>25</v>
      </c>
      <c r="E317" s="74">
        <f>unskilled</f>
        <v>780</v>
      </c>
      <c r="F317" s="74">
        <f>D317*E317</f>
        <v>19500</v>
      </c>
      <c r="G317" s="75"/>
      <c r="H317" s="74"/>
      <c r="I317" s="74"/>
      <c r="J317" s="74"/>
      <c r="K317" s="74"/>
      <c r="L317" s="75" t="s">
        <v>157</v>
      </c>
      <c r="M317" s="74" t="s">
        <v>13</v>
      </c>
      <c r="N317" s="74">
        <v>7.5</v>
      </c>
      <c r="O317" s="74">
        <f>crane</f>
        <v>3057.5</v>
      </c>
      <c r="P317" s="21">
        <f>N317*O317</f>
        <v>22931.25</v>
      </c>
    </row>
    <row r="318" spans="1:16" ht="15.75" x14ac:dyDescent="0.2">
      <c r="A318" s="313"/>
      <c r="B318" s="75"/>
      <c r="C318" s="74"/>
      <c r="D318" s="74"/>
      <c r="E318" s="74"/>
      <c r="F318" s="74"/>
      <c r="G318" s="75"/>
      <c r="H318" s="74"/>
      <c r="I318" s="74"/>
      <c r="J318" s="74"/>
      <c r="K318" s="74"/>
      <c r="L318" s="75" t="s">
        <v>521</v>
      </c>
      <c r="M318" s="74" t="s">
        <v>13</v>
      </c>
      <c r="N318" s="74">
        <v>7.5</v>
      </c>
      <c r="O318" s="74">
        <f>bentonitepump</f>
        <v>60</v>
      </c>
      <c r="P318" s="21">
        <f>N318*O318</f>
        <v>450</v>
      </c>
    </row>
    <row r="319" spans="1:16" ht="15.75" x14ac:dyDescent="0.2">
      <c r="A319" s="1005" t="s">
        <v>34</v>
      </c>
      <c r="B319" s="1006"/>
      <c r="C319" s="1006"/>
      <c r="D319" s="1006"/>
      <c r="E319" s="1006"/>
      <c r="F319" s="73">
        <f>SUM(F316:F317)</f>
        <v>22800</v>
      </c>
      <c r="G319" s="1006" t="s">
        <v>35</v>
      </c>
      <c r="H319" s="1006"/>
      <c r="I319" s="1006"/>
      <c r="J319" s="1006"/>
      <c r="K319" s="74">
        <f>SUM(K316)</f>
        <v>10560</v>
      </c>
      <c r="L319" s="1006" t="s">
        <v>36</v>
      </c>
      <c r="M319" s="1006"/>
      <c r="N319" s="1006"/>
      <c r="O319" s="1006"/>
      <c r="P319" s="61">
        <f>SUM(P316:P318)</f>
        <v>49968.75</v>
      </c>
    </row>
    <row r="320" spans="1:16" ht="15.6" customHeight="1" x14ac:dyDescent="0.2">
      <c r="A320" s="983" t="s">
        <v>565</v>
      </c>
      <c r="B320" s="984"/>
      <c r="C320" s="984"/>
      <c r="D320" s="984"/>
      <c r="E320" s="984"/>
      <c r="F320" s="984"/>
      <c r="G320" s="984"/>
      <c r="H320" s="984"/>
      <c r="I320" s="984"/>
      <c r="J320" s="984"/>
      <c r="K320" s="984"/>
      <c r="L320" s="984"/>
      <c r="M320" s="984"/>
      <c r="N320" s="984"/>
      <c r="O320" s="985"/>
      <c r="P320" s="61">
        <f>2.5%*P319</f>
        <v>1249.22</v>
      </c>
    </row>
    <row r="321" spans="1:16" ht="15.75" x14ac:dyDescent="0.2">
      <c r="A321" s="149"/>
      <c r="B321" s="150"/>
      <c r="C321" s="1006" t="s">
        <v>487</v>
      </c>
      <c r="D321" s="1006"/>
      <c r="E321" s="1006"/>
      <c r="F321" s="73">
        <f>F319+K319+P319+P320</f>
        <v>84577.97</v>
      </c>
      <c r="G321" s="150"/>
      <c r="H321" s="150"/>
      <c r="I321" s="150"/>
      <c r="J321" s="150"/>
      <c r="K321" s="73"/>
      <c r="L321" s="150"/>
      <c r="M321" s="150"/>
      <c r="N321" s="150"/>
      <c r="O321" s="150"/>
      <c r="P321" s="61"/>
    </row>
    <row r="322" spans="1:16" ht="16.5" thickBot="1" x14ac:dyDescent="0.25">
      <c r="A322" s="82"/>
      <c r="B322" s="999" t="s">
        <v>110</v>
      </c>
      <c r="C322" s="999"/>
      <c r="D322" s="999"/>
      <c r="E322" s="999"/>
      <c r="F322" s="17">
        <f>15%*F321</f>
        <v>12686.7</v>
      </c>
      <c r="G322" s="83"/>
      <c r="H322" s="83"/>
      <c r="I322" s="83"/>
      <c r="J322" s="83"/>
      <c r="K322" s="83"/>
      <c r="L322" s="17"/>
      <c r="M322" s="295"/>
      <c r="N322" s="1000" t="s">
        <v>53</v>
      </c>
      <c r="O322" s="1000"/>
      <c r="P322" s="18">
        <f>(F322+F321)/P313</f>
        <v>19452.93</v>
      </c>
    </row>
    <row r="323" spans="1:16" ht="15.75" x14ac:dyDescent="0.2">
      <c r="A323" s="302"/>
      <c r="B323" s="302"/>
      <c r="C323" s="302"/>
      <c r="D323" s="302"/>
      <c r="E323" s="302"/>
      <c r="F323" s="51"/>
      <c r="G323" s="301"/>
      <c r="H323" s="301"/>
      <c r="I323" s="301"/>
      <c r="J323" s="301"/>
      <c r="K323" s="51"/>
      <c r="L323" s="51"/>
      <c r="M323" s="303"/>
      <c r="N323" s="303"/>
      <c r="O323" s="303"/>
      <c r="P323" s="52"/>
    </row>
    <row r="324" spans="1:16" ht="15.75" x14ac:dyDescent="0.2">
      <c r="A324" s="1009" t="s">
        <v>523</v>
      </c>
      <c r="B324" s="1009"/>
      <c r="C324" s="1009"/>
      <c r="D324" s="1009"/>
      <c r="E324" s="1009"/>
      <c r="F324" s="1009"/>
      <c r="G324" s="1009"/>
      <c r="H324" s="1009"/>
      <c r="I324" s="1009"/>
      <c r="J324" s="1009"/>
      <c r="K324" s="1009"/>
      <c r="L324" s="1009"/>
      <c r="M324" s="1009"/>
      <c r="N324" s="1009"/>
      <c r="O324" s="1009"/>
      <c r="P324" s="1009"/>
    </row>
    <row r="325" spans="1:16" ht="16.5" thickBot="1" x14ac:dyDescent="0.25">
      <c r="A325" s="1009" t="s">
        <v>524</v>
      </c>
      <c r="B325" s="1009"/>
      <c r="C325" s="1009"/>
      <c r="D325" s="1009"/>
      <c r="E325" s="1009"/>
      <c r="F325" s="1009"/>
      <c r="G325" s="1009"/>
      <c r="H325" s="1009"/>
      <c r="I325" s="1009"/>
      <c r="J325" s="1009"/>
      <c r="K325" s="1009"/>
      <c r="L325" s="1009"/>
      <c r="M325" s="1009"/>
      <c r="N325" s="1009"/>
      <c r="O325" s="1009"/>
      <c r="P325" s="1009"/>
    </row>
    <row r="326" spans="1:16" ht="15.6" customHeight="1" x14ac:dyDescent="0.2">
      <c r="A326" s="310" t="s">
        <v>29</v>
      </c>
      <c r="B326" s="310"/>
      <c r="C326" s="988" t="s">
        <v>527</v>
      </c>
      <c r="D326" s="988"/>
      <c r="E326" s="988"/>
      <c r="F326" s="988"/>
      <c r="G326" s="988"/>
      <c r="H326" s="988"/>
      <c r="I326" s="988"/>
      <c r="J326" s="988"/>
      <c r="K326" s="988"/>
      <c r="L326" s="988"/>
      <c r="M326" s="988"/>
      <c r="N326" s="988"/>
      <c r="O326" s="988"/>
      <c r="P326" s="274" t="s">
        <v>432</v>
      </c>
    </row>
    <row r="327" spans="1:16" ht="15.6" customHeight="1" x14ac:dyDescent="0.2">
      <c r="A327" s="1011" t="s">
        <v>525</v>
      </c>
      <c r="B327" s="1012"/>
      <c r="C327" s="1024"/>
      <c r="D327" s="1024"/>
      <c r="E327" s="1024"/>
      <c r="F327" s="1024"/>
      <c r="G327" s="1024"/>
      <c r="H327" s="1024"/>
      <c r="I327" s="1024"/>
      <c r="J327" s="1024"/>
      <c r="K327" s="1024"/>
      <c r="L327" s="1024"/>
      <c r="M327" s="1024"/>
      <c r="N327" s="1024"/>
      <c r="O327" s="1024"/>
      <c r="P327" s="275">
        <v>10</v>
      </c>
    </row>
    <row r="328" spans="1:16" ht="15.75" x14ac:dyDescent="0.2">
      <c r="A328" s="1001" t="s">
        <v>30</v>
      </c>
      <c r="B328" s="1003" t="s">
        <v>31</v>
      </c>
      <c r="C328" s="1003"/>
      <c r="D328" s="1003"/>
      <c r="E328" s="1003"/>
      <c r="F328" s="1003"/>
      <c r="G328" s="1003" t="s">
        <v>32</v>
      </c>
      <c r="H328" s="1003"/>
      <c r="I328" s="1003"/>
      <c r="J328" s="1003"/>
      <c r="K328" s="1003"/>
      <c r="L328" s="1003" t="s">
        <v>33</v>
      </c>
      <c r="M328" s="1003"/>
      <c r="N328" s="1003"/>
      <c r="O328" s="1003"/>
      <c r="P328" s="1004"/>
    </row>
    <row r="329" spans="1:16" ht="15.75" x14ac:dyDescent="0.2">
      <c r="A329" s="1002"/>
      <c r="B329" s="79" t="s">
        <v>8</v>
      </c>
      <c r="C329" s="79" t="s">
        <v>7</v>
      </c>
      <c r="D329" s="79" t="s">
        <v>9</v>
      </c>
      <c r="E329" s="79" t="s">
        <v>19</v>
      </c>
      <c r="F329" s="79" t="s">
        <v>20</v>
      </c>
      <c r="G329" s="79" t="s">
        <v>8</v>
      </c>
      <c r="H329" s="79" t="s">
        <v>7</v>
      </c>
      <c r="I329" s="79" t="s">
        <v>9</v>
      </c>
      <c r="J329" s="79" t="s">
        <v>19</v>
      </c>
      <c r="K329" s="79" t="s">
        <v>20</v>
      </c>
      <c r="L329" s="79" t="s">
        <v>8</v>
      </c>
      <c r="M329" s="79" t="s">
        <v>7</v>
      </c>
      <c r="N329" s="79" t="s">
        <v>9</v>
      </c>
      <c r="O329" s="79" t="s">
        <v>19</v>
      </c>
      <c r="P329" s="24" t="s">
        <v>20</v>
      </c>
    </row>
    <row r="330" spans="1:16" ht="15.75" x14ac:dyDescent="0.2">
      <c r="A330" s="72" t="s">
        <v>526</v>
      </c>
      <c r="B330" s="75" t="s">
        <v>18</v>
      </c>
      <c r="C330" s="74" t="s">
        <v>11</v>
      </c>
      <c r="D330" s="74">
        <v>1.5</v>
      </c>
      <c r="E330" s="74">
        <f>skilled</f>
        <v>1100</v>
      </c>
      <c r="F330" s="74">
        <f>E330*D330</f>
        <v>1650</v>
      </c>
      <c r="G330" s="75" t="s">
        <v>528</v>
      </c>
      <c r="H330" s="74" t="s">
        <v>250</v>
      </c>
      <c r="I330" s="74">
        <v>0.42</v>
      </c>
      <c r="J330" s="74">
        <f>planks38mm/8</f>
        <v>6595.04</v>
      </c>
      <c r="K330" s="74">
        <f>J330*I330</f>
        <v>2769.92</v>
      </c>
      <c r="L330" s="151"/>
      <c r="M330" s="74"/>
      <c r="N330" s="74"/>
      <c r="O330" s="74"/>
      <c r="P330" s="21"/>
    </row>
    <row r="331" spans="1:16" ht="15.75" x14ac:dyDescent="0.2">
      <c r="A331" s="72"/>
      <c r="B331" s="75" t="s">
        <v>28</v>
      </c>
      <c r="C331" s="74" t="s">
        <v>11</v>
      </c>
      <c r="D331" s="74">
        <v>2</v>
      </c>
      <c r="E331" s="74">
        <f>unskilled</f>
        <v>780</v>
      </c>
      <c r="F331" s="74">
        <f>E331*D331</f>
        <v>1560</v>
      </c>
      <c r="G331" s="75" t="s">
        <v>529</v>
      </c>
      <c r="H331" s="74" t="s">
        <v>250</v>
      </c>
      <c r="I331" s="74">
        <v>0.18</v>
      </c>
      <c r="J331" s="74">
        <f>struts/12</f>
        <v>4396.6899999999996</v>
      </c>
      <c r="K331" s="74">
        <f>J331*I331</f>
        <v>791.4</v>
      </c>
      <c r="L331" s="75"/>
      <c r="M331" s="74"/>
      <c r="N331" s="74"/>
      <c r="O331" s="74"/>
      <c r="P331" s="21"/>
    </row>
    <row r="332" spans="1:16" ht="15.75" x14ac:dyDescent="0.2">
      <c r="A332" s="72"/>
      <c r="B332" s="75"/>
      <c r="C332" s="74"/>
      <c r="D332" s="74"/>
      <c r="E332" s="74"/>
      <c r="F332" s="74"/>
      <c r="G332" s="75" t="s">
        <v>530</v>
      </c>
      <c r="H332" s="74" t="s">
        <v>50</v>
      </c>
      <c r="I332" s="74">
        <v>1</v>
      </c>
      <c r="J332" s="74">
        <f>nails</f>
        <v>117.13</v>
      </c>
      <c r="K332" s="74">
        <f>J332*I332</f>
        <v>117.13</v>
      </c>
      <c r="L332" s="75"/>
      <c r="M332" s="74"/>
      <c r="N332" s="74"/>
      <c r="O332" s="74"/>
      <c r="P332" s="21"/>
    </row>
    <row r="333" spans="1:16" ht="15.75" x14ac:dyDescent="0.2">
      <c r="A333" s="1005" t="s">
        <v>34</v>
      </c>
      <c r="B333" s="1006"/>
      <c r="C333" s="1006"/>
      <c r="D333" s="1006"/>
      <c r="E333" s="1006"/>
      <c r="F333" s="73">
        <f>SUM(F330:F331)</f>
        <v>3210</v>
      </c>
      <c r="G333" s="1006" t="s">
        <v>35</v>
      </c>
      <c r="H333" s="1006"/>
      <c r="I333" s="1006"/>
      <c r="J333" s="1006"/>
      <c r="K333" s="73">
        <f>SUM(K330:K332)</f>
        <v>3678.45</v>
      </c>
      <c r="L333" s="1006" t="s">
        <v>36</v>
      </c>
      <c r="M333" s="1006"/>
      <c r="N333" s="1006"/>
      <c r="O333" s="1006"/>
      <c r="P333" s="61">
        <f>SUM(P330:P331)</f>
        <v>0</v>
      </c>
    </row>
    <row r="334" spans="1:16" ht="15.75" x14ac:dyDescent="0.2">
      <c r="A334" s="1005" t="s">
        <v>487</v>
      </c>
      <c r="B334" s="1006"/>
      <c r="C334" s="1006"/>
      <c r="D334" s="1006"/>
      <c r="E334" s="1006"/>
      <c r="F334" s="74">
        <f>SUM(F333+K333+P333)</f>
        <v>6888.45</v>
      </c>
      <c r="G334" s="1006"/>
      <c r="H334" s="1006"/>
      <c r="I334" s="1006"/>
      <c r="J334" s="1006"/>
      <c r="K334" s="1006"/>
      <c r="L334" s="74"/>
      <c r="M334" s="1032"/>
      <c r="N334" s="1032"/>
      <c r="O334" s="1032"/>
      <c r="P334" s="24"/>
    </row>
    <row r="335" spans="1:16" ht="16.5" thickBot="1" x14ac:dyDescent="0.25">
      <c r="A335" s="82"/>
      <c r="B335" s="999" t="s">
        <v>110</v>
      </c>
      <c r="C335" s="999"/>
      <c r="D335" s="999"/>
      <c r="E335" s="999"/>
      <c r="F335" s="17">
        <f>15%*F334</f>
        <v>1033.27</v>
      </c>
      <c r="G335" s="83"/>
      <c r="H335" s="83"/>
      <c r="I335" s="83"/>
      <c r="J335" s="83"/>
      <c r="K335" s="83"/>
      <c r="L335" s="17"/>
      <c r="M335" s="295"/>
      <c r="N335" s="1000" t="s">
        <v>53</v>
      </c>
      <c r="O335" s="1000"/>
      <c r="P335" s="18">
        <f>(F335+F334)/P327</f>
        <v>792.17</v>
      </c>
    </row>
    <row r="336" spans="1:16" ht="15.6" customHeight="1" x14ac:dyDescent="0.2">
      <c r="A336" s="310" t="s">
        <v>29</v>
      </c>
      <c r="B336" s="310"/>
      <c r="C336" s="988" t="s">
        <v>531</v>
      </c>
      <c r="D336" s="988"/>
      <c r="E336" s="988"/>
      <c r="F336" s="988"/>
      <c r="G336" s="988"/>
      <c r="H336" s="988"/>
      <c r="I336" s="988"/>
      <c r="J336" s="988"/>
      <c r="K336" s="988"/>
      <c r="L336" s="988"/>
      <c r="M336" s="988"/>
      <c r="N336" s="988"/>
      <c r="O336" s="988"/>
      <c r="P336" s="274" t="s">
        <v>432</v>
      </c>
    </row>
    <row r="337" spans="1:16" ht="15.6" customHeight="1" x14ac:dyDescent="0.2">
      <c r="A337" s="1011" t="s">
        <v>525</v>
      </c>
      <c r="B337" s="1012"/>
      <c r="C337" s="1024"/>
      <c r="D337" s="1024"/>
      <c r="E337" s="1024"/>
      <c r="F337" s="1024"/>
      <c r="G337" s="1024"/>
      <c r="H337" s="1024"/>
      <c r="I337" s="1024"/>
      <c r="J337" s="1024"/>
      <c r="K337" s="1024"/>
      <c r="L337" s="1024"/>
      <c r="M337" s="1024"/>
      <c r="N337" s="1024"/>
      <c r="O337" s="1024"/>
      <c r="P337" s="275">
        <v>10</v>
      </c>
    </row>
    <row r="338" spans="1:16" ht="15.75" x14ac:dyDescent="0.2">
      <c r="A338" s="1001" t="s">
        <v>30</v>
      </c>
      <c r="B338" s="1003" t="s">
        <v>31</v>
      </c>
      <c r="C338" s="1003"/>
      <c r="D338" s="1003"/>
      <c r="E338" s="1003"/>
      <c r="F338" s="1003"/>
      <c r="G338" s="1003" t="s">
        <v>32</v>
      </c>
      <c r="H338" s="1003"/>
      <c r="I338" s="1003"/>
      <c r="J338" s="1003"/>
      <c r="K338" s="1003"/>
      <c r="L338" s="1003" t="s">
        <v>33</v>
      </c>
      <c r="M338" s="1003"/>
      <c r="N338" s="1003"/>
      <c r="O338" s="1003"/>
      <c r="P338" s="1004"/>
    </row>
    <row r="339" spans="1:16" ht="15.75" x14ac:dyDescent="0.2">
      <c r="A339" s="1002"/>
      <c r="B339" s="79" t="s">
        <v>8</v>
      </c>
      <c r="C339" s="79" t="s">
        <v>7</v>
      </c>
      <c r="D339" s="79" t="s">
        <v>9</v>
      </c>
      <c r="E339" s="79" t="s">
        <v>19</v>
      </c>
      <c r="F339" s="79" t="s">
        <v>20</v>
      </c>
      <c r="G339" s="79" t="s">
        <v>8</v>
      </c>
      <c r="H339" s="79" t="s">
        <v>7</v>
      </c>
      <c r="I339" s="79" t="s">
        <v>9</v>
      </c>
      <c r="J339" s="79" t="s">
        <v>19</v>
      </c>
      <c r="K339" s="79" t="s">
        <v>20</v>
      </c>
      <c r="L339" s="79" t="s">
        <v>8</v>
      </c>
      <c r="M339" s="79" t="s">
        <v>7</v>
      </c>
      <c r="N339" s="79" t="s">
        <v>9</v>
      </c>
      <c r="O339" s="79" t="s">
        <v>19</v>
      </c>
      <c r="P339" s="24" t="s">
        <v>20</v>
      </c>
    </row>
    <row r="340" spans="1:16" ht="15.75" x14ac:dyDescent="0.2">
      <c r="A340" s="72" t="s">
        <v>1070</v>
      </c>
      <c r="B340" s="75" t="s">
        <v>18</v>
      </c>
      <c r="C340" s="74" t="s">
        <v>11</v>
      </c>
      <c r="D340" s="74">
        <v>3.2</v>
      </c>
      <c r="E340" s="74">
        <f>skilled</f>
        <v>1100</v>
      </c>
      <c r="F340" s="74">
        <f>E340*D340</f>
        <v>3520</v>
      </c>
      <c r="G340" s="75" t="s">
        <v>151</v>
      </c>
      <c r="H340" s="74" t="s">
        <v>249</v>
      </c>
      <c r="I340" s="74">
        <v>11</v>
      </c>
      <c r="J340" s="74">
        <f>plywood12mm/6</f>
        <v>162.54</v>
      </c>
      <c r="K340" s="74">
        <f>J340*I340</f>
        <v>1787.94</v>
      </c>
      <c r="L340" s="151"/>
      <c r="M340" s="74"/>
      <c r="N340" s="74"/>
      <c r="O340" s="74"/>
      <c r="P340" s="21"/>
    </row>
    <row r="341" spans="1:16" ht="15.75" x14ac:dyDescent="0.2">
      <c r="A341" s="72"/>
      <c r="B341" s="75" t="s">
        <v>28</v>
      </c>
      <c r="C341" s="74" t="s">
        <v>11</v>
      </c>
      <c r="D341" s="74">
        <v>4</v>
      </c>
      <c r="E341" s="74">
        <f>unskilled</f>
        <v>780</v>
      </c>
      <c r="F341" s="74">
        <f>E341*D341</f>
        <v>3120</v>
      </c>
      <c r="G341" s="75" t="s">
        <v>529</v>
      </c>
      <c r="H341" s="74" t="s">
        <v>250</v>
      </c>
      <c r="I341" s="74">
        <v>0.6</v>
      </c>
      <c r="J341" s="74">
        <f>struts/12</f>
        <v>4396.6899999999996</v>
      </c>
      <c r="K341" s="74">
        <f>J341*I341</f>
        <v>2638.01</v>
      </c>
      <c r="L341" s="75"/>
      <c r="M341" s="74"/>
      <c r="N341" s="74"/>
      <c r="O341" s="74"/>
      <c r="P341" s="21"/>
    </row>
    <row r="342" spans="1:16" ht="15.75" x14ac:dyDescent="0.2">
      <c r="A342" s="72"/>
      <c r="B342" s="75"/>
      <c r="C342" s="74"/>
      <c r="D342" s="74"/>
      <c r="E342" s="74"/>
      <c r="F342" s="74"/>
      <c r="G342" s="75" t="s">
        <v>530</v>
      </c>
      <c r="H342" s="74" t="s">
        <v>50</v>
      </c>
      <c r="I342" s="74">
        <v>4.5</v>
      </c>
      <c r="J342" s="74">
        <f>nails</f>
        <v>117.13</v>
      </c>
      <c r="K342" s="74">
        <f>J342*I342</f>
        <v>527.09</v>
      </c>
      <c r="L342" s="75"/>
      <c r="M342" s="74"/>
      <c r="N342" s="74"/>
      <c r="O342" s="74"/>
      <c r="P342" s="21"/>
    </row>
    <row r="343" spans="1:16" ht="15.75" x14ac:dyDescent="0.2">
      <c r="A343" s="1005" t="s">
        <v>34</v>
      </c>
      <c r="B343" s="1006"/>
      <c r="C343" s="1006"/>
      <c r="D343" s="1006"/>
      <c r="E343" s="1006"/>
      <c r="F343" s="73">
        <f>SUM(F340:F341)</f>
        <v>6640</v>
      </c>
      <c r="G343" s="1006" t="s">
        <v>35</v>
      </c>
      <c r="H343" s="1006"/>
      <c r="I343" s="1006"/>
      <c r="J343" s="1006"/>
      <c r="K343" s="73">
        <f>SUM(K340:K342)</f>
        <v>4953.04</v>
      </c>
      <c r="L343" s="1006" t="s">
        <v>36</v>
      </c>
      <c r="M343" s="1006"/>
      <c r="N343" s="1006"/>
      <c r="O343" s="1006"/>
      <c r="P343" s="61">
        <f>SUM(P340:P341)</f>
        <v>0</v>
      </c>
    </row>
    <row r="344" spans="1:16" ht="15.75" x14ac:dyDescent="0.2">
      <c r="A344" s="1005" t="s">
        <v>487</v>
      </c>
      <c r="B344" s="1006"/>
      <c r="C344" s="1006"/>
      <c r="D344" s="1006"/>
      <c r="E344" s="1006"/>
      <c r="F344" s="74">
        <f>SUM(F343+K343+P343)</f>
        <v>11593.04</v>
      </c>
      <c r="G344" s="1006"/>
      <c r="H344" s="1006"/>
      <c r="I344" s="1006"/>
      <c r="J344" s="1006"/>
      <c r="K344" s="1006"/>
      <c r="L344" s="74"/>
      <c r="M344" s="1032"/>
      <c r="N344" s="1032"/>
      <c r="O344" s="1032"/>
      <c r="P344" s="24"/>
    </row>
    <row r="345" spans="1:16" ht="16.5" thickBot="1" x14ac:dyDescent="0.25">
      <c r="A345" s="82"/>
      <c r="B345" s="999" t="s">
        <v>110</v>
      </c>
      <c r="C345" s="999"/>
      <c r="D345" s="999"/>
      <c r="E345" s="999"/>
      <c r="F345" s="17">
        <f>15%*F344</f>
        <v>1738.96</v>
      </c>
      <c r="G345" s="83"/>
      <c r="H345" s="83"/>
      <c r="I345" s="83"/>
      <c r="J345" s="83"/>
      <c r="K345" s="83"/>
      <c r="L345" s="17"/>
      <c r="M345" s="295"/>
      <c r="N345" s="1000" t="s">
        <v>53</v>
      </c>
      <c r="O345" s="1000"/>
      <c r="P345" s="18">
        <f>(F345+F344)/P337</f>
        <v>1333.2</v>
      </c>
    </row>
    <row r="346" spans="1:16" ht="15.75" x14ac:dyDescent="0.2">
      <c r="A346" s="301"/>
      <c r="B346" s="301"/>
      <c r="C346" s="301"/>
      <c r="D346" s="301"/>
      <c r="E346" s="301"/>
      <c r="F346" s="51"/>
      <c r="G346" s="301"/>
      <c r="H346" s="301"/>
      <c r="I346" s="301"/>
      <c r="J346" s="301"/>
      <c r="K346" s="301"/>
      <c r="L346" s="51"/>
      <c r="M346" s="303"/>
      <c r="N346" s="303"/>
      <c r="O346" s="303"/>
      <c r="P346" s="47"/>
    </row>
    <row r="347" spans="1:16" ht="16.5" hidden="1" thickBot="1" x14ac:dyDescent="0.25">
      <c r="A347" s="271" t="s">
        <v>597</v>
      </c>
      <c r="B347" s="301"/>
      <c r="C347" s="301"/>
      <c r="D347" s="301"/>
      <c r="E347" s="301"/>
      <c r="F347" s="51"/>
      <c r="G347" s="301"/>
      <c r="H347" s="301"/>
      <c r="I347" s="301"/>
      <c r="J347" s="301"/>
      <c r="K347" s="301"/>
      <c r="L347" s="51"/>
      <c r="M347" s="303"/>
      <c r="N347" s="303"/>
      <c r="O347" s="303"/>
      <c r="P347" s="47"/>
    </row>
    <row r="348" spans="1:16" ht="15.6" hidden="1" customHeight="1" x14ac:dyDescent="0.2">
      <c r="A348" s="310" t="s">
        <v>29</v>
      </c>
      <c r="B348" s="310"/>
      <c r="C348" s="988" t="s">
        <v>535</v>
      </c>
      <c r="D348" s="988"/>
      <c r="E348" s="988"/>
      <c r="F348" s="988"/>
      <c r="G348" s="988"/>
      <c r="H348" s="988"/>
      <c r="I348" s="988"/>
      <c r="J348" s="988"/>
      <c r="K348" s="988"/>
      <c r="L348" s="988"/>
      <c r="M348" s="988"/>
      <c r="N348" s="988"/>
      <c r="O348" s="988"/>
      <c r="P348" s="274" t="s">
        <v>432</v>
      </c>
    </row>
    <row r="349" spans="1:16" ht="15.6" hidden="1" customHeight="1" x14ac:dyDescent="0.2">
      <c r="A349" s="1011" t="s">
        <v>534</v>
      </c>
      <c r="B349" s="1012"/>
      <c r="C349" s="1024"/>
      <c r="D349" s="1024"/>
      <c r="E349" s="1024"/>
      <c r="F349" s="1024"/>
      <c r="G349" s="1024"/>
      <c r="H349" s="1024"/>
      <c r="I349" s="1024"/>
      <c r="J349" s="1024"/>
      <c r="K349" s="1024"/>
      <c r="L349" s="1024"/>
      <c r="M349" s="1024"/>
      <c r="N349" s="1024"/>
      <c r="O349" s="1024"/>
      <c r="P349" s="275">
        <v>10</v>
      </c>
    </row>
    <row r="350" spans="1:16" ht="15.75" hidden="1" x14ac:dyDescent="0.2">
      <c r="A350" s="1001" t="s">
        <v>30</v>
      </c>
      <c r="B350" s="1003" t="s">
        <v>31</v>
      </c>
      <c r="C350" s="1003"/>
      <c r="D350" s="1003"/>
      <c r="E350" s="1003"/>
      <c r="F350" s="1003"/>
      <c r="G350" s="1003" t="s">
        <v>32</v>
      </c>
      <c r="H350" s="1003"/>
      <c r="I350" s="1003"/>
      <c r="J350" s="1003"/>
      <c r="K350" s="1003"/>
      <c r="L350" s="1003" t="s">
        <v>33</v>
      </c>
      <c r="M350" s="1003"/>
      <c r="N350" s="1003"/>
      <c r="O350" s="1003"/>
      <c r="P350" s="1004"/>
    </row>
    <row r="351" spans="1:16" ht="15.75" hidden="1" x14ac:dyDescent="0.2">
      <c r="A351" s="1002"/>
      <c r="B351" s="79" t="s">
        <v>8</v>
      </c>
      <c r="C351" s="79" t="s">
        <v>7</v>
      </c>
      <c r="D351" s="79" t="s">
        <v>9</v>
      </c>
      <c r="E351" s="79" t="s">
        <v>19</v>
      </c>
      <c r="F351" s="79" t="s">
        <v>20</v>
      </c>
      <c r="G351" s="79" t="s">
        <v>8</v>
      </c>
      <c r="H351" s="79" t="s">
        <v>7</v>
      </c>
      <c r="I351" s="79" t="s">
        <v>9</v>
      </c>
      <c r="J351" s="79" t="s">
        <v>19</v>
      </c>
      <c r="K351" s="79" t="s">
        <v>20</v>
      </c>
      <c r="L351" s="79" t="s">
        <v>8</v>
      </c>
      <c r="M351" s="79" t="s">
        <v>7</v>
      </c>
      <c r="N351" s="79" t="s">
        <v>9</v>
      </c>
      <c r="O351" s="79" t="s">
        <v>19</v>
      </c>
      <c r="P351" s="24" t="s">
        <v>20</v>
      </c>
    </row>
    <row r="352" spans="1:16" ht="15.75" hidden="1" x14ac:dyDescent="0.2">
      <c r="A352" s="72" t="s">
        <v>533</v>
      </c>
      <c r="B352" s="75" t="s">
        <v>18</v>
      </c>
      <c r="C352" s="74" t="s">
        <v>11</v>
      </c>
      <c r="D352" s="74">
        <v>2.5</v>
      </c>
      <c r="E352" s="74">
        <f>skilled</f>
        <v>1100</v>
      </c>
      <c r="F352" s="74">
        <f>E352*D352</f>
        <v>2750</v>
      </c>
      <c r="G352" s="75" t="s">
        <v>151</v>
      </c>
      <c r="H352" s="74" t="s">
        <v>249</v>
      </c>
      <c r="I352" s="74">
        <v>11</v>
      </c>
      <c r="J352" s="74">
        <f>plywood12mm/6</f>
        <v>162.54</v>
      </c>
      <c r="K352" s="74">
        <f t="shared" ref="K352:K357" si="0">J352*I352</f>
        <v>1787.94</v>
      </c>
      <c r="L352" s="151"/>
      <c r="M352" s="74"/>
      <c r="N352" s="74"/>
      <c r="O352" s="74"/>
      <c r="P352" s="21"/>
    </row>
    <row r="353" spans="1:16" ht="15.75" hidden="1" x14ac:dyDescent="0.2">
      <c r="A353" s="72"/>
      <c r="B353" s="75" t="s">
        <v>28</v>
      </c>
      <c r="C353" s="74" t="s">
        <v>11</v>
      </c>
      <c r="D353" s="74">
        <v>3</v>
      </c>
      <c r="E353" s="74">
        <f>unskilled</f>
        <v>780</v>
      </c>
      <c r="F353" s="74">
        <f>E353*D353</f>
        <v>2340</v>
      </c>
      <c r="G353" s="75" t="s">
        <v>529</v>
      </c>
      <c r="H353" s="74" t="s">
        <v>250</v>
      </c>
      <c r="I353" s="74">
        <v>0.32</v>
      </c>
      <c r="J353" s="74">
        <f>struts/8</f>
        <v>6595.04</v>
      </c>
      <c r="K353" s="74">
        <f t="shared" si="0"/>
        <v>2110.41</v>
      </c>
      <c r="L353" s="75"/>
      <c r="M353" s="74"/>
      <c r="N353" s="74"/>
      <c r="O353" s="74"/>
      <c r="P353" s="21"/>
    </row>
    <row r="354" spans="1:16" ht="15.75" hidden="1" x14ac:dyDescent="0.2">
      <c r="A354" s="72"/>
      <c r="B354" s="75"/>
      <c r="C354" s="74"/>
      <c r="D354" s="74"/>
      <c r="E354" s="74"/>
      <c r="F354" s="74"/>
      <c r="G354" s="75" t="s">
        <v>530</v>
      </c>
      <c r="H354" s="74" t="s">
        <v>50</v>
      </c>
      <c r="I354" s="74">
        <v>3</v>
      </c>
      <c r="J354" s="74">
        <f>nails</f>
        <v>117.13</v>
      </c>
      <c r="K354" s="74">
        <f t="shared" si="0"/>
        <v>351.39</v>
      </c>
      <c r="L354" s="75"/>
      <c r="M354" s="74"/>
      <c r="N354" s="74"/>
      <c r="O354" s="74"/>
      <c r="P354" s="21"/>
    </row>
    <row r="355" spans="1:16" ht="15.75" hidden="1" x14ac:dyDescent="0.2">
      <c r="A355" s="72" t="s">
        <v>536</v>
      </c>
      <c r="B355" s="75" t="s">
        <v>18</v>
      </c>
      <c r="C355" s="74" t="s">
        <v>11</v>
      </c>
      <c r="D355" s="74">
        <v>14</v>
      </c>
      <c r="E355" s="74">
        <f>skilled</f>
        <v>1100</v>
      </c>
      <c r="F355" s="74">
        <f>E355*D355</f>
        <v>15400</v>
      </c>
      <c r="G355" s="75" t="s">
        <v>537</v>
      </c>
      <c r="H355" s="74" t="s">
        <v>17</v>
      </c>
      <c r="I355" s="74">
        <v>600</v>
      </c>
      <c r="J355" s="74">
        <f>mspipe40mm/60</f>
        <v>22.46</v>
      </c>
      <c r="K355" s="74">
        <f t="shared" si="0"/>
        <v>13476</v>
      </c>
      <c r="L355" s="151"/>
      <c r="M355" s="74"/>
      <c r="N355" s="74"/>
      <c r="O355" s="74"/>
      <c r="P355" s="21"/>
    </row>
    <row r="356" spans="1:16" ht="15.75" hidden="1" x14ac:dyDescent="0.2">
      <c r="A356" s="72"/>
      <c r="B356" s="75" t="s">
        <v>28</v>
      </c>
      <c r="C356" s="74" t="s">
        <v>11</v>
      </c>
      <c r="D356" s="74">
        <v>25</v>
      </c>
      <c r="E356" s="74">
        <f>unskilled</f>
        <v>780</v>
      </c>
      <c r="F356" s="74">
        <f>E356*D356</f>
        <v>19500</v>
      </c>
      <c r="G356" s="75" t="s">
        <v>149</v>
      </c>
      <c r="H356" s="74" t="s">
        <v>1</v>
      </c>
      <c r="I356" s="74">
        <v>342</v>
      </c>
      <c r="J356" s="74">
        <f>clamps/40</f>
        <v>12.53</v>
      </c>
      <c r="K356" s="74">
        <f t="shared" si="0"/>
        <v>4285.26</v>
      </c>
      <c r="L356" s="75"/>
      <c r="M356" s="74"/>
      <c r="N356" s="74"/>
      <c r="O356" s="74"/>
      <c r="P356" s="21"/>
    </row>
    <row r="357" spans="1:16" ht="31.5" hidden="1" x14ac:dyDescent="0.2">
      <c r="A357" s="72"/>
      <c r="B357" s="75"/>
      <c r="C357" s="74"/>
      <c r="D357" s="74"/>
      <c r="E357" s="74"/>
      <c r="F357" s="74"/>
      <c r="G357" s="151" t="s">
        <v>538</v>
      </c>
      <c r="H357" s="74" t="s">
        <v>50</v>
      </c>
      <c r="I357" s="74">
        <v>178</v>
      </c>
      <c r="J357" s="74">
        <f>nutbolt6mm/30</f>
        <v>6.7</v>
      </c>
      <c r="K357" s="74">
        <f t="shared" si="0"/>
        <v>1192.5999999999999</v>
      </c>
      <c r="L357" s="75"/>
      <c r="M357" s="74"/>
      <c r="N357" s="74"/>
      <c r="O357" s="74"/>
      <c r="P357" s="21"/>
    </row>
    <row r="358" spans="1:16" ht="15.75" hidden="1" x14ac:dyDescent="0.2">
      <c r="A358" s="1005" t="s">
        <v>34</v>
      </c>
      <c r="B358" s="1006"/>
      <c r="C358" s="1006"/>
      <c r="D358" s="1006"/>
      <c r="E358" s="1006"/>
      <c r="F358" s="73">
        <f>SUM(F352:F356)</f>
        <v>39990</v>
      </c>
      <c r="G358" s="1006" t="s">
        <v>35</v>
      </c>
      <c r="H358" s="1006"/>
      <c r="I358" s="1006"/>
      <c r="J358" s="1006"/>
      <c r="K358" s="73">
        <f>SUM(K352:K357)</f>
        <v>23203.599999999999</v>
      </c>
      <c r="L358" s="1006" t="s">
        <v>36</v>
      </c>
      <c r="M358" s="1006"/>
      <c r="N358" s="1006"/>
      <c r="O358" s="1006"/>
      <c r="P358" s="61">
        <f>SUM(P352:P353)</f>
        <v>0</v>
      </c>
    </row>
    <row r="359" spans="1:16" ht="15.75" hidden="1" x14ac:dyDescent="0.2">
      <c r="A359" s="1005" t="s">
        <v>487</v>
      </c>
      <c r="B359" s="1006"/>
      <c r="C359" s="1006"/>
      <c r="D359" s="1006"/>
      <c r="E359" s="1006"/>
      <c r="F359" s="74">
        <f>SUM(F358+K358+P358)</f>
        <v>63193.599999999999</v>
      </c>
      <c r="G359" s="1006"/>
      <c r="H359" s="1006"/>
      <c r="I359" s="1006"/>
      <c r="J359" s="1006"/>
      <c r="K359" s="1006"/>
      <c r="L359" s="74"/>
      <c r="M359" s="1032"/>
      <c r="N359" s="1032"/>
      <c r="O359" s="1032"/>
      <c r="P359" s="24"/>
    </row>
    <row r="360" spans="1:16" ht="16.5" hidden="1" thickBot="1" x14ac:dyDescent="0.25">
      <c r="A360" s="82"/>
      <c r="B360" s="999" t="s">
        <v>110</v>
      </c>
      <c r="C360" s="999"/>
      <c r="D360" s="999"/>
      <c r="E360" s="999"/>
      <c r="F360" s="17">
        <f>15%*F359</f>
        <v>9479.0400000000009</v>
      </c>
      <c r="G360" s="83"/>
      <c r="H360" s="83"/>
      <c r="I360" s="83"/>
      <c r="J360" s="83"/>
      <c r="K360" s="83"/>
      <c r="L360" s="17"/>
      <c r="M360" s="295"/>
      <c r="N360" s="1000" t="s">
        <v>53</v>
      </c>
      <c r="O360" s="1000"/>
      <c r="P360" s="18">
        <f>(F360+F359)/P349</f>
        <v>7267.26</v>
      </c>
    </row>
    <row r="361" spans="1:16" ht="15.75" hidden="1" x14ac:dyDescent="0.2">
      <c r="A361" s="301"/>
      <c r="B361" s="301"/>
      <c r="C361" s="301"/>
      <c r="D361" s="301"/>
      <c r="E361" s="301"/>
      <c r="F361" s="51"/>
      <c r="G361" s="301"/>
      <c r="H361" s="301"/>
      <c r="I361" s="301"/>
      <c r="J361" s="301"/>
      <c r="K361" s="301"/>
      <c r="L361" s="51"/>
      <c r="M361" s="303"/>
      <c r="N361" s="303"/>
      <c r="O361" s="303"/>
      <c r="P361" s="52"/>
    </row>
    <row r="362" spans="1:16" ht="15.75" x14ac:dyDescent="0.2">
      <c r="A362" s="1009" t="s">
        <v>539</v>
      </c>
      <c r="B362" s="1009"/>
      <c r="C362" s="1009"/>
      <c r="D362" s="1009"/>
      <c r="E362" s="1009"/>
      <c r="F362" s="1009"/>
      <c r="G362" s="1009"/>
      <c r="H362" s="1009"/>
      <c r="I362" s="1009"/>
      <c r="J362" s="1009"/>
      <c r="K362" s="1009"/>
      <c r="L362" s="1009"/>
      <c r="M362" s="1009"/>
      <c r="N362" s="1009"/>
      <c r="O362" s="1009"/>
      <c r="P362" s="1009"/>
    </row>
    <row r="363" spans="1:16" ht="16.5" thickBot="1" x14ac:dyDescent="0.25">
      <c r="A363" s="1009" t="s">
        <v>540</v>
      </c>
      <c r="B363" s="1009"/>
      <c r="C363" s="1009"/>
      <c r="D363" s="1009"/>
      <c r="E363" s="1009"/>
      <c r="F363" s="1009"/>
      <c r="G363" s="1009"/>
      <c r="H363" s="1009"/>
      <c r="I363" s="1009"/>
      <c r="J363" s="1009"/>
      <c r="K363" s="1009"/>
      <c r="L363" s="1009"/>
      <c r="M363" s="1009"/>
      <c r="N363" s="1009"/>
      <c r="O363" s="1009"/>
      <c r="P363" s="1009"/>
    </row>
    <row r="364" spans="1:16" ht="15.6" hidden="1" customHeight="1" x14ac:dyDescent="0.2">
      <c r="A364" s="310" t="s">
        <v>29</v>
      </c>
      <c r="B364" s="310"/>
      <c r="C364" s="988" t="s">
        <v>542</v>
      </c>
      <c r="D364" s="988"/>
      <c r="E364" s="988"/>
      <c r="F364" s="988"/>
      <c r="G364" s="988"/>
      <c r="H364" s="988"/>
      <c r="I364" s="988"/>
      <c r="J364" s="988"/>
      <c r="K364" s="988"/>
      <c r="L364" s="988"/>
      <c r="M364" s="988"/>
      <c r="N364" s="988"/>
      <c r="O364" s="988"/>
      <c r="P364" s="274" t="s">
        <v>510</v>
      </c>
    </row>
    <row r="365" spans="1:16" ht="15.6" hidden="1" customHeight="1" x14ac:dyDescent="0.2">
      <c r="A365" s="1011" t="s">
        <v>541</v>
      </c>
      <c r="B365" s="1012"/>
      <c r="C365" s="1024"/>
      <c r="D365" s="1024"/>
      <c r="E365" s="1024"/>
      <c r="F365" s="1024"/>
      <c r="G365" s="1024"/>
      <c r="H365" s="1024"/>
      <c r="I365" s="1024"/>
      <c r="J365" s="1024"/>
      <c r="K365" s="1024"/>
      <c r="L365" s="1024"/>
      <c r="M365" s="1024"/>
      <c r="N365" s="1024"/>
      <c r="O365" s="1024"/>
      <c r="P365" s="275">
        <v>1</v>
      </c>
    </row>
    <row r="366" spans="1:16" ht="15.75" hidden="1" x14ac:dyDescent="0.2">
      <c r="A366" s="1001" t="s">
        <v>30</v>
      </c>
      <c r="B366" s="1003" t="s">
        <v>31</v>
      </c>
      <c r="C366" s="1003"/>
      <c r="D366" s="1003"/>
      <c r="E366" s="1003"/>
      <c r="F366" s="1003"/>
      <c r="G366" s="1003" t="s">
        <v>32</v>
      </c>
      <c r="H366" s="1003"/>
      <c r="I366" s="1003"/>
      <c r="J366" s="1003"/>
      <c r="K366" s="1003"/>
      <c r="L366" s="1003" t="s">
        <v>33</v>
      </c>
      <c r="M366" s="1003"/>
      <c r="N366" s="1003"/>
      <c r="O366" s="1003"/>
      <c r="P366" s="1004"/>
    </row>
    <row r="367" spans="1:16" ht="15.75" hidden="1" x14ac:dyDescent="0.2">
      <c r="A367" s="1002"/>
      <c r="B367" s="79" t="s">
        <v>8</v>
      </c>
      <c r="C367" s="79" t="s">
        <v>7</v>
      </c>
      <c r="D367" s="79" t="s">
        <v>9</v>
      </c>
      <c r="E367" s="79" t="s">
        <v>19</v>
      </c>
      <c r="F367" s="79" t="s">
        <v>20</v>
      </c>
      <c r="G367" s="79" t="s">
        <v>8</v>
      </c>
      <c r="H367" s="79" t="s">
        <v>7</v>
      </c>
      <c r="I367" s="79" t="s">
        <v>9</v>
      </c>
      <c r="J367" s="79" t="s">
        <v>19</v>
      </c>
      <c r="K367" s="79" t="s">
        <v>20</v>
      </c>
      <c r="L367" s="79" t="s">
        <v>8</v>
      </c>
      <c r="M367" s="79" t="s">
        <v>7</v>
      </c>
      <c r="N367" s="79" t="s">
        <v>9</v>
      </c>
      <c r="O367" s="79" t="s">
        <v>19</v>
      </c>
      <c r="P367" s="24" t="s">
        <v>20</v>
      </c>
    </row>
    <row r="368" spans="1:16" ht="141.75" hidden="1" x14ac:dyDescent="0.2">
      <c r="A368" s="72">
        <v>19.3</v>
      </c>
      <c r="B368" s="75" t="s">
        <v>18</v>
      </c>
      <c r="C368" s="74" t="s">
        <v>11</v>
      </c>
      <c r="D368" s="74">
        <v>1</v>
      </c>
      <c r="E368" s="74">
        <f>skilled</f>
        <v>1100</v>
      </c>
      <c r="F368" s="74">
        <f>E368*D368</f>
        <v>1100</v>
      </c>
      <c r="G368" s="151" t="s">
        <v>566</v>
      </c>
      <c r="H368" s="74" t="s">
        <v>142</v>
      </c>
      <c r="I368" s="74">
        <v>1</v>
      </c>
      <c r="J368" s="74">
        <f>ptfeslidingplatebearing</f>
        <v>80000</v>
      </c>
      <c r="K368" s="74">
        <f>J368*I368</f>
        <v>80000</v>
      </c>
      <c r="L368" s="151"/>
      <c r="M368" s="74"/>
      <c r="N368" s="74"/>
      <c r="O368" s="74"/>
      <c r="P368" s="21"/>
    </row>
    <row r="369" spans="1:16" ht="15.75" hidden="1" x14ac:dyDescent="0.2">
      <c r="A369" s="72"/>
      <c r="B369" s="75" t="s">
        <v>28</v>
      </c>
      <c r="C369" s="74" t="s">
        <v>11</v>
      </c>
      <c r="D369" s="74">
        <v>1</v>
      </c>
      <c r="E369" s="74">
        <f>unskilled</f>
        <v>780</v>
      </c>
      <c r="F369" s="74">
        <f>E369*D369</f>
        <v>780</v>
      </c>
      <c r="G369" s="75" t="s">
        <v>567</v>
      </c>
      <c r="H369" s="74"/>
      <c r="I369" s="74"/>
      <c r="J369" s="74"/>
      <c r="K369" s="74">
        <f>1%*K368</f>
        <v>800</v>
      </c>
      <c r="L369" s="75"/>
      <c r="M369" s="74"/>
      <c r="N369" s="74"/>
      <c r="O369" s="74"/>
      <c r="P369" s="21"/>
    </row>
    <row r="370" spans="1:16" ht="15.75" hidden="1" x14ac:dyDescent="0.2">
      <c r="A370" s="1005" t="s">
        <v>34</v>
      </c>
      <c r="B370" s="1006"/>
      <c r="C370" s="1006"/>
      <c r="D370" s="1006"/>
      <c r="E370" s="1006"/>
      <c r="F370" s="73">
        <f>SUM(F368:F369)</f>
        <v>1880</v>
      </c>
      <c r="G370" s="1006" t="s">
        <v>35</v>
      </c>
      <c r="H370" s="1006"/>
      <c r="I370" s="1006"/>
      <c r="J370" s="1006"/>
      <c r="K370" s="73">
        <f>SUM(K368:K369)</f>
        <v>80800</v>
      </c>
      <c r="L370" s="1006" t="s">
        <v>36</v>
      </c>
      <c r="M370" s="1006"/>
      <c r="N370" s="1006"/>
      <c r="O370" s="1006"/>
      <c r="P370" s="61">
        <f>SUM(P368:P369)</f>
        <v>0</v>
      </c>
    </row>
    <row r="371" spans="1:16" ht="15.75" hidden="1" x14ac:dyDescent="0.2">
      <c r="A371" s="1005" t="s">
        <v>487</v>
      </c>
      <c r="B371" s="1006"/>
      <c r="C371" s="1006"/>
      <c r="D371" s="1006"/>
      <c r="E371" s="1006"/>
      <c r="F371" s="74">
        <f>SUM(F370+K370+P370)</f>
        <v>82680</v>
      </c>
      <c r="G371" s="1006"/>
      <c r="H371" s="1006"/>
      <c r="I371" s="1006"/>
      <c r="J371" s="1006"/>
      <c r="K371" s="1006"/>
      <c r="L371" s="74"/>
      <c r="M371" s="1032"/>
      <c r="N371" s="1032"/>
      <c r="O371" s="1032"/>
      <c r="P371" s="24"/>
    </row>
    <row r="372" spans="1:16" ht="16.5" hidden="1" thickBot="1" x14ac:dyDescent="0.25">
      <c r="A372" s="82"/>
      <c r="B372" s="999" t="s">
        <v>110</v>
      </c>
      <c r="C372" s="999"/>
      <c r="D372" s="999"/>
      <c r="E372" s="999"/>
      <c r="F372" s="17">
        <f>15%*F371</f>
        <v>12402</v>
      </c>
      <c r="G372" s="83"/>
      <c r="H372" s="83"/>
      <c r="I372" s="83"/>
      <c r="J372" s="83"/>
      <c r="K372" s="83"/>
      <c r="L372" s="17"/>
      <c r="M372" s="295"/>
      <c r="N372" s="1000" t="s">
        <v>53</v>
      </c>
      <c r="O372" s="1000"/>
      <c r="P372" s="18">
        <f>(F372+F371)/P365</f>
        <v>95082</v>
      </c>
    </row>
    <row r="373" spans="1:16" ht="16.5" hidden="1" thickBot="1" x14ac:dyDescent="0.25">
      <c r="A373" s="301"/>
      <c r="B373" s="301"/>
      <c r="C373" s="301"/>
      <c r="D373" s="301"/>
      <c r="E373" s="301"/>
      <c r="F373" s="51"/>
      <c r="G373" s="301"/>
      <c r="H373" s="301"/>
      <c r="I373" s="301"/>
      <c r="J373" s="301"/>
      <c r="K373" s="301"/>
      <c r="L373" s="51"/>
      <c r="M373" s="303"/>
      <c r="N373" s="303"/>
      <c r="O373" s="303"/>
      <c r="P373" s="47"/>
    </row>
    <row r="374" spans="1:16" ht="15.6" hidden="1" customHeight="1" x14ac:dyDescent="0.2">
      <c r="A374" s="310" t="s">
        <v>29</v>
      </c>
      <c r="B374" s="310"/>
      <c r="C374" s="988" t="s">
        <v>543</v>
      </c>
      <c r="D374" s="988"/>
      <c r="E374" s="988"/>
      <c r="F374" s="988"/>
      <c r="G374" s="988"/>
      <c r="H374" s="988"/>
      <c r="I374" s="988"/>
      <c r="J374" s="988"/>
      <c r="K374" s="988"/>
      <c r="L374" s="988"/>
      <c r="M374" s="988"/>
      <c r="N374" s="988"/>
      <c r="O374" s="988"/>
      <c r="P374" s="274" t="s">
        <v>510</v>
      </c>
    </row>
    <row r="375" spans="1:16" ht="15.6" hidden="1" customHeight="1" x14ac:dyDescent="0.2">
      <c r="A375" s="1011" t="s">
        <v>541</v>
      </c>
      <c r="B375" s="1012"/>
      <c r="C375" s="1024"/>
      <c r="D375" s="1024"/>
      <c r="E375" s="1024"/>
      <c r="F375" s="1024"/>
      <c r="G375" s="1024"/>
      <c r="H375" s="1024"/>
      <c r="I375" s="1024"/>
      <c r="J375" s="1024"/>
      <c r="K375" s="1024"/>
      <c r="L375" s="1024"/>
      <c r="M375" s="1024"/>
      <c r="N375" s="1024"/>
      <c r="O375" s="1024"/>
      <c r="P375" s="275">
        <v>1</v>
      </c>
    </row>
    <row r="376" spans="1:16" ht="15.75" hidden="1" x14ac:dyDescent="0.2">
      <c r="A376" s="1001" t="s">
        <v>30</v>
      </c>
      <c r="B376" s="1003" t="s">
        <v>31</v>
      </c>
      <c r="C376" s="1003"/>
      <c r="D376" s="1003"/>
      <c r="E376" s="1003"/>
      <c r="F376" s="1003"/>
      <c r="G376" s="1003" t="s">
        <v>32</v>
      </c>
      <c r="H376" s="1003"/>
      <c r="I376" s="1003"/>
      <c r="J376" s="1003"/>
      <c r="K376" s="1003"/>
      <c r="L376" s="1003" t="s">
        <v>33</v>
      </c>
      <c r="M376" s="1003"/>
      <c r="N376" s="1003"/>
      <c r="O376" s="1003"/>
      <c r="P376" s="1004"/>
    </row>
    <row r="377" spans="1:16" ht="15.75" hidden="1" x14ac:dyDescent="0.2">
      <c r="A377" s="1002"/>
      <c r="B377" s="79" t="s">
        <v>8</v>
      </c>
      <c r="C377" s="79" t="s">
        <v>7</v>
      </c>
      <c r="D377" s="79" t="s">
        <v>9</v>
      </c>
      <c r="E377" s="79" t="s">
        <v>19</v>
      </c>
      <c r="F377" s="79" t="s">
        <v>20</v>
      </c>
      <c r="G377" s="79" t="s">
        <v>8</v>
      </c>
      <c r="H377" s="79" t="s">
        <v>7</v>
      </c>
      <c r="I377" s="79" t="s">
        <v>9</v>
      </c>
      <c r="J377" s="79" t="s">
        <v>19</v>
      </c>
      <c r="K377" s="79" t="s">
        <v>20</v>
      </c>
      <c r="L377" s="79" t="s">
        <v>8</v>
      </c>
      <c r="M377" s="79" t="s">
        <v>7</v>
      </c>
      <c r="N377" s="79" t="s">
        <v>9</v>
      </c>
      <c r="O377" s="79" t="s">
        <v>19</v>
      </c>
      <c r="P377" s="24" t="s">
        <v>20</v>
      </c>
    </row>
    <row r="378" spans="1:16" ht="173.25" hidden="1" x14ac:dyDescent="0.2">
      <c r="A378" s="72">
        <v>19.399999999999999</v>
      </c>
      <c r="B378" s="75" t="s">
        <v>18</v>
      </c>
      <c r="C378" s="74" t="s">
        <v>11</v>
      </c>
      <c r="D378" s="74">
        <v>1</v>
      </c>
      <c r="E378" s="74">
        <f>skilled</f>
        <v>1100</v>
      </c>
      <c r="F378" s="74">
        <f>E378*D378</f>
        <v>1100</v>
      </c>
      <c r="G378" s="151" t="s">
        <v>544</v>
      </c>
      <c r="H378" s="74" t="s">
        <v>142</v>
      </c>
      <c r="I378" s="74">
        <v>1</v>
      </c>
      <c r="J378" s="74">
        <f>elastomericbearing</f>
        <v>31820</v>
      </c>
      <c r="K378" s="74">
        <f>J378*I378</f>
        <v>31820</v>
      </c>
      <c r="L378" s="151"/>
      <c r="M378" s="74"/>
      <c r="N378" s="74"/>
      <c r="O378" s="74"/>
      <c r="P378" s="21"/>
    </row>
    <row r="379" spans="1:16" ht="15.75" hidden="1" x14ac:dyDescent="0.2">
      <c r="A379" s="72"/>
      <c r="B379" s="75" t="s">
        <v>28</v>
      </c>
      <c r="C379" s="74" t="s">
        <v>11</v>
      </c>
      <c r="D379" s="74">
        <v>1</v>
      </c>
      <c r="E379" s="74">
        <f>unskilled</f>
        <v>780</v>
      </c>
      <c r="F379" s="74">
        <f>E379*D379</f>
        <v>780</v>
      </c>
      <c r="G379" s="75" t="s">
        <v>567</v>
      </c>
      <c r="H379" s="74"/>
      <c r="I379" s="74"/>
      <c r="J379" s="74"/>
      <c r="K379" s="74">
        <f>1%*K378</f>
        <v>318.2</v>
      </c>
      <c r="L379" s="75"/>
      <c r="M379" s="74"/>
      <c r="N379" s="74"/>
      <c r="O379" s="74"/>
      <c r="P379" s="21"/>
    </row>
    <row r="380" spans="1:16" ht="15.75" hidden="1" x14ac:dyDescent="0.2">
      <c r="A380" s="1005" t="s">
        <v>34</v>
      </c>
      <c r="B380" s="1006"/>
      <c r="C380" s="1006"/>
      <c r="D380" s="1006"/>
      <c r="E380" s="1006"/>
      <c r="F380" s="73">
        <f>SUM(F378:F379)</f>
        <v>1880</v>
      </c>
      <c r="G380" s="1006" t="s">
        <v>35</v>
      </c>
      <c r="H380" s="1006"/>
      <c r="I380" s="1006"/>
      <c r="J380" s="1006"/>
      <c r="K380" s="73">
        <f>SUM(K378:K379)</f>
        <v>32138.2</v>
      </c>
      <c r="L380" s="1006" t="s">
        <v>36</v>
      </c>
      <c r="M380" s="1006"/>
      <c r="N380" s="1006"/>
      <c r="O380" s="1006"/>
      <c r="P380" s="61">
        <f>SUM(P378:P379)</f>
        <v>0</v>
      </c>
    </row>
    <row r="381" spans="1:16" ht="15.75" hidden="1" x14ac:dyDescent="0.2">
      <c r="A381" s="1005" t="s">
        <v>487</v>
      </c>
      <c r="B381" s="1006"/>
      <c r="C381" s="1006"/>
      <c r="D381" s="1006"/>
      <c r="E381" s="1006"/>
      <c r="F381" s="74">
        <f>SUM(F380+K380+P380)</f>
        <v>34018.199999999997</v>
      </c>
      <c r="G381" s="1006"/>
      <c r="H381" s="1006"/>
      <c r="I381" s="1006"/>
      <c r="J381" s="1006"/>
      <c r="K381" s="1006"/>
      <c r="L381" s="74"/>
      <c r="M381" s="1032"/>
      <c r="N381" s="1032"/>
      <c r="O381" s="1032"/>
      <c r="P381" s="24"/>
    </row>
    <row r="382" spans="1:16" ht="16.5" hidden="1" thickBot="1" x14ac:dyDescent="0.25">
      <c r="A382" s="82"/>
      <c r="B382" s="999" t="s">
        <v>110</v>
      </c>
      <c r="C382" s="999"/>
      <c r="D382" s="999"/>
      <c r="E382" s="999"/>
      <c r="F382" s="17">
        <f>15%*F381</f>
        <v>5102.7299999999996</v>
      </c>
      <c r="G382" s="83"/>
      <c r="H382" s="83"/>
      <c r="I382" s="83"/>
      <c r="J382" s="83"/>
      <c r="K382" s="83"/>
      <c r="L382" s="17"/>
      <c r="M382" s="295"/>
      <c r="N382" s="1000" t="s">
        <v>53</v>
      </c>
      <c r="O382" s="1000"/>
      <c r="P382" s="18">
        <f>(F382+F381)/P375</f>
        <v>39120.93</v>
      </c>
    </row>
    <row r="383" spans="1:16" ht="16.5" hidden="1" thickBot="1" x14ac:dyDescent="0.25">
      <c r="A383" s="301"/>
      <c r="B383" s="301"/>
      <c r="C383" s="301"/>
      <c r="D383" s="301"/>
      <c r="E383" s="301"/>
      <c r="F383" s="51"/>
      <c r="G383" s="301"/>
      <c r="H383" s="301"/>
      <c r="I383" s="301"/>
      <c r="J383" s="301"/>
      <c r="K383" s="301"/>
      <c r="L383" s="51"/>
      <c r="M383" s="303"/>
      <c r="N383" s="303"/>
      <c r="O383" s="303"/>
      <c r="P383" s="47"/>
    </row>
    <row r="384" spans="1:16" ht="15.6" customHeight="1" x14ac:dyDescent="0.2">
      <c r="A384" s="310" t="s">
        <v>29</v>
      </c>
      <c r="B384" s="310"/>
      <c r="C384" s="988" t="s">
        <v>1074</v>
      </c>
      <c r="D384" s="988"/>
      <c r="E384" s="988"/>
      <c r="F384" s="988"/>
      <c r="G384" s="988"/>
      <c r="H384" s="988"/>
      <c r="I384" s="988"/>
      <c r="J384" s="988"/>
      <c r="K384" s="988"/>
      <c r="L384" s="988"/>
      <c r="M384" s="988"/>
      <c r="N384" s="988"/>
      <c r="O384" s="988"/>
      <c r="P384" s="274" t="s">
        <v>510</v>
      </c>
    </row>
    <row r="385" spans="1:16" ht="46.9" customHeight="1" x14ac:dyDescent="0.2">
      <c r="A385" s="1011" t="s">
        <v>541</v>
      </c>
      <c r="B385" s="1012"/>
      <c r="C385" s="1024"/>
      <c r="D385" s="1024"/>
      <c r="E385" s="1024"/>
      <c r="F385" s="1024"/>
      <c r="G385" s="1024"/>
      <c r="H385" s="1024"/>
      <c r="I385" s="1024"/>
      <c r="J385" s="1024"/>
      <c r="K385" s="1024"/>
      <c r="L385" s="1024"/>
      <c r="M385" s="1024"/>
      <c r="N385" s="1024"/>
      <c r="O385" s="1024"/>
      <c r="P385" s="275">
        <v>1</v>
      </c>
    </row>
    <row r="386" spans="1:16" ht="15.75" x14ac:dyDescent="0.2">
      <c r="A386" s="1001" t="s">
        <v>30</v>
      </c>
      <c r="B386" s="1003" t="s">
        <v>31</v>
      </c>
      <c r="C386" s="1003"/>
      <c r="D386" s="1003"/>
      <c r="E386" s="1003"/>
      <c r="F386" s="1003"/>
      <c r="G386" s="1003" t="s">
        <v>32</v>
      </c>
      <c r="H386" s="1003"/>
      <c r="I386" s="1003"/>
      <c r="J386" s="1003"/>
      <c r="K386" s="1003"/>
      <c r="L386" s="1003" t="s">
        <v>33</v>
      </c>
      <c r="M386" s="1003"/>
      <c r="N386" s="1003"/>
      <c r="O386" s="1003"/>
      <c r="P386" s="1004"/>
    </row>
    <row r="387" spans="1:16" ht="15.75" x14ac:dyDescent="0.2">
      <c r="A387" s="1002"/>
      <c r="B387" s="79" t="s">
        <v>8</v>
      </c>
      <c r="C387" s="79" t="s">
        <v>7</v>
      </c>
      <c r="D387" s="79" t="s">
        <v>9</v>
      </c>
      <c r="E387" s="79" t="s">
        <v>19</v>
      </c>
      <c r="F387" s="79" t="s">
        <v>20</v>
      </c>
      <c r="G387" s="79" t="s">
        <v>8</v>
      </c>
      <c r="H387" s="79" t="s">
        <v>7</v>
      </c>
      <c r="I387" s="79" t="s">
        <v>9</v>
      </c>
      <c r="J387" s="79" t="s">
        <v>19</v>
      </c>
      <c r="K387" s="79" t="s">
        <v>20</v>
      </c>
      <c r="L387" s="79" t="s">
        <v>8</v>
      </c>
      <c r="M387" s="79" t="s">
        <v>7</v>
      </c>
      <c r="N387" s="79" t="s">
        <v>9</v>
      </c>
      <c r="O387" s="79" t="s">
        <v>19</v>
      </c>
      <c r="P387" s="24" t="s">
        <v>20</v>
      </c>
    </row>
    <row r="388" spans="1:16" ht="283.5" x14ac:dyDescent="0.2">
      <c r="A388" s="72">
        <v>19.600000000000001</v>
      </c>
      <c r="B388" s="75" t="s">
        <v>18</v>
      </c>
      <c r="C388" s="74" t="s">
        <v>11</v>
      </c>
      <c r="D388" s="74">
        <v>1</v>
      </c>
      <c r="E388" s="74">
        <f>skilled</f>
        <v>1100</v>
      </c>
      <c r="F388" s="74">
        <f>E388*D388</f>
        <v>1100</v>
      </c>
      <c r="G388" s="151" t="s">
        <v>545</v>
      </c>
      <c r="H388" s="74" t="s">
        <v>142</v>
      </c>
      <c r="I388" s="74">
        <v>1</v>
      </c>
      <c r="J388" s="74">
        <f>potbearing_fixed</f>
        <v>134066.29999999999</v>
      </c>
      <c r="K388" s="74">
        <f>J388*I388</f>
        <v>134066.29999999999</v>
      </c>
      <c r="L388" s="151"/>
      <c r="M388" s="74"/>
      <c r="N388" s="74"/>
      <c r="O388" s="74"/>
      <c r="P388" s="21"/>
    </row>
    <row r="389" spans="1:16" ht="15.75" x14ac:dyDescent="0.2">
      <c r="A389" s="72"/>
      <c r="B389" s="75" t="s">
        <v>28</v>
      </c>
      <c r="C389" s="74" t="s">
        <v>11</v>
      </c>
      <c r="D389" s="74">
        <v>2</v>
      </c>
      <c r="E389" s="74">
        <f>unskilled</f>
        <v>780</v>
      </c>
      <c r="F389" s="74">
        <f>E389*D389</f>
        <v>1560</v>
      </c>
      <c r="G389" s="75" t="s">
        <v>567</v>
      </c>
      <c r="H389" s="74"/>
      <c r="I389" s="74"/>
      <c r="J389" s="74"/>
      <c r="K389" s="74">
        <f>1%*K388</f>
        <v>1340.66</v>
      </c>
      <c r="L389" s="75"/>
      <c r="M389" s="74"/>
      <c r="N389" s="74"/>
      <c r="O389" s="74"/>
      <c r="P389" s="21"/>
    </row>
    <row r="390" spans="1:16" ht="15.75" x14ac:dyDescent="0.2">
      <c r="A390" s="1005" t="s">
        <v>34</v>
      </c>
      <c r="B390" s="1006"/>
      <c r="C390" s="1006"/>
      <c r="D390" s="1006"/>
      <c r="E390" s="1006"/>
      <c r="F390" s="73">
        <f>SUM(F388:F389)</f>
        <v>2660</v>
      </c>
      <c r="G390" s="1006" t="s">
        <v>35</v>
      </c>
      <c r="H390" s="1006"/>
      <c r="I390" s="1006"/>
      <c r="J390" s="1006"/>
      <c r="K390" s="73">
        <f>SUM(K388:K389)</f>
        <v>135406.96</v>
      </c>
      <c r="L390" s="1006" t="s">
        <v>36</v>
      </c>
      <c r="M390" s="1006"/>
      <c r="N390" s="1006"/>
      <c r="O390" s="1006"/>
      <c r="P390" s="61">
        <f>SUM(P388:P389)</f>
        <v>0</v>
      </c>
    </row>
    <row r="391" spans="1:16" ht="15.75" x14ac:dyDescent="0.2">
      <c r="A391" s="1005" t="s">
        <v>487</v>
      </c>
      <c r="B391" s="1006"/>
      <c r="C391" s="1006"/>
      <c r="D391" s="1006"/>
      <c r="E391" s="1006"/>
      <c r="F391" s="74">
        <f>SUM(F390+K390+P390)</f>
        <v>138066.96</v>
      </c>
      <c r="G391" s="1006"/>
      <c r="H391" s="1006"/>
      <c r="I391" s="1006"/>
      <c r="J391" s="1006"/>
      <c r="K391" s="1006"/>
      <c r="L391" s="74"/>
      <c r="M391" s="1032"/>
      <c r="N391" s="1032"/>
      <c r="O391" s="1032"/>
      <c r="P391" s="24"/>
    </row>
    <row r="392" spans="1:16" ht="16.5" thickBot="1" x14ac:dyDescent="0.25">
      <c r="A392" s="82"/>
      <c r="B392" s="999" t="s">
        <v>110</v>
      </c>
      <c r="C392" s="999"/>
      <c r="D392" s="999"/>
      <c r="E392" s="999"/>
      <c r="F392" s="17">
        <f>15%*F391</f>
        <v>20710.04</v>
      </c>
      <c r="G392" s="83"/>
      <c r="H392" s="83"/>
      <c r="I392" s="83"/>
      <c r="J392" s="83"/>
      <c r="K392" s="83"/>
      <c r="L392" s="17"/>
      <c r="M392" s="295"/>
      <c r="N392" s="1000" t="s">
        <v>53</v>
      </c>
      <c r="O392" s="1000"/>
      <c r="P392" s="18">
        <f>(F392+F391)/P385</f>
        <v>158777</v>
      </c>
    </row>
    <row r="393" spans="1:16" ht="16.5" thickBot="1" x14ac:dyDescent="0.25">
      <c r="A393" s="301"/>
      <c r="B393" s="301"/>
      <c r="C393" s="301"/>
      <c r="D393" s="301"/>
      <c r="E393" s="301"/>
      <c r="F393" s="51"/>
      <c r="G393" s="301"/>
      <c r="H393" s="301"/>
      <c r="I393" s="301"/>
      <c r="J393" s="301"/>
      <c r="K393" s="301"/>
      <c r="L393" s="51"/>
      <c r="M393" s="303"/>
      <c r="N393" s="303"/>
      <c r="O393" s="303"/>
      <c r="P393" s="52"/>
    </row>
    <row r="394" spans="1:16" ht="15.6" customHeight="1" x14ac:dyDescent="0.2">
      <c r="A394" s="310" t="s">
        <v>29</v>
      </c>
      <c r="B394" s="310"/>
      <c r="C394" s="988" t="s">
        <v>568</v>
      </c>
      <c r="D394" s="988"/>
      <c r="E394" s="988"/>
      <c r="F394" s="988"/>
      <c r="G394" s="988"/>
      <c r="H394" s="988"/>
      <c r="I394" s="988"/>
      <c r="J394" s="988"/>
      <c r="K394" s="988"/>
      <c r="L394" s="988"/>
      <c r="M394" s="988"/>
      <c r="N394" s="988"/>
      <c r="O394" s="988"/>
      <c r="P394" s="274" t="s">
        <v>510</v>
      </c>
    </row>
    <row r="395" spans="1:16" ht="46.9" customHeight="1" x14ac:dyDescent="0.2">
      <c r="A395" s="1011" t="s">
        <v>541</v>
      </c>
      <c r="B395" s="1012"/>
      <c r="C395" s="1024"/>
      <c r="D395" s="1024"/>
      <c r="E395" s="1024"/>
      <c r="F395" s="1024"/>
      <c r="G395" s="1024"/>
      <c r="H395" s="1024"/>
      <c r="I395" s="1024"/>
      <c r="J395" s="1024"/>
      <c r="K395" s="1024"/>
      <c r="L395" s="1024"/>
      <c r="M395" s="1024"/>
      <c r="N395" s="1024"/>
      <c r="O395" s="1024"/>
      <c r="P395" s="275">
        <v>1</v>
      </c>
    </row>
    <row r="396" spans="1:16" ht="15.75" x14ac:dyDescent="0.2">
      <c r="A396" s="1001" t="s">
        <v>30</v>
      </c>
      <c r="B396" s="1003" t="s">
        <v>31</v>
      </c>
      <c r="C396" s="1003"/>
      <c r="D396" s="1003"/>
      <c r="E396" s="1003"/>
      <c r="F396" s="1003"/>
      <c r="G396" s="1003" t="s">
        <v>32</v>
      </c>
      <c r="H396" s="1003"/>
      <c r="I396" s="1003"/>
      <c r="J396" s="1003"/>
      <c r="K396" s="1003"/>
      <c r="L396" s="1003" t="s">
        <v>33</v>
      </c>
      <c r="M396" s="1003"/>
      <c r="N396" s="1003"/>
      <c r="O396" s="1003"/>
      <c r="P396" s="1004"/>
    </row>
    <row r="397" spans="1:16" ht="15.75" x14ac:dyDescent="0.2">
      <c r="A397" s="1002"/>
      <c r="B397" s="79" t="s">
        <v>8</v>
      </c>
      <c r="C397" s="79" t="s">
        <v>7</v>
      </c>
      <c r="D397" s="79" t="s">
        <v>9</v>
      </c>
      <c r="E397" s="79" t="s">
        <v>19</v>
      </c>
      <c r="F397" s="79" t="s">
        <v>20</v>
      </c>
      <c r="G397" s="79" t="s">
        <v>8</v>
      </c>
      <c r="H397" s="79" t="s">
        <v>7</v>
      </c>
      <c r="I397" s="79" t="s">
        <v>9</v>
      </c>
      <c r="J397" s="79" t="s">
        <v>19</v>
      </c>
      <c r="K397" s="79" t="s">
        <v>20</v>
      </c>
      <c r="L397" s="79" t="s">
        <v>8</v>
      </c>
      <c r="M397" s="79" t="s">
        <v>7</v>
      </c>
      <c r="N397" s="79" t="s">
        <v>9</v>
      </c>
      <c r="O397" s="79" t="s">
        <v>19</v>
      </c>
      <c r="P397" s="24" t="s">
        <v>20</v>
      </c>
    </row>
    <row r="398" spans="1:16" ht="283.5" x14ac:dyDescent="0.2">
      <c r="A398" s="72">
        <v>19.600000000000001</v>
      </c>
      <c r="B398" s="75" t="s">
        <v>18</v>
      </c>
      <c r="C398" s="74" t="s">
        <v>11</v>
      </c>
      <c r="D398" s="74">
        <v>1</v>
      </c>
      <c r="E398" s="74">
        <f>skilled</f>
        <v>1100</v>
      </c>
      <c r="F398" s="74">
        <f>E398*D398</f>
        <v>1100</v>
      </c>
      <c r="G398" s="151" t="s">
        <v>545</v>
      </c>
      <c r="H398" s="74" t="s">
        <v>142</v>
      </c>
      <c r="I398" s="74">
        <v>1</v>
      </c>
      <c r="J398" s="74">
        <f>potbearing_sliding</f>
        <v>140566.79999999999</v>
      </c>
      <c r="K398" s="74">
        <f>J398*I398</f>
        <v>140566.79999999999</v>
      </c>
      <c r="L398" s="151"/>
      <c r="M398" s="74"/>
      <c r="N398" s="74"/>
      <c r="O398" s="74"/>
      <c r="P398" s="21"/>
    </row>
    <row r="399" spans="1:16" ht="15.75" x14ac:dyDescent="0.2">
      <c r="A399" s="72"/>
      <c r="B399" s="75" t="s">
        <v>28</v>
      </c>
      <c r="C399" s="74" t="s">
        <v>11</v>
      </c>
      <c r="D399" s="74">
        <v>2</v>
      </c>
      <c r="E399" s="74">
        <f>unskilled</f>
        <v>780</v>
      </c>
      <c r="F399" s="74">
        <f>E399*D399</f>
        <v>1560</v>
      </c>
      <c r="G399" s="75" t="s">
        <v>567</v>
      </c>
      <c r="H399" s="74"/>
      <c r="I399" s="74"/>
      <c r="J399" s="74"/>
      <c r="K399" s="74">
        <f>1%*K398</f>
        <v>1405.67</v>
      </c>
      <c r="L399" s="75"/>
      <c r="M399" s="74"/>
      <c r="N399" s="74"/>
      <c r="O399" s="74"/>
      <c r="P399" s="21"/>
    </row>
    <row r="400" spans="1:16" ht="15.75" x14ac:dyDescent="0.2">
      <c r="A400" s="1005" t="s">
        <v>34</v>
      </c>
      <c r="B400" s="1006"/>
      <c r="C400" s="1006"/>
      <c r="D400" s="1006"/>
      <c r="E400" s="1006"/>
      <c r="F400" s="73">
        <f>SUM(F398:F399)</f>
        <v>2660</v>
      </c>
      <c r="G400" s="1006" t="s">
        <v>35</v>
      </c>
      <c r="H400" s="1006"/>
      <c r="I400" s="1006"/>
      <c r="J400" s="1006"/>
      <c r="K400" s="73">
        <f>SUM(K398:K399)</f>
        <v>141972.47</v>
      </c>
      <c r="L400" s="1006" t="s">
        <v>36</v>
      </c>
      <c r="M400" s="1006"/>
      <c r="N400" s="1006"/>
      <c r="O400" s="1006"/>
      <c r="P400" s="61">
        <f>SUM(P398:P399)</f>
        <v>0</v>
      </c>
    </row>
    <row r="401" spans="1:16" ht="15.75" x14ac:dyDescent="0.2">
      <c r="A401" s="1005" t="s">
        <v>487</v>
      </c>
      <c r="B401" s="1006"/>
      <c r="C401" s="1006"/>
      <c r="D401" s="1006"/>
      <c r="E401" s="1006"/>
      <c r="F401" s="74">
        <f>SUM(F400+K400+P400)</f>
        <v>144632.47</v>
      </c>
      <c r="G401" s="1006"/>
      <c r="H401" s="1006"/>
      <c r="I401" s="1006"/>
      <c r="J401" s="1006"/>
      <c r="K401" s="1006"/>
      <c r="L401" s="74"/>
      <c r="M401" s="1032"/>
      <c r="N401" s="1032"/>
      <c r="O401" s="1032"/>
      <c r="P401" s="24"/>
    </row>
    <row r="402" spans="1:16" ht="16.5" thickBot="1" x14ac:dyDescent="0.25">
      <c r="A402" s="82"/>
      <c r="B402" s="999" t="s">
        <v>110</v>
      </c>
      <c r="C402" s="999"/>
      <c r="D402" s="999"/>
      <c r="E402" s="999"/>
      <c r="F402" s="17">
        <f>15%*F401</f>
        <v>21694.87</v>
      </c>
      <c r="G402" s="83"/>
      <c r="H402" s="83"/>
      <c r="I402" s="83"/>
      <c r="J402" s="83"/>
      <c r="K402" s="83"/>
      <c r="L402" s="17"/>
      <c r="M402" s="295"/>
      <c r="N402" s="1000" t="s">
        <v>53</v>
      </c>
      <c r="O402" s="1000"/>
      <c r="P402" s="18">
        <f>(F402+F401)/P395</f>
        <v>166327.34</v>
      </c>
    </row>
    <row r="403" spans="1:16" ht="15.75" x14ac:dyDescent="0.2">
      <c r="A403" s="301"/>
      <c r="B403" s="301"/>
      <c r="C403" s="301"/>
      <c r="D403" s="301"/>
      <c r="E403" s="301"/>
      <c r="F403" s="51"/>
      <c r="G403" s="301"/>
      <c r="H403" s="301"/>
      <c r="I403" s="301"/>
      <c r="J403" s="301"/>
      <c r="K403" s="301"/>
      <c r="L403" s="51"/>
      <c r="M403" s="303"/>
      <c r="N403" s="303"/>
      <c r="O403" s="303"/>
      <c r="P403" s="52"/>
    </row>
    <row r="404" spans="1:16" ht="16.5" hidden="1" thickBot="1" x14ac:dyDescent="0.25">
      <c r="A404" s="271" t="s">
        <v>546</v>
      </c>
      <c r="B404" s="301"/>
      <c r="C404" s="301"/>
      <c r="D404" s="301"/>
      <c r="E404" s="301"/>
      <c r="F404" s="51"/>
      <c r="G404" s="301"/>
      <c r="H404" s="301"/>
      <c r="I404" s="301"/>
      <c r="J404" s="301"/>
      <c r="K404" s="301"/>
      <c r="L404" s="51"/>
      <c r="M404" s="303"/>
      <c r="N404" s="303"/>
      <c r="O404" s="303"/>
      <c r="P404" s="47"/>
    </row>
    <row r="405" spans="1:16" ht="15.6" hidden="1" customHeight="1" x14ac:dyDescent="0.2">
      <c r="A405" s="310" t="s">
        <v>29</v>
      </c>
      <c r="B405" s="310"/>
      <c r="C405" s="988" t="s">
        <v>548</v>
      </c>
      <c r="D405" s="988"/>
      <c r="E405" s="988"/>
      <c r="F405" s="988"/>
      <c r="G405" s="988"/>
      <c r="H405" s="988"/>
      <c r="I405" s="988"/>
      <c r="J405" s="988"/>
      <c r="K405" s="988"/>
      <c r="L405" s="988"/>
      <c r="M405" s="988"/>
      <c r="N405" s="988"/>
      <c r="O405" s="988"/>
      <c r="P405" s="274" t="s">
        <v>435</v>
      </c>
    </row>
    <row r="406" spans="1:16" ht="15.75" hidden="1" x14ac:dyDescent="0.2">
      <c r="A406" s="1011" t="s">
        <v>547</v>
      </c>
      <c r="B406" s="1012"/>
      <c r="C406" s="1024"/>
      <c r="D406" s="1024"/>
      <c r="E406" s="1024"/>
      <c r="F406" s="1024"/>
      <c r="G406" s="1024"/>
      <c r="H406" s="1024"/>
      <c r="I406" s="1024"/>
      <c r="J406" s="1024"/>
      <c r="K406" s="1024"/>
      <c r="L406" s="1024"/>
      <c r="M406" s="1024"/>
      <c r="N406" s="1024"/>
      <c r="O406" s="1024"/>
      <c r="P406" s="275">
        <v>12</v>
      </c>
    </row>
    <row r="407" spans="1:16" ht="15.75" hidden="1" x14ac:dyDescent="0.2">
      <c r="A407" s="1001" t="s">
        <v>30</v>
      </c>
      <c r="B407" s="1003" t="s">
        <v>31</v>
      </c>
      <c r="C407" s="1003"/>
      <c r="D407" s="1003"/>
      <c r="E407" s="1003"/>
      <c r="F407" s="1003"/>
      <c r="G407" s="1003" t="s">
        <v>32</v>
      </c>
      <c r="H407" s="1003"/>
      <c r="I407" s="1003"/>
      <c r="J407" s="1003"/>
      <c r="K407" s="1003"/>
      <c r="L407" s="1003" t="s">
        <v>33</v>
      </c>
      <c r="M407" s="1003"/>
      <c r="N407" s="1003"/>
      <c r="O407" s="1003"/>
      <c r="P407" s="1004"/>
    </row>
    <row r="408" spans="1:16" ht="15.75" hidden="1" x14ac:dyDescent="0.2">
      <c r="A408" s="1002"/>
      <c r="B408" s="79" t="s">
        <v>8</v>
      </c>
      <c r="C408" s="79" t="s">
        <v>7</v>
      </c>
      <c r="D408" s="79" t="s">
        <v>9</v>
      </c>
      <c r="E408" s="79" t="s">
        <v>19</v>
      </c>
      <c r="F408" s="79" t="s">
        <v>20</v>
      </c>
      <c r="G408" s="79" t="s">
        <v>8</v>
      </c>
      <c r="H408" s="79" t="s">
        <v>7</v>
      </c>
      <c r="I408" s="79" t="s">
        <v>9</v>
      </c>
      <c r="J408" s="79" t="s">
        <v>19</v>
      </c>
      <c r="K408" s="79" t="s">
        <v>20</v>
      </c>
      <c r="L408" s="79" t="s">
        <v>8</v>
      </c>
      <c r="M408" s="79" t="s">
        <v>7</v>
      </c>
      <c r="N408" s="79" t="s">
        <v>9</v>
      </c>
      <c r="O408" s="79" t="s">
        <v>19</v>
      </c>
      <c r="P408" s="24" t="s">
        <v>20</v>
      </c>
    </row>
    <row r="409" spans="1:16" ht="173.25" hidden="1" x14ac:dyDescent="0.2">
      <c r="A409" s="72">
        <v>19.8</v>
      </c>
      <c r="B409" s="75" t="s">
        <v>18</v>
      </c>
      <c r="C409" s="74" t="s">
        <v>11</v>
      </c>
      <c r="D409" s="74">
        <v>1</v>
      </c>
      <c r="E409" s="74">
        <f>skilled</f>
        <v>1100</v>
      </c>
      <c r="F409" s="74">
        <f>E409*D409</f>
        <v>1100</v>
      </c>
      <c r="G409" s="151" t="s">
        <v>549</v>
      </c>
      <c r="H409" s="74" t="s">
        <v>17</v>
      </c>
      <c r="I409" s="74">
        <v>12</v>
      </c>
      <c r="J409" s="74">
        <f>slabsealexpansionjoint</f>
        <v>36000</v>
      </c>
      <c r="K409" s="74">
        <f>J409*I409</f>
        <v>432000</v>
      </c>
      <c r="L409" s="151"/>
      <c r="M409" s="74"/>
      <c r="N409" s="74"/>
      <c r="O409" s="74"/>
      <c r="P409" s="21"/>
    </row>
    <row r="410" spans="1:16" ht="15.75" hidden="1" x14ac:dyDescent="0.2">
      <c r="A410" s="72"/>
      <c r="B410" s="75" t="s">
        <v>28</v>
      </c>
      <c r="C410" s="74" t="s">
        <v>11</v>
      </c>
      <c r="D410" s="74">
        <v>1</v>
      </c>
      <c r="E410" s="74">
        <f>unskilled</f>
        <v>780</v>
      </c>
      <c r="F410" s="74">
        <f>E410*D410</f>
        <v>780</v>
      </c>
      <c r="G410" s="75" t="s">
        <v>569</v>
      </c>
      <c r="H410" s="74"/>
      <c r="I410" s="74"/>
      <c r="J410" s="74"/>
      <c r="K410" s="74">
        <f>5%*K409</f>
        <v>21600</v>
      </c>
      <c r="L410" s="75"/>
      <c r="M410" s="74"/>
      <c r="N410" s="74"/>
      <c r="O410" s="74"/>
      <c r="P410" s="21"/>
    </row>
    <row r="411" spans="1:16" ht="15.75" hidden="1" x14ac:dyDescent="0.2">
      <c r="A411" s="1005" t="s">
        <v>34</v>
      </c>
      <c r="B411" s="1006"/>
      <c r="C411" s="1006"/>
      <c r="D411" s="1006"/>
      <c r="E411" s="1006"/>
      <c r="F411" s="73">
        <f>SUM(F409:F410)</f>
        <v>1880</v>
      </c>
      <c r="G411" s="1006" t="s">
        <v>35</v>
      </c>
      <c r="H411" s="1006"/>
      <c r="I411" s="1006"/>
      <c r="J411" s="1006"/>
      <c r="K411" s="73">
        <f>SUM(K409:K410)</f>
        <v>453600</v>
      </c>
      <c r="L411" s="1006" t="s">
        <v>36</v>
      </c>
      <c r="M411" s="1006"/>
      <c r="N411" s="1006"/>
      <c r="O411" s="1006"/>
      <c r="P411" s="61">
        <f>SUM(P409:P410)</f>
        <v>0</v>
      </c>
    </row>
    <row r="412" spans="1:16" ht="15.75" hidden="1" x14ac:dyDescent="0.2">
      <c r="A412" s="1005" t="s">
        <v>487</v>
      </c>
      <c r="B412" s="1006"/>
      <c r="C412" s="1006"/>
      <c r="D412" s="1006"/>
      <c r="E412" s="1006"/>
      <c r="F412" s="74">
        <f>SUM(F411+K411+P411)</f>
        <v>455480</v>
      </c>
      <c r="G412" s="1006"/>
      <c r="H412" s="1006"/>
      <c r="I412" s="1006"/>
      <c r="J412" s="1006"/>
      <c r="K412" s="1006"/>
      <c r="L412" s="74"/>
      <c r="M412" s="1032"/>
      <c r="N412" s="1032"/>
      <c r="O412" s="1032"/>
      <c r="P412" s="24"/>
    </row>
    <row r="413" spans="1:16" ht="16.5" hidden="1" thickBot="1" x14ac:dyDescent="0.25">
      <c r="A413" s="82"/>
      <c r="B413" s="999" t="s">
        <v>110</v>
      </c>
      <c r="C413" s="999"/>
      <c r="D413" s="999"/>
      <c r="E413" s="999"/>
      <c r="F413" s="17">
        <f>15%*F412</f>
        <v>68322</v>
      </c>
      <c r="G413" s="83"/>
      <c r="H413" s="83"/>
      <c r="I413" s="83"/>
      <c r="J413" s="83"/>
      <c r="K413" s="83"/>
      <c r="L413" s="17"/>
      <c r="M413" s="295"/>
      <c r="N413" s="1000" t="s">
        <v>53</v>
      </c>
      <c r="O413" s="1000"/>
      <c r="P413" s="18">
        <f>(F413+F412)/P406</f>
        <v>43650.17</v>
      </c>
    </row>
    <row r="414" spans="1:16" ht="15.75" hidden="1" x14ac:dyDescent="0.2">
      <c r="A414" s="301"/>
      <c r="B414" s="301"/>
      <c r="C414" s="301"/>
      <c r="D414" s="301"/>
      <c r="E414" s="301"/>
      <c r="F414" s="51"/>
      <c r="G414" s="301"/>
      <c r="H414" s="301"/>
      <c r="I414" s="301"/>
      <c r="J414" s="301"/>
      <c r="K414" s="301"/>
      <c r="L414" s="51"/>
      <c r="M414" s="303"/>
      <c r="N414" s="303"/>
      <c r="O414" s="303"/>
      <c r="P414" s="47"/>
    </row>
    <row r="415" spans="1:16" ht="16.5" hidden="1" thickBot="1" x14ac:dyDescent="0.25">
      <c r="A415" s="271" t="s">
        <v>550</v>
      </c>
      <c r="B415" s="301"/>
      <c r="C415" s="301"/>
      <c r="D415" s="301"/>
      <c r="E415" s="301"/>
      <c r="F415" s="51"/>
      <c r="G415" s="301"/>
      <c r="H415" s="301"/>
      <c r="I415" s="301"/>
      <c r="J415" s="301"/>
      <c r="K415" s="301"/>
      <c r="L415" s="51"/>
      <c r="M415" s="303"/>
      <c r="N415" s="303"/>
      <c r="O415" s="303"/>
      <c r="P415" s="47"/>
    </row>
    <row r="416" spans="1:16" ht="15.6" hidden="1" customHeight="1" x14ac:dyDescent="0.2">
      <c r="A416" s="310" t="s">
        <v>29</v>
      </c>
      <c r="B416" s="310"/>
      <c r="C416" s="988" t="s">
        <v>551</v>
      </c>
      <c r="D416" s="988"/>
      <c r="E416" s="988"/>
      <c r="F416" s="988"/>
      <c r="G416" s="988"/>
      <c r="H416" s="988"/>
      <c r="I416" s="988"/>
      <c r="J416" s="988"/>
      <c r="K416" s="988"/>
      <c r="L416" s="988"/>
      <c r="M416" s="988"/>
      <c r="N416" s="988"/>
      <c r="O416" s="988"/>
      <c r="P416" s="274" t="s">
        <v>435</v>
      </c>
    </row>
    <row r="417" spans="1:16" ht="30.6" hidden="1" customHeight="1" x14ac:dyDescent="0.2">
      <c r="A417" s="1011" t="s">
        <v>547</v>
      </c>
      <c r="B417" s="1012"/>
      <c r="C417" s="1024"/>
      <c r="D417" s="1024"/>
      <c r="E417" s="1024"/>
      <c r="F417" s="1024"/>
      <c r="G417" s="1024"/>
      <c r="H417" s="1024"/>
      <c r="I417" s="1024"/>
      <c r="J417" s="1024"/>
      <c r="K417" s="1024"/>
      <c r="L417" s="1024"/>
      <c r="M417" s="1024"/>
      <c r="N417" s="1024"/>
      <c r="O417" s="1024"/>
      <c r="P417" s="275">
        <v>12</v>
      </c>
    </row>
    <row r="418" spans="1:16" ht="15.75" hidden="1" x14ac:dyDescent="0.2">
      <c r="A418" s="1001" t="s">
        <v>30</v>
      </c>
      <c r="B418" s="1003" t="s">
        <v>31</v>
      </c>
      <c r="C418" s="1003"/>
      <c r="D418" s="1003"/>
      <c r="E418" s="1003"/>
      <c r="F418" s="1003"/>
      <c r="G418" s="1003" t="s">
        <v>32</v>
      </c>
      <c r="H418" s="1003"/>
      <c r="I418" s="1003"/>
      <c r="J418" s="1003"/>
      <c r="K418" s="1003"/>
      <c r="L418" s="1003" t="s">
        <v>33</v>
      </c>
      <c r="M418" s="1003"/>
      <c r="N418" s="1003"/>
      <c r="O418" s="1003"/>
      <c r="P418" s="1004"/>
    </row>
    <row r="419" spans="1:16" ht="15.75" hidden="1" x14ac:dyDescent="0.2">
      <c r="A419" s="1002"/>
      <c r="B419" s="79" t="s">
        <v>8</v>
      </c>
      <c r="C419" s="79" t="s">
        <v>7</v>
      </c>
      <c r="D419" s="79" t="s">
        <v>9</v>
      </c>
      <c r="E419" s="79" t="s">
        <v>19</v>
      </c>
      <c r="F419" s="79" t="s">
        <v>20</v>
      </c>
      <c r="G419" s="79" t="s">
        <v>8</v>
      </c>
      <c r="H419" s="79" t="s">
        <v>7</v>
      </c>
      <c r="I419" s="79" t="s">
        <v>9</v>
      </c>
      <c r="J419" s="79" t="s">
        <v>19</v>
      </c>
      <c r="K419" s="79" t="s">
        <v>20</v>
      </c>
      <c r="L419" s="79" t="s">
        <v>8</v>
      </c>
      <c r="M419" s="79" t="s">
        <v>7</v>
      </c>
      <c r="N419" s="79" t="s">
        <v>9</v>
      </c>
      <c r="O419" s="79" t="s">
        <v>19</v>
      </c>
      <c r="P419" s="24" t="s">
        <v>20</v>
      </c>
    </row>
    <row r="420" spans="1:16" ht="31.5" hidden="1" x14ac:dyDescent="0.2">
      <c r="A420" s="72">
        <v>19.899999999999999</v>
      </c>
      <c r="B420" s="75" t="s">
        <v>18</v>
      </c>
      <c r="C420" s="74" t="s">
        <v>11</v>
      </c>
      <c r="D420" s="74">
        <v>1</v>
      </c>
      <c r="E420" s="74">
        <f>skilled</f>
        <v>1100</v>
      </c>
      <c r="F420" s="74">
        <f>E420*D420</f>
        <v>1100</v>
      </c>
      <c r="G420" s="151" t="s">
        <v>945</v>
      </c>
      <c r="H420" s="74" t="s">
        <v>50</v>
      </c>
      <c r="I420" s="74">
        <v>446</v>
      </c>
      <c r="J420" s="74">
        <f>angle100mm</f>
        <v>116.67</v>
      </c>
      <c r="K420" s="74">
        <f>J420*I420</f>
        <v>52034.82</v>
      </c>
      <c r="L420" s="151"/>
      <c r="M420" s="74"/>
      <c r="N420" s="74"/>
      <c r="O420" s="74"/>
      <c r="P420" s="21"/>
    </row>
    <row r="421" spans="1:16" ht="15.75" hidden="1" x14ac:dyDescent="0.2">
      <c r="A421" s="72"/>
      <c r="B421" s="75" t="s">
        <v>28</v>
      </c>
      <c r="C421" s="74" t="s">
        <v>11</v>
      </c>
      <c r="D421" s="74">
        <v>1</v>
      </c>
      <c r="E421" s="74">
        <f>unskilled</f>
        <v>780</v>
      </c>
      <c r="F421" s="74">
        <f>E421*D421</f>
        <v>780</v>
      </c>
      <c r="G421" s="75" t="s">
        <v>570</v>
      </c>
      <c r="H421" s="74"/>
      <c r="I421" s="74"/>
      <c r="J421" s="74"/>
      <c r="K421" s="74">
        <f>5%*K420</f>
        <v>2601.7399999999998</v>
      </c>
      <c r="L421" s="75"/>
      <c r="M421" s="74"/>
      <c r="N421" s="74"/>
      <c r="O421" s="74"/>
      <c r="P421" s="21"/>
    </row>
    <row r="422" spans="1:16" ht="173.25" hidden="1" x14ac:dyDescent="0.2">
      <c r="A422" s="72"/>
      <c r="B422" s="75"/>
      <c r="C422" s="74"/>
      <c r="D422" s="74"/>
      <c r="E422" s="74"/>
      <c r="F422" s="74"/>
      <c r="G422" s="151" t="s">
        <v>552</v>
      </c>
      <c r="H422" s="74" t="s">
        <v>17</v>
      </c>
      <c r="I422" s="74">
        <v>12</v>
      </c>
      <c r="J422" s="74">
        <f>compressiveseal</f>
        <v>18000</v>
      </c>
      <c r="K422" s="74">
        <f>J422*I422</f>
        <v>216000</v>
      </c>
      <c r="L422" s="75"/>
      <c r="M422" s="74"/>
      <c r="N422" s="74"/>
      <c r="O422" s="74"/>
      <c r="P422" s="21"/>
    </row>
    <row r="423" spans="1:16" ht="30.6" hidden="1" customHeight="1" x14ac:dyDescent="0.2">
      <c r="A423" s="72"/>
      <c r="B423" s="75"/>
      <c r="C423" s="74"/>
      <c r="D423" s="74"/>
      <c r="E423" s="74"/>
      <c r="F423" s="74"/>
      <c r="G423" s="1082" t="s">
        <v>553</v>
      </c>
      <c r="H423" s="1083"/>
      <c r="I423" s="1083"/>
      <c r="J423" s="1084"/>
      <c r="K423" s="74">
        <f>1%*K422</f>
        <v>2160</v>
      </c>
      <c r="L423" s="75"/>
      <c r="M423" s="74"/>
      <c r="N423" s="74"/>
      <c r="O423" s="74"/>
      <c r="P423" s="21"/>
    </row>
    <row r="424" spans="1:16" ht="15.75" hidden="1" x14ac:dyDescent="0.2">
      <c r="A424" s="1005" t="s">
        <v>34</v>
      </c>
      <c r="B424" s="1006"/>
      <c r="C424" s="1006"/>
      <c r="D424" s="1006"/>
      <c r="E424" s="1006"/>
      <c r="F424" s="73">
        <f>SUM(F420:F421)</f>
        <v>1880</v>
      </c>
      <c r="G424" s="1006" t="s">
        <v>35</v>
      </c>
      <c r="H424" s="1006"/>
      <c r="I424" s="1006"/>
      <c r="J424" s="1006"/>
      <c r="K424" s="73">
        <f>SUM(K420:K423)</f>
        <v>272796.56</v>
      </c>
      <c r="L424" s="1006" t="s">
        <v>36</v>
      </c>
      <c r="M424" s="1006"/>
      <c r="N424" s="1006"/>
      <c r="O424" s="1006"/>
      <c r="P424" s="61">
        <f>SUM(P420:P421)</f>
        <v>0</v>
      </c>
    </row>
    <row r="425" spans="1:16" ht="15.75" hidden="1" x14ac:dyDescent="0.2">
      <c r="A425" s="1005" t="s">
        <v>487</v>
      </c>
      <c r="B425" s="1006"/>
      <c r="C425" s="1006"/>
      <c r="D425" s="1006"/>
      <c r="E425" s="1006"/>
      <c r="F425" s="74">
        <f>SUM(F424+K424+P424)</f>
        <v>274676.56</v>
      </c>
      <c r="G425" s="1006"/>
      <c r="H425" s="1006"/>
      <c r="I425" s="1006"/>
      <c r="J425" s="1006"/>
      <c r="K425" s="1006"/>
      <c r="L425" s="74"/>
      <c r="M425" s="1032"/>
      <c r="N425" s="1032"/>
      <c r="O425" s="1032"/>
      <c r="P425" s="24"/>
    </row>
    <row r="426" spans="1:16" ht="16.5" hidden="1" thickBot="1" x14ac:dyDescent="0.25">
      <c r="A426" s="82"/>
      <c r="B426" s="999" t="s">
        <v>110</v>
      </c>
      <c r="C426" s="999"/>
      <c r="D426" s="999"/>
      <c r="E426" s="999"/>
      <c r="F426" s="17">
        <f>15%*F425</f>
        <v>41201.480000000003</v>
      </c>
      <c r="G426" s="83"/>
      <c r="H426" s="83"/>
      <c r="I426" s="83"/>
      <c r="J426" s="83"/>
      <c r="K426" s="83"/>
      <c r="L426" s="17"/>
      <c r="M426" s="295"/>
      <c r="N426" s="1000" t="s">
        <v>53</v>
      </c>
      <c r="O426" s="1000"/>
      <c r="P426" s="18">
        <f>(F426+F425)/P417</f>
        <v>26323.17</v>
      </c>
    </row>
    <row r="427" spans="1:16" ht="15.75" hidden="1" x14ac:dyDescent="0.2">
      <c r="A427" s="301"/>
      <c r="B427" s="301"/>
      <c r="C427" s="301"/>
      <c r="D427" s="301"/>
      <c r="E427" s="301"/>
      <c r="F427" s="51"/>
      <c r="G427" s="301"/>
      <c r="H427" s="301"/>
      <c r="I427" s="301"/>
      <c r="J427" s="301"/>
      <c r="K427" s="301"/>
      <c r="L427" s="51"/>
      <c r="M427" s="303"/>
      <c r="N427" s="303"/>
      <c r="O427" s="303"/>
      <c r="P427" s="47"/>
    </row>
    <row r="428" spans="1:16" ht="16.5" thickBot="1" x14ac:dyDescent="0.25">
      <c r="A428" s="271" t="s">
        <v>554</v>
      </c>
      <c r="B428" s="301"/>
      <c r="C428" s="301"/>
      <c r="D428" s="301"/>
      <c r="E428" s="301"/>
      <c r="F428" s="51"/>
      <c r="G428" s="301"/>
      <c r="H428" s="301"/>
      <c r="I428" s="301"/>
      <c r="J428" s="301"/>
      <c r="K428" s="301"/>
      <c r="L428" s="51"/>
      <c r="M428" s="303"/>
      <c r="N428" s="303"/>
      <c r="O428" s="303"/>
      <c r="P428" s="47"/>
    </row>
    <row r="429" spans="1:16" ht="15.6" customHeight="1" x14ac:dyDescent="0.2">
      <c r="A429" s="310" t="s">
        <v>29</v>
      </c>
      <c r="B429" s="310"/>
      <c r="C429" s="988" t="s">
        <v>555</v>
      </c>
      <c r="D429" s="988"/>
      <c r="E429" s="988"/>
      <c r="F429" s="988"/>
      <c r="G429" s="988"/>
      <c r="H429" s="988"/>
      <c r="I429" s="988"/>
      <c r="J429" s="988"/>
      <c r="K429" s="988"/>
      <c r="L429" s="988"/>
      <c r="M429" s="988"/>
      <c r="N429" s="988"/>
      <c r="O429" s="988"/>
      <c r="P429" s="274" t="s">
        <v>435</v>
      </c>
    </row>
    <row r="430" spans="1:16" ht="15.75" x14ac:dyDescent="0.2">
      <c r="A430" s="1011" t="s">
        <v>547</v>
      </c>
      <c r="B430" s="1012"/>
      <c r="C430" s="1024"/>
      <c r="D430" s="1024"/>
      <c r="E430" s="1024"/>
      <c r="F430" s="1024"/>
      <c r="G430" s="1024"/>
      <c r="H430" s="1024"/>
      <c r="I430" s="1024"/>
      <c r="J430" s="1024"/>
      <c r="K430" s="1024"/>
      <c r="L430" s="1024"/>
      <c r="M430" s="1024"/>
      <c r="N430" s="1024"/>
      <c r="O430" s="1024"/>
      <c r="P430" s="275">
        <v>12</v>
      </c>
    </row>
    <row r="431" spans="1:16" ht="15.75" x14ac:dyDescent="0.2">
      <c r="A431" s="1001" t="s">
        <v>30</v>
      </c>
      <c r="B431" s="1003" t="s">
        <v>31</v>
      </c>
      <c r="C431" s="1003"/>
      <c r="D431" s="1003"/>
      <c r="E431" s="1003"/>
      <c r="F431" s="1003"/>
      <c r="G431" s="1003" t="s">
        <v>32</v>
      </c>
      <c r="H431" s="1003"/>
      <c r="I431" s="1003"/>
      <c r="J431" s="1003"/>
      <c r="K431" s="1003"/>
      <c r="L431" s="1003" t="s">
        <v>33</v>
      </c>
      <c r="M431" s="1003"/>
      <c r="N431" s="1003"/>
      <c r="O431" s="1003"/>
      <c r="P431" s="1004"/>
    </row>
    <row r="432" spans="1:16" ht="15.75" x14ac:dyDescent="0.2">
      <c r="A432" s="1002"/>
      <c r="B432" s="79" t="s">
        <v>8</v>
      </c>
      <c r="C432" s="79" t="s">
        <v>7</v>
      </c>
      <c r="D432" s="79" t="s">
        <v>9</v>
      </c>
      <c r="E432" s="79" t="s">
        <v>19</v>
      </c>
      <c r="F432" s="79" t="s">
        <v>20</v>
      </c>
      <c r="G432" s="79" t="s">
        <v>8</v>
      </c>
      <c r="H432" s="79" t="s">
        <v>7</v>
      </c>
      <c r="I432" s="79" t="s">
        <v>9</v>
      </c>
      <c r="J432" s="79" t="s">
        <v>19</v>
      </c>
      <c r="K432" s="79" t="s">
        <v>20</v>
      </c>
      <c r="L432" s="79" t="s">
        <v>8</v>
      </c>
      <c r="M432" s="79" t="s">
        <v>7</v>
      </c>
      <c r="N432" s="79" t="s">
        <v>9</v>
      </c>
      <c r="O432" s="79" t="s">
        <v>19</v>
      </c>
      <c r="P432" s="24" t="s">
        <v>20</v>
      </c>
    </row>
    <row r="433" spans="1:16" ht="94.5" x14ac:dyDescent="0.2">
      <c r="A433" s="72">
        <v>19.100000000000001</v>
      </c>
      <c r="B433" s="75" t="s">
        <v>18</v>
      </c>
      <c r="C433" s="74" t="s">
        <v>11</v>
      </c>
      <c r="D433" s="74">
        <v>1</v>
      </c>
      <c r="E433" s="74">
        <f>skilled</f>
        <v>1100</v>
      </c>
      <c r="F433" s="74">
        <f>E433*D433</f>
        <v>1100</v>
      </c>
      <c r="G433" s="151" t="s">
        <v>571</v>
      </c>
      <c r="H433" s="74" t="s">
        <v>17</v>
      </c>
      <c r="I433" s="74">
        <v>12</v>
      </c>
      <c r="J433" s="74">
        <f>stripsealexpansionjoint</f>
        <v>15788.3</v>
      </c>
      <c r="K433" s="74">
        <f>J433*I433</f>
        <v>189459.6</v>
      </c>
      <c r="L433" s="151"/>
      <c r="M433" s="74"/>
      <c r="N433" s="74"/>
      <c r="O433" s="74"/>
      <c r="P433" s="21"/>
    </row>
    <row r="434" spans="1:16" ht="15.75" x14ac:dyDescent="0.2">
      <c r="A434" s="72"/>
      <c r="B434" s="75" t="s">
        <v>28</v>
      </c>
      <c r="C434" s="74" t="s">
        <v>11</v>
      </c>
      <c r="D434" s="74">
        <v>1</v>
      </c>
      <c r="E434" s="74">
        <f>unskilled</f>
        <v>780</v>
      </c>
      <c r="F434" s="74">
        <f>E434*D434</f>
        <v>780</v>
      </c>
      <c r="G434" s="75" t="s">
        <v>570</v>
      </c>
      <c r="H434" s="74"/>
      <c r="I434" s="74"/>
      <c r="J434" s="74"/>
      <c r="K434" s="74">
        <f>5%*K433</f>
        <v>9472.98</v>
      </c>
      <c r="L434" s="75"/>
      <c r="M434" s="74"/>
      <c r="N434" s="74"/>
      <c r="O434" s="74"/>
      <c r="P434" s="21"/>
    </row>
    <row r="435" spans="1:16" ht="15.75" x14ac:dyDescent="0.2">
      <c r="A435" s="1005" t="s">
        <v>34</v>
      </c>
      <c r="B435" s="1006"/>
      <c r="C435" s="1006"/>
      <c r="D435" s="1006"/>
      <c r="E435" s="1006"/>
      <c r="F435" s="73">
        <f>SUM(F433:F434)</f>
        <v>1880</v>
      </c>
      <c r="G435" s="1006" t="s">
        <v>35</v>
      </c>
      <c r="H435" s="1006"/>
      <c r="I435" s="1006"/>
      <c r="J435" s="1006"/>
      <c r="K435" s="73">
        <f>SUM(K433:K434)</f>
        <v>198932.58</v>
      </c>
      <c r="L435" s="1006" t="s">
        <v>36</v>
      </c>
      <c r="M435" s="1006"/>
      <c r="N435" s="1006"/>
      <c r="O435" s="1006"/>
      <c r="P435" s="61">
        <f>SUM(P433:P434)</f>
        <v>0</v>
      </c>
    </row>
    <row r="436" spans="1:16" ht="15.75" x14ac:dyDescent="0.2">
      <c r="A436" s="1005" t="s">
        <v>487</v>
      </c>
      <c r="B436" s="1006"/>
      <c r="C436" s="1006"/>
      <c r="D436" s="1006"/>
      <c r="E436" s="1006"/>
      <c r="F436" s="74">
        <f>SUM(F435+K435+P435)</f>
        <v>200812.58</v>
      </c>
      <c r="G436" s="1006"/>
      <c r="H436" s="1006"/>
      <c r="I436" s="1006"/>
      <c r="J436" s="1006"/>
      <c r="K436" s="1006"/>
      <c r="L436" s="74"/>
      <c r="M436" s="1032"/>
      <c r="N436" s="1032"/>
      <c r="O436" s="1032"/>
      <c r="P436" s="24"/>
    </row>
    <row r="437" spans="1:16" ht="16.5" thickBot="1" x14ac:dyDescent="0.25">
      <c r="A437" s="82"/>
      <c r="B437" s="999" t="s">
        <v>110</v>
      </c>
      <c r="C437" s="999"/>
      <c r="D437" s="999"/>
      <c r="E437" s="999"/>
      <c r="F437" s="17">
        <f>15%*F436</f>
        <v>30121.89</v>
      </c>
      <c r="G437" s="83"/>
      <c r="H437" s="83"/>
      <c r="I437" s="83"/>
      <c r="J437" s="83"/>
      <c r="K437" s="83"/>
      <c r="L437" s="17"/>
      <c r="M437" s="295"/>
      <c r="N437" s="1000" t="s">
        <v>53</v>
      </c>
      <c r="O437" s="1000"/>
      <c r="P437" s="18">
        <f>(F437+F436)/P430</f>
        <v>19244.54</v>
      </c>
    </row>
    <row r="438" spans="1:16" ht="15.75" x14ac:dyDescent="0.2">
      <c r="A438" s="301"/>
      <c r="B438" s="301"/>
      <c r="C438" s="301"/>
      <c r="D438" s="301"/>
      <c r="E438" s="301"/>
      <c r="F438" s="51"/>
      <c r="G438" s="301"/>
      <c r="H438" s="301"/>
      <c r="I438" s="301"/>
      <c r="J438" s="301"/>
      <c r="K438" s="301"/>
      <c r="L438" s="51"/>
      <c r="M438" s="303"/>
      <c r="N438" s="303"/>
      <c r="O438" s="303"/>
      <c r="P438" s="47"/>
    </row>
    <row r="439" spans="1:16" ht="15.75" x14ac:dyDescent="0.2">
      <c r="A439" s="1009" t="s">
        <v>556</v>
      </c>
      <c r="B439" s="1009"/>
      <c r="C439" s="1009"/>
      <c r="D439" s="1009"/>
      <c r="E439" s="1009"/>
      <c r="F439" s="1009"/>
      <c r="G439" s="1009"/>
      <c r="H439" s="1009"/>
      <c r="I439" s="1009"/>
      <c r="J439" s="1009"/>
      <c r="K439" s="1009"/>
      <c r="L439" s="1009"/>
      <c r="M439" s="1009"/>
      <c r="N439" s="1009"/>
      <c r="O439" s="1009"/>
      <c r="P439" s="1009"/>
    </row>
    <row r="440" spans="1:16" ht="15.75" x14ac:dyDescent="0.2">
      <c r="A440" s="1009" t="s">
        <v>557</v>
      </c>
      <c r="B440" s="1009"/>
      <c r="C440" s="1009"/>
      <c r="D440" s="1009"/>
      <c r="E440" s="1009"/>
      <c r="F440" s="1009"/>
      <c r="G440" s="1009"/>
      <c r="H440" s="1009"/>
      <c r="I440" s="1009"/>
      <c r="J440" s="1009"/>
      <c r="K440" s="1009"/>
      <c r="L440" s="1009"/>
      <c r="M440" s="1009"/>
      <c r="N440" s="1009"/>
      <c r="O440" s="1009"/>
      <c r="P440" s="1009"/>
    </row>
    <row r="441" spans="1:16" ht="16.5" thickBot="1" x14ac:dyDescent="0.25">
      <c r="A441" s="53" t="s">
        <v>98</v>
      </c>
      <c r="B441" s="53"/>
      <c r="C441" s="53"/>
      <c r="D441" s="19"/>
      <c r="E441" s="19"/>
      <c r="F441" s="19"/>
      <c r="G441" s="19"/>
      <c r="H441" s="19"/>
      <c r="I441" s="19"/>
      <c r="J441" s="19"/>
      <c r="K441" s="19"/>
      <c r="L441" s="19"/>
      <c r="M441" s="19"/>
      <c r="N441" s="19"/>
      <c r="O441" s="19"/>
      <c r="P441" s="19"/>
    </row>
    <row r="442" spans="1:16" ht="15.75" x14ac:dyDescent="0.2">
      <c r="A442" s="986" t="s">
        <v>29</v>
      </c>
      <c r="B442" s="987"/>
      <c r="C442" s="988" t="s">
        <v>601</v>
      </c>
      <c r="D442" s="988"/>
      <c r="E442" s="988"/>
      <c r="F442" s="988"/>
      <c r="G442" s="988"/>
      <c r="H442" s="988"/>
      <c r="I442" s="988"/>
      <c r="J442" s="988"/>
      <c r="K442" s="988"/>
      <c r="L442" s="988"/>
      <c r="M442" s="988"/>
      <c r="N442" s="988"/>
      <c r="O442" s="988"/>
      <c r="P442" s="274" t="s">
        <v>433</v>
      </c>
    </row>
    <row r="443" spans="1:16" ht="15.75" x14ac:dyDescent="0.2">
      <c r="A443" s="991" t="s">
        <v>2</v>
      </c>
      <c r="B443" s="992"/>
      <c r="C443" s="1024"/>
      <c r="D443" s="1024"/>
      <c r="E443" s="1024"/>
      <c r="F443" s="1024"/>
      <c r="G443" s="1024"/>
      <c r="H443" s="1024"/>
      <c r="I443" s="1024"/>
      <c r="J443" s="1024"/>
      <c r="K443" s="1024"/>
      <c r="L443" s="1024"/>
      <c r="M443" s="1024"/>
      <c r="N443" s="1024"/>
      <c r="O443" s="1024"/>
      <c r="P443" s="275">
        <v>15</v>
      </c>
    </row>
    <row r="444" spans="1:16" ht="15.75" x14ac:dyDescent="0.2">
      <c r="A444" s="1001" t="s">
        <v>30</v>
      </c>
      <c r="B444" s="1003" t="s">
        <v>31</v>
      </c>
      <c r="C444" s="1003"/>
      <c r="D444" s="1003"/>
      <c r="E444" s="1003"/>
      <c r="F444" s="1003"/>
      <c r="G444" s="1003" t="s">
        <v>32</v>
      </c>
      <c r="H444" s="1003"/>
      <c r="I444" s="1003"/>
      <c r="J444" s="1003"/>
      <c r="K444" s="1003"/>
      <c r="L444" s="1003" t="s">
        <v>33</v>
      </c>
      <c r="M444" s="1003"/>
      <c r="N444" s="1003"/>
      <c r="O444" s="1003"/>
      <c r="P444" s="1004"/>
    </row>
    <row r="445" spans="1:16" ht="15.75" x14ac:dyDescent="0.2">
      <c r="A445" s="1002"/>
      <c r="B445" s="79" t="s">
        <v>8</v>
      </c>
      <c r="C445" s="79" t="s">
        <v>7</v>
      </c>
      <c r="D445" s="79" t="s">
        <v>9</v>
      </c>
      <c r="E445" s="79" t="s">
        <v>19</v>
      </c>
      <c r="F445" s="79" t="s">
        <v>20</v>
      </c>
      <c r="G445" s="79" t="s">
        <v>8</v>
      </c>
      <c r="H445" s="79" t="s">
        <v>7</v>
      </c>
      <c r="I445" s="79" t="s">
        <v>9</v>
      </c>
      <c r="J445" s="79" t="s">
        <v>19</v>
      </c>
      <c r="K445" s="79" t="s">
        <v>20</v>
      </c>
      <c r="L445" s="79" t="s">
        <v>8</v>
      </c>
      <c r="M445" s="79" t="s">
        <v>7</v>
      </c>
      <c r="N445" s="79" t="s">
        <v>9</v>
      </c>
      <c r="O445" s="79" t="s">
        <v>19</v>
      </c>
      <c r="P445" s="24" t="s">
        <v>20</v>
      </c>
    </row>
    <row r="446" spans="1:16" ht="18.75" x14ac:dyDescent="0.2">
      <c r="A446" s="397">
        <v>20.100000000000001</v>
      </c>
      <c r="B446" s="75" t="s">
        <v>16</v>
      </c>
      <c r="C446" s="74" t="s">
        <v>11</v>
      </c>
      <c r="D446" s="74">
        <v>2</v>
      </c>
      <c r="E446" s="74">
        <f>skilled</f>
        <v>1100</v>
      </c>
      <c r="F446" s="74">
        <f>D446*E446</f>
        <v>2200</v>
      </c>
      <c r="G446" s="75" t="s">
        <v>198</v>
      </c>
      <c r="H446" s="74" t="s">
        <v>165</v>
      </c>
      <c r="I446" s="74">
        <v>13.5</v>
      </c>
      <c r="J446" s="74">
        <f>aggregate40mm</f>
        <v>1585.97</v>
      </c>
      <c r="K446" s="74">
        <f>I446*J446</f>
        <v>21410.6</v>
      </c>
      <c r="L446" s="151" t="s">
        <v>163</v>
      </c>
      <c r="M446" s="74" t="s">
        <v>13</v>
      </c>
      <c r="N446" s="74">
        <v>6</v>
      </c>
      <c r="O446" s="74">
        <f>mixermachine</f>
        <v>333</v>
      </c>
      <c r="P446" s="21">
        <f>N446*O446</f>
        <v>1998</v>
      </c>
    </row>
    <row r="447" spans="1:16" ht="18.75" x14ac:dyDescent="0.2">
      <c r="A447" s="313"/>
      <c r="B447" s="75" t="s">
        <v>28</v>
      </c>
      <c r="C447" s="74" t="s">
        <v>11</v>
      </c>
      <c r="D447" s="74">
        <v>22</v>
      </c>
      <c r="E447" s="74">
        <f>unskilled</f>
        <v>780</v>
      </c>
      <c r="F447" s="74">
        <f>D447*E447</f>
        <v>17160</v>
      </c>
      <c r="G447" s="75" t="s">
        <v>572</v>
      </c>
      <c r="H447" s="74" t="s">
        <v>165</v>
      </c>
      <c r="I447" s="74">
        <v>6.75</v>
      </c>
      <c r="J447" s="74">
        <f>sand</f>
        <v>2001.47</v>
      </c>
      <c r="K447" s="74">
        <f>I447*J447</f>
        <v>13509.92</v>
      </c>
      <c r="L447" s="75" t="s">
        <v>3</v>
      </c>
      <c r="M447" s="74" t="s">
        <v>13</v>
      </c>
      <c r="N447" s="74">
        <v>6</v>
      </c>
      <c r="O447" s="74">
        <f>electricgenerator</f>
        <v>785</v>
      </c>
      <c r="P447" s="21">
        <f>N447*O447</f>
        <v>4710</v>
      </c>
    </row>
    <row r="448" spans="1:16" ht="15.75" x14ac:dyDescent="0.2">
      <c r="A448" s="313"/>
      <c r="B448" s="75"/>
      <c r="C448" s="74"/>
      <c r="D448" s="74"/>
      <c r="E448" s="74"/>
      <c r="F448" s="74"/>
      <c r="G448" s="75" t="s">
        <v>24</v>
      </c>
      <c r="H448" s="74" t="s">
        <v>132</v>
      </c>
      <c r="I448" s="74">
        <v>3.45</v>
      </c>
      <c r="J448" s="74">
        <f>cement</f>
        <v>15631</v>
      </c>
      <c r="K448" s="74">
        <f>I448*J448</f>
        <v>53926.95</v>
      </c>
      <c r="L448" s="151"/>
      <c r="M448" s="74"/>
      <c r="N448" s="74"/>
      <c r="O448" s="74"/>
      <c r="P448" s="21"/>
    </row>
    <row r="449" spans="1:16" ht="15.75" x14ac:dyDescent="0.2">
      <c r="A449" s="313"/>
      <c r="B449" s="75"/>
      <c r="C449" s="74"/>
      <c r="D449" s="74"/>
      <c r="E449" s="74"/>
      <c r="F449" s="74"/>
      <c r="G449" s="75" t="s">
        <v>173</v>
      </c>
      <c r="H449" s="74" t="s">
        <v>474</v>
      </c>
      <c r="I449" s="74">
        <v>2</v>
      </c>
      <c r="J449" s="74">
        <f>water*1000</f>
        <v>410</v>
      </c>
      <c r="K449" s="74">
        <f>I449*J449</f>
        <v>820</v>
      </c>
      <c r="L449" s="75"/>
      <c r="M449" s="74"/>
      <c r="N449" s="74"/>
      <c r="O449" s="74"/>
      <c r="P449" s="21"/>
    </row>
    <row r="450" spans="1:16" ht="12.75" customHeight="1" x14ac:dyDescent="0.2">
      <c r="A450" s="1005" t="s">
        <v>34</v>
      </c>
      <c r="B450" s="1006"/>
      <c r="C450" s="1006"/>
      <c r="D450" s="1006"/>
      <c r="E450" s="1006"/>
      <c r="F450" s="73">
        <f>SUM(F446:F447)</f>
        <v>19360</v>
      </c>
      <c r="G450" s="1006" t="s">
        <v>35</v>
      </c>
      <c r="H450" s="1006"/>
      <c r="I450" s="1006"/>
      <c r="J450" s="1006"/>
      <c r="K450" s="73">
        <f>SUM(K446:K449)</f>
        <v>89667.47</v>
      </c>
      <c r="L450" s="1006" t="s">
        <v>36</v>
      </c>
      <c r="M450" s="1006"/>
      <c r="N450" s="1006"/>
      <c r="O450" s="1006"/>
      <c r="P450" s="61">
        <f>SUM(P446:P447)</f>
        <v>6708</v>
      </c>
    </row>
    <row r="451" spans="1:16" ht="15.75" x14ac:dyDescent="0.2">
      <c r="A451" s="1005" t="s">
        <v>487</v>
      </c>
      <c r="B451" s="1006"/>
      <c r="C451" s="1006"/>
      <c r="D451" s="1006"/>
      <c r="E451" s="1006"/>
      <c r="F451" s="73">
        <f>F450+K450+P450</f>
        <v>115735.47</v>
      </c>
      <c r="G451" s="150"/>
      <c r="H451" s="150"/>
      <c r="I451" s="150"/>
      <c r="J451" s="150"/>
      <c r="K451" s="73"/>
      <c r="L451" s="150"/>
      <c r="M451" s="150"/>
      <c r="N451" s="150"/>
      <c r="O451" s="150"/>
      <c r="P451" s="61"/>
    </row>
    <row r="452" spans="1:16" ht="17.25" customHeight="1" thickBot="1" x14ac:dyDescent="0.25">
      <c r="A452" s="1085" t="s">
        <v>110</v>
      </c>
      <c r="B452" s="999"/>
      <c r="C452" s="999"/>
      <c r="D452" s="999"/>
      <c r="E452" s="999"/>
      <c r="F452" s="17">
        <f>F451*15%</f>
        <v>17360.32</v>
      </c>
      <c r="G452" s="316"/>
      <c r="H452" s="316"/>
      <c r="I452" s="316"/>
      <c r="J452" s="316"/>
      <c r="K452" s="316"/>
      <c r="L452" s="17"/>
      <c r="M452" s="295"/>
      <c r="N452" s="1000" t="s">
        <v>53</v>
      </c>
      <c r="O452" s="1000"/>
      <c r="P452" s="18">
        <f>(F452+F451)/P443</f>
        <v>8873.0499999999993</v>
      </c>
    </row>
    <row r="453" spans="1:16" ht="16.5" thickBot="1" x14ac:dyDescent="0.25">
      <c r="A453" s="48"/>
      <c r="B453" s="58"/>
      <c r="C453" s="48"/>
      <c r="D453" s="48"/>
      <c r="E453" s="48"/>
      <c r="F453" s="48"/>
      <c r="G453" s="48"/>
      <c r="H453" s="48"/>
      <c r="I453" s="48"/>
      <c r="J453" s="48"/>
      <c r="K453" s="48"/>
      <c r="L453" s="48"/>
      <c r="M453" s="48"/>
      <c r="N453" s="48"/>
      <c r="O453" s="48"/>
      <c r="P453" s="48"/>
    </row>
    <row r="454" spans="1:16" ht="15.75" hidden="1" x14ac:dyDescent="0.2">
      <c r="A454" s="986" t="s">
        <v>29</v>
      </c>
      <c r="B454" s="987"/>
      <c r="C454" s="988" t="s">
        <v>602</v>
      </c>
      <c r="D454" s="988"/>
      <c r="E454" s="988"/>
      <c r="F454" s="988"/>
      <c r="G454" s="988"/>
      <c r="H454" s="988"/>
      <c r="I454" s="988"/>
      <c r="J454" s="988"/>
      <c r="K454" s="988"/>
      <c r="L454" s="988"/>
      <c r="M454" s="988"/>
      <c r="N454" s="988"/>
      <c r="O454" s="988"/>
      <c r="P454" s="274" t="s">
        <v>433</v>
      </c>
    </row>
    <row r="455" spans="1:16" ht="16.5" hidden="1" customHeight="1" x14ac:dyDescent="0.2">
      <c r="A455" s="991" t="s">
        <v>90</v>
      </c>
      <c r="B455" s="992"/>
      <c r="C455" s="1024"/>
      <c r="D455" s="1024"/>
      <c r="E455" s="1024"/>
      <c r="F455" s="1024"/>
      <c r="G455" s="1024"/>
      <c r="H455" s="1024"/>
      <c r="I455" s="1024"/>
      <c r="J455" s="1024"/>
      <c r="K455" s="1024"/>
      <c r="L455" s="1024"/>
      <c r="M455" s="1024"/>
      <c r="N455" s="1024"/>
      <c r="O455" s="1024"/>
      <c r="P455" s="275">
        <v>15</v>
      </c>
    </row>
    <row r="456" spans="1:16" ht="12.75" hidden="1" customHeight="1" x14ac:dyDescent="0.2">
      <c r="A456" s="1001" t="s">
        <v>30</v>
      </c>
      <c r="B456" s="1003" t="s">
        <v>31</v>
      </c>
      <c r="C456" s="1003"/>
      <c r="D456" s="1003"/>
      <c r="E456" s="1003"/>
      <c r="F456" s="1003"/>
      <c r="G456" s="1003" t="s">
        <v>32</v>
      </c>
      <c r="H456" s="1003"/>
      <c r="I456" s="1003"/>
      <c r="J456" s="1003"/>
      <c r="K456" s="1003"/>
      <c r="L456" s="1003" t="s">
        <v>33</v>
      </c>
      <c r="M456" s="1003"/>
      <c r="N456" s="1003"/>
      <c r="O456" s="1003"/>
      <c r="P456" s="1004"/>
    </row>
    <row r="457" spans="1:16" ht="12.75" hidden="1" customHeight="1" x14ac:dyDescent="0.2">
      <c r="A457" s="1002"/>
      <c r="B457" s="79" t="s">
        <v>8</v>
      </c>
      <c r="C457" s="79" t="s">
        <v>7</v>
      </c>
      <c r="D457" s="79" t="s">
        <v>9</v>
      </c>
      <c r="E457" s="79" t="s">
        <v>19</v>
      </c>
      <c r="F457" s="79" t="s">
        <v>20</v>
      </c>
      <c r="G457" s="79" t="s">
        <v>8</v>
      </c>
      <c r="H457" s="79" t="s">
        <v>7</v>
      </c>
      <c r="I457" s="79" t="s">
        <v>9</v>
      </c>
      <c r="J457" s="79" t="s">
        <v>19</v>
      </c>
      <c r="K457" s="79" t="s">
        <v>20</v>
      </c>
      <c r="L457" s="79" t="s">
        <v>8</v>
      </c>
      <c r="M457" s="79" t="s">
        <v>7</v>
      </c>
      <c r="N457" s="79" t="s">
        <v>9</v>
      </c>
      <c r="O457" s="79" t="s">
        <v>19</v>
      </c>
      <c r="P457" s="24" t="s">
        <v>20</v>
      </c>
    </row>
    <row r="458" spans="1:16" ht="15" hidden="1" customHeight="1" x14ac:dyDescent="0.2">
      <c r="A458" s="72" t="s">
        <v>573</v>
      </c>
      <c r="B458" s="75" t="s">
        <v>16</v>
      </c>
      <c r="C458" s="74" t="s">
        <v>11</v>
      </c>
      <c r="D458" s="74">
        <v>3</v>
      </c>
      <c r="E458" s="74">
        <f>skilled</f>
        <v>1100</v>
      </c>
      <c r="F458" s="74">
        <f>D458*E458</f>
        <v>3300</v>
      </c>
      <c r="G458" s="75" t="s">
        <v>24</v>
      </c>
      <c r="H458" s="74" t="s">
        <v>132</v>
      </c>
      <c r="I458" s="74">
        <v>4.13</v>
      </c>
      <c r="J458" s="74">
        <f>cement</f>
        <v>15631</v>
      </c>
      <c r="K458" s="74">
        <f t="shared" ref="K458:K463" si="1">I458*J458</f>
        <v>64556.03</v>
      </c>
      <c r="L458" s="151" t="s">
        <v>163</v>
      </c>
      <c r="M458" s="74" t="s">
        <v>13</v>
      </c>
      <c r="N458" s="74">
        <v>6</v>
      </c>
      <c r="O458" s="74">
        <f>mixermachine</f>
        <v>333</v>
      </c>
      <c r="P458" s="21">
        <f>N458*O458</f>
        <v>1998</v>
      </c>
    </row>
    <row r="459" spans="1:16" ht="18.75" hidden="1" x14ac:dyDescent="0.2">
      <c r="A459" s="72"/>
      <c r="B459" s="75" t="s">
        <v>28</v>
      </c>
      <c r="C459" s="74" t="s">
        <v>11</v>
      </c>
      <c r="D459" s="74">
        <v>30</v>
      </c>
      <c r="E459" s="74">
        <f>unskilled</f>
        <v>780</v>
      </c>
      <c r="F459" s="74">
        <f>D459*E459</f>
        <v>23400</v>
      </c>
      <c r="G459" s="75" t="s">
        <v>164</v>
      </c>
      <c r="H459" s="74" t="s">
        <v>165</v>
      </c>
      <c r="I459" s="74">
        <v>8.1</v>
      </c>
      <c r="J459" s="74">
        <f>aggregate40mm</f>
        <v>1585.97</v>
      </c>
      <c r="K459" s="74">
        <f t="shared" si="1"/>
        <v>12846.36</v>
      </c>
      <c r="L459" s="75" t="s">
        <v>3</v>
      </c>
      <c r="M459" s="74" t="s">
        <v>13</v>
      </c>
      <c r="N459" s="74">
        <v>6</v>
      </c>
      <c r="O459" s="74">
        <f>electricgenerator</f>
        <v>785</v>
      </c>
      <c r="P459" s="21">
        <f>N459*O459</f>
        <v>4710</v>
      </c>
    </row>
    <row r="460" spans="1:16" ht="18.75" hidden="1" x14ac:dyDescent="0.2">
      <c r="A460" s="72"/>
      <c r="B460" s="75"/>
      <c r="C460" s="74"/>
      <c r="D460" s="74"/>
      <c r="E460" s="74"/>
      <c r="F460" s="74"/>
      <c r="G460" s="75" t="s">
        <v>166</v>
      </c>
      <c r="H460" s="74" t="s">
        <v>165</v>
      </c>
      <c r="I460" s="74">
        <v>4.05</v>
      </c>
      <c r="J460" s="74">
        <f>aggregate20mm</f>
        <v>1580.97</v>
      </c>
      <c r="K460" s="74">
        <f t="shared" si="1"/>
        <v>6402.93</v>
      </c>
      <c r="L460" s="151"/>
      <c r="M460" s="74"/>
      <c r="N460" s="74"/>
      <c r="O460" s="74"/>
      <c r="P460" s="21"/>
    </row>
    <row r="461" spans="1:16" ht="18.75" hidden="1" x14ac:dyDescent="0.2">
      <c r="A461" s="72"/>
      <c r="B461" s="75"/>
      <c r="C461" s="74"/>
      <c r="D461" s="74"/>
      <c r="E461" s="74"/>
      <c r="F461" s="74"/>
      <c r="G461" s="75" t="s">
        <v>314</v>
      </c>
      <c r="H461" s="74" t="s">
        <v>165</v>
      </c>
      <c r="I461" s="74">
        <v>1.35</v>
      </c>
      <c r="J461" s="74">
        <f>aggregate10mm</f>
        <v>1420.97</v>
      </c>
      <c r="K461" s="74">
        <f t="shared" si="1"/>
        <v>1918.31</v>
      </c>
      <c r="L461" s="75"/>
      <c r="M461" s="74"/>
      <c r="N461" s="74"/>
      <c r="O461" s="74"/>
      <c r="P461" s="21"/>
    </row>
    <row r="462" spans="1:16" ht="13.5" hidden="1" customHeight="1" x14ac:dyDescent="0.2">
      <c r="A462" s="72"/>
      <c r="B462" s="75"/>
      <c r="C462" s="74"/>
      <c r="D462" s="74"/>
      <c r="E462" s="74"/>
      <c r="F462" s="74"/>
      <c r="G462" s="75" t="s">
        <v>22</v>
      </c>
      <c r="H462" s="74" t="s">
        <v>165</v>
      </c>
      <c r="I462" s="74">
        <v>6.75</v>
      </c>
      <c r="J462" s="74">
        <f>sand</f>
        <v>2001.47</v>
      </c>
      <c r="K462" s="74">
        <f t="shared" si="1"/>
        <v>13509.92</v>
      </c>
      <c r="L462" s="151"/>
      <c r="M462" s="74"/>
      <c r="N462" s="74"/>
      <c r="O462" s="74"/>
      <c r="P462" s="21"/>
    </row>
    <row r="463" spans="1:16" ht="15.75" hidden="1" x14ac:dyDescent="0.2">
      <c r="A463" s="72"/>
      <c r="B463" s="75"/>
      <c r="C463" s="74"/>
      <c r="D463" s="74"/>
      <c r="E463" s="74"/>
      <c r="F463" s="74"/>
      <c r="G463" s="75" t="s">
        <v>26</v>
      </c>
      <c r="H463" s="74" t="s">
        <v>474</v>
      </c>
      <c r="I463" s="74">
        <v>2</v>
      </c>
      <c r="J463" s="74">
        <f>water*1000</f>
        <v>410</v>
      </c>
      <c r="K463" s="74">
        <f t="shared" si="1"/>
        <v>820</v>
      </c>
      <c r="L463" s="75"/>
      <c r="M463" s="74"/>
      <c r="N463" s="74"/>
      <c r="O463" s="74"/>
      <c r="P463" s="21"/>
    </row>
    <row r="464" spans="1:16" ht="17.25" hidden="1" customHeight="1" x14ac:dyDescent="0.2">
      <c r="A464" s="1005" t="s">
        <v>34</v>
      </c>
      <c r="B464" s="1006"/>
      <c r="C464" s="1006"/>
      <c r="D464" s="1006"/>
      <c r="E464" s="1006"/>
      <c r="F464" s="73">
        <f>SUM(F458:F459)</f>
        <v>26700</v>
      </c>
      <c r="G464" s="1006" t="s">
        <v>35</v>
      </c>
      <c r="H464" s="1006"/>
      <c r="I464" s="1006"/>
      <c r="J464" s="1006"/>
      <c r="K464" s="73">
        <f>SUM(K458:K463)</f>
        <v>100053.55</v>
      </c>
      <c r="L464" s="1006" t="s">
        <v>36</v>
      </c>
      <c r="M464" s="1006"/>
      <c r="N464" s="1006"/>
      <c r="O464" s="1006"/>
      <c r="P464" s="61">
        <f>SUM(P458:P459)</f>
        <v>6708</v>
      </c>
    </row>
    <row r="465" spans="1:16" ht="17.25" hidden="1" customHeight="1" x14ac:dyDescent="0.2">
      <c r="A465" s="1005" t="s">
        <v>487</v>
      </c>
      <c r="B465" s="1006"/>
      <c r="C465" s="1006"/>
      <c r="D465" s="1006"/>
      <c r="E465" s="1006"/>
      <c r="F465" s="73">
        <f>F464+K464+P464</f>
        <v>133461.54999999999</v>
      </c>
      <c r="G465" s="150"/>
      <c r="H465" s="150"/>
      <c r="I465" s="150"/>
      <c r="J465" s="150"/>
      <c r="K465" s="73"/>
      <c r="L465" s="150"/>
      <c r="M465" s="150"/>
      <c r="N465" s="150"/>
      <c r="O465" s="150"/>
      <c r="P465" s="61"/>
    </row>
    <row r="466" spans="1:16" ht="16.5" hidden="1" thickBot="1" x14ac:dyDescent="0.25">
      <c r="A466" s="317"/>
      <c r="B466" s="318"/>
      <c r="C466" s="319"/>
      <c r="D466" s="319"/>
      <c r="E466" s="83" t="s">
        <v>110</v>
      </c>
      <c r="F466" s="17">
        <f>15%*F465</f>
        <v>20019.23</v>
      </c>
      <c r="G466" s="294"/>
      <c r="H466" s="294"/>
      <c r="I466" s="294"/>
      <c r="J466" s="294"/>
      <c r="K466" s="17"/>
      <c r="L466" s="17"/>
      <c r="M466" s="295"/>
      <c r="N466" s="1000" t="s">
        <v>53</v>
      </c>
      <c r="O466" s="1000"/>
      <c r="P466" s="18">
        <f>(F465+F466)/P455</f>
        <v>10232.049999999999</v>
      </c>
    </row>
    <row r="467" spans="1:16" ht="16.899999999999999" hidden="1" customHeight="1" thickBot="1" x14ac:dyDescent="0.25">
      <c r="A467" s="320"/>
      <c r="B467" s="321"/>
      <c r="C467" s="322"/>
      <c r="D467" s="322"/>
      <c r="E467" s="322"/>
      <c r="F467" s="48"/>
      <c r="G467" s="48"/>
      <c r="H467" s="48"/>
      <c r="I467" s="48"/>
      <c r="J467" s="48"/>
      <c r="K467" s="48"/>
      <c r="L467" s="48"/>
      <c r="M467" s="48"/>
      <c r="N467" s="48"/>
      <c r="O467" s="48"/>
      <c r="P467" s="48"/>
    </row>
    <row r="468" spans="1:16" ht="15.75" hidden="1" x14ac:dyDescent="0.2">
      <c r="A468" s="986" t="s">
        <v>29</v>
      </c>
      <c r="B468" s="987"/>
      <c r="C468" s="988" t="s">
        <v>603</v>
      </c>
      <c r="D468" s="988"/>
      <c r="E468" s="988"/>
      <c r="F468" s="988"/>
      <c r="G468" s="988"/>
      <c r="H468" s="988"/>
      <c r="I468" s="988"/>
      <c r="J468" s="988"/>
      <c r="K468" s="988"/>
      <c r="L468" s="988"/>
      <c r="M468" s="988"/>
      <c r="N468" s="988"/>
      <c r="O468" s="988"/>
      <c r="P468" s="274" t="s">
        <v>433</v>
      </c>
    </row>
    <row r="469" spans="1:16" ht="15.75" hidden="1" x14ac:dyDescent="0.2">
      <c r="A469" s="991" t="s">
        <v>2</v>
      </c>
      <c r="B469" s="992"/>
      <c r="C469" s="1024"/>
      <c r="D469" s="1024"/>
      <c r="E469" s="1024"/>
      <c r="F469" s="1024"/>
      <c r="G469" s="1024"/>
      <c r="H469" s="1024"/>
      <c r="I469" s="1024"/>
      <c r="J469" s="1024"/>
      <c r="K469" s="1024"/>
      <c r="L469" s="1024"/>
      <c r="M469" s="1024"/>
      <c r="N469" s="1024"/>
      <c r="O469" s="1024"/>
      <c r="P469" s="275">
        <v>15</v>
      </c>
    </row>
    <row r="470" spans="1:16" ht="15.75" hidden="1" x14ac:dyDescent="0.2">
      <c r="A470" s="1001" t="s">
        <v>30</v>
      </c>
      <c r="B470" s="1003" t="s">
        <v>31</v>
      </c>
      <c r="C470" s="1003"/>
      <c r="D470" s="1003"/>
      <c r="E470" s="1003"/>
      <c r="F470" s="1003"/>
      <c r="G470" s="1003" t="s">
        <v>32</v>
      </c>
      <c r="H470" s="1003"/>
      <c r="I470" s="1003"/>
      <c r="J470" s="1003"/>
      <c r="K470" s="1003"/>
      <c r="L470" s="1003" t="s">
        <v>33</v>
      </c>
      <c r="M470" s="1003"/>
      <c r="N470" s="1003"/>
      <c r="O470" s="1003"/>
      <c r="P470" s="1004"/>
    </row>
    <row r="471" spans="1:16" ht="15.75" hidden="1" x14ac:dyDescent="0.2">
      <c r="A471" s="1002"/>
      <c r="B471" s="79" t="s">
        <v>8</v>
      </c>
      <c r="C471" s="79" t="s">
        <v>7</v>
      </c>
      <c r="D471" s="79" t="s">
        <v>9</v>
      </c>
      <c r="E471" s="79" t="s">
        <v>19</v>
      </c>
      <c r="F471" s="79" t="s">
        <v>20</v>
      </c>
      <c r="G471" s="79" t="s">
        <v>8</v>
      </c>
      <c r="H471" s="79" t="s">
        <v>7</v>
      </c>
      <c r="I471" s="79" t="s">
        <v>9</v>
      </c>
      <c r="J471" s="79" t="s">
        <v>19</v>
      </c>
      <c r="K471" s="79" t="s">
        <v>20</v>
      </c>
      <c r="L471" s="79" t="s">
        <v>8</v>
      </c>
      <c r="M471" s="79" t="s">
        <v>7</v>
      </c>
      <c r="N471" s="79" t="s">
        <v>9</v>
      </c>
      <c r="O471" s="79" t="s">
        <v>19</v>
      </c>
      <c r="P471" s="24" t="s">
        <v>20</v>
      </c>
    </row>
    <row r="472" spans="1:16" ht="15.75" hidden="1" x14ac:dyDescent="0.2">
      <c r="A472" s="72" t="s">
        <v>574</v>
      </c>
      <c r="B472" s="75" t="s">
        <v>16</v>
      </c>
      <c r="C472" s="74" t="s">
        <v>11</v>
      </c>
      <c r="D472" s="74">
        <v>3</v>
      </c>
      <c r="E472" s="74">
        <f>skilled</f>
        <v>1100</v>
      </c>
      <c r="F472" s="74">
        <f>D472*E472</f>
        <v>3300</v>
      </c>
      <c r="G472" s="75" t="s">
        <v>24</v>
      </c>
      <c r="H472" s="74" t="s">
        <v>132</v>
      </c>
      <c r="I472" s="74">
        <v>5.21</v>
      </c>
      <c r="J472" s="74">
        <f>cement</f>
        <v>15631</v>
      </c>
      <c r="K472" s="74">
        <f>I472*J472</f>
        <v>81437.509999999995</v>
      </c>
      <c r="L472" s="151" t="s">
        <v>163</v>
      </c>
      <c r="M472" s="74" t="s">
        <v>13</v>
      </c>
      <c r="N472" s="74">
        <v>6</v>
      </c>
      <c r="O472" s="74">
        <f>mixermachine</f>
        <v>333</v>
      </c>
      <c r="P472" s="21">
        <f>N472*O472</f>
        <v>1998</v>
      </c>
    </row>
    <row r="473" spans="1:16" ht="18.75" hidden="1" x14ac:dyDescent="0.2">
      <c r="A473" s="72"/>
      <c r="B473" s="75" t="s">
        <v>28</v>
      </c>
      <c r="C473" s="74" t="s">
        <v>11</v>
      </c>
      <c r="D473" s="74">
        <v>30</v>
      </c>
      <c r="E473" s="74">
        <f>unskilled</f>
        <v>780</v>
      </c>
      <c r="F473" s="74">
        <f>D473*E473</f>
        <v>23400</v>
      </c>
      <c r="G473" s="75" t="s">
        <v>156</v>
      </c>
      <c r="H473" s="74" t="s">
        <v>165</v>
      </c>
      <c r="I473" s="74">
        <v>8.1</v>
      </c>
      <c r="J473" s="74">
        <f>aggregate20mm</f>
        <v>1580.97</v>
      </c>
      <c r="K473" s="74">
        <f>I473*J473</f>
        <v>12805.86</v>
      </c>
      <c r="L473" s="75" t="s">
        <v>3</v>
      </c>
      <c r="M473" s="74" t="s">
        <v>13</v>
      </c>
      <c r="N473" s="74">
        <v>6</v>
      </c>
      <c r="O473" s="74">
        <f>electricgenerator</f>
        <v>785</v>
      </c>
      <c r="P473" s="21">
        <f>N473*O473</f>
        <v>4710</v>
      </c>
    </row>
    <row r="474" spans="1:16" ht="18.75" hidden="1" x14ac:dyDescent="0.2">
      <c r="A474" s="72"/>
      <c r="B474" s="75"/>
      <c r="C474" s="74"/>
      <c r="D474" s="74"/>
      <c r="E474" s="74"/>
      <c r="F474" s="74"/>
      <c r="G474" s="75" t="s">
        <v>199</v>
      </c>
      <c r="H474" s="74" t="s">
        <v>165</v>
      </c>
      <c r="I474" s="74">
        <v>5.4</v>
      </c>
      <c r="J474" s="74">
        <f>aggregate10mm</f>
        <v>1420.97</v>
      </c>
      <c r="K474" s="74">
        <f>I474*J474</f>
        <v>7673.24</v>
      </c>
      <c r="L474" s="151"/>
      <c r="M474" s="74"/>
      <c r="N474" s="74"/>
      <c r="O474" s="74"/>
      <c r="P474" s="21"/>
    </row>
    <row r="475" spans="1:16" ht="18.75" hidden="1" x14ac:dyDescent="0.2">
      <c r="A475" s="72"/>
      <c r="B475" s="75"/>
      <c r="C475" s="74"/>
      <c r="D475" s="74"/>
      <c r="E475" s="74"/>
      <c r="F475" s="74"/>
      <c r="G475" s="75" t="s">
        <v>22</v>
      </c>
      <c r="H475" s="74" t="s">
        <v>165</v>
      </c>
      <c r="I475" s="74">
        <v>6.75</v>
      </c>
      <c r="J475" s="74">
        <f>sand</f>
        <v>2001.47</v>
      </c>
      <c r="K475" s="74">
        <f>I475*J475</f>
        <v>13509.92</v>
      </c>
      <c r="L475" s="75"/>
      <c r="M475" s="74"/>
      <c r="N475" s="74"/>
      <c r="O475" s="74"/>
      <c r="P475" s="21"/>
    </row>
    <row r="476" spans="1:16" ht="15.75" hidden="1" x14ac:dyDescent="0.2">
      <c r="A476" s="72"/>
      <c r="B476" s="75"/>
      <c r="C476" s="74"/>
      <c r="D476" s="74"/>
      <c r="E476" s="74"/>
      <c r="F476" s="74"/>
      <c r="G476" s="75" t="s">
        <v>26</v>
      </c>
      <c r="H476" s="74" t="s">
        <v>474</v>
      </c>
      <c r="I476" s="74">
        <v>2.5</v>
      </c>
      <c r="J476" s="74">
        <f>water*1000</f>
        <v>410</v>
      </c>
      <c r="K476" s="74">
        <f>I476*J476</f>
        <v>1025</v>
      </c>
      <c r="L476" s="151"/>
      <c r="M476" s="74"/>
      <c r="N476" s="74"/>
      <c r="O476" s="74"/>
      <c r="P476" s="21"/>
    </row>
    <row r="477" spans="1:16" ht="15.75" hidden="1" x14ac:dyDescent="0.2">
      <c r="A477" s="1005" t="s">
        <v>34</v>
      </c>
      <c r="B477" s="1006"/>
      <c r="C477" s="1006"/>
      <c r="D477" s="1006"/>
      <c r="E477" s="1006"/>
      <c r="F477" s="73">
        <f>SUM(F472:F473)</f>
        <v>26700</v>
      </c>
      <c r="G477" s="1006" t="s">
        <v>35</v>
      </c>
      <c r="H477" s="1006"/>
      <c r="I477" s="1006"/>
      <c r="J477" s="1006"/>
      <c r="K477" s="73">
        <f>SUM(K472:K476)</f>
        <v>116451.53</v>
      </c>
      <c r="L477" s="1006" t="s">
        <v>36</v>
      </c>
      <c r="M477" s="1006"/>
      <c r="N477" s="1006"/>
      <c r="O477" s="1006"/>
      <c r="P477" s="61">
        <f>SUM(P472:P473)</f>
        <v>6708</v>
      </c>
    </row>
    <row r="478" spans="1:16" ht="15.75" hidden="1" x14ac:dyDescent="0.2">
      <c r="A478" s="149"/>
      <c r="B478" s="1006" t="s">
        <v>487</v>
      </c>
      <c r="C478" s="1006"/>
      <c r="D478" s="1006"/>
      <c r="E478" s="1006"/>
      <c r="F478" s="73">
        <f>F477+K477+P477</f>
        <v>149859.53</v>
      </c>
      <c r="G478" s="150"/>
      <c r="H478" s="150"/>
      <c r="I478" s="150"/>
      <c r="J478" s="150"/>
      <c r="K478" s="73"/>
      <c r="L478" s="150"/>
      <c r="M478" s="150"/>
      <c r="N478" s="150"/>
      <c r="O478" s="150"/>
      <c r="P478" s="61"/>
    </row>
    <row r="479" spans="1:16" ht="16.5" hidden="1" thickBot="1" x14ac:dyDescent="0.25">
      <c r="A479" s="323"/>
      <c r="B479" s="17"/>
      <c r="C479" s="17"/>
      <c r="D479" s="17"/>
      <c r="E479" s="83" t="s">
        <v>110</v>
      </c>
      <c r="F479" s="17">
        <f>15%*F478</f>
        <v>22478.93</v>
      </c>
      <c r="G479" s="316"/>
      <c r="H479" s="294"/>
      <c r="I479" s="294"/>
      <c r="J479" s="294"/>
      <c r="K479" s="17"/>
      <c r="L479" s="17"/>
      <c r="M479" s="295"/>
      <c r="N479" s="1000" t="s">
        <v>53</v>
      </c>
      <c r="O479" s="1000"/>
      <c r="P479" s="18">
        <f>(F478+F479)/P469</f>
        <v>11489.23</v>
      </c>
    </row>
    <row r="480" spans="1:16" ht="16.5" hidden="1" thickBot="1" x14ac:dyDescent="0.25">
      <c r="A480" s="320"/>
      <c r="B480" s="324"/>
      <c r="C480" s="48"/>
      <c r="D480" s="48"/>
      <c r="E480" s="48"/>
      <c r="F480" s="48"/>
      <c r="G480" s="48"/>
      <c r="H480" s="48"/>
      <c r="I480" s="48"/>
      <c r="J480" s="48"/>
      <c r="K480" s="48"/>
      <c r="L480" s="48"/>
      <c r="M480" s="48"/>
      <c r="N480" s="48"/>
      <c r="O480" s="48"/>
      <c r="P480" s="48"/>
    </row>
    <row r="481" spans="1:16" ht="15.75" x14ac:dyDescent="0.2">
      <c r="A481" s="986" t="s">
        <v>29</v>
      </c>
      <c r="B481" s="987"/>
      <c r="C481" s="988" t="s">
        <v>1118</v>
      </c>
      <c r="D481" s="988"/>
      <c r="E481" s="988"/>
      <c r="F481" s="988"/>
      <c r="G481" s="988"/>
      <c r="H481" s="988"/>
      <c r="I481" s="988"/>
      <c r="J481" s="988"/>
      <c r="K481" s="988"/>
      <c r="L481" s="988"/>
      <c r="M481" s="988"/>
      <c r="N481" s="988"/>
      <c r="O481" s="988"/>
      <c r="P481" s="274" t="s">
        <v>433</v>
      </c>
    </row>
    <row r="482" spans="1:16" ht="15.75" x14ac:dyDescent="0.2">
      <c r="A482" s="991" t="s">
        <v>2</v>
      </c>
      <c r="B482" s="992"/>
      <c r="C482" s="1024"/>
      <c r="D482" s="1024"/>
      <c r="E482" s="1024"/>
      <c r="F482" s="1024"/>
      <c r="G482" s="1024"/>
      <c r="H482" s="1024"/>
      <c r="I482" s="1024"/>
      <c r="J482" s="1024"/>
      <c r="K482" s="1024"/>
      <c r="L482" s="1024"/>
      <c r="M482" s="1024"/>
      <c r="N482" s="1024"/>
      <c r="O482" s="1024"/>
      <c r="P482" s="275">
        <v>15</v>
      </c>
    </row>
    <row r="483" spans="1:16" ht="15.75" x14ac:dyDescent="0.2">
      <c r="A483" s="1001" t="s">
        <v>30</v>
      </c>
      <c r="B483" s="1003" t="s">
        <v>31</v>
      </c>
      <c r="C483" s="1003"/>
      <c r="D483" s="1003"/>
      <c r="E483" s="1003"/>
      <c r="F483" s="1003"/>
      <c r="G483" s="1003" t="s">
        <v>32</v>
      </c>
      <c r="H483" s="1003"/>
      <c r="I483" s="1003"/>
      <c r="J483" s="1003"/>
      <c r="K483" s="1003"/>
      <c r="L483" s="1003" t="s">
        <v>33</v>
      </c>
      <c r="M483" s="1003"/>
      <c r="N483" s="1003"/>
      <c r="O483" s="1003"/>
      <c r="P483" s="1004"/>
    </row>
    <row r="484" spans="1:16" ht="15.75" x14ac:dyDescent="0.2">
      <c r="A484" s="1002"/>
      <c r="B484" s="79" t="s">
        <v>8</v>
      </c>
      <c r="C484" s="79" t="s">
        <v>7</v>
      </c>
      <c r="D484" s="79" t="s">
        <v>9</v>
      </c>
      <c r="E484" s="79" t="s">
        <v>19</v>
      </c>
      <c r="F484" s="79" t="s">
        <v>20</v>
      </c>
      <c r="G484" s="79" t="s">
        <v>8</v>
      </c>
      <c r="H484" s="79" t="s">
        <v>7</v>
      </c>
      <c r="I484" s="79" t="s">
        <v>9</v>
      </c>
      <c r="J484" s="79" t="s">
        <v>19</v>
      </c>
      <c r="K484" s="79" t="s">
        <v>20</v>
      </c>
      <c r="L484" s="79" t="s">
        <v>8</v>
      </c>
      <c r="M484" s="79" t="s">
        <v>7</v>
      </c>
      <c r="N484" s="79" t="s">
        <v>9</v>
      </c>
      <c r="O484" s="79" t="s">
        <v>19</v>
      </c>
      <c r="P484" s="24" t="s">
        <v>20</v>
      </c>
    </row>
    <row r="485" spans="1:16" ht="15.75" x14ac:dyDescent="0.2">
      <c r="A485" s="72" t="s">
        <v>1114</v>
      </c>
      <c r="B485" s="75" t="s">
        <v>16</v>
      </c>
      <c r="C485" s="74" t="s">
        <v>11</v>
      </c>
      <c r="D485" s="74">
        <v>3</v>
      </c>
      <c r="E485" s="74">
        <f>skilled</f>
        <v>1100</v>
      </c>
      <c r="F485" s="74">
        <f>D485*E485</f>
        <v>3300</v>
      </c>
      <c r="G485" s="75" t="s">
        <v>24</v>
      </c>
      <c r="H485" s="74" t="s">
        <v>132</v>
      </c>
      <c r="I485" s="74">
        <v>5.16</v>
      </c>
      <c r="J485" s="74">
        <f>cement</f>
        <v>15631</v>
      </c>
      <c r="K485" s="74">
        <f t="shared" ref="K485:K490" si="2">I485*J485</f>
        <v>80655.960000000006</v>
      </c>
      <c r="L485" s="151" t="s">
        <v>163</v>
      </c>
      <c r="M485" s="74" t="s">
        <v>13</v>
      </c>
      <c r="N485" s="74">
        <v>6</v>
      </c>
      <c r="O485" s="74">
        <f>mixermachine</f>
        <v>333</v>
      </c>
      <c r="P485" s="21">
        <f>N485*O485</f>
        <v>1998</v>
      </c>
    </row>
    <row r="486" spans="1:16" ht="18.75" x14ac:dyDescent="0.2">
      <c r="A486" s="72"/>
      <c r="B486" s="75" t="s">
        <v>28</v>
      </c>
      <c r="C486" s="74" t="s">
        <v>11</v>
      </c>
      <c r="D486" s="74">
        <v>30</v>
      </c>
      <c r="E486" s="74">
        <f>unskilled</f>
        <v>780</v>
      </c>
      <c r="F486" s="74">
        <f>D486*E486</f>
        <v>23400</v>
      </c>
      <c r="G486" s="75" t="s">
        <v>1117</v>
      </c>
      <c r="H486" s="74" t="s">
        <v>165</v>
      </c>
      <c r="I486" s="74">
        <v>5.4</v>
      </c>
      <c r="J486" s="74">
        <f>aggregate40mm</f>
        <v>1585.97</v>
      </c>
      <c r="K486" s="74">
        <f t="shared" si="2"/>
        <v>8564.24</v>
      </c>
      <c r="L486" s="75" t="s">
        <v>3</v>
      </c>
      <c r="M486" s="74" t="s">
        <v>13</v>
      </c>
      <c r="N486" s="74">
        <v>6</v>
      </c>
      <c r="O486" s="74">
        <f>electricgenerator</f>
        <v>785</v>
      </c>
      <c r="P486" s="21">
        <f>N486*O486</f>
        <v>4710</v>
      </c>
    </row>
    <row r="487" spans="1:16" ht="18.75" x14ac:dyDescent="0.2">
      <c r="A487" s="72"/>
      <c r="B487" s="75"/>
      <c r="C487" s="74"/>
      <c r="D487" s="74"/>
      <c r="E487" s="74"/>
      <c r="F487" s="74"/>
      <c r="G487" s="75" t="s">
        <v>156</v>
      </c>
      <c r="H487" s="74" t="s">
        <v>165</v>
      </c>
      <c r="I487" s="74">
        <v>5.4</v>
      </c>
      <c r="J487" s="74">
        <f>aggregate20mm</f>
        <v>1580.97</v>
      </c>
      <c r="K487" s="74">
        <f t="shared" si="2"/>
        <v>8537.24</v>
      </c>
      <c r="L487" s="151"/>
      <c r="M487" s="74"/>
      <c r="N487" s="74"/>
      <c r="O487" s="74"/>
      <c r="P487" s="21"/>
    </row>
    <row r="488" spans="1:16" ht="18.75" x14ac:dyDescent="0.2">
      <c r="A488" s="72"/>
      <c r="B488" s="75"/>
      <c r="C488" s="74"/>
      <c r="D488" s="74"/>
      <c r="E488" s="74"/>
      <c r="F488" s="74"/>
      <c r="G488" s="75" t="s">
        <v>199</v>
      </c>
      <c r="H488" s="74" t="s">
        <v>165</v>
      </c>
      <c r="I488" s="74">
        <v>2.7</v>
      </c>
      <c r="J488" s="74">
        <f>aggregate10mm</f>
        <v>1420.97</v>
      </c>
      <c r="K488" s="74">
        <f t="shared" si="2"/>
        <v>3836.62</v>
      </c>
      <c r="L488" s="75"/>
      <c r="M488" s="74"/>
      <c r="N488" s="74"/>
      <c r="O488" s="74"/>
      <c r="P488" s="21"/>
    </row>
    <row r="489" spans="1:16" ht="18.75" x14ac:dyDescent="0.2">
      <c r="A489" s="72"/>
      <c r="B489" s="75"/>
      <c r="C489" s="74"/>
      <c r="D489" s="74"/>
      <c r="E489" s="74"/>
      <c r="F489" s="74"/>
      <c r="G489" s="75" t="s">
        <v>22</v>
      </c>
      <c r="H489" s="74" t="s">
        <v>165</v>
      </c>
      <c r="I489" s="74">
        <v>6.75</v>
      </c>
      <c r="J489" s="74">
        <f>sand</f>
        <v>2001.47</v>
      </c>
      <c r="K489" s="74">
        <f t="shared" si="2"/>
        <v>13509.92</v>
      </c>
      <c r="L489" s="151"/>
      <c r="M489" s="74"/>
      <c r="N489" s="74"/>
      <c r="O489" s="74"/>
      <c r="P489" s="21"/>
    </row>
    <row r="490" spans="1:16" ht="15.75" x14ac:dyDescent="0.2">
      <c r="A490" s="72"/>
      <c r="B490" s="75"/>
      <c r="C490" s="74"/>
      <c r="D490" s="74"/>
      <c r="E490" s="74"/>
      <c r="F490" s="74"/>
      <c r="G490" s="75" t="s">
        <v>26</v>
      </c>
      <c r="H490" s="74" t="s">
        <v>474</v>
      </c>
      <c r="I490" s="74">
        <v>2.5</v>
      </c>
      <c r="J490" s="74">
        <f>water*1000</f>
        <v>410</v>
      </c>
      <c r="K490" s="74">
        <f t="shared" si="2"/>
        <v>1025</v>
      </c>
      <c r="L490" s="151"/>
      <c r="M490" s="74"/>
      <c r="N490" s="74"/>
      <c r="O490" s="74"/>
      <c r="P490" s="21"/>
    </row>
    <row r="491" spans="1:16" ht="15.75" x14ac:dyDescent="0.2">
      <c r="A491" s="1005" t="s">
        <v>34</v>
      </c>
      <c r="B491" s="1006"/>
      <c r="C491" s="1006"/>
      <c r="D491" s="1006"/>
      <c r="E491" s="1006"/>
      <c r="F491" s="73">
        <f>SUM(F485:F486)</f>
        <v>26700</v>
      </c>
      <c r="G491" s="1006" t="s">
        <v>35</v>
      </c>
      <c r="H491" s="1006"/>
      <c r="I491" s="1006"/>
      <c r="J491" s="1006"/>
      <c r="K491" s="73">
        <f>SUM(K485:K490)</f>
        <v>116128.98</v>
      </c>
      <c r="L491" s="1006" t="s">
        <v>36</v>
      </c>
      <c r="M491" s="1006"/>
      <c r="N491" s="1006"/>
      <c r="O491" s="1006"/>
      <c r="P491" s="61">
        <f>SUM(P485:P486)</f>
        <v>6708</v>
      </c>
    </row>
    <row r="492" spans="1:16" ht="15.75" x14ac:dyDescent="0.2">
      <c r="A492" s="149"/>
      <c r="B492" s="1006" t="s">
        <v>487</v>
      </c>
      <c r="C492" s="1006"/>
      <c r="D492" s="1006"/>
      <c r="E492" s="1006"/>
      <c r="F492" s="73">
        <f>F491+K491+P491</f>
        <v>149536.98000000001</v>
      </c>
      <c r="G492" s="150"/>
      <c r="H492" s="150"/>
      <c r="I492" s="150"/>
      <c r="J492" s="150"/>
      <c r="K492" s="73"/>
      <c r="L492" s="150"/>
      <c r="M492" s="150"/>
      <c r="N492" s="150"/>
      <c r="O492" s="150"/>
      <c r="P492" s="61"/>
    </row>
    <row r="493" spans="1:16" ht="15.75" x14ac:dyDescent="0.2">
      <c r="A493" s="149"/>
      <c r="C493" s="150"/>
      <c r="D493" s="150"/>
      <c r="E493" s="150" t="s">
        <v>1116</v>
      </c>
      <c r="F493" s="73">
        <f>10%*F492</f>
        <v>14953.7</v>
      </c>
      <c r="G493" s="150"/>
      <c r="H493" s="150"/>
      <c r="I493" s="150"/>
      <c r="J493" s="150"/>
      <c r="K493" s="73"/>
      <c r="L493" s="150"/>
      <c r="M493" s="150"/>
      <c r="N493" s="150"/>
      <c r="O493" s="150"/>
      <c r="P493" s="61"/>
    </row>
    <row r="494" spans="1:16" ht="16.5" thickBot="1" x14ac:dyDescent="0.25">
      <c r="A494" s="323"/>
      <c r="B494" s="17"/>
      <c r="C494" s="17"/>
      <c r="D494" s="17"/>
      <c r="E494" s="83" t="s">
        <v>110</v>
      </c>
      <c r="F494" s="17">
        <f>(F493+F492)*15%</f>
        <v>24673.599999999999</v>
      </c>
      <c r="G494" s="316"/>
      <c r="H494" s="294"/>
      <c r="I494" s="294"/>
      <c r="J494" s="294"/>
      <c r="K494" s="17"/>
      <c r="L494" s="17"/>
      <c r="M494" s="295"/>
      <c r="N494" s="1000" t="s">
        <v>53</v>
      </c>
      <c r="O494" s="1000"/>
      <c r="P494" s="18">
        <f>(F494+F493+F492)/P482</f>
        <v>12610.95</v>
      </c>
    </row>
    <row r="495" spans="1:16" ht="16.5" hidden="1" thickBot="1" x14ac:dyDescent="0.25">
      <c r="A495" s="320"/>
      <c r="B495" s="324"/>
      <c r="C495" s="48"/>
      <c r="D495" s="48"/>
      <c r="E495" s="48"/>
      <c r="F495" s="48"/>
      <c r="G495" s="48"/>
      <c r="H495" s="48"/>
      <c r="I495" s="48"/>
      <c r="J495" s="48"/>
      <c r="K495" s="48"/>
      <c r="L495" s="48"/>
      <c r="M495" s="48"/>
      <c r="N495" s="48"/>
      <c r="O495" s="48"/>
      <c r="P495" s="48"/>
    </row>
    <row r="496" spans="1:16" ht="15.75" hidden="1" x14ac:dyDescent="0.2">
      <c r="A496" s="986" t="s">
        <v>29</v>
      </c>
      <c r="B496" s="987"/>
      <c r="C496" s="988" t="s">
        <v>604</v>
      </c>
      <c r="D496" s="988"/>
      <c r="E496" s="988"/>
      <c r="F496" s="988"/>
      <c r="G496" s="988"/>
      <c r="H496" s="988"/>
      <c r="I496" s="988"/>
      <c r="J496" s="988"/>
      <c r="K496" s="988"/>
      <c r="L496" s="988"/>
      <c r="M496" s="988"/>
      <c r="N496" s="988"/>
      <c r="O496" s="988"/>
      <c r="P496" s="274" t="s">
        <v>433</v>
      </c>
    </row>
    <row r="497" spans="1:16" ht="15.75" hidden="1" x14ac:dyDescent="0.2">
      <c r="A497" s="991" t="s">
        <v>2</v>
      </c>
      <c r="B497" s="992"/>
      <c r="C497" s="1024"/>
      <c r="D497" s="1024"/>
      <c r="E497" s="1024"/>
      <c r="F497" s="1024"/>
      <c r="G497" s="1024"/>
      <c r="H497" s="1024"/>
      <c r="I497" s="1024"/>
      <c r="J497" s="1024"/>
      <c r="K497" s="1024"/>
      <c r="L497" s="1024"/>
      <c r="M497" s="1024"/>
      <c r="N497" s="1024"/>
      <c r="O497" s="1024"/>
      <c r="P497" s="275">
        <v>15</v>
      </c>
    </row>
    <row r="498" spans="1:16" ht="15.75" hidden="1" x14ac:dyDescent="0.2">
      <c r="A498" s="1001" t="s">
        <v>30</v>
      </c>
      <c r="B498" s="1003" t="s">
        <v>31</v>
      </c>
      <c r="C498" s="1003"/>
      <c r="D498" s="1003"/>
      <c r="E498" s="1003"/>
      <c r="F498" s="1003"/>
      <c r="G498" s="1003" t="s">
        <v>32</v>
      </c>
      <c r="H498" s="1003"/>
      <c r="I498" s="1003"/>
      <c r="J498" s="1003"/>
      <c r="K498" s="1003"/>
      <c r="L498" s="1003" t="s">
        <v>33</v>
      </c>
      <c r="M498" s="1003"/>
      <c r="N498" s="1003"/>
      <c r="O498" s="1003"/>
      <c r="P498" s="1004"/>
    </row>
    <row r="499" spans="1:16" ht="15.75" hidden="1" x14ac:dyDescent="0.2">
      <c r="A499" s="1002"/>
      <c r="B499" s="79" t="s">
        <v>8</v>
      </c>
      <c r="C499" s="79" t="s">
        <v>7</v>
      </c>
      <c r="D499" s="79" t="s">
        <v>9</v>
      </c>
      <c r="E499" s="79" t="s">
        <v>19</v>
      </c>
      <c r="F499" s="79" t="s">
        <v>20</v>
      </c>
      <c r="G499" s="79" t="s">
        <v>8</v>
      </c>
      <c r="H499" s="79" t="s">
        <v>7</v>
      </c>
      <c r="I499" s="79" t="s">
        <v>9</v>
      </c>
      <c r="J499" s="79" t="s">
        <v>19</v>
      </c>
      <c r="K499" s="79" t="s">
        <v>20</v>
      </c>
      <c r="L499" s="79" t="s">
        <v>8</v>
      </c>
      <c r="M499" s="79" t="s">
        <v>7</v>
      </c>
      <c r="N499" s="79" t="s">
        <v>9</v>
      </c>
      <c r="O499" s="79" t="s">
        <v>19</v>
      </c>
      <c r="P499" s="24" t="s">
        <v>20</v>
      </c>
    </row>
    <row r="500" spans="1:16" ht="15.75" hidden="1" x14ac:dyDescent="0.2">
      <c r="A500" s="72" t="s">
        <v>575</v>
      </c>
      <c r="B500" s="75" t="s">
        <v>16</v>
      </c>
      <c r="C500" s="74" t="s">
        <v>11</v>
      </c>
      <c r="D500" s="74">
        <v>3</v>
      </c>
      <c r="E500" s="74">
        <f>skilled</f>
        <v>1100</v>
      </c>
      <c r="F500" s="74">
        <f>D500*E500</f>
        <v>3300</v>
      </c>
      <c r="G500" s="75" t="s">
        <v>24</v>
      </c>
      <c r="H500" s="74" t="s">
        <v>132</v>
      </c>
      <c r="I500" s="74">
        <v>5.21</v>
      </c>
      <c r="J500" s="74">
        <f>cement</f>
        <v>15631</v>
      </c>
      <c r="K500" s="74">
        <f>I500*J500</f>
        <v>81437.509999999995</v>
      </c>
      <c r="L500" s="151" t="s">
        <v>163</v>
      </c>
      <c r="M500" s="74" t="s">
        <v>13</v>
      </c>
      <c r="N500" s="74">
        <v>6</v>
      </c>
      <c r="O500" s="74">
        <f>mixermachine</f>
        <v>333</v>
      </c>
      <c r="P500" s="21">
        <f>N500*O500</f>
        <v>1998</v>
      </c>
    </row>
    <row r="501" spans="1:16" ht="18.75" hidden="1" x14ac:dyDescent="0.2">
      <c r="A501" s="72"/>
      <c r="B501" s="75" t="s">
        <v>28</v>
      </c>
      <c r="C501" s="74" t="s">
        <v>11</v>
      </c>
      <c r="D501" s="74">
        <v>30</v>
      </c>
      <c r="E501" s="74">
        <f>unskilled</f>
        <v>780</v>
      </c>
      <c r="F501" s="74">
        <f>D501*E501</f>
        <v>23400</v>
      </c>
      <c r="G501" s="75" t="s">
        <v>156</v>
      </c>
      <c r="H501" s="74" t="s">
        <v>165</v>
      </c>
      <c r="I501" s="74">
        <v>8.1</v>
      </c>
      <c r="J501" s="74">
        <f>aggregate20mm</f>
        <v>1580.97</v>
      </c>
      <c r="K501" s="74">
        <f>I501*J501</f>
        <v>12805.86</v>
      </c>
      <c r="L501" s="75" t="s">
        <v>3</v>
      </c>
      <c r="M501" s="74" t="s">
        <v>13</v>
      </c>
      <c r="N501" s="74">
        <v>6</v>
      </c>
      <c r="O501" s="74">
        <f>electricgenerator</f>
        <v>785</v>
      </c>
      <c r="P501" s="21">
        <f>N501*O501</f>
        <v>4710</v>
      </c>
    </row>
    <row r="502" spans="1:16" ht="18.75" hidden="1" x14ac:dyDescent="0.2">
      <c r="A502" s="72"/>
      <c r="B502" s="75"/>
      <c r="C502" s="74"/>
      <c r="D502" s="74"/>
      <c r="E502" s="74"/>
      <c r="F502" s="74"/>
      <c r="G502" s="75" t="s">
        <v>199</v>
      </c>
      <c r="H502" s="74" t="s">
        <v>165</v>
      </c>
      <c r="I502" s="74">
        <v>5.4</v>
      </c>
      <c r="J502" s="74">
        <f>aggregate10mm</f>
        <v>1420.97</v>
      </c>
      <c r="K502" s="74">
        <f>I502*J502</f>
        <v>7673.24</v>
      </c>
      <c r="L502" s="151"/>
      <c r="M502" s="74"/>
      <c r="N502" s="74"/>
      <c r="O502" s="74"/>
      <c r="P502" s="21"/>
    </row>
    <row r="503" spans="1:16" ht="18.75" hidden="1" x14ac:dyDescent="0.2">
      <c r="A503" s="72"/>
      <c r="B503" s="75"/>
      <c r="C503" s="74"/>
      <c r="D503" s="74"/>
      <c r="E503" s="74"/>
      <c r="F503" s="74"/>
      <c r="G503" s="75" t="s">
        <v>22</v>
      </c>
      <c r="H503" s="74" t="s">
        <v>165</v>
      </c>
      <c r="I503" s="74">
        <v>6.75</v>
      </c>
      <c r="J503" s="74">
        <f>sand</f>
        <v>2001.47</v>
      </c>
      <c r="K503" s="74">
        <f>I503*J503</f>
        <v>13509.92</v>
      </c>
      <c r="L503" s="75"/>
      <c r="M503" s="74"/>
      <c r="N503" s="74"/>
      <c r="O503" s="74"/>
      <c r="P503" s="21"/>
    </row>
    <row r="504" spans="1:16" ht="15.75" hidden="1" x14ac:dyDescent="0.2">
      <c r="A504" s="72"/>
      <c r="B504" s="75"/>
      <c r="C504" s="74"/>
      <c r="D504" s="74"/>
      <c r="E504" s="74"/>
      <c r="F504" s="74"/>
      <c r="G504" s="75" t="s">
        <v>26</v>
      </c>
      <c r="H504" s="74" t="s">
        <v>474</v>
      </c>
      <c r="I504" s="74">
        <v>2.5</v>
      </c>
      <c r="J504" s="74">
        <f>water*1000</f>
        <v>410</v>
      </c>
      <c r="K504" s="74">
        <f>I504*J504</f>
        <v>1025</v>
      </c>
      <c r="L504" s="151"/>
      <c r="M504" s="74"/>
      <c r="N504" s="74"/>
      <c r="O504" s="74"/>
      <c r="P504" s="21"/>
    </row>
    <row r="505" spans="1:16" ht="15.75" hidden="1" x14ac:dyDescent="0.2">
      <c r="A505" s="1005" t="s">
        <v>34</v>
      </c>
      <c r="B505" s="1006"/>
      <c r="C505" s="1006"/>
      <c r="D505" s="1006"/>
      <c r="E505" s="1006"/>
      <c r="F505" s="73">
        <f>SUM(F500:F501)</f>
        <v>26700</v>
      </c>
      <c r="G505" s="1006" t="s">
        <v>35</v>
      </c>
      <c r="H505" s="1006"/>
      <c r="I505" s="1006"/>
      <c r="J505" s="1006"/>
      <c r="K505" s="73">
        <f>SUM(K500:K504)</f>
        <v>116451.53</v>
      </c>
      <c r="L505" s="1006" t="s">
        <v>36</v>
      </c>
      <c r="M505" s="1006"/>
      <c r="N505" s="1006"/>
      <c r="O505" s="1006"/>
      <c r="P505" s="61">
        <f>SUM(P500:P501)</f>
        <v>6708</v>
      </c>
    </row>
    <row r="506" spans="1:16" ht="15.75" hidden="1" x14ac:dyDescent="0.2">
      <c r="A506" s="149"/>
      <c r="B506" s="1006" t="s">
        <v>487</v>
      </c>
      <c r="C506" s="1006"/>
      <c r="D506" s="1006"/>
      <c r="E506" s="1006"/>
      <c r="F506" s="73">
        <f>F505+K505+P505</f>
        <v>149859.53</v>
      </c>
      <c r="G506" s="150"/>
      <c r="H506" s="150"/>
      <c r="I506" s="150"/>
      <c r="J506" s="150"/>
      <c r="K506" s="73"/>
      <c r="L506" s="150"/>
      <c r="M506" s="150"/>
      <c r="N506" s="150"/>
      <c r="O506" s="150"/>
      <c r="P506" s="61"/>
    </row>
    <row r="507" spans="1:16" ht="15.75" hidden="1" x14ac:dyDescent="0.2">
      <c r="A507" s="149"/>
      <c r="B507" s="75" t="s">
        <v>200</v>
      </c>
      <c r="C507" s="150"/>
      <c r="D507" s="150"/>
      <c r="E507" s="150" t="s">
        <v>21</v>
      </c>
      <c r="F507" s="73">
        <f>2%*F506</f>
        <v>2997.19</v>
      </c>
      <c r="G507" s="150"/>
      <c r="H507" s="150"/>
      <c r="I507" s="150"/>
      <c r="J507" s="150"/>
      <c r="K507" s="73"/>
      <c r="L507" s="150"/>
      <c r="M507" s="150"/>
      <c r="N507" s="150"/>
      <c r="O507" s="150"/>
      <c r="P507" s="61"/>
    </row>
    <row r="508" spans="1:16" ht="16.5" hidden="1" thickBot="1" x14ac:dyDescent="0.25">
      <c r="A508" s="323"/>
      <c r="B508" s="17"/>
      <c r="C508" s="17"/>
      <c r="D508" s="17"/>
      <c r="E508" s="83" t="s">
        <v>110</v>
      </c>
      <c r="F508" s="17">
        <f>(F507+F506)*15%</f>
        <v>22928.51</v>
      </c>
      <c r="G508" s="316"/>
      <c r="H508" s="294"/>
      <c r="I508" s="294"/>
      <c r="J508" s="294"/>
      <c r="K508" s="17"/>
      <c r="L508" s="17"/>
      <c r="M508" s="295"/>
      <c r="N508" s="1000" t="s">
        <v>53</v>
      </c>
      <c r="O508" s="1000"/>
      <c r="P508" s="18">
        <f>(F508+F507+F506)/P497</f>
        <v>11719.02</v>
      </c>
    </row>
    <row r="509" spans="1:16" ht="16.5" hidden="1" thickBot="1" x14ac:dyDescent="0.25">
      <c r="A509" s="320"/>
      <c r="B509" s="324"/>
      <c r="C509" s="48"/>
      <c r="D509" s="48"/>
      <c r="E509" s="48"/>
      <c r="F509" s="48"/>
      <c r="G509" s="48"/>
      <c r="H509" s="48"/>
      <c r="I509" s="48"/>
      <c r="J509" s="48"/>
      <c r="K509" s="48"/>
      <c r="L509" s="48"/>
      <c r="M509" s="48"/>
      <c r="N509" s="48"/>
      <c r="O509" s="48"/>
      <c r="P509" s="48"/>
    </row>
    <row r="510" spans="1:16" ht="15.75" hidden="1" customHeight="1" x14ac:dyDescent="0.2">
      <c r="A510" s="986" t="s">
        <v>29</v>
      </c>
      <c r="B510" s="987"/>
      <c r="C510" s="988" t="s">
        <v>605</v>
      </c>
      <c r="D510" s="988"/>
      <c r="E510" s="988"/>
      <c r="F510" s="988"/>
      <c r="G510" s="988"/>
      <c r="H510" s="988"/>
      <c r="I510" s="988"/>
      <c r="J510" s="988"/>
      <c r="K510" s="988"/>
      <c r="L510" s="988"/>
      <c r="M510" s="988"/>
      <c r="N510" s="988"/>
      <c r="O510" s="988"/>
      <c r="P510" s="274" t="s">
        <v>433</v>
      </c>
    </row>
    <row r="511" spans="1:16" ht="15.75" hidden="1" x14ac:dyDescent="0.2">
      <c r="A511" s="991" t="s">
        <v>90</v>
      </c>
      <c r="B511" s="992"/>
      <c r="C511" s="1024"/>
      <c r="D511" s="1024"/>
      <c r="E511" s="1024"/>
      <c r="F511" s="1024"/>
      <c r="G511" s="1024"/>
      <c r="H511" s="1024"/>
      <c r="I511" s="1024"/>
      <c r="J511" s="1024"/>
      <c r="K511" s="1024"/>
      <c r="L511" s="1024"/>
      <c r="M511" s="1024"/>
      <c r="N511" s="1024"/>
      <c r="O511" s="1024"/>
      <c r="P511" s="275">
        <v>15</v>
      </c>
    </row>
    <row r="512" spans="1:16" ht="13.5" hidden="1" customHeight="1" x14ac:dyDescent="0.2">
      <c r="A512" s="1001" t="s">
        <v>30</v>
      </c>
      <c r="B512" s="1003" t="s">
        <v>31</v>
      </c>
      <c r="C512" s="1003"/>
      <c r="D512" s="1003"/>
      <c r="E512" s="1003"/>
      <c r="F512" s="1003"/>
      <c r="G512" s="1003" t="s">
        <v>32</v>
      </c>
      <c r="H512" s="1003"/>
      <c r="I512" s="1003"/>
      <c r="J512" s="1003"/>
      <c r="K512" s="1003"/>
      <c r="L512" s="1003" t="s">
        <v>33</v>
      </c>
      <c r="M512" s="1003"/>
      <c r="N512" s="1003"/>
      <c r="O512" s="1003"/>
      <c r="P512" s="1004"/>
    </row>
    <row r="513" spans="1:16" ht="15.75" hidden="1" x14ac:dyDescent="0.2">
      <c r="A513" s="1002"/>
      <c r="B513" s="79" t="s">
        <v>8</v>
      </c>
      <c r="C513" s="79" t="s">
        <v>7</v>
      </c>
      <c r="D513" s="79" t="s">
        <v>9</v>
      </c>
      <c r="E513" s="79" t="s">
        <v>19</v>
      </c>
      <c r="F513" s="79" t="s">
        <v>20</v>
      </c>
      <c r="G513" s="79" t="s">
        <v>8</v>
      </c>
      <c r="H513" s="79" t="s">
        <v>7</v>
      </c>
      <c r="I513" s="79" t="s">
        <v>9</v>
      </c>
      <c r="J513" s="79" t="s">
        <v>19</v>
      </c>
      <c r="K513" s="79" t="s">
        <v>20</v>
      </c>
      <c r="L513" s="79" t="s">
        <v>8</v>
      </c>
      <c r="M513" s="79" t="s">
        <v>7</v>
      </c>
      <c r="N513" s="79" t="s">
        <v>9</v>
      </c>
      <c r="O513" s="79" t="s">
        <v>19</v>
      </c>
      <c r="P513" s="24" t="s">
        <v>20</v>
      </c>
    </row>
    <row r="514" spans="1:16" ht="15.75" hidden="1" x14ac:dyDescent="0.2">
      <c r="A514" s="72" t="s">
        <v>576</v>
      </c>
      <c r="B514" s="75" t="s">
        <v>16</v>
      </c>
      <c r="C514" s="74" t="s">
        <v>11</v>
      </c>
      <c r="D514" s="74">
        <v>3</v>
      </c>
      <c r="E514" s="74">
        <f>skilled</f>
        <v>1100</v>
      </c>
      <c r="F514" s="74">
        <f>D514*E514</f>
        <v>3300</v>
      </c>
      <c r="G514" s="75" t="s">
        <v>24</v>
      </c>
      <c r="H514" s="74" t="s">
        <v>132</v>
      </c>
      <c r="I514" s="74">
        <v>6.05</v>
      </c>
      <c r="J514" s="74">
        <f>cement</f>
        <v>15631</v>
      </c>
      <c r="K514" s="74">
        <f t="shared" ref="K514:K519" si="3">I514*J514</f>
        <v>94567.55</v>
      </c>
      <c r="L514" s="151" t="s">
        <v>163</v>
      </c>
      <c r="M514" s="74" t="s">
        <v>13</v>
      </c>
      <c r="N514" s="74">
        <v>6</v>
      </c>
      <c r="O514" s="74">
        <f>mixermachine</f>
        <v>333</v>
      </c>
      <c r="P514" s="21">
        <f>N514*O514</f>
        <v>1998</v>
      </c>
    </row>
    <row r="515" spans="1:16" ht="18.75" hidden="1" x14ac:dyDescent="0.2">
      <c r="A515" s="72"/>
      <c r="B515" s="75" t="s">
        <v>28</v>
      </c>
      <c r="C515" s="74" t="s">
        <v>11</v>
      </c>
      <c r="D515" s="74">
        <v>30</v>
      </c>
      <c r="E515" s="74">
        <f>unskilled</f>
        <v>780</v>
      </c>
      <c r="F515" s="74">
        <f>D515*E515</f>
        <v>23400</v>
      </c>
      <c r="G515" s="75" t="s">
        <v>156</v>
      </c>
      <c r="H515" s="74" t="s">
        <v>165</v>
      </c>
      <c r="I515" s="74">
        <v>8.1</v>
      </c>
      <c r="J515" s="74">
        <f>aggregate20mm</f>
        <v>1580.97</v>
      </c>
      <c r="K515" s="74">
        <f t="shared" si="3"/>
        <v>12805.86</v>
      </c>
      <c r="L515" s="75" t="s">
        <v>3</v>
      </c>
      <c r="M515" s="74" t="s">
        <v>13</v>
      </c>
      <c r="N515" s="74">
        <v>6</v>
      </c>
      <c r="O515" s="74">
        <f>electricgenerator</f>
        <v>785</v>
      </c>
      <c r="P515" s="21">
        <f>N515*O515</f>
        <v>4710</v>
      </c>
    </row>
    <row r="516" spans="1:16" ht="18.75" hidden="1" x14ac:dyDescent="0.2">
      <c r="A516" s="313"/>
      <c r="B516" s="75"/>
      <c r="C516" s="74"/>
      <c r="D516" s="74"/>
      <c r="E516" s="74"/>
      <c r="F516" s="74"/>
      <c r="G516" s="75" t="s">
        <v>199</v>
      </c>
      <c r="H516" s="74" t="s">
        <v>165</v>
      </c>
      <c r="I516" s="74">
        <v>5.4</v>
      </c>
      <c r="J516" s="74">
        <f>aggregate10mm</f>
        <v>1420.97</v>
      </c>
      <c r="K516" s="74">
        <f t="shared" si="3"/>
        <v>7673.24</v>
      </c>
      <c r="L516" s="151"/>
      <c r="M516" s="74"/>
      <c r="N516" s="74"/>
      <c r="O516" s="74"/>
      <c r="P516" s="21"/>
    </row>
    <row r="517" spans="1:16" ht="18.75" hidden="1" x14ac:dyDescent="0.2">
      <c r="A517" s="313"/>
      <c r="B517" s="75"/>
      <c r="C517" s="74"/>
      <c r="D517" s="74"/>
      <c r="E517" s="74"/>
      <c r="F517" s="74"/>
      <c r="G517" s="75" t="s">
        <v>22</v>
      </c>
      <c r="H517" s="74" t="s">
        <v>165</v>
      </c>
      <c r="I517" s="74">
        <v>6.75</v>
      </c>
      <c r="J517" s="74">
        <f>sand</f>
        <v>2001.47</v>
      </c>
      <c r="K517" s="74">
        <f t="shared" si="3"/>
        <v>13509.92</v>
      </c>
      <c r="L517" s="75"/>
      <c r="M517" s="74"/>
      <c r="N517" s="74"/>
      <c r="O517" s="74"/>
      <c r="P517" s="21"/>
    </row>
    <row r="518" spans="1:16" ht="15.75" hidden="1" x14ac:dyDescent="0.2">
      <c r="A518" s="313"/>
      <c r="B518" s="75"/>
      <c r="C518" s="74"/>
      <c r="D518" s="74"/>
      <c r="E518" s="74"/>
      <c r="F518" s="74"/>
      <c r="G518" s="75" t="s">
        <v>26</v>
      </c>
      <c r="H518" s="74" t="s">
        <v>474</v>
      </c>
      <c r="I518" s="74">
        <v>3</v>
      </c>
      <c r="J518" s="74">
        <f>water*1000</f>
        <v>410</v>
      </c>
      <c r="K518" s="74">
        <f t="shared" si="3"/>
        <v>1230</v>
      </c>
      <c r="L518" s="151"/>
      <c r="M518" s="74"/>
      <c r="N518" s="74"/>
      <c r="O518" s="74"/>
      <c r="P518" s="21"/>
    </row>
    <row r="519" spans="1:16" ht="15.75" hidden="1" x14ac:dyDescent="0.2">
      <c r="A519" s="313"/>
      <c r="B519" s="75"/>
      <c r="C519" s="74"/>
      <c r="D519" s="74"/>
      <c r="E519" s="74"/>
      <c r="F519" s="74"/>
      <c r="G519" s="75" t="s">
        <v>153</v>
      </c>
      <c r="H519" s="74" t="s">
        <v>50</v>
      </c>
      <c r="I519" s="74">
        <f>0.4%*I514*1000</f>
        <v>24.2</v>
      </c>
      <c r="J519" s="74">
        <f>admixture</f>
        <v>356.63</v>
      </c>
      <c r="K519" s="74">
        <f t="shared" si="3"/>
        <v>8630.4500000000007</v>
      </c>
      <c r="L519" s="151"/>
      <c r="M519" s="74"/>
      <c r="N519" s="74"/>
      <c r="O519" s="74"/>
      <c r="P519" s="21"/>
    </row>
    <row r="520" spans="1:16" ht="15.75" hidden="1" x14ac:dyDescent="0.2">
      <c r="A520" s="1005" t="s">
        <v>34</v>
      </c>
      <c r="B520" s="1006"/>
      <c r="C520" s="1006"/>
      <c r="D520" s="1006"/>
      <c r="E520" s="1006"/>
      <c r="F520" s="73">
        <f>F514+F515</f>
        <v>26700</v>
      </c>
      <c r="G520" s="1006" t="s">
        <v>35</v>
      </c>
      <c r="H520" s="1006"/>
      <c r="I520" s="1006"/>
      <c r="J520" s="1006"/>
      <c r="K520" s="73">
        <f>SUM(K514:K519)</f>
        <v>138417.01999999999</v>
      </c>
      <c r="L520" s="1006" t="s">
        <v>36</v>
      </c>
      <c r="M520" s="1006"/>
      <c r="N520" s="1006"/>
      <c r="O520" s="1006"/>
      <c r="P520" s="61">
        <f>P514+P515</f>
        <v>6708</v>
      </c>
    </row>
    <row r="521" spans="1:16" ht="15.75" hidden="1" x14ac:dyDescent="0.2">
      <c r="A521" s="149"/>
      <c r="B521" s="150"/>
      <c r="C521" s="1050" t="s">
        <v>487</v>
      </c>
      <c r="D521" s="1050"/>
      <c r="E521" s="1050"/>
      <c r="F521" s="73">
        <f>F520+K520+P520</f>
        <v>171825.02</v>
      </c>
      <c r="G521" s="150"/>
      <c r="H521" s="150"/>
      <c r="I521" s="150"/>
      <c r="J521" s="150"/>
      <c r="K521" s="73"/>
      <c r="L521" s="150"/>
      <c r="M521" s="150"/>
      <c r="N521" s="150"/>
      <c r="O521" s="150"/>
      <c r="P521" s="61"/>
    </row>
    <row r="522" spans="1:16" ht="16.5" hidden="1" thickBot="1" x14ac:dyDescent="0.25">
      <c r="A522" s="325"/>
      <c r="B522" s="294"/>
      <c r="C522" s="294"/>
      <c r="D522" s="294"/>
      <c r="E522" s="83" t="s">
        <v>110</v>
      </c>
      <c r="F522" s="17">
        <f>15%*F521</f>
        <v>25773.75</v>
      </c>
      <c r="G522" s="316"/>
      <c r="H522" s="294"/>
      <c r="I522" s="294"/>
      <c r="J522" s="294"/>
      <c r="K522" s="17"/>
      <c r="L522" s="17"/>
      <c r="M522" s="295"/>
      <c r="N522" s="1000" t="s">
        <v>53</v>
      </c>
      <c r="O522" s="1000"/>
      <c r="P522" s="18">
        <f>(F522+F521)/P511</f>
        <v>13173.25</v>
      </c>
    </row>
    <row r="523" spans="1:16" ht="16.5" hidden="1" thickBot="1" x14ac:dyDescent="0.25">
      <c r="A523" s="326"/>
      <c r="B523" s="327"/>
      <c r="C523" s="327"/>
      <c r="D523" s="327"/>
      <c r="E523" s="327"/>
      <c r="F523" s="48"/>
      <c r="G523" s="327"/>
      <c r="H523" s="327"/>
      <c r="I523" s="327"/>
      <c r="J523" s="327"/>
      <c r="K523" s="54"/>
      <c r="L523" s="48"/>
      <c r="M523" s="328"/>
      <c r="N523" s="328"/>
      <c r="O523" s="328"/>
      <c r="P523" s="49"/>
    </row>
    <row r="524" spans="1:16" ht="15.75" hidden="1" customHeight="1" x14ac:dyDescent="0.2">
      <c r="A524" s="986" t="s">
        <v>29</v>
      </c>
      <c r="B524" s="987"/>
      <c r="C524" s="988" t="s">
        <v>606</v>
      </c>
      <c r="D524" s="988"/>
      <c r="E524" s="988"/>
      <c r="F524" s="988"/>
      <c r="G524" s="988"/>
      <c r="H524" s="988"/>
      <c r="I524" s="988"/>
      <c r="J524" s="988"/>
      <c r="K524" s="988"/>
      <c r="L524" s="988"/>
      <c r="M524" s="988"/>
      <c r="N524" s="988"/>
      <c r="O524" s="988"/>
      <c r="P524" s="274" t="s">
        <v>433</v>
      </c>
    </row>
    <row r="525" spans="1:16" ht="15.75" hidden="1" x14ac:dyDescent="0.2">
      <c r="A525" s="991" t="s">
        <v>90</v>
      </c>
      <c r="B525" s="992"/>
      <c r="C525" s="1024"/>
      <c r="D525" s="1024"/>
      <c r="E525" s="1024"/>
      <c r="F525" s="1024"/>
      <c r="G525" s="1024"/>
      <c r="H525" s="1024"/>
      <c r="I525" s="1024"/>
      <c r="J525" s="1024"/>
      <c r="K525" s="1024"/>
      <c r="L525" s="1024"/>
      <c r="M525" s="1024"/>
      <c r="N525" s="1024"/>
      <c r="O525" s="1024"/>
      <c r="P525" s="275">
        <v>15</v>
      </c>
    </row>
    <row r="526" spans="1:16" ht="13.5" hidden="1" customHeight="1" x14ac:dyDescent="0.2">
      <c r="A526" s="1001" t="s">
        <v>30</v>
      </c>
      <c r="B526" s="1003" t="s">
        <v>31</v>
      </c>
      <c r="C526" s="1003"/>
      <c r="D526" s="1003"/>
      <c r="E526" s="1003"/>
      <c r="F526" s="1003"/>
      <c r="G526" s="1003" t="s">
        <v>32</v>
      </c>
      <c r="H526" s="1003"/>
      <c r="I526" s="1003"/>
      <c r="J526" s="1003"/>
      <c r="K526" s="1003"/>
      <c r="L526" s="1003" t="s">
        <v>33</v>
      </c>
      <c r="M526" s="1003"/>
      <c r="N526" s="1003"/>
      <c r="O526" s="1003"/>
      <c r="P526" s="1004"/>
    </row>
    <row r="527" spans="1:16" ht="15.75" hidden="1" x14ac:dyDescent="0.2">
      <c r="A527" s="1002"/>
      <c r="B527" s="79" t="s">
        <v>8</v>
      </c>
      <c r="C527" s="79" t="s">
        <v>7</v>
      </c>
      <c r="D527" s="79" t="s">
        <v>9</v>
      </c>
      <c r="E527" s="79" t="s">
        <v>19</v>
      </c>
      <c r="F527" s="79" t="s">
        <v>20</v>
      </c>
      <c r="G527" s="79" t="s">
        <v>8</v>
      </c>
      <c r="H527" s="79" t="s">
        <v>7</v>
      </c>
      <c r="I527" s="79" t="s">
        <v>9</v>
      </c>
      <c r="J527" s="79" t="s">
        <v>19</v>
      </c>
      <c r="K527" s="79" t="s">
        <v>20</v>
      </c>
      <c r="L527" s="79" t="s">
        <v>8</v>
      </c>
      <c r="M527" s="79" t="s">
        <v>7</v>
      </c>
      <c r="N527" s="79" t="s">
        <v>9</v>
      </c>
      <c r="O527" s="79" t="s">
        <v>19</v>
      </c>
      <c r="P527" s="24" t="s">
        <v>20</v>
      </c>
    </row>
    <row r="528" spans="1:16" ht="15.75" hidden="1" x14ac:dyDescent="0.2">
      <c r="A528" s="72" t="s">
        <v>744</v>
      </c>
      <c r="B528" s="75" t="s">
        <v>16</v>
      </c>
      <c r="C528" s="74" t="s">
        <v>11</v>
      </c>
      <c r="D528" s="74">
        <v>3</v>
      </c>
      <c r="E528" s="74">
        <f>skilled</f>
        <v>1100</v>
      </c>
      <c r="F528" s="74">
        <f>D528*E528</f>
        <v>3300</v>
      </c>
      <c r="G528" s="75" t="s">
        <v>24</v>
      </c>
      <c r="H528" s="74" t="s">
        <v>132</v>
      </c>
      <c r="I528" s="74">
        <v>6.05</v>
      </c>
      <c r="J528" s="74">
        <f>cement</f>
        <v>15631</v>
      </c>
      <c r="K528" s="74">
        <f t="shared" ref="K528:K533" si="4">I528*J528</f>
        <v>94567.55</v>
      </c>
      <c r="L528" s="151" t="s">
        <v>163</v>
      </c>
      <c r="M528" s="74" t="s">
        <v>13</v>
      </c>
      <c r="N528" s="74">
        <v>6</v>
      </c>
      <c r="O528" s="74">
        <f>mixermachine</f>
        <v>333</v>
      </c>
      <c r="P528" s="21">
        <f>N528*O528</f>
        <v>1998</v>
      </c>
    </row>
    <row r="529" spans="1:16" ht="18.75" hidden="1" x14ac:dyDescent="0.2">
      <c r="A529" s="72"/>
      <c r="B529" s="75" t="s">
        <v>28</v>
      </c>
      <c r="C529" s="74" t="s">
        <v>11</v>
      </c>
      <c r="D529" s="74">
        <v>30</v>
      </c>
      <c r="E529" s="74">
        <f>unskilled</f>
        <v>780</v>
      </c>
      <c r="F529" s="74">
        <f>D529*E529</f>
        <v>23400</v>
      </c>
      <c r="G529" s="75" t="s">
        <v>156</v>
      </c>
      <c r="H529" s="74" t="s">
        <v>165</v>
      </c>
      <c r="I529" s="74">
        <v>8.1</v>
      </c>
      <c r="J529" s="74">
        <f>aggregate20mm</f>
        <v>1580.97</v>
      </c>
      <c r="K529" s="74">
        <f t="shared" si="4"/>
        <v>12805.86</v>
      </c>
      <c r="L529" s="75" t="s">
        <v>3</v>
      </c>
      <c r="M529" s="74" t="s">
        <v>13</v>
      </c>
      <c r="N529" s="74">
        <v>6</v>
      </c>
      <c r="O529" s="74">
        <f>electricgenerator</f>
        <v>785</v>
      </c>
      <c r="P529" s="21">
        <f>N529*O529</f>
        <v>4710</v>
      </c>
    </row>
    <row r="530" spans="1:16" ht="18.75" hidden="1" x14ac:dyDescent="0.2">
      <c r="A530" s="313"/>
      <c r="B530" s="75"/>
      <c r="C530" s="74"/>
      <c r="D530" s="74"/>
      <c r="E530" s="74"/>
      <c r="F530" s="74"/>
      <c r="G530" s="75" t="s">
        <v>199</v>
      </c>
      <c r="H530" s="74" t="s">
        <v>165</v>
      </c>
      <c r="I530" s="74">
        <v>5.4</v>
      </c>
      <c r="J530" s="74">
        <f>aggregate10mm</f>
        <v>1420.97</v>
      </c>
      <c r="K530" s="74">
        <f t="shared" si="4"/>
        <v>7673.24</v>
      </c>
      <c r="L530" s="151"/>
      <c r="M530" s="74"/>
      <c r="N530" s="74"/>
      <c r="O530" s="74"/>
      <c r="P530" s="21"/>
    </row>
    <row r="531" spans="1:16" ht="18.75" hidden="1" x14ac:dyDescent="0.2">
      <c r="A531" s="313"/>
      <c r="B531" s="75"/>
      <c r="C531" s="74"/>
      <c r="D531" s="74"/>
      <c r="E531" s="74"/>
      <c r="F531" s="74"/>
      <c r="G531" s="75" t="s">
        <v>22</v>
      </c>
      <c r="H531" s="74" t="s">
        <v>165</v>
      </c>
      <c r="I531" s="74">
        <v>6.75</v>
      </c>
      <c r="J531" s="74">
        <f>sand</f>
        <v>2001.47</v>
      </c>
      <c r="K531" s="74">
        <f t="shared" si="4"/>
        <v>13509.92</v>
      </c>
      <c r="L531" s="75"/>
      <c r="M531" s="74"/>
      <c r="N531" s="74"/>
      <c r="O531" s="74"/>
      <c r="P531" s="21"/>
    </row>
    <row r="532" spans="1:16" ht="15.75" hidden="1" x14ac:dyDescent="0.2">
      <c r="A532" s="313"/>
      <c r="B532" s="75"/>
      <c r="C532" s="74"/>
      <c r="D532" s="74"/>
      <c r="E532" s="74"/>
      <c r="F532" s="74"/>
      <c r="G532" s="75" t="s">
        <v>26</v>
      </c>
      <c r="H532" s="74" t="s">
        <v>474</v>
      </c>
      <c r="I532" s="74">
        <v>3</v>
      </c>
      <c r="J532" s="74">
        <f>water*1000</f>
        <v>410</v>
      </c>
      <c r="K532" s="74">
        <f t="shared" si="4"/>
        <v>1230</v>
      </c>
      <c r="L532" s="151"/>
      <c r="M532" s="74"/>
      <c r="N532" s="74"/>
      <c r="O532" s="74"/>
      <c r="P532" s="21"/>
    </row>
    <row r="533" spans="1:16" ht="15.75" hidden="1" x14ac:dyDescent="0.2">
      <c r="A533" s="313"/>
      <c r="B533" s="75"/>
      <c r="C533" s="74"/>
      <c r="D533" s="74"/>
      <c r="E533" s="74"/>
      <c r="F533" s="74"/>
      <c r="G533" s="75" t="s">
        <v>153</v>
      </c>
      <c r="H533" s="74" t="s">
        <v>50</v>
      </c>
      <c r="I533" s="74">
        <f>0.4%*I528*1000</f>
        <v>24.2</v>
      </c>
      <c r="J533" s="74">
        <f>admixture</f>
        <v>356.63</v>
      </c>
      <c r="K533" s="74">
        <f t="shared" si="4"/>
        <v>8630.4500000000007</v>
      </c>
      <c r="L533" s="151"/>
      <c r="M533" s="74"/>
      <c r="N533" s="74"/>
      <c r="O533" s="74"/>
      <c r="P533" s="21"/>
    </row>
    <row r="534" spans="1:16" ht="15.75" hidden="1" x14ac:dyDescent="0.2">
      <c r="A534" s="1005" t="s">
        <v>34</v>
      </c>
      <c r="B534" s="1006"/>
      <c r="C534" s="1006"/>
      <c r="D534" s="1006"/>
      <c r="E534" s="1006"/>
      <c r="F534" s="73">
        <f>F528+F529</f>
        <v>26700</v>
      </c>
      <c r="G534" s="1006" t="s">
        <v>35</v>
      </c>
      <c r="H534" s="1006"/>
      <c r="I534" s="1006"/>
      <c r="J534" s="1006"/>
      <c r="K534" s="73">
        <f>SUM(K528:K533)</f>
        <v>138417.01999999999</v>
      </c>
      <c r="L534" s="1006" t="s">
        <v>36</v>
      </c>
      <c r="M534" s="1006"/>
      <c r="N534" s="1006"/>
      <c r="O534" s="1006"/>
      <c r="P534" s="61">
        <f>P528+P529</f>
        <v>6708</v>
      </c>
    </row>
    <row r="535" spans="1:16" ht="15.75" hidden="1" x14ac:dyDescent="0.2">
      <c r="A535" s="149"/>
      <c r="B535" s="150"/>
      <c r="C535" s="1050" t="s">
        <v>487</v>
      </c>
      <c r="D535" s="1050"/>
      <c r="E535" s="1050"/>
      <c r="F535" s="73">
        <f>F534+K534+P534</f>
        <v>171825.02</v>
      </c>
      <c r="G535" s="150"/>
      <c r="H535" s="150"/>
      <c r="I535" s="150"/>
      <c r="J535" s="150"/>
      <c r="K535" s="73"/>
      <c r="L535" s="150"/>
      <c r="M535" s="150"/>
      <c r="N535" s="150"/>
      <c r="O535" s="150"/>
      <c r="P535" s="61"/>
    </row>
    <row r="536" spans="1:16" ht="15.75" hidden="1" x14ac:dyDescent="0.2">
      <c r="A536" s="149"/>
      <c r="B536" s="75" t="s">
        <v>200</v>
      </c>
      <c r="C536" s="150"/>
      <c r="D536" s="150"/>
      <c r="E536" s="150" t="s">
        <v>21</v>
      </c>
      <c r="F536" s="73">
        <f>2%*F535</f>
        <v>3436.5</v>
      </c>
      <c r="G536" s="150"/>
      <c r="H536" s="150"/>
      <c r="I536" s="150"/>
      <c r="J536" s="150"/>
      <c r="K536" s="73"/>
      <c r="L536" s="150"/>
      <c r="M536" s="150"/>
      <c r="N536" s="150"/>
      <c r="O536" s="150"/>
      <c r="P536" s="61"/>
    </row>
    <row r="537" spans="1:16" ht="16.5" hidden="1" thickBot="1" x14ac:dyDescent="0.25">
      <c r="A537" s="325"/>
      <c r="B537" s="294"/>
      <c r="C537" s="294"/>
      <c r="D537" s="294"/>
      <c r="E537" s="83" t="s">
        <v>110</v>
      </c>
      <c r="F537" s="17">
        <f>15%*(F535+F536)</f>
        <v>26289.23</v>
      </c>
      <c r="G537" s="316"/>
      <c r="H537" s="294"/>
      <c r="I537" s="294"/>
      <c r="J537" s="294"/>
      <c r="K537" s="17"/>
      <c r="L537" s="17"/>
      <c r="M537" s="295"/>
      <c r="N537" s="1000" t="s">
        <v>53</v>
      </c>
      <c r="O537" s="1000"/>
      <c r="P537" s="18">
        <f>(F537+F536+F535)/P525</f>
        <v>13436.72</v>
      </c>
    </row>
    <row r="538" spans="1:16" ht="16.5" hidden="1" thickBot="1" x14ac:dyDescent="0.25">
      <c r="A538" s="326"/>
      <c r="B538" s="327"/>
      <c r="C538" s="327"/>
      <c r="D538" s="327"/>
      <c r="E538" s="327"/>
      <c r="F538" s="48"/>
      <c r="G538" s="327"/>
      <c r="H538" s="327"/>
      <c r="I538" s="327"/>
      <c r="J538" s="327"/>
      <c r="K538" s="54"/>
      <c r="L538" s="48"/>
      <c r="M538" s="328"/>
      <c r="N538" s="328"/>
      <c r="O538" s="328"/>
      <c r="P538" s="49"/>
    </row>
    <row r="539" spans="1:16" ht="15.75" hidden="1" x14ac:dyDescent="0.2">
      <c r="A539" s="986" t="s">
        <v>29</v>
      </c>
      <c r="B539" s="987"/>
      <c r="C539" s="988" t="s">
        <v>610</v>
      </c>
      <c r="D539" s="989"/>
      <c r="E539" s="989"/>
      <c r="F539" s="989"/>
      <c r="G539" s="989"/>
      <c r="H539" s="989"/>
      <c r="I539" s="989"/>
      <c r="J539" s="989"/>
      <c r="K539" s="989"/>
      <c r="L539" s="989"/>
      <c r="M539" s="989"/>
      <c r="N539" s="989"/>
      <c r="O539" s="989"/>
      <c r="P539" s="274" t="s">
        <v>433</v>
      </c>
    </row>
    <row r="540" spans="1:16" ht="15.75" hidden="1" x14ac:dyDescent="0.2">
      <c r="A540" s="991" t="s">
        <v>2</v>
      </c>
      <c r="B540" s="992"/>
      <c r="C540" s="990"/>
      <c r="D540" s="990"/>
      <c r="E540" s="990"/>
      <c r="F540" s="990"/>
      <c r="G540" s="990"/>
      <c r="H540" s="990"/>
      <c r="I540" s="990"/>
      <c r="J540" s="990"/>
      <c r="K540" s="990"/>
      <c r="L540" s="990"/>
      <c r="M540" s="990"/>
      <c r="N540" s="990"/>
      <c r="O540" s="990"/>
      <c r="P540" s="275">
        <v>15</v>
      </c>
    </row>
    <row r="541" spans="1:16" ht="15.75" hidden="1" x14ac:dyDescent="0.2">
      <c r="A541" s="1001" t="s">
        <v>30</v>
      </c>
      <c r="B541" s="1003" t="s">
        <v>31</v>
      </c>
      <c r="C541" s="1003"/>
      <c r="D541" s="1003"/>
      <c r="E541" s="1003"/>
      <c r="F541" s="1003"/>
      <c r="G541" s="1003" t="s">
        <v>32</v>
      </c>
      <c r="H541" s="1003"/>
      <c r="I541" s="1003"/>
      <c r="J541" s="1003"/>
      <c r="K541" s="1003"/>
      <c r="L541" s="1003" t="s">
        <v>33</v>
      </c>
      <c r="M541" s="1003"/>
      <c r="N541" s="1003"/>
      <c r="O541" s="1003"/>
      <c r="P541" s="1004"/>
    </row>
    <row r="542" spans="1:16" ht="15.75" hidden="1" x14ac:dyDescent="0.2">
      <c r="A542" s="1002"/>
      <c r="B542" s="79" t="s">
        <v>8</v>
      </c>
      <c r="C542" s="79" t="s">
        <v>7</v>
      </c>
      <c r="D542" s="79" t="s">
        <v>9</v>
      </c>
      <c r="E542" s="79" t="s">
        <v>19</v>
      </c>
      <c r="F542" s="79" t="s">
        <v>20</v>
      </c>
      <c r="G542" s="79" t="s">
        <v>8</v>
      </c>
      <c r="H542" s="79" t="s">
        <v>7</v>
      </c>
      <c r="I542" s="79" t="s">
        <v>9</v>
      </c>
      <c r="J542" s="79" t="s">
        <v>19</v>
      </c>
      <c r="K542" s="79" t="s">
        <v>20</v>
      </c>
      <c r="L542" s="79" t="s">
        <v>8</v>
      </c>
      <c r="M542" s="79" t="s">
        <v>7</v>
      </c>
      <c r="N542" s="79" t="s">
        <v>9</v>
      </c>
      <c r="O542" s="79" t="s">
        <v>19</v>
      </c>
      <c r="P542" s="24" t="s">
        <v>20</v>
      </c>
    </row>
    <row r="543" spans="1:16" ht="15.75" hidden="1" x14ac:dyDescent="0.2">
      <c r="A543" s="287" t="s">
        <v>609</v>
      </c>
      <c r="B543" s="32" t="s">
        <v>16</v>
      </c>
      <c r="C543" s="25" t="s">
        <v>11</v>
      </c>
      <c r="D543" s="25">
        <v>3</v>
      </c>
      <c r="E543" s="74">
        <f>skilled</f>
        <v>1100</v>
      </c>
      <c r="F543" s="74">
        <f>D543*E543</f>
        <v>3300</v>
      </c>
      <c r="G543" s="32" t="s">
        <v>582</v>
      </c>
      <c r="H543" s="74" t="s">
        <v>132</v>
      </c>
      <c r="I543" s="74">
        <v>6.1</v>
      </c>
      <c r="J543" s="74">
        <f>cement</f>
        <v>15631</v>
      </c>
      <c r="K543" s="74">
        <f t="shared" ref="K543:K548" si="5">I543*J543</f>
        <v>95349.1</v>
      </c>
      <c r="L543" s="75" t="s">
        <v>163</v>
      </c>
      <c r="M543" s="74" t="s">
        <v>13</v>
      </c>
      <c r="N543" s="74">
        <v>6</v>
      </c>
      <c r="O543" s="74">
        <f>mixermachine</f>
        <v>333</v>
      </c>
      <c r="P543" s="21">
        <f>N543*O543</f>
        <v>1998</v>
      </c>
    </row>
    <row r="544" spans="1:16" ht="18.75" hidden="1" x14ac:dyDescent="0.2">
      <c r="A544" s="313"/>
      <c r="B544" s="75" t="s">
        <v>28</v>
      </c>
      <c r="C544" s="25" t="s">
        <v>11</v>
      </c>
      <c r="D544" s="25">
        <v>30</v>
      </c>
      <c r="E544" s="74">
        <f>unskilled</f>
        <v>780</v>
      </c>
      <c r="F544" s="74">
        <f>D544*E544</f>
        <v>23400</v>
      </c>
      <c r="G544" s="32" t="s">
        <v>156</v>
      </c>
      <c r="H544" s="74" t="s">
        <v>165</v>
      </c>
      <c r="I544" s="74">
        <v>8.1</v>
      </c>
      <c r="J544" s="74">
        <f>aggregate20mm</f>
        <v>1580.97</v>
      </c>
      <c r="K544" s="74">
        <f t="shared" si="5"/>
        <v>12805.86</v>
      </c>
      <c r="L544" s="75" t="s">
        <v>3</v>
      </c>
      <c r="M544" s="74" t="s">
        <v>13</v>
      </c>
      <c r="N544" s="74">
        <v>6</v>
      </c>
      <c r="O544" s="74">
        <f>electricgenerator</f>
        <v>785</v>
      </c>
      <c r="P544" s="21">
        <f>N544*O544</f>
        <v>4710</v>
      </c>
    </row>
    <row r="545" spans="1:16" ht="18.75" hidden="1" x14ac:dyDescent="0.2">
      <c r="A545" s="313"/>
      <c r="B545" s="79"/>
      <c r="C545" s="79"/>
      <c r="D545" s="79"/>
      <c r="E545" s="79"/>
      <c r="F545" s="79"/>
      <c r="G545" s="32" t="s">
        <v>583</v>
      </c>
      <c r="H545" s="74" t="s">
        <v>165</v>
      </c>
      <c r="I545" s="74">
        <v>5.4</v>
      </c>
      <c r="J545" s="74">
        <f>aggregate10mm</f>
        <v>1420.97</v>
      </c>
      <c r="K545" s="74">
        <f t="shared" si="5"/>
        <v>7673.24</v>
      </c>
      <c r="L545" s="79"/>
      <c r="M545" s="79"/>
      <c r="N545" s="79"/>
      <c r="O545" s="79"/>
      <c r="P545" s="24"/>
    </row>
    <row r="546" spans="1:16" ht="18.75" hidden="1" x14ac:dyDescent="0.2">
      <c r="A546" s="313"/>
      <c r="B546" s="79"/>
      <c r="C546" s="79"/>
      <c r="D546" s="79"/>
      <c r="E546" s="79"/>
      <c r="F546" s="79"/>
      <c r="G546" s="32" t="s">
        <v>22</v>
      </c>
      <c r="H546" s="74" t="s">
        <v>165</v>
      </c>
      <c r="I546" s="74">
        <v>6.75</v>
      </c>
      <c r="J546" s="74">
        <f>sand</f>
        <v>2001.47</v>
      </c>
      <c r="K546" s="74">
        <f t="shared" si="5"/>
        <v>13509.92</v>
      </c>
      <c r="L546" s="79"/>
      <c r="M546" s="79"/>
      <c r="N546" s="79"/>
      <c r="O546" s="79"/>
      <c r="P546" s="24"/>
    </row>
    <row r="547" spans="1:16" ht="15.75" hidden="1" x14ac:dyDescent="0.2">
      <c r="A547" s="313"/>
      <c r="B547" s="73"/>
      <c r="C547" s="73"/>
      <c r="D547" s="25"/>
      <c r="E547" s="25"/>
      <c r="F547" s="25"/>
      <c r="G547" s="32" t="s">
        <v>26</v>
      </c>
      <c r="H547" s="74" t="s">
        <v>474</v>
      </c>
      <c r="I547" s="74">
        <v>3</v>
      </c>
      <c r="J547" s="74">
        <f>water*1000</f>
        <v>410</v>
      </c>
      <c r="K547" s="74">
        <f t="shared" si="5"/>
        <v>1230</v>
      </c>
      <c r="L547" s="73"/>
      <c r="M547" s="73"/>
      <c r="N547" s="73"/>
      <c r="O547" s="73"/>
      <c r="P547" s="61"/>
    </row>
    <row r="548" spans="1:16" ht="15.75" hidden="1" x14ac:dyDescent="0.2">
      <c r="A548" s="313"/>
      <c r="B548" s="79"/>
      <c r="C548" s="79"/>
      <c r="D548" s="79"/>
      <c r="E548" s="79"/>
      <c r="F548" s="79"/>
      <c r="G548" s="32" t="s">
        <v>153</v>
      </c>
      <c r="H548" s="73" t="s">
        <v>50</v>
      </c>
      <c r="I548" s="74">
        <f>0.4%*I543*1000</f>
        <v>24.4</v>
      </c>
      <c r="J548" s="74">
        <f>admixture</f>
        <v>356.63</v>
      </c>
      <c r="K548" s="74">
        <f t="shared" si="5"/>
        <v>8701.77</v>
      </c>
      <c r="L548" s="79"/>
      <c r="M548" s="79"/>
      <c r="N548" s="79"/>
      <c r="O548" s="79"/>
      <c r="P548" s="24"/>
    </row>
    <row r="549" spans="1:16" ht="15.75" hidden="1" x14ac:dyDescent="0.2">
      <c r="A549" s="1005" t="s">
        <v>34</v>
      </c>
      <c r="B549" s="1006"/>
      <c r="C549" s="1006"/>
      <c r="D549" s="1006"/>
      <c r="E549" s="1006"/>
      <c r="F549" s="73">
        <f>SUM(F543:F545)</f>
        <v>26700</v>
      </c>
      <c r="G549" s="1006" t="s">
        <v>35</v>
      </c>
      <c r="H549" s="1006"/>
      <c r="I549" s="1006"/>
      <c r="J549" s="1006"/>
      <c r="K549" s="73">
        <f>SUM(K543:K548)</f>
        <v>139269.89000000001</v>
      </c>
      <c r="L549" s="1006" t="s">
        <v>36</v>
      </c>
      <c r="M549" s="1006"/>
      <c r="N549" s="1006"/>
      <c r="O549" s="1006"/>
      <c r="P549" s="61">
        <f>P543+P544</f>
        <v>6708</v>
      </c>
    </row>
    <row r="550" spans="1:16" ht="15.75" hidden="1" x14ac:dyDescent="0.2">
      <c r="A550" s="149"/>
      <c r="B550" s="1006" t="s">
        <v>487</v>
      </c>
      <c r="C550" s="1006"/>
      <c r="D550" s="1006"/>
      <c r="E550" s="1006"/>
      <c r="F550" s="73">
        <f>F549+K549+P549</f>
        <v>172677.89</v>
      </c>
      <c r="G550" s="150"/>
      <c r="H550" s="150"/>
      <c r="I550" s="150"/>
      <c r="J550" s="150"/>
      <c r="K550" s="73"/>
      <c r="L550" s="150"/>
      <c r="M550" s="150"/>
      <c r="N550" s="150"/>
      <c r="O550" s="150"/>
      <c r="P550" s="61"/>
    </row>
    <row r="551" spans="1:16" ht="16.5" hidden="1" thickBot="1" x14ac:dyDescent="0.25">
      <c r="A551" s="82"/>
      <c r="B551" s="83"/>
      <c r="C551" s="83"/>
      <c r="D551" s="83"/>
      <c r="E551" s="83" t="s">
        <v>111</v>
      </c>
      <c r="F551" s="84">
        <f>15%*F550</f>
        <v>25901.68</v>
      </c>
      <c r="G551" s="1008"/>
      <c r="H551" s="1008"/>
      <c r="I551" s="1008"/>
      <c r="J551" s="1008"/>
      <c r="K551" s="84"/>
      <c r="L551" s="83"/>
      <c r="M551" s="83"/>
      <c r="N551" s="1000" t="s">
        <v>53</v>
      </c>
      <c r="O551" s="1000"/>
      <c r="P551" s="18">
        <f>(F550+F551)/P540</f>
        <v>13238.64</v>
      </c>
    </row>
    <row r="552" spans="1:16" ht="16.5" thickBot="1" x14ac:dyDescent="0.25">
      <c r="A552" s="327"/>
      <c r="B552" s="327"/>
      <c r="C552" s="327"/>
      <c r="D552" s="327"/>
      <c r="E552" s="327"/>
      <c r="F552" s="48"/>
      <c r="G552" s="327"/>
      <c r="H552" s="327"/>
      <c r="I552" s="327"/>
      <c r="J552" s="327"/>
      <c r="K552" s="327"/>
      <c r="L552" s="48"/>
      <c r="M552" s="329"/>
      <c r="N552" s="329"/>
      <c r="O552" s="329"/>
      <c r="P552" s="58"/>
    </row>
    <row r="553" spans="1:16" s="330" customFormat="1" ht="15.75" x14ac:dyDescent="0.2">
      <c r="A553" s="986" t="s">
        <v>29</v>
      </c>
      <c r="B553" s="987"/>
      <c r="C553" s="988" t="s">
        <v>577</v>
      </c>
      <c r="D553" s="988"/>
      <c r="E553" s="988"/>
      <c r="F553" s="988"/>
      <c r="G553" s="988"/>
      <c r="H553" s="988"/>
      <c r="I553" s="988"/>
      <c r="J553" s="988"/>
      <c r="K553" s="988"/>
      <c r="L553" s="988"/>
      <c r="M553" s="988"/>
      <c r="N553" s="988"/>
      <c r="O553" s="988"/>
      <c r="P553" s="274" t="s">
        <v>433</v>
      </c>
    </row>
    <row r="554" spans="1:16" s="330" customFormat="1" ht="15.75" x14ac:dyDescent="0.2">
      <c r="A554" s="1077" t="s">
        <v>90</v>
      </c>
      <c r="B554" s="1078"/>
      <c r="C554" s="1024"/>
      <c r="D554" s="1024"/>
      <c r="E554" s="1024"/>
      <c r="F554" s="1024"/>
      <c r="G554" s="1024"/>
      <c r="H554" s="1024"/>
      <c r="I554" s="1024"/>
      <c r="J554" s="1024"/>
      <c r="K554" s="1024"/>
      <c r="L554" s="1024"/>
      <c r="M554" s="1024"/>
      <c r="N554" s="1024"/>
      <c r="O554" s="1024"/>
      <c r="P554" s="275">
        <v>15</v>
      </c>
    </row>
    <row r="555" spans="1:16" s="330" customFormat="1" ht="13.5" customHeight="1" x14ac:dyDescent="0.2">
      <c r="A555" s="1052" t="s">
        <v>30</v>
      </c>
      <c r="B555" s="1026" t="s">
        <v>31</v>
      </c>
      <c r="C555" s="1026"/>
      <c r="D555" s="1026"/>
      <c r="E555" s="1026"/>
      <c r="F555" s="1026"/>
      <c r="G555" s="1026" t="s">
        <v>32</v>
      </c>
      <c r="H555" s="1026"/>
      <c r="I555" s="1026"/>
      <c r="J555" s="1026"/>
      <c r="K555" s="1026"/>
      <c r="L555" s="1026" t="s">
        <v>33</v>
      </c>
      <c r="M555" s="1026"/>
      <c r="N555" s="1026"/>
      <c r="O555" s="1026"/>
      <c r="P555" s="1027"/>
    </row>
    <row r="556" spans="1:16" s="330" customFormat="1" ht="15.75" x14ac:dyDescent="0.2">
      <c r="A556" s="1053"/>
      <c r="B556" s="331" t="s">
        <v>8</v>
      </c>
      <c r="C556" s="331" t="s">
        <v>7</v>
      </c>
      <c r="D556" s="331" t="s">
        <v>9</v>
      </c>
      <c r="E556" s="331" t="s">
        <v>19</v>
      </c>
      <c r="F556" s="331" t="s">
        <v>20</v>
      </c>
      <c r="G556" s="331" t="s">
        <v>8</v>
      </c>
      <c r="H556" s="331" t="s">
        <v>7</v>
      </c>
      <c r="I556" s="331" t="s">
        <v>9</v>
      </c>
      <c r="J556" s="331" t="s">
        <v>19</v>
      </c>
      <c r="K556" s="331" t="s">
        <v>20</v>
      </c>
      <c r="L556" s="331" t="s">
        <v>8</v>
      </c>
      <c r="M556" s="331" t="s">
        <v>7</v>
      </c>
      <c r="N556" s="331" t="s">
        <v>9</v>
      </c>
      <c r="O556" s="331" t="s">
        <v>19</v>
      </c>
      <c r="P556" s="332" t="s">
        <v>20</v>
      </c>
    </row>
    <row r="557" spans="1:16" s="330" customFormat="1" ht="15.75" x14ac:dyDescent="0.2">
      <c r="A557" s="44" t="s">
        <v>742</v>
      </c>
      <c r="B557" s="75" t="s">
        <v>16</v>
      </c>
      <c r="C557" s="74" t="s">
        <v>11</v>
      </c>
      <c r="D557" s="74">
        <v>3</v>
      </c>
      <c r="E557" s="74">
        <f>skilled</f>
        <v>1100</v>
      </c>
      <c r="F557" s="74">
        <f>D557*E557</f>
        <v>3300</v>
      </c>
      <c r="G557" s="75" t="s">
        <v>24</v>
      </c>
      <c r="H557" s="74" t="s">
        <v>132</v>
      </c>
      <c r="I557" s="74">
        <v>6.33</v>
      </c>
      <c r="J557" s="74">
        <f>cement</f>
        <v>15631</v>
      </c>
      <c r="K557" s="74">
        <f t="shared" ref="K557:K562" si="6">I557*J557</f>
        <v>98944.23</v>
      </c>
      <c r="L557" s="151" t="s">
        <v>163</v>
      </c>
      <c r="M557" s="74" t="s">
        <v>13</v>
      </c>
      <c r="N557" s="74">
        <v>6</v>
      </c>
      <c r="O557" s="74">
        <f>mixermachine</f>
        <v>333</v>
      </c>
      <c r="P557" s="21">
        <f>N557*O557</f>
        <v>1998</v>
      </c>
    </row>
    <row r="558" spans="1:16" s="330" customFormat="1" ht="18.75" x14ac:dyDescent="0.2">
      <c r="A558" s="44"/>
      <c r="B558" s="75" t="s">
        <v>28</v>
      </c>
      <c r="C558" s="74" t="s">
        <v>11</v>
      </c>
      <c r="D558" s="74">
        <v>30</v>
      </c>
      <c r="E558" s="74">
        <f>[0]!unskilled</f>
        <v>780</v>
      </c>
      <c r="F558" s="74">
        <f>D558*E558</f>
        <v>23400</v>
      </c>
      <c r="G558" s="75" t="s">
        <v>156</v>
      </c>
      <c r="H558" s="74" t="s">
        <v>165</v>
      </c>
      <c r="I558" s="74">
        <v>8.1</v>
      </c>
      <c r="J558" s="74">
        <f>aggregate20mm</f>
        <v>1580.97</v>
      </c>
      <c r="K558" s="74">
        <f t="shared" si="6"/>
        <v>12805.86</v>
      </c>
      <c r="L558" s="75" t="s">
        <v>3</v>
      </c>
      <c r="M558" s="74" t="s">
        <v>13</v>
      </c>
      <c r="N558" s="74">
        <v>6</v>
      </c>
      <c r="O558" s="74">
        <f>electricgenerator</f>
        <v>785</v>
      </c>
      <c r="P558" s="21">
        <f>N558*O558</f>
        <v>4710</v>
      </c>
    </row>
    <row r="559" spans="1:16" s="330" customFormat="1" ht="18.75" x14ac:dyDescent="0.2">
      <c r="A559" s="333"/>
      <c r="B559" s="75"/>
      <c r="C559" s="74"/>
      <c r="D559" s="74"/>
      <c r="E559" s="74"/>
      <c r="F559" s="74"/>
      <c r="G559" s="75" t="s">
        <v>199</v>
      </c>
      <c r="H559" s="74" t="s">
        <v>165</v>
      </c>
      <c r="I559" s="74">
        <v>5.4</v>
      </c>
      <c r="J559" s="74">
        <f>aggregate10mm</f>
        <v>1420.97</v>
      </c>
      <c r="K559" s="74">
        <f t="shared" si="6"/>
        <v>7673.24</v>
      </c>
      <c r="L559" s="151"/>
      <c r="M559" s="74"/>
      <c r="N559" s="74"/>
      <c r="O559" s="74"/>
      <c r="P559" s="21"/>
    </row>
    <row r="560" spans="1:16" s="330" customFormat="1" ht="18.75" x14ac:dyDescent="0.2">
      <c r="A560" s="333"/>
      <c r="B560" s="75"/>
      <c r="C560" s="74"/>
      <c r="D560" s="74"/>
      <c r="E560" s="74"/>
      <c r="F560" s="74"/>
      <c r="G560" s="75" t="s">
        <v>22</v>
      </c>
      <c r="H560" s="74" t="s">
        <v>165</v>
      </c>
      <c r="I560" s="74">
        <v>6.75</v>
      </c>
      <c r="J560" s="74">
        <f>sand</f>
        <v>2001.47</v>
      </c>
      <c r="K560" s="74">
        <f t="shared" si="6"/>
        <v>13509.92</v>
      </c>
      <c r="L560" s="75"/>
      <c r="M560" s="74"/>
      <c r="N560" s="74"/>
      <c r="O560" s="74"/>
      <c r="P560" s="21"/>
    </row>
    <row r="561" spans="1:16" s="330" customFormat="1" ht="15.75" x14ac:dyDescent="0.2">
      <c r="A561" s="333"/>
      <c r="B561" s="75"/>
      <c r="C561" s="74"/>
      <c r="D561" s="74"/>
      <c r="E561" s="74"/>
      <c r="F561" s="74"/>
      <c r="G561" s="75" t="s">
        <v>26</v>
      </c>
      <c r="H561" s="74" t="s">
        <v>474</v>
      </c>
      <c r="I561" s="74">
        <v>3</v>
      </c>
      <c r="J561" s="74">
        <f>water*1000</f>
        <v>410</v>
      </c>
      <c r="K561" s="74">
        <f t="shared" si="6"/>
        <v>1230</v>
      </c>
      <c r="L561" s="151"/>
      <c r="M561" s="74"/>
      <c r="N561" s="74"/>
      <c r="O561" s="74"/>
      <c r="P561" s="21"/>
    </row>
    <row r="562" spans="1:16" s="330" customFormat="1" ht="15.75" x14ac:dyDescent="0.2">
      <c r="A562" s="333"/>
      <c r="B562" s="75"/>
      <c r="C562" s="74"/>
      <c r="D562" s="74"/>
      <c r="E562" s="74"/>
      <c r="F562" s="74"/>
      <c r="G562" s="75" t="s">
        <v>153</v>
      </c>
      <c r="H562" s="74" t="s">
        <v>50</v>
      </c>
      <c r="I562" s="74">
        <f>0.4%*I557*1000</f>
        <v>25.32</v>
      </c>
      <c r="J562" s="74">
        <f>admixture</f>
        <v>356.63</v>
      </c>
      <c r="K562" s="74">
        <f t="shared" si="6"/>
        <v>9029.8700000000008</v>
      </c>
      <c r="L562" s="151"/>
      <c r="M562" s="74"/>
      <c r="N562" s="74"/>
      <c r="O562" s="74"/>
      <c r="P562" s="21"/>
    </row>
    <row r="563" spans="1:16" s="330" customFormat="1" ht="15.75" x14ac:dyDescent="0.2">
      <c r="A563" s="1028" t="s">
        <v>34</v>
      </c>
      <c r="B563" s="1029"/>
      <c r="C563" s="1029"/>
      <c r="D563" s="1029"/>
      <c r="E563" s="1029"/>
      <c r="F563" s="45">
        <f>F557+F558</f>
        <v>26700</v>
      </c>
      <c r="G563" s="1029" t="s">
        <v>35</v>
      </c>
      <c r="H563" s="1029"/>
      <c r="I563" s="1029"/>
      <c r="J563" s="1029"/>
      <c r="K563" s="45">
        <f>SUM(K557:K562)</f>
        <v>143193.12</v>
      </c>
      <c r="L563" s="1029" t="s">
        <v>36</v>
      </c>
      <c r="M563" s="1029"/>
      <c r="N563" s="1029"/>
      <c r="O563" s="1029"/>
      <c r="P563" s="46">
        <f>P557+P558</f>
        <v>6708</v>
      </c>
    </row>
    <row r="564" spans="1:16" s="330" customFormat="1" ht="15.75" x14ac:dyDescent="0.2">
      <c r="A564" s="153"/>
      <c r="B564" s="147"/>
      <c r="C564" s="1076" t="s">
        <v>487</v>
      </c>
      <c r="D564" s="1076"/>
      <c r="E564" s="1076"/>
      <c r="F564" s="45">
        <f>F563+K563+P563</f>
        <v>176601.12</v>
      </c>
      <c r="G564" s="147"/>
      <c r="H564" s="147"/>
      <c r="I564" s="147"/>
      <c r="J564" s="147"/>
      <c r="K564" s="45"/>
      <c r="L564" s="147"/>
      <c r="M564" s="147"/>
      <c r="N564" s="147"/>
      <c r="O564" s="147"/>
      <c r="P564" s="46"/>
    </row>
    <row r="565" spans="1:16" s="330" customFormat="1" ht="16.5" thickBot="1" x14ac:dyDescent="0.25">
      <c r="A565" s="334"/>
      <c r="B565" s="335"/>
      <c r="C565" s="335"/>
      <c r="D565" s="335"/>
      <c r="E565" s="336" t="s">
        <v>110</v>
      </c>
      <c r="F565" s="80">
        <f>15%*F564</f>
        <v>26490.17</v>
      </c>
      <c r="G565" s="337"/>
      <c r="H565" s="335"/>
      <c r="I565" s="335"/>
      <c r="J565" s="335"/>
      <c r="K565" s="80"/>
      <c r="L565" s="80"/>
      <c r="M565" s="338"/>
      <c r="N565" s="1000" t="s">
        <v>53</v>
      </c>
      <c r="O565" s="1000"/>
      <c r="P565" s="18">
        <f>(F565+F564)/P554</f>
        <v>13539.42</v>
      </c>
    </row>
    <row r="566" spans="1:16" s="330" customFormat="1" ht="16.5" thickBot="1" x14ac:dyDescent="0.25">
      <c r="A566" s="339"/>
      <c r="B566" s="339"/>
      <c r="C566" s="339"/>
      <c r="D566" s="339"/>
      <c r="E566" s="340"/>
      <c r="F566" s="55"/>
      <c r="G566" s="341"/>
      <c r="H566" s="339"/>
      <c r="I566" s="339"/>
      <c r="J566" s="339"/>
      <c r="K566" s="55"/>
      <c r="L566" s="55"/>
      <c r="M566" s="342"/>
      <c r="N566" s="342"/>
      <c r="O566" s="342"/>
      <c r="P566" s="56"/>
    </row>
    <row r="567" spans="1:16" s="330" customFormat="1" ht="15.75" customHeight="1" x14ac:dyDescent="0.2">
      <c r="A567" s="986" t="s">
        <v>29</v>
      </c>
      <c r="B567" s="987"/>
      <c r="C567" s="988" t="s">
        <v>607</v>
      </c>
      <c r="D567" s="988"/>
      <c r="E567" s="988"/>
      <c r="F567" s="988"/>
      <c r="G567" s="988"/>
      <c r="H567" s="988"/>
      <c r="I567" s="988"/>
      <c r="J567" s="988"/>
      <c r="K567" s="988"/>
      <c r="L567" s="988"/>
      <c r="M567" s="988"/>
      <c r="N567" s="988"/>
      <c r="O567" s="988"/>
      <c r="P567" s="274" t="s">
        <v>433</v>
      </c>
    </row>
    <row r="568" spans="1:16" s="330" customFormat="1" ht="15.75" x14ac:dyDescent="0.2">
      <c r="A568" s="1077" t="s">
        <v>90</v>
      </c>
      <c r="B568" s="1078"/>
      <c r="C568" s="1024"/>
      <c r="D568" s="1024"/>
      <c r="E568" s="1024"/>
      <c r="F568" s="1024"/>
      <c r="G568" s="1024"/>
      <c r="H568" s="1024"/>
      <c r="I568" s="1024"/>
      <c r="J568" s="1024"/>
      <c r="K568" s="1024"/>
      <c r="L568" s="1024"/>
      <c r="M568" s="1024"/>
      <c r="N568" s="1024"/>
      <c r="O568" s="1024"/>
      <c r="P568" s="275">
        <v>15</v>
      </c>
    </row>
    <row r="569" spans="1:16" s="330" customFormat="1" ht="13.5" customHeight="1" x14ac:dyDescent="0.2">
      <c r="A569" s="1052" t="s">
        <v>30</v>
      </c>
      <c r="B569" s="1026" t="s">
        <v>31</v>
      </c>
      <c r="C569" s="1026"/>
      <c r="D569" s="1026"/>
      <c r="E569" s="1026"/>
      <c r="F569" s="1026"/>
      <c r="G569" s="1026" t="s">
        <v>32</v>
      </c>
      <c r="H569" s="1026"/>
      <c r="I569" s="1026"/>
      <c r="J569" s="1026"/>
      <c r="K569" s="1026"/>
      <c r="L569" s="1026" t="s">
        <v>33</v>
      </c>
      <c r="M569" s="1026"/>
      <c r="N569" s="1026"/>
      <c r="O569" s="1026"/>
      <c r="P569" s="1027"/>
    </row>
    <row r="570" spans="1:16" s="330" customFormat="1" ht="15.75" x14ac:dyDescent="0.2">
      <c r="A570" s="1053"/>
      <c r="B570" s="331" t="s">
        <v>8</v>
      </c>
      <c r="C570" s="331" t="s">
        <v>7</v>
      </c>
      <c r="D570" s="331" t="s">
        <v>9</v>
      </c>
      <c r="E570" s="331" t="s">
        <v>19</v>
      </c>
      <c r="F570" s="331" t="s">
        <v>20</v>
      </c>
      <c r="G570" s="331" t="s">
        <v>8</v>
      </c>
      <c r="H570" s="331" t="s">
        <v>7</v>
      </c>
      <c r="I570" s="331" t="s">
        <v>9</v>
      </c>
      <c r="J570" s="331" t="s">
        <v>19</v>
      </c>
      <c r="K570" s="331" t="s">
        <v>20</v>
      </c>
      <c r="L570" s="331" t="s">
        <v>8</v>
      </c>
      <c r="M570" s="331" t="s">
        <v>7</v>
      </c>
      <c r="N570" s="331" t="s">
        <v>9</v>
      </c>
      <c r="O570" s="331" t="s">
        <v>19</v>
      </c>
      <c r="P570" s="332" t="s">
        <v>20</v>
      </c>
    </row>
    <row r="571" spans="1:16" s="330" customFormat="1" ht="15.75" x14ac:dyDescent="0.2">
      <c r="A571" s="44" t="s">
        <v>743</v>
      </c>
      <c r="B571" s="75" t="s">
        <v>16</v>
      </c>
      <c r="C571" s="74" t="s">
        <v>11</v>
      </c>
      <c r="D571" s="74">
        <v>3</v>
      </c>
      <c r="E571" s="74">
        <f>skilled</f>
        <v>1100</v>
      </c>
      <c r="F571" s="74">
        <f>D571*E571</f>
        <v>3300</v>
      </c>
      <c r="G571" s="75" t="s">
        <v>24</v>
      </c>
      <c r="H571" s="74" t="s">
        <v>132</v>
      </c>
      <c r="I571" s="74">
        <v>6.33</v>
      </c>
      <c r="J571" s="74">
        <f>cement</f>
        <v>15631</v>
      </c>
      <c r="K571" s="74">
        <f t="shared" ref="K571:K576" si="7">I571*J571</f>
        <v>98944.23</v>
      </c>
      <c r="L571" s="151" t="s">
        <v>163</v>
      </c>
      <c r="M571" s="74" t="s">
        <v>13</v>
      </c>
      <c r="N571" s="74">
        <v>6</v>
      </c>
      <c r="O571" s="74">
        <f>mixermachine</f>
        <v>333</v>
      </c>
      <c r="P571" s="21">
        <f>N571*O571</f>
        <v>1998</v>
      </c>
    </row>
    <row r="572" spans="1:16" s="330" customFormat="1" ht="18.75" x14ac:dyDescent="0.2">
      <c r="A572" s="44"/>
      <c r="B572" s="75" t="s">
        <v>28</v>
      </c>
      <c r="C572" s="74" t="s">
        <v>11</v>
      </c>
      <c r="D572" s="74">
        <v>30</v>
      </c>
      <c r="E572" s="74">
        <f>[0]!unskilled</f>
        <v>780</v>
      </c>
      <c r="F572" s="74">
        <f>D572*E572</f>
        <v>23400</v>
      </c>
      <c r="G572" s="75" t="s">
        <v>156</v>
      </c>
      <c r="H572" s="74" t="s">
        <v>165</v>
      </c>
      <c r="I572" s="74">
        <v>8.1</v>
      </c>
      <c r="J572" s="74">
        <f>aggregate20mm</f>
        <v>1580.97</v>
      </c>
      <c r="K572" s="74">
        <f t="shared" si="7"/>
        <v>12805.86</v>
      </c>
      <c r="L572" s="75" t="s">
        <v>3</v>
      </c>
      <c r="M572" s="74" t="s">
        <v>13</v>
      </c>
      <c r="N572" s="74">
        <v>6</v>
      </c>
      <c r="O572" s="74">
        <f>electricgenerator</f>
        <v>785</v>
      </c>
      <c r="P572" s="21">
        <f>N572*O572</f>
        <v>4710</v>
      </c>
    </row>
    <row r="573" spans="1:16" s="330" customFormat="1" ht="18.75" x14ac:dyDescent="0.2">
      <c r="A573" s="333"/>
      <c r="B573" s="75"/>
      <c r="C573" s="74"/>
      <c r="D573" s="74"/>
      <c r="E573" s="74"/>
      <c r="F573" s="74"/>
      <c r="G573" s="75" t="s">
        <v>199</v>
      </c>
      <c r="H573" s="74" t="s">
        <v>165</v>
      </c>
      <c r="I573" s="74">
        <v>5.4</v>
      </c>
      <c r="J573" s="74">
        <f>aggregate10mm</f>
        <v>1420.97</v>
      </c>
      <c r="K573" s="74">
        <f t="shared" si="7"/>
        <v>7673.24</v>
      </c>
      <c r="L573" s="151"/>
      <c r="M573" s="74"/>
      <c r="N573" s="74"/>
      <c r="O573" s="74"/>
      <c r="P573" s="21"/>
    </row>
    <row r="574" spans="1:16" s="330" customFormat="1" ht="18.75" x14ac:dyDescent="0.2">
      <c r="A574" s="333"/>
      <c r="B574" s="75"/>
      <c r="C574" s="74"/>
      <c r="D574" s="74"/>
      <c r="E574" s="74"/>
      <c r="F574" s="74"/>
      <c r="G574" s="75" t="s">
        <v>22</v>
      </c>
      <c r="H574" s="74" t="s">
        <v>165</v>
      </c>
      <c r="I574" s="74">
        <v>6.75</v>
      </c>
      <c r="J574" s="74">
        <f>sand</f>
        <v>2001.47</v>
      </c>
      <c r="K574" s="74">
        <f t="shared" si="7"/>
        <v>13509.92</v>
      </c>
      <c r="L574" s="75"/>
      <c r="M574" s="74"/>
      <c r="N574" s="74"/>
      <c r="O574" s="74"/>
      <c r="P574" s="21"/>
    </row>
    <row r="575" spans="1:16" s="330" customFormat="1" ht="15.75" x14ac:dyDescent="0.2">
      <c r="A575" s="333"/>
      <c r="B575" s="75"/>
      <c r="C575" s="74"/>
      <c r="D575" s="74"/>
      <c r="E575" s="74"/>
      <c r="F575" s="74"/>
      <c r="G575" s="75" t="s">
        <v>26</v>
      </c>
      <c r="H575" s="74" t="s">
        <v>474</v>
      </c>
      <c r="I575" s="74">
        <v>3</v>
      </c>
      <c r="J575" s="74">
        <f>water*1000</f>
        <v>410</v>
      </c>
      <c r="K575" s="74">
        <f t="shared" si="7"/>
        <v>1230</v>
      </c>
      <c r="L575" s="151"/>
      <c r="M575" s="74"/>
      <c r="N575" s="74"/>
      <c r="O575" s="74"/>
      <c r="P575" s="21"/>
    </row>
    <row r="576" spans="1:16" s="330" customFormat="1" ht="15.75" x14ac:dyDescent="0.2">
      <c r="A576" s="333"/>
      <c r="B576" s="75"/>
      <c r="C576" s="74"/>
      <c r="D576" s="74"/>
      <c r="E576" s="74"/>
      <c r="F576" s="74"/>
      <c r="G576" s="75" t="s">
        <v>153</v>
      </c>
      <c r="H576" s="74" t="s">
        <v>50</v>
      </c>
      <c r="I576" s="74">
        <f>0.4%*I571*1000</f>
        <v>25.32</v>
      </c>
      <c r="J576" s="74">
        <f>admixture</f>
        <v>356.63</v>
      </c>
      <c r="K576" s="74">
        <f t="shared" si="7"/>
        <v>9029.8700000000008</v>
      </c>
      <c r="L576" s="151"/>
      <c r="M576" s="74"/>
      <c r="N576" s="74"/>
      <c r="O576" s="74"/>
      <c r="P576" s="21"/>
    </row>
    <row r="577" spans="1:16" s="330" customFormat="1" ht="15.75" x14ac:dyDescent="0.2">
      <c r="A577" s="1028" t="s">
        <v>34</v>
      </c>
      <c r="B577" s="1029"/>
      <c r="C577" s="1029"/>
      <c r="D577" s="1029"/>
      <c r="E577" s="1029"/>
      <c r="F577" s="45">
        <f>F571+F572</f>
        <v>26700</v>
      </c>
      <c r="G577" s="1029" t="s">
        <v>35</v>
      </c>
      <c r="H577" s="1029"/>
      <c r="I577" s="1029"/>
      <c r="J577" s="1029"/>
      <c r="K577" s="45">
        <f>SUM(K571:K576)</f>
        <v>143193.12</v>
      </c>
      <c r="L577" s="1029" t="s">
        <v>36</v>
      </c>
      <c r="M577" s="1029"/>
      <c r="N577" s="1029"/>
      <c r="O577" s="1029"/>
      <c r="P577" s="46">
        <f>P571+P572</f>
        <v>6708</v>
      </c>
    </row>
    <row r="578" spans="1:16" s="330" customFormat="1" ht="15.75" x14ac:dyDescent="0.2">
      <c r="A578" s="153"/>
      <c r="B578" s="147"/>
      <c r="C578" s="1076" t="s">
        <v>487</v>
      </c>
      <c r="D578" s="1076"/>
      <c r="E578" s="1076"/>
      <c r="F578" s="45">
        <f>F577+K577+P577</f>
        <v>176601.12</v>
      </c>
      <c r="G578" s="147"/>
      <c r="H578" s="147"/>
      <c r="I578" s="147"/>
      <c r="J578" s="147"/>
      <c r="K578" s="45"/>
      <c r="L578" s="147"/>
      <c r="M578" s="147"/>
      <c r="N578" s="147"/>
      <c r="O578" s="147"/>
      <c r="P578" s="46"/>
    </row>
    <row r="579" spans="1:16" s="330" customFormat="1" ht="15.75" x14ac:dyDescent="0.2">
      <c r="A579" s="153"/>
      <c r="B579" s="148" t="s">
        <v>200</v>
      </c>
      <c r="C579" s="147"/>
      <c r="D579" s="147"/>
      <c r="E579" s="147" t="s">
        <v>21</v>
      </c>
      <c r="F579" s="45">
        <f>2%*F578</f>
        <v>3532.02</v>
      </c>
      <c r="G579" s="147"/>
      <c r="H579" s="147"/>
      <c r="I579" s="147"/>
      <c r="J579" s="147"/>
      <c r="K579" s="45"/>
      <c r="L579" s="147"/>
      <c r="M579" s="147"/>
      <c r="N579" s="147"/>
      <c r="O579" s="147"/>
      <c r="P579" s="46"/>
    </row>
    <row r="580" spans="1:16" s="330" customFormat="1" ht="16.5" thickBot="1" x14ac:dyDescent="0.25">
      <c r="A580" s="334"/>
      <c r="B580" s="335"/>
      <c r="C580" s="335"/>
      <c r="D580" s="335"/>
      <c r="E580" s="336" t="s">
        <v>110</v>
      </c>
      <c r="F580" s="80">
        <f>15%*(F578+F579)</f>
        <v>27019.97</v>
      </c>
      <c r="G580" s="337"/>
      <c r="H580" s="335"/>
      <c r="I580" s="335"/>
      <c r="J580" s="335"/>
      <c r="K580" s="80"/>
      <c r="L580" s="80"/>
      <c r="M580" s="338"/>
      <c r="N580" s="1000" t="s">
        <v>53</v>
      </c>
      <c r="O580" s="1000"/>
      <c r="P580" s="18">
        <f>(F580+F579+F578)/P568</f>
        <v>13810.21</v>
      </c>
    </row>
    <row r="581" spans="1:16" s="330" customFormat="1" ht="15.75" x14ac:dyDescent="0.2">
      <c r="A581" s="339"/>
      <c r="B581" s="339"/>
      <c r="C581" s="339"/>
      <c r="D581" s="339"/>
      <c r="E581" s="340"/>
      <c r="F581" s="55"/>
      <c r="G581" s="341"/>
      <c r="H581" s="339"/>
      <c r="I581" s="339"/>
      <c r="J581" s="339"/>
      <c r="K581" s="55"/>
      <c r="L581" s="55"/>
      <c r="M581" s="342"/>
      <c r="N581" s="342"/>
      <c r="O581" s="342"/>
      <c r="P581" s="56"/>
    </row>
    <row r="582" spans="1:16" ht="16.5" thickBot="1" x14ac:dyDescent="0.25">
      <c r="A582" s="1025" t="s">
        <v>167</v>
      </c>
      <c r="B582" s="1025"/>
      <c r="C582" s="1025"/>
      <c r="D582" s="283"/>
      <c r="E582" s="283"/>
      <c r="F582" s="19"/>
      <c r="G582" s="283"/>
      <c r="H582" s="283"/>
      <c r="I582" s="283"/>
      <c r="J582" s="283"/>
      <c r="K582" s="53"/>
      <c r="L582" s="19"/>
      <c r="M582" s="306"/>
      <c r="N582" s="306"/>
      <c r="O582" s="306"/>
      <c r="P582" s="20"/>
    </row>
    <row r="583" spans="1:16" ht="15.75" x14ac:dyDescent="0.2">
      <c r="A583" s="986" t="s">
        <v>29</v>
      </c>
      <c r="B583" s="987"/>
      <c r="C583" s="988" t="s">
        <v>584</v>
      </c>
      <c r="D583" s="988"/>
      <c r="E583" s="988"/>
      <c r="F583" s="988"/>
      <c r="G583" s="988"/>
      <c r="H583" s="988"/>
      <c r="I583" s="988"/>
      <c r="J583" s="988"/>
      <c r="K583" s="988"/>
      <c r="L583" s="988"/>
      <c r="M583" s="988"/>
      <c r="N583" s="988"/>
      <c r="O583" s="988"/>
      <c r="P583" s="274" t="s">
        <v>578</v>
      </c>
    </row>
    <row r="584" spans="1:16" ht="19.5" customHeight="1" x14ac:dyDescent="0.2">
      <c r="A584" s="991" t="s">
        <v>201</v>
      </c>
      <c r="B584" s="992"/>
      <c r="C584" s="1024"/>
      <c r="D584" s="1024"/>
      <c r="E584" s="1024"/>
      <c r="F584" s="1024"/>
      <c r="G584" s="1024"/>
      <c r="H584" s="1024"/>
      <c r="I584" s="1024"/>
      <c r="J584" s="1024"/>
      <c r="K584" s="1024"/>
      <c r="L584" s="1024"/>
      <c r="M584" s="1024"/>
      <c r="N584" s="1024"/>
      <c r="O584" s="1024"/>
      <c r="P584" s="275">
        <v>1</v>
      </c>
    </row>
    <row r="585" spans="1:16" ht="19.5" customHeight="1" x14ac:dyDescent="0.2">
      <c r="A585" s="1001" t="s">
        <v>30</v>
      </c>
      <c r="B585" s="1003" t="s">
        <v>31</v>
      </c>
      <c r="C585" s="1003"/>
      <c r="D585" s="1003"/>
      <c r="E585" s="1003"/>
      <c r="F585" s="1003"/>
      <c r="G585" s="1003" t="s">
        <v>32</v>
      </c>
      <c r="H585" s="1003"/>
      <c r="I585" s="1003"/>
      <c r="J585" s="1003"/>
      <c r="K585" s="1003"/>
      <c r="L585" s="1003" t="s">
        <v>33</v>
      </c>
      <c r="M585" s="1003"/>
      <c r="N585" s="1003"/>
      <c r="O585" s="1003"/>
      <c r="P585" s="1004"/>
    </row>
    <row r="586" spans="1:16" ht="13.5" customHeight="1" x14ac:dyDescent="0.2">
      <c r="A586" s="1002"/>
      <c r="B586" s="79" t="s">
        <v>8</v>
      </c>
      <c r="C586" s="79" t="s">
        <v>7</v>
      </c>
      <c r="D586" s="79" t="s">
        <v>9</v>
      </c>
      <c r="E586" s="79" t="s">
        <v>19</v>
      </c>
      <c r="F586" s="79" t="s">
        <v>20</v>
      </c>
      <c r="G586" s="79" t="s">
        <v>8</v>
      </c>
      <c r="H586" s="79" t="s">
        <v>7</v>
      </c>
      <c r="I586" s="79" t="s">
        <v>9</v>
      </c>
      <c r="J586" s="79" t="s">
        <v>19</v>
      </c>
      <c r="K586" s="79" t="s">
        <v>20</v>
      </c>
      <c r="L586" s="79" t="s">
        <v>8</v>
      </c>
      <c r="M586" s="79" t="s">
        <v>7</v>
      </c>
      <c r="N586" s="79" t="s">
        <v>9</v>
      </c>
      <c r="O586" s="79" t="s">
        <v>19</v>
      </c>
      <c r="P586" s="24" t="s">
        <v>20</v>
      </c>
    </row>
    <row r="587" spans="1:16" ht="15.75" x14ac:dyDescent="0.2">
      <c r="A587" s="152">
        <v>20.3</v>
      </c>
      <c r="B587" s="32" t="s">
        <v>16</v>
      </c>
      <c r="C587" s="73" t="s">
        <v>11</v>
      </c>
      <c r="D587" s="73">
        <v>4</v>
      </c>
      <c r="E587" s="73">
        <f>skilled</f>
        <v>1100</v>
      </c>
      <c r="F587" s="73">
        <f>D587*E587</f>
        <v>4400</v>
      </c>
      <c r="G587" s="75" t="s">
        <v>56</v>
      </c>
      <c r="H587" s="74" t="s">
        <v>132</v>
      </c>
      <c r="I587" s="74">
        <v>1.1000000000000001</v>
      </c>
      <c r="J587" s="73">
        <f>reinforcement</f>
        <v>101501</v>
      </c>
      <c r="K587" s="73">
        <f>J587*I587</f>
        <v>111651.1</v>
      </c>
      <c r="L587" s="75"/>
      <c r="M587" s="75"/>
      <c r="N587" s="73"/>
      <c r="O587" s="73"/>
      <c r="P587" s="61"/>
    </row>
    <row r="588" spans="1:16" ht="15.75" x14ac:dyDescent="0.2">
      <c r="A588" s="81"/>
      <c r="B588" s="32" t="s">
        <v>28</v>
      </c>
      <c r="C588" s="73" t="s">
        <v>11</v>
      </c>
      <c r="D588" s="73">
        <v>9</v>
      </c>
      <c r="E588" s="73">
        <f>unskilled</f>
        <v>780</v>
      </c>
      <c r="F588" s="73">
        <f>D588*E588</f>
        <v>7020</v>
      </c>
      <c r="G588" s="75" t="s">
        <v>64</v>
      </c>
      <c r="H588" s="74" t="s">
        <v>50</v>
      </c>
      <c r="I588" s="74">
        <v>8</v>
      </c>
      <c r="J588" s="73">
        <f>bindingwireblack</f>
        <v>111.63</v>
      </c>
      <c r="K588" s="73">
        <f>I588*J588</f>
        <v>893.04</v>
      </c>
      <c r="L588" s="70"/>
      <c r="M588" s="74"/>
      <c r="N588" s="73"/>
      <c r="O588" s="73"/>
      <c r="P588" s="61"/>
    </row>
    <row r="589" spans="1:16" ht="15.75" x14ac:dyDescent="0.2">
      <c r="A589" s="1005" t="s">
        <v>34</v>
      </c>
      <c r="B589" s="1006"/>
      <c r="C589" s="1006"/>
      <c r="D589" s="1006"/>
      <c r="E589" s="1006"/>
      <c r="F589" s="73">
        <f>SUM(F587:F588)</f>
        <v>11420</v>
      </c>
      <c r="G589" s="1006" t="s">
        <v>35</v>
      </c>
      <c r="H589" s="1006"/>
      <c r="I589" s="1006"/>
      <c r="J589" s="1006"/>
      <c r="K589" s="73">
        <f>SUM(K587:K588)</f>
        <v>112544.14</v>
      </c>
      <c r="L589" s="1006" t="s">
        <v>36</v>
      </c>
      <c r="M589" s="1006"/>
      <c r="N589" s="1006"/>
      <c r="O589" s="1006"/>
      <c r="P589" s="61">
        <f>SUM(P587:P588)</f>
        <v>0</v>
      </c>
    </row>
    <row r="590" spans="1:16" ht="15.75" x14ac:dyDescent="0.2">
      <c r="A590" s="1005" t="s">
        <v>487</v>
      </c>
      <c r="B590" s="1006"/>
      <c r="C590" s="1006"/>
      <c r="D590" s="1006"/>
      <c r="E590" s="1006"/>
      <c r="F590" s="74">
        <f>SUM(F589+K589+P589)</f>
        <v>123964.14</v>
      </c>
      <c r="G590" s="1006"/>
      <c r="H590" s="1006"/>
      <c r="I590" s="1006"/>
      <c r="J590" s="1006"/>
      <c r="K590" s="1006"/>
      <c r="L590" s="74"/>
      <c r="M590" s="292"/>
      <c r="N590" s="292"/>
      <c r="O590" s="292"/>
      <c r="P590" s="16"/>
    </row>
    <row r="591" spans="1:16" ht="16.5" thickBot="1" x14ac:dyDescent="0.25">
      <c r="A591" s="82"/>
      <c r="B591" s="999" t="s">
        <v>110</v>
      </c>
      <c r="C591" s="999"/>
      <c r="D591" s="999"/>
      <c r="E591" s="999"/>
      <c r="F591" s="17">
        <f>15%*F590</f>
        <v>18594.62</v>
      </c>
      <c r="G591" s="83"/>
      <c r="H591" s="83"/>
      <c r="I591" s="83"/>
      <c r="J591" s="83"/>
      <c r="K591" s="83"/>
      <c r="L591" s="17"/>
      <c r="M591" s="276"/>
      <c r="N591" s="1000" t="s">
        <v>53</v>
      </c>
      <c r="O591" s="1000"/>
      <c r="P591" s="18">
        <f>(F591+F590)/P584</f>
        <v>142558.76</v>
      </c>
    </row>
    <row r="592" spans="1:16" ht="16.5" thickBot="1" x14ac:dyDescent="0.25">
      <c r="A592" s="309"/>
      <c r="B592" s="51"/>
      <c r="C592" s="51"/>
      <c r="D592" s="51"/>
      <c r="E592" s="51"/>
      <c r="F592" s="51"/>
      <c r="G592" s="51"/>
      <c r="H592" s="51"/>
      <c r="I592" s="51"/>
      <c r="J592" s="51"/>
      <c r="K592" s="51"/>
      <c r="L592" s="51"/>
      <c r="M592" s="51"/>
      <c r="N592" s="51"/>
      <c r="O592" s="51"/>
      <c r="P592" s="51"/>
    </row>
    <row r="593" spans="1:16" ht="15.75" x14ac:dyDescent="0.2">
      <c r="A593" s="986" t="s">
        <v>29</v>
      </c>
      <c r="B593" s="987"/>
      <c r="C593" s="988" t="s">
        <v>585</v>
      </c>
      <c r="D593" s="988"/>
      <c r="E593" s="988"/>
      <c r="F593" s="988"/>
      <c r="G593" s="988"/>
      <c r="H593" s="988"/>
      <c r="I593" s="988"/>
      <c r="J593" s="988"/>
      <c r="K593" s="988"/>
      <c r="L593" s="988"/>
      <c r="M593" s="988"/>
      <c r="N593" s="988"/>
      <c r="O593" s="988"/>
      <c r="P593" s="274" t="s">
        <v>578</v>
      </c>
    </row>
    <row r="594" spans="1:16" ht="19.5" customHeight="1" x14ac:dyDescent="0.2">
      <c r="A594" s="991" t="s">
        <v>201</v>
      </c>
      <c r="B594" s="992"/>
      <c r="C594" s="1024"/>
      <c r="D594" s="1024"/>
      <c r="E594" s="1024"/>
      <c r="F594" s="1024"/>
      <c r="G594" s="1024"/>
      <c r="H594" s="1024"/>
      <c r="I594" s="1024"/>
      <c r="J594" s="1024"/>
      <c r="K594" s="1024"/>
      <c r="L594" s="1024"/>
      <c r="M594" s="1024"/>
      <c r="N594" s="1024"/>
      <c r="O594" s="1024"/>
      <c r="P594" s="275">
        <v>1</v>
      </c>
    </row>
    <row r="595" spans="1:16" ht="19.5" customHeight="1" x14ac:dyDescent="0.2">
      <c r="A595" s="1001" t="s">
        <v>30</v>
      </c>
      <c r="B595" s="1003" t="s">
        <v>31</v>
      </c>
      <c r="C595" s="1003"/>
      <c r="D595" s="1003"/>
      <c r="E595" s="1003"/>
      <c r="F595" s="1003"/>
      <c r="G595" s="1003" t="s">
        <v>32</v>
      </c>
      <c r="H595" s="1003"/>
      <c r="I595" s="1003"/>
      <c r="J595" s="1003"/>
      <c r="K595" s="1003"/>
      <c r="L595" s="1003" t="s">
        <v>33</v>
      </c>
      <c r="M595" s="1003"/>
      <c r="N595" s="1003"/>
      <c r="O595" s="1003"/>
      <c r="P595" s="1004"/>
    </row>
    <row r="596" spans="1:16" ht="13.5" customHeight="1" x14ac:dyDescent="0.2">
      <c r="A596" s="1002"/>
      <c r="B596" s="79" t="s">
        <v>8</v>
      </c>
      <c r="C596" s="79" t="s">
        <v>7</v>
      </c>
      <c r="D596" s="79" t="s">
        <v>9</v>
      </c>
      <c r="E596" s="79" t="s">
        <v>19</v>
      </c>
      <c r="F596" s="79" t="s">
        <v>20</v>
      </c>
      <c r="G596" s="79" t="s">
        <v>8</v>
      </c>
      <c r="H596" s="79" t="s">
        <v>7</v>
      </c>
      <c r="I596" s="79" t="s">
        <v>9</v>
      </c>
      <c r="J596" s="79" t="s">
        <v>19</v>
      </c>
      <c r="K596" s="79" t="s">
        <v>20</v>
      </c>
      <c r="L596" s="79" t="s">
        <v>8</v>
      </c>
      <c r="M596" s="79" t="s">
        <v>7</v>
      </c>
      <c r="N596" s="79" t="s">
        <v>9</v>
      </c>
      <c r="O596" s="79" t="s">
        <v>19</v>
      </c>
      <c r="P596" s="24" t="s">
        <v>20</v>
      </c>
    </row>
    <row r="597" spans="1:16" ht="15.75" x14ac:dyDescent="0.2">
      <c r="A597" s="152">
        <v>20.5</v>
      </c>
      <c r="B597" s="32" t="s">
        <v>16</v>
      </c>
      <c r="C597" s="73" t="s">
        <v>11</v>
      </c>
      <c r="D597" s="73">
        <v>4</v>
      </c>
      <c r="E597" s="73">
        <f>skilled</f>
        <v>1100</v>
      </c>
      <c r="F597" s="73">
        <f>D597*E597</f>
        <v>4400</v>
      </c>
      <c r="G597" s="75" t="s">
        <v>56</v>
      </c>
      <c r="H597" s="74" t="s">
        <v>132</v>
      </c>
      <c r="I597" s="74">
        <v>1.1000000000000001</v>
      </c>
      <c r="J597" s="73">
        <f>reinforcement</f>
        <v>101501</v>
      </c>
      <c r="K597" s="73">
        <f>J597*I597</f>
        <v>111651.1</v>
      </c>
      <c r="L597" s="75"/>
      <c r="M597" s="75"/>
      <c r="N597" s="73"/>
      <c r="O597" s="73"/>
      <c r="P597" s="61"/>
    </row>
    <row r="598" spans="1:16" ht="15.75" x14ac:dyDescent="0.2">
      <c r="A598" s="81"/>
      <c r="B598" s="32" t="s">
        <v>28</v>
      </c>
      <c r="C598" s="73" t="s">
        <v>11</v>
      </c>
      <c r="D598" s="73">
        <v>9</v>
      </c>
      <c r="E598" s="73">
        <f>unskilled</f>
        <v>780</v>
      </c>
      <c r="F598" s="73">
        <f>D598*E598</f>
        <v>7020</v>
      </c>
      <c r="G598" s="75" t="s">
        <v>64</v>
      </c>
      <c r="H598" s="74" t="s">
        <v>50</v>
      </c>
      <c r="I598" s="74">
        <v>8</v>
      </c>
      <c r="J598" s="73">
        <f>bindingwireblack</f>
        <v>111.63</v>
      </c>
      <c r="K598" s="73">
        <f>I598*J598</f>
        <v>893.04</v>
      </c>
      <c r="L598" s="70"/>
      <c r="M598" s="74"/>
      <c r="N598" s="73"/>
      <c r="O598" s="73"/>
      <c r="P598" s="61"/>
    </row>
    <row r="599" spans="1:16" ht="15.75" x14ac:dyDescent="0.2">
      <c r="A599" s="1005" t="s">
        <v>34</v>
      </c>
      <c r="B599" s="1006"/>
      <c r="C599" s="1006"/>
      <c r="D599" s="1006"/>
      <c r="E599" s="1006"/>
      <c r="F599" s="73">
        <f>SUM(F597:F598)</f>
        <v>11420</v>
      </c>
      <c r="G599" s="1006" t="s">
        <v>35</v>
      </c>
      <c r="H599" s="1006"/>
      <c r="I599" s="1006"/>
      <c r="J599" s="1006"/>
      <c r="K599" s="73">
        <f>SUM(K597:K598)</f>
        <v>112544.14</v>
      </c>
      <c r="L599" s="1006" t="s">
        <v>36</v>
      </c>
      <c r="M599" s="1006"/>
      <c r="N599" s="1006"/>
      <c r="O599" s="1006"/>
      <c r="P599" s="61">
        <f>SUM(P597:P598)</f>
        <v>0</v>
      </c>
    </row>
    <row r="600" spans="1:16" ht="15.75" x14ac:dyDescent="0.2">
      <c r="A600" s="1005" t="s">
        <v>487</v>
      </c>
      <c r="B600" s="1006"/>
      <c r="C600" s="1006"/>
      <c r="D600" s="1006"/>
      <c r="E600" s="1006"/>
      <c r="F600" s="74">
        <f>SUM(F599+K599+P599)</f>
        <v>123964.14</v>
      </c>
      <c r="G600" s="1006"/>
      <c r="H600" s="1006"/>
      <c r="I600" s="1006"/>
      <c r="J600" s="1006"/>
      <c r="K600" s="1006"/>
      <c r="L600" s="74"/>
      <c r="M600" s="292"/>
      <c r="N600" s="292"/>
      <c r="O600" s="292"/>
      <c r="P600" s="16"/>
    </row>
    <row r="601" spans="1:16" ht="16.5" thickBot="1" x14ac:dyDescent="0.25">
      <c r="A601" s="82"/>
      <c r="B601" s="999" t="s">
        <v>110</v>
      </c>
      <c r="C601" s="999"/>
      <c r="D601" s="999"/>
      <c r="E601" s="999"/>
      <c r="F601" s="17">
        <f>15%*F600</f>
        <v>18594.62</v>
      </c>
      <c r="G601" s="83"/>
      <c r="H601" s="83"/>
      <c r="I601" s="83"/>
      <c r="J601" s="83"/>
      <c r="K601" s="83"/>
      <c r="L601" s="17"/>
      <c r="M601" s="276"/>
      <c r="N601" s="1000" t="s">
        <v>53</v>
      </c>
      <c r="O601" s="1000"/>
      <c r="P601" s="18">
        <f>(F601+F600)/P594</f>
        <v>142558.76</v>
      </c>
    </row>
    <row r="602" spans="1:16" ht="15.75" x14ac:dyDescent="0.2">
      <c r="A602" s="309"/>
      <c r="B602" s="51"/>
      <c r="C602" s="51"/>
      <c r="D602" s="51"/>
      <c r="E602" s="51"/>
      <c r="F602" s="51"/>
      <c r="G602" s="51"/>
      <c r="H602" s="51"/>
      <c r="I602" s="51"/>
      <c r="J602" s="51"/>
      <c r="K602" s="51"/>
      <c r="L602" s="51"/>
      <c r="M602" s="51"/>
      <c r="N602" s="51"/>
      <c r="O602" s="51"/>
      <c r="P602" s="51"/>
    </row>
    <row r="603" spans="1:16" ht="15.75" hidden="1" customHeight="1" x14ac:dyDescent="0.2">
      <c r="A603" s="986" t="s">
        <v>29</v>
      </c>
      <c r="B603" s="987"/>
      <c r="C603" s="988" t="s">
        <v>587</v>
      </c>
      <c r="D603" s="989"/>
      <c r="E603" s="989"/>
      <c r="F603" s="989"/>
      <c r="G603" s="989"/>
      <c r="H603" s="989"/>
      <c r="I603" s="989"/>
      <c r="J603" s="989"/>
      <c r="K603" s="989"/>
      <c r="L603" s="989"/>
      <c r="M603" s="989"/>
      <c r="N603" s="989"/>
      <c r="O603" s="989"/>
      <c r="P603" s="274" t="s">
        <v>435</v>
      </c>
    </row>
    <row r="604" spans="1:16" ht="31.15" hidden="1" customHeight="1" x14ac:dyDescent="0.2">
      <c r="A604" s="991" t="s">
        <v>579</v>
      </c>
      <c r="B604" s="992"/>
      <c r="C604" s="990"/>
      <c r="D604" s="990"/>
      <c r="E604" s="990"/>
      <c r="F604" s="990"/>
      <c r="G604" s="990"/>
      <c r="H604" s="990"/>
      <c r="I604" s="990"/>
      <c r="J604" s="990"/>
      <c r="K604" s="990"/>
      <c r="L604" s="990"/>
      <c r="M604" s="990"/>
      <c r="N604" s="990"/>
      <c r="O604" s="990"/>
      <c r="P604" s="275">
        <v>30</v>
      </c>
    </row>
    <row r="605" spans="1:16" ht="15.75" hidden="1" x14ac:dyDescent="0.2">
      <c r="A605" s="1001" t="s">
        <v>30</v>
      </c>
      <c r="B605" s="1003" t="s">
        <v>31</v>
      </c>
      <c r="C605" s="1003"/>
      <c r="D605" s="1003"/>
      <c r="E605" s="1003"/>
      <c r="F605" s="1003"/>
      <c r="G605" s="1003" t="s">
        <v>32</v>
      </c>
      <c r="H605" s="1003"/>
      <c r="I605" s="1003"/>
      <c r="J605" s="1003"/>
      <c r="K605" s="1003"/>
      <c r="L605" s="1003" t="s">
        <v>33</v>
      </c>
      <c r="M605" s="1003"/>
      <c r="N605" s="1003"/>
      <c r="O605" s="1003"/>
      <c r="P605" s="1004"/>
    </row>
    <row r="606" spans="1:16" ht="13.5" hidden="1" customHeight="1" x14ac:dyDescent="0.2">
      <c r="A606" s="1002"/>
      <c r="B606" s="79" t="s">
        <v>8</v>
      </c>
      <c r="C606" s="79" t="s">
        <v>7</v>
      </c>
      <c r="D606" s="79" t="s">
        <v>9</v>
      </c>
      <c r="E606" s="79" t="s">
        <v>19</v>
      </c>
      <c r="F606" s="79" t="s">
        <v>20</v>
      </c>
      <c r="G606" s="79" t="s">
        <v>8</v>
      </c>
      <c r="H606" s="79" t="s">
        <v>7</v>
      </c>
      <c r="I606" s="79" t="s">
        <v>9</v>
      </c>
      <c r="J606" s="79" t="s">
        <v>19</v>
      </c>
      <c r="K606" s="79" t="s">
        <v>20</v>
      </c>
      <c r="L606" s="79" t="s">
        <v>8</v>
      </c>
      <c r="M606" s="79" t="s">
        <v>7</v>
      </c>
      <c r="N606" s="79" t="s">
        <v>9</v>
      </c>
      <c r="O606" s="79" t="s">
        <v>19</v>
      </c>
      <c r="P606" s="24" t="s">
        <v>20</v>
      </c>
    </row>
    <row r="607" spans="1:16" ht="31.5" hidden="1" x14ac:dyDescent="0.2">
      <c r="A607" s="72">
        <v>20.7</v>
      </c>
      <c r="B607" s="32" t="s">
        <v>16</v>
      </c>
      <c r="C607" s="73" t="s">
        <v>11</v>
      </c>
      <c r="D607" s="25">
        <v>1</v>
      </c>
      <c r="E607" s="25">
        <f>skilled</f>
        <v>1100</v>
      </c>
      <c r="F607" s="25">
        <f>D607*E607</f>
        <v>1100</v>
      </c>
      <c r="G607" s="70" t="s">
        <v>580</v>
      </c>
      <c r="H607" s="74" t="s">
        <v>63</v>
      </c>
      <c r="I607" s="73">
        <v>31.5</v>
      </c>
      <c r="J607" s="73">
        <f>HDPEpipe100mm</f>
        <v>445.62</v>
      </c>
      <c r="K607" s="73">
        <f>I607*J607</f>
        <v>14037.03</v>
      </c>
      <c r="L607" s="73"/>
      <c r="M607" s="73"/>
      <c r="N607" s="73"/>
      <c r="O607" s="73"/>
      <c r="P607" s="61"/>
    </row>
    <row r="608" spans="1:16" ht="15.75" hidden="1" x14ac:dyDescent="0.2">
      <c r="A608" s="72"/>
      <c r="B608" s="32" t="s">
        <v>28</v>
      </c>
      <c r="C608" s="73" t="s">
        <v>11</v>
      </c>
      <c r="D608" s="25">
        <v>1</v>
      </c>
      <c r="E608" s="25">
        <f>unskilled</f>
        <v>780</v>
      </c>
      <c r="F608" s="25">
        <f>D608*E608</f>
        <v>780</v>
      </c>
      <c r="G608" s="70"/>
      <c r="H608" s="73"/>
      <c r="I608" s="73"/>
      <c r="J608" s="73"/>
      <c r="K608" s="73"/>
      <c r="L608" s="73"/>
      <c r="M608" s="73"/>
      <c r="N608" s="73"/>
      <c r="O608" s="73"/>
      <c r="P608" s="61"/>
    </row>
    <row r="609" spans="1:16" ht="15.75" hidden="1" x14ac:dyDescent="0.2">
      <c r="A609" s="1005" t="s">
        <v>34</v>
      </c>
      <c r="B609" s="1006"/>
      <c r="C609" s="1006"/>
      <c r="D609" s="1006"/>
      <c r="E609" s="1006"/>
      <c r="F609" s="73">
        <f>SUM(F607:F608)</f>
        <v>1880</v>
      </c>
      <c r="G609" s="1006" t="s">
        <v>35</v>
      </c>
      <c r="H609" s="1006"/>
      <c r="I609" s="1006"/>
      <c r="J609" s="1006"/>
      <c r="K609" s="73">
        <f>SUM(K607:K608)</f>
        <v>14037.03</v>
      </c>
      <c r="L609" s="1006" t="s">
        <v>36</v>
      </c>
      <c r="M609" s="1006"/>
      <c r="N609" s="1006"/>
      <c r="O609" s="1006"/>
      <c r="P609" s="61">
        <f>SUM(P607:P608)</f>
        <v>0</v>
      </c>
    </row>
    <row r="610" spans="1:16" ht="12" hidden="1" customHeight="1" x14ac:dyDescent="0.2">
      <c r="A610" s="1005" t="s">
        <v>487</v>
      </c>
      <c r="B610" s="1006"/>
      <c r="C610" s="1006"/>
      <c r="D610" s="1006"/>
      <c r="E610" s="1006"/>
      <c r="F610" s="74">
        <f>SUM(F609+K609+P609)</f>
        <v>15917.03</v>
      </c>
      <c r="G610" s="90"/>
      <c r="H610" s="90"/>
      <c r="I610" s="90"/>
      <c r="J610" s="90"/>
      <c r="K610" s="90"/>
      <c r="L610" s="74"/>
      <c r="M610" s="90"/>
      <c r="N610" s="90"/>
      <c r="O610" s="90"/>
      <c r="P610" s="21"/>
    </row>
    <row r="611" spans="1:16" ht="16.5" hidden="1" thickBot="1" x14ac:dyDescent="0.25">
      <c r="A611" s="82"/>
      <c r="B611" s="999" t="s">
        <v>110</v>
      </c>
      <c r="C611" s="999"/>
      <c r="D611" s="999"/>
      <c r="E611" s="999"/>
      <c r="F611" s="17">
        <f>15%*F610</f>
        <v>2387.5500000000002</v>
      </c>
      <c r="G611" s="83"/>
      <c r="H611" s="83"/>
      <c r="I611" s="83"/>
      <c r="J611" s="83"/>
      <c r="K611" s="83"/>
      <c r="L611" s="17"/>
      <c r="M611" s="276"/>
      <c r="N611" s="1000" t="s">
        <v>53</v>
      </c>
      <c r="O611" s="1000"/>
      <c r="P611" s="18">
        <f>(F611+F610)/P604</f>
        <v>610.15</v>
      </c>
    </row>
    <row r="612" spans="1:16" ht="15.75" hidden="1" x14ac:dyDescent="0.2">
      <c r="A612" s="281"/>
      <c r="B612" s="281"/>
      <c r="C612" s="281"/>
      <c r="D612" s="281"/>
      <c r="E612" s="281"/>
      <c r="F612" s="57"/>
      <c r="G612" s="281"/>
      <c r="H612" s="281"/>
      <c r="I612" s="281"/>
      <c r="J612" s="281"/>
      <c r="K612" s="281"/>
      <c r="L612" s="57"/>
      <c r="M612" s="299"/>
      <c r="N612" s="299"/>
      <c r="O612" s="299"/>
      <c r="P612" s="43"/>
    </row>
    <row r="613" spans="1:16" ht="16.5" thickBot="1" x14ac:dyDescent="0.25">
      <c r="A613" s="53" t="s">
        <v>97</v>
      </c>
      <c r="B613" s="53"/>
      <c r="C613" s="53"/>
      <c r="D613" s="53"/>
      <c r="E613" s="283"/>
      <c r="F613" s="19"/>
      <c r="G613" s="283"/>
      <c r="H613" s="283"/>
      <c r="I613" s="283"/>
      <c r="J613" s="283"/>
      <c r="K613" s="283"/>
      <c r="L613" s="19"/>
      <c r="M613" s="306"/>
      <c r="N613" s="306"/>
      <c r="O613" s="306"/>
      <c r="P613" s="30"/>
    </row>
    <row r="614" spans="1:16" ht="15.75" hidden="1" x14ac:dyDescent="0.2">
      <c r="A614" s="986" t="s">
        <v>29</v>
      </c>
      <c r="B614" s="987"/>
      <c r="C614" s="988" t="s">
        <v>586</v>
      </c>
      <c r="D614" s="989"/>
      <c r="E614" s="989"/>
      <c r="F614" s="989"/>
      <c r="G614" s="989"/>
      <c r="H614" s="989"/>
      <c r="I614" s="989"/>
      <c r="J614" s="989"/>
      <c r="K614" s="989"/>
      <c r="L614" s="989"/>
      <c r="M614" s="989"/>
      <c r="N614" s="989"/>
      <c r="O614" s="989"/>
      <c r="P614" s="274" t="s">
        <v>433</v>
      </c>
    </row>
    <row r="615" spans="1:16" ht="15.75" hidden="1" x14ac:dyDescent="0.2">
      <c r="A615" s="991" t="s">
        <v>2</v>
      </c>
      <c r="B615" s="992"/>
      <c r="C615" s="990"/>
      <c r="D615" s="990"/>
      <c r="E615" s="990"/>
      <c r="F615" s="990"/>
      <c r="G615" s="990"/>
      <c r="H615" s="990"/>
      <c r="I615" s="990"/>
      <c r="J615" s="990"/>
      <c r="K615" s="990"/>
      <c r="L615" s="990"/>
      <c r="M615" s="990"/>
      <c r="N615" s="990"/>
      <c r="O615" s="990"/>
      <c r="P615" s="275">
        <v>15</v>
      </c>
    </row>
    <row r="616" spans="1:16" ht="15.75" hidden="1" x14ac:dyDescent="0.2">
      <c r="A616" s="1001" t="s">
        <v>30</v>
      </c>
      <c r="B616" s="1003" t="s">
        <v>31</v>
      </c>
      <c r="C616" s="1003"/>
      <c r="D616" s="1003"/>
      <c r="E616" s="1003"/>
      <c r="F616" s="1003"/>
      <c r="G616" s="1003" t="s">
        <v>32</v>
      </c>
      <c r="H616" s="1003"/>
      <c r="I616" s="1003"/>
      <c r="J616" s="1003"/>
      <c r="K616" s="1003"/>
      <c r="L616" s="1003" t="s">
        <v>33</v>
      </c>
      <c r="M616" s="1003"/>
      <c r="N616" s="1003"/>
      <c r="O616" s="1003"/>
      <c r="P616" s="1004"/>
    </row>
    <row r="617" spans="1:16" ht="15.75" hidden="1" x14ac:dyDescent="0.2">
      <c r="A617" s="1002"/>
      <c r="B617" s="79" t="s">
        <v>8</v>
      </c>
      <c r="C617" s="79" t="s">
        <v>7</v>
      </c>
      <c r="D617" s="79" t="s">
        <v>9</v>
      </c>
      <c r="E617" s="79" t="s">
        <v>19</v>
      </c>
      <c r="F617" s="79" t="s">
        <v>20</v>
      </c>
      <c r="G617" s="79" t="s">
        <v>8</v>
      </c>
      <c r="H617" s="79" t="s">
        <v>7</v>
      </c>
      <c r="I617" s="79" t="s">
        <v>9</v>
      </c>
      <c r="J617" s="79" t="s">
        <v>19</v>
      </c>
      <c r="K617" s="79" t="s">
        <v>20</v>
      </c>
      <c r="L617" s="79" t="s">
        <v>8</v>
      </c>
      <c r="M617" s="79" t="s">
        <v>7</v>
      </c>
      <c r="N617" s="79" t="s">
        <v>9</v>
      </c>
      <c r="O617" s="79" t="s">
        <v>19</v>
      </c>
      <c r="P617" s="24" t="s">
        <v>20</v>
      </c>
    </row>
    <row r="618" spans="1:16" ht="15.75" hidden="1" x14ac:dyDescent="0.2">
      <c r="A618" s="287" t="s">
        <v>581</v>
      </c>
      <c r="B618" s="32" t="s">
        <v>16</v>
      </c>
      <c r="C618" s="25" t="s">
        <v>11</v>
      </c>
      <c r="D618" s="25">
        <v>3</v>
      </c>
      <c r="E618" s="74">
        <f>skilled</f>
        <v>1100</v>
      </c>
      <c r="F618" s="74">
        <f>D618*E618</f>
        <v>3300</v>
      </c>
      <c r="G618" s="32" t="s">
        <v>582</v>
      </c>
      <c r="H618" s="74" t="s">
        <v>132</v>
      </c>
      <c r="I618" s="74">
        <v>5.12</v>
      </c>
      <c r="J618" s="74">
        <f>cement</f>
        <v>15631</v>
      </c>
      <c r="K618" s="74">
        <f>I618*J618</f>
        <v>80030.720000000001</v>
      </c>
      <c r="L618" s="75" t="s">
        <v>163</v>
      </c>
      <c r="M618" s="74" t="s">
        <v>13</v>
      </c>
      <c r="N618" s="74">
        <v>6</v>
      </c>
      <c r="O618" s="74">
        <f>mixermachine</f>
        <v>333</v>
      </c>
      <c r="P618" s="21">
        <f>N618*O618</f>
        <v>1998</v>
      </c>
    </row>
    <row r="619" spans="1:16" ht="18.75" hidden="1" x14ac:dyDescent="0.2">
      <c r="A619" s="313"/>
      <c r="B619" s="75" t="s">
        <v>28</v>
      </c>
      <c r="C619" s="25" t="s">
        <v>11</v>
      </c>
      <c r="D619" s="25">
        <v>30</v>
      </c>
      <c r="E619" s="74">
        <f>unskilled</f>
        <v>780</v>
      </c>
      <c r="F619" s="74">
        <f>D619*E619</f>
        <v>23400</v>
      </c>
      <c r="G619" s="32" t="s">
        <v>156</v>
      </c>
      <c r="H619" s="74" t="s">
        <v>165</v>
      </c>
      <c r="I619" s="74">
        <v>8.1</v>
      </c>
      <c r="J619" s="74">
        <f>aggregate20mm</f>
        <v>1580.97</v>
      </c>
      <c r="K619" s="74">
        <f>I619*J619</f>
        <v>12805.86</v>
      </c>
      <c r="L619" s="75" t="s">
        <v>3</v>
      </c>
      <c r="M619" s="74" t="s">
        <v>13</v>
      </c>
      <c r="N619" s="74">
        <v>6</v>
      </c>
      <c r="O619" s="74">
        <f>electricgenerator</f>
        <v>785</v>
      </c>
      <c r="P619" s="21">
        <f>N619*O619</f>
        <v>4710</v>
      </c>
    </row>
    <row r="620" spans="1:16" ht="18.75" hidden="1" x14ac:dyDescent="0.2">
      <c r="A620" s="313"/>
      <c r="B620" s="79"/>
      <c r="C620" s="79"/>
      <c r="D620" s="79"/>
      <c r="E620" s="79"/>
      <c r="F620" s="79"/>
      <c r="G620" s="32" t="s">
        <v>583</v>
      </c>
      <c r="H620" s="74" t="s">
        <v>165</v>
      </c>
      <c r="I620" s="74">
        <v>5.4</v>
      </c>
      <c r="J620" s="74">
        <f>aggregate10mm</f>
        <v>1420.97</v>
      </c>
      <c r="K620" s="74">
        <f>I620*J620</f>
        <v>7673.24</v>
      </c>
      <c r="L620" s="79"/>
      <c r="M620" s="79"/>
      <c r="N620" s="79"/>
      <c r="O620" s="79"/>
      <c r="P620" s="24"/>
    </row>
    <row r="621" spans="1:16" ht="18.75" hidden="1" x14ac:dyDescent="0.2">
      <c r="A621" s="313"/>
      <c r="B621" s="79"/>
      <c r="C621" s="79"/>
      <c r="D621" s="79"/>
      <c r="E621" s="79"/>
      <c r="F621" s="79"/>
      <c r="G621" s="32" t="s">
        <v>22</v>
      </c>
      <c r="H621" s="74" t="s">
        <v>165</v>
      </c>
      <c r="I621" s="74">
        <v>6.75</v>
      </c>
      <c r="J621" s="74">
        <f>sand</f>
        <v>2001.47</v>
      </c>
      <c r="K621" s="74">
        <f>I621*J621</f>
        <v>13509.92</v>
      </c>
      <c r="L621" s="79"/>
      <c r="M621" s="79"/>
      <c r="N621" s="79"/>
      <c r="O621" s="79"/>
      <c r="P621" s="24"/>
    </row>
    <row r="622" spans="1:16" ht="13.5" hidden="1" customHeight="1" x14ac:dyDescent="0.2">
      <c r="A622" s="72"/>
      <c r="B622" s="73"/>
      <c r="C622" s="73"/>
      <c r="D622" s="25"/>
      <c r="E622" s="25"/>
      <c r="F622" s="25"/>
      <c r="G622" s="32" t="s">
        <v>26</v>
      </c>
      <c r="H622" s="74" t="s">
        <v>474</v>
      </c>
      <c r="I622" s="74">
        <v>3</v>
      </c>
      <c r="J622" s="74">
        <f>water*1000</f>
        <v>410</v>
      </c>
      <c r="K622" s="74">
        <f>I622*J622</f>
        <v>1230</v>
      </c>
      <c r="L622" s="73"/>
      <c r="M622" s="73"/>
      <c r="N622" s="73"/>
      <c r="O622" s="73"/>
      <c r="P622" s="61"/>
    </row>
    <row r="623" spans="1:16" ht="15.75" hidden="1" x14ac:dyDescent="0.2">
      <c r="A623" s="1005" t="s">
        <v>34</v>
      </c>
      <c r="B623" s="1006"/>
      <c r="C623" s="1006"/>
      <c r="D623" s="1006"/>
      <c r="E623" s="1006"/>
      <c r="F623" s="73">
        <f>F618+F619</f>
        <v>26700</v>
      </c>
      <c r="G623" s="1006" t="s">
        <v>35</v>
      </c>
      <c r="H623" s="1006"/>
      <c r="I623" s="1006"/>
      <c r="J623" s="1006"/>
      <c r="K623" s="73">
        <f>SUM(K618:K622)</f>
        <v>115249.74</v>
      </c>
      <c r="L623" s="1006" t="s">
        <v>36</v>
      </c>
      <c r="M623" s="1006"/>
      <c r="N623" s="1006"/>
      <c r="O623" s="1006"/>
      <c r="P623" s="61">
        <f>P618+P619</f>
        <v>6708</v>
      </c>
    </row>
    <row r="624" spans="1:16" ht="15.75" hidden="1" x14ac:dyDescent="0.2">
      <c r="A624" s="1005" t="s">
        <v>487</v>
      </c>
      <c r="B624" s="1006"/>
      <c r="C624" s="1006"/>
      <c r="D624" s="1006"/>
      <c r="E624" s="1006"/>
      <c r="F624" s="74">
        <f>F623+K623+P623</f>
        <v>148657.74</v>
      </c>
      <c r="G624" s="150"/>
      <c r="H624" s="150"/>
      <c r="I624" s="150"/>
      <c r="J624" s="150"/>
      <c r="K624" s="73"/>
      <c r="L624" s="150"/>
      <c r="M624" s="150"/>
      <c r="N624" s="150"/>
      <c r="O624" s="150"/>
      <c r="P624" s="61"/>
    </row>
    <row r="625" spans="1:16" ht="15.75" hidden="1" x14ac:dyDescent="0.2">
      <c r="A625" s="1005" t="s">
        <v>1072</v>
      </c>
      <c r="B625" s="1006"/>
      <c r="C625" s="1006"/>
      <c r="D625" s="1006"/>
      <c r="E625" s="1006"/>
      <c r="F625" s="364">
        <f>35%*F624</f>
        <v>52030.21</v>
      </c>
      <c r="G625" s="135"/>
      <c r="H625" s="135"/>
      <c r="I625" s="135"/>
      <c r="J625" s="135"/>
      <c r="K625" s="136"/>
      <c r="L625" s="135"/>
      <c r="M625" s="135"/>
      <c r="N625" s="135"/>
      <c r="O625" s="135"/>
      <c r="P625" s="137"/>
    </row>
    <row r="626" spans="1:16" ht="12.75" hidden="1" customHeight="1" thickBot="1" x14ac:dyDescent="0.25">
      <c r="A626" s="325"/>
      <c r="B626" s="294"/>
      <c r="C626" s="294"/>
      <c r="D626" s="294"/>
      <c r="E626" s="83" t="s">
        <v>111</v>
      </c>
      <c r="F626" s="17">
        <f>15%*SUM(F624:F625)</f>
        <v>30103.19</v>
      </c>
      <c r="G626" s="999"/>
      <c r="H626" s="999"/>
      <c r="I626" s="999"/>
      <c r="J626" s="999"/>
      <c r="K626" s="17"/>
      <c r="L626" s="17"/>
      <c r="M626" s="294"/>
      <c r="N626" s="1000" t="s">
        <v>53</v>
      </c>
      <c r="O626" s="1000"/>
      <c r="P626" s="18">
        <f>(F624+F626)/P615</f>
        <v>11917.4</v>
      </c>
    </row>
    <row r="627" spans="1:16" ht="15" hidden="1" customHeight="1" thickBot="1" x14ac:dyDescent="0.25">
      <c r="A627" s="48"/>
      <c r="B627" s="48"/>
      <c r="C627" s="48"/>
      <c r="D627" s="48"/>
      <c r="E627" s="48"/>
      <c r="F627" s="48"/>
      <c r="G627" s="48"/>
      <c r="H627" s="48"/>
      <c r="I627" s="48"/>
      <c r="J627" s="48"/>
      <c r="K627" s="48"/>
      <c r="L627" s="48"/>
      <c r="M627" s="48"/>
      <c r="N627" s="48"/>
      <c r="O627" s="48"/>
      <c r="P627" s="48"/>
    </row>
    <row r="628" spans="1:16" ht="15.75" hidden="1" customHeight="1" x14ac:dyDescent="0.2">
      <c r="A628" s="986" t="s">
        <v>29</v>
      </c>
      <c r="B628" s="987"/>
      <c r="C628" s="988" t="s">
        <v>589</v>
      </c>
      <c r="D628" s="989"/>
      <c r="E628" s="989"/>
      <c r="F628" s="989"/>
      <c r="G628" s="989"/>
      <c r="H628" s="989"/>
      <c r="I628" s="989"/>
      <c r="J628" s="989"/>
      <c r="K628" s="989"/>
      <c r="L628" s="989"/>
      <c r="M628" s="989"/>
      <c r="N628" s="989"/>
      <c r="O628" s="989"/>
      <c r="P628" s="274" t="s">
        <v>433</v>
      </c>
    </row>
    <row r="629" spans="1:16" ht="15.75" hidden="1" x14ac:dyDescent="0.2">
      <c r="A629" s="991" t="s">
        <v>2</v>
      </c>
      <c r="B629" s="992"/>
      <c r="C629" s="990"/>
      <c r="D629" s="990"/>
      <c r="E629" s="990"/>
      <c r="F629" s="990"/>
      <c r="G629" s="990"/>
      <c r="H629" s="990"/>
      <c r="I629" s="990"/>
      <c r="J629" s="990"/>
      <c r="K629" s="990"/>
      <c r="L629" s="990"/>
      <c r="M629" s="990"/>
      <c r="N629" s="990"/>
      <c r="O629" s="990"/>
      <c r="P629" s="275">
        <v>15</v>
      </c>
    </row>
    <row r="630" spans="1:16" ht="15.75" hidden="1" x14ac:dyDescent="0.2">
      <c r="A630" s="1001" t="s">
        <v>30</v>
      </c>
      <c r="B630" s="1003" t="s">
        <v>31</v>
      </c>
      <c r="C630" s="1003"/>
      <c r="D630" s="1003"/>
      <c r="E630" s="1003"/>
      <c r="F630" s="1003"/>
      <c r="G630" s="1003" t="s">
        <v>32</v>
      </c>
      <c r="H630" s="1003"/>
      <c r="I630" s="1003"/>
      <c r="J630" s="1003"/>
      <c r="K630" s="1003"/>
      <c r="L630" s="1003" t="s">
        <v>33</v>
      </c>
      <c r="M630" s="1003"/>
      <c r="N630" s="1003"/>
      <c r="O630" s="1003"/>
      <c r="P630" s="1004"/>
    </row>
    <row r="631" spans="1:16" ht="15.75" hidden="1" x14ac:dyDescent="0.2">
      <c r="A631" s="1002"/>
      <c r="B631" s="79" t="s">
        <v>8</v>
      </c>
      <c r="C631" s="79" t="s">
        <v>7</v>
      </c>
      <c r="D631" s="79" t="s">
        <v>9</v>
      </c>
      <c r="E631" s="79" t="s">
        <v>19</v>
      </c>
      <c r="F631" s="79" t="s">
        <v>20</v>
      </c>
      <c r="G631" s="79" t="s">
        <v>8</v>
      </c>
      <c r="H631" s="79" t="s">
        <v>7</v>
      </c>
      <c r="I631" s="79" t="s">
        <v>9</v>
      </c>
      <c r="J631" s="79" t="s">
        <v>19</v>
      </c>
      <c r="K631" s="79" t="s">
        <v>20</v>
      </c>
      <c r="L631" s="79" t="s">
        <v>8</v>
      </c>
      <c r="M631" s="79" t="s">
        <v>7</v>
      </c>
      <c r="N631" s="79" t="s">
        <v>9</v>
      </c>
      <c r="O631" s="79" t="s">
        <v>19</v>
      </c>
      <c r="P631" s="24" t="s">
        <v>20</v>
      </c>
    </row>
    <row r="632" spans="1:16" ht="15.75" hidden="1" x14ac:dyDescent="0.2">
      <c r="A632" s="287" t="s">
        <v>588</v>
      </c>
      <c r="B632" s="32" t="s">
        <v>16</v>
      </c>
      <c r="C632" s="25" t="s">
        <v>11</v>
      </c>
      <c r="D632" s="25">
        <v>3</v>
      </c>
      <c r="E632" s="74">
        <f>skilled</f>
        <v>1100</v>
      </c>
      <c r="F632" s="74">
        <f>D632*E632</f>
        <v>3300</v>
      </c>
      <c r="G632" s="32" t="s">
        <v>582</v>
      </c>
      <c r="H632" s="74" t="s">
        <v>132</v>
      </c>
      <c r="I632" s="74">
        <v>5.99</v>
      </c>
      <c r="J632" s="74">
        <f>cement</f>
        <v>15631</v>
      </c>
      <c r="K632" s="74">
        <f t="shared" ref="K632:K637" si="8">I632*J632</f>
        <v>93629.69</v>
      </c>
      <c r="L632" s="75" t="s">
        <v>163</v>
      </c>
      <c r="M632" s="74" t="s">
        <v>13</v>
      </c>
      <c r="N632" s="74">
        <v>6</v>
      </c>
      <c r="O632" s="74">
        <f>mixermachine</f>
        <v>333</v>
      </c>
      <c r="P632" s="21">
        <f>N632*O632</f>
        <v>1998</v>
      </c>
    </row>
    <row r="633" spans="1:16" ht="18.75" hidden="1" x14ac:dyDescent="0.2">
      <c r="A633" s="313"/>
      <c r="B633" s="75" t="s">
        <v>28</v>
      </c>
      <c r="C633" s="25" t="s">
        <v>11</v>
      </c>
      <c r="D633" s="25">
        <v>30</v>
      </c>
      <c r="E633" s="74">
        <f>unskilled</f>
        <v>780</v>
      </c>
      <c r="F633" s="74">
        <f>D633*E633</f>
        <v>23400</v>
      </c>
      <c r="G633" s="32" t="s">
        <v>156</v>
      </c>
      <c r="H633" s="74" t="s">
        <v>165</v>
      </c>
      <c r="I633" s="74">
        <v>8.1</v>
      </c>
      <c r="J633" s="74">
        <f>aggregate20mm</f>
        <v>1580.97</v>
      </c>
      <c r="K633" s="74">
        <f t="shared" si="8"/>
        <v>12805.86</v>
      </c>
      <c r="L633" s="75" t="s">
        <v>3</v>
      </c>
      <c r="M633" s="74" t="s">
        <v>13</v>
      </c>
      <c r="N633" s="74">
        <v>6</v>
      </c>
      <c r="O633" s="74">
        <f>electricgenerator</f>
        <v>785</v>
      </c>
      <c r="P633" s="21">
        <f>N633*O633</f>
        <v>4710</v>
      </c>
    </row>
    <row r="634" spans="1:16" ht="18.75" hidden="1" x14ac:dyDescent="0.2">
      <c r="A634" s="313"/>
      <c r="B634" s="79"/>
      <c r="C634" s="79"/>
      <c r="D634" s="79"/>
      <c r="E634" s="79"/>
      <c r="F634" s="79"/>
      <c r="G634" s="32" t="s">
        <v>583</v>
      </c>
      <c r="H634" s="74" t="s">
        <v>165</v>
      </c>
      <c r="I634" s="74">
        <v>5.4</v>
      </c>
      <c r="J634" s="74">
        <f>aggregate10mm</f>
        <v>1420.97</v>
      </c>
      <c r="K634" s="74">
        <f t="shared" si="8"/>
        <v>7673.24</v>
      </c>
      <c r="L634" s="79"/>
      <c r="M634" s="79"/>
      <c r="N634" s="79"/>
      <c r="O634" s="79"/>
      <c r="P634" s="24"/>
    </row>
    <row r="635" spans="1:16" ht="18.75" hidden="1" x14ac:dyDescent="0.2">
      <c r="A635" s="313"/>
      <c r="B635" s="79"/>
      <c r="C635" s="79"/>
      <c r="D635" s="79"/>
      <c r="E635" s="79"/>
      <c r="F635" s="79"/>
      <c r="G635" s="32" t="s">
        <v>22</v>
      </c>
      <c r="H635" s="74" t="s">
        <v>165</v>
      </c>
      <c r="I635" s="74">
        <v>6.75</v>
      </c>
      <c r="J635" s="74">
        <f>sand</f>
        <v>2001.47</v>
      </c>
      <c r="K635" s="74">
        <f t="shared" si="8"/>
        <v>13509.92</v>
      </c>
      <c r="L635" s="79"/>
      <c r="M635" s="79"/>
      <c r="N635" s="79"/>
      <c r="O635" s="79"/>
      <c r="P635" s="24"/>
    </row>
    <row r="636" spans="1:16" ht="15.75" hidden="1" x14ac:dyDescent="0.2">
      <c r="A636" s="313"/>
      <c r="B636" s="73"/>
      <c r="C636" s="73"/>
      <c r="D636" s="25"/>
      <c r="E636" s="25"/>
      <c r="F636" s="25"/>
      <c r="G636" s="32" t="s">
        <v>26</v>
      </c>
      <c r="H636" s="74" t="s">
        <v>474</v>
      </c>
      <c r="I636" s="74">
        <v>3</v>
      </c>
      <c r="J636" s="74">
        <f>water*1000</f>
        <v>410</v>
      </c>
      <c r="K636" s="74">
        <f t="shared" si="8"/>
        <v>1230</v>
      </c>
      <c r="L636" s="73"/>
      <c r="M636" s="73"/>
      <c r="N636" s="73"/>
      <c r="O636" s="73"/>
      <c r="P636" s="61"/>
    </row>
    <row r="637" spans="1:16" ht="15.75" hidden="1" x14ac:dyDescent="0.2">
      <c r="A637" s="313"/>
      <c r="B637" s="79"/>
      <c r="C637" s="79"/>
      <c r="D637" s="79"/>
      <c r="E637" s="79"/>
      <c r="F637" s="79"/>
      <c r="G637" s="32" t="s">
        <v>153</v>
      </c>
      <c r="H637" s="73" t="s">
        <v>50</v>
      </c>
      <c r="I637" s="74">
        <f>0.4%*I632*1000</f>
        <v>23.96</v>
      </c>
      <c r="J637" s="74">
        <f>admixture</f>
        <v>356.63</v>
      </c>
      <c r="K637" s="74">
        <f t="shared" si="8"/>
        <v>8544.85</v>
      </c>
      <c r="L637" s="79"/>
      <c r="M637" s="79"/>
      <c r="N637" s="79"/>
      <c r="O637" s="79"/>
      <c r="P637" s="24"/>
    </row>
    <row r="638" spans="1:16" ht="15.75" hidden="1" x14ac:dyDescent="0.2">
      <c r="A638" s="1005" t="s">
        <v>34</v>
      </c>
      <c r="B638" s="1006"/>
      <c r="C638" s="1006"/>
      <c r="D638" s="1006"/>
      <c r="E638" s="1006"/>
      <c r="F638" s="73">
        <f>SUM(F632:F634)</f>
        <v>26700</v>
      </c>
      <c r="G638" s="1006" t="s">
        <v>35</v>
      </c>
      <c r="H638" s="1006"/>
      <c r="I638" s="1006"/>
      <c r="J638" s="1006"/>
      <c r="K638" s="73">
        <f>SUM(K632:K637)</f>
        <v>137393.56</v>
      </c>
      <c r="L638" s="1006" t="s">
        <v>36</v>
      </c>
      <c r="M638" s="1006"/>
      <c r="N638" s="1006"/>
      <c r="O638" s="1006"/>
      <c r="P638" s="61">
        <f>P632+P633</f>
        <v>6708</v>
      </c>
    </row>
    <row r="639" spans="1:16" ht="15.75" hidden="1" x14ac:dyDescent="0.2">
      <c r="A639" s="149"/>
      <c r="B639" s="1006" t="s">
        <v>487</v>
      </c>
      <c r="C639" s="1006"/>
      <c r="D639" s="1006"/>
      <c r="E639" s="1006"/>
      <c r="F639" s="73">
        <f>F638+K638+P638</f>
        <v>170801.56</v>
      </c>
      <c r="G639" s="150"/>
      <c r="H639" s="150"/>
      <c r="I639" s="150"/>
      <c r="J639" s="150"/>
      <c r="K639" s="73"/>
      <c r="L639" s="150"/>
      <c r="M639" s="150"/>
      <c r="N639" s="150"/>
      <c r="O639" s="150"/>
      <c r="P639" s="61"/>
    </row>
    <row r="640" spans="1:16" ht="15.75" hidden="1" x14ac:dyDescent="0.2">
      <c r="A640" s="1005" t="s">
        <v>1072</v>
      </c>
      <c r="B640" s="1006"/>
      <c r="C640" s="1006"/>
      <c r="D640" s="1006"/>
      <c r="E640" s="1006"/>
      <c r="F640" s="364">
        <f>35%*F639</f>
        <v>59780.55</v>
      </c>
      <c r="G640" s="135"/>
      <c r="H640" s="135"/>
      <c r="I640" s="135"/>
      <c r="J640" s="135"/>
      <c r="K640" s="136"/>
      <c r="L640" s="135"/>
      <c r="M640" s="135"/>
      <c r="N640" s="135"/>
      <c r="O640" s="135"/>
      <c r="P640" s="137"/>
    </row>
    <row r="641" spans="1:16" ht="16.5" hidden="1" thickBot="1" x14ac:dyDescent="0.25">
      <c r="A641" s="82"/>
      <c r="B641" s="83"/>
      <c r="C641" s="83"/>
      <c r="D641" s="83"/>
      <c r="E641" s="83" t="s">
        <v>111</v>
      </c>
      <c r="F641" s="17">
        <f>15%*SUM(F639:F640)</f>
        <v>34587.32</v>
      </c>
      <c r="G641" s="1008"/>
      <c r="H641" s="1008"/>
      <c r="I641" s="1008"/>
      <c r="J641" s="1008"/>
      <c r="K641" s="84"/>
      <c r="L641" s="83"/>
      <c r="M641" s="83"/>
      <c r="N641" s="1000" t="s">
        <v>53</v>
      </c>
      <c r="O641" s="1000"/>
      <c r="P641" s="18">
        <f>(F639+F641)/P629</f>
        <v>13692.59</v>
      </c>
    </row>
    <row r="642" spans="1:16" ht="16.5" hidden="1" thickBot="1" x14ac:dyDescent="0.25">
      <c r="A642" s="327"/>
      <c r="B642" s="327"/>
      <c r="C642" s="327"/>
      <c r="D642" s="327"/>
      <c r="E642" s="327"/>
      <c r="F642" s="48"/>
      <c r="G642" s="327"/>
      <c r="H642" s="327"/>
      <c r="I642" s="327"/>
      <c r="J642" s="327"/>
      <c r="K642" s="327"/>
      <c r="L642" s="48"/>
      <c r="M642" s="329"/>
      <c r="N642" s="329"/>
      <c r="O642" s="329"/>
      <c r="P642" s="58"/>
    </row>
    <row r="643" spans="1:16" ht="15.75" hidden="1" customHeight="1" x14ac:dyDescent="0.2">
      <c r="A643" s="986" t="s">
        <v>29</v>
      </c>
      <c r="B643" s="987"/>
      <c r="C643" s="988" t="s">
        <v>599</v>
      </c>
      <c r="D643" s="989"/>
      <c r="E643" s="989"/>
      <c r="F643" s="989"/>
      <c r="G643" s="989"/>
      <c r="H643" s="989"/>
      <c r="I643" s="989"/>
      <c r="J643" s="989"/>
      <c r="K643" s="989"/>
      <c r="L643" s="989"/>
      <c r="M643" s="989"/>
      <c r="N643" s="989"/>
      <c r="O643" s="989"/>
      <c r="P643" s="274" t="s">
        <v>433</v>
      </c>
    </row>
    <row r="644" spans="1:16" ht="15.75" hidden="1" x14ac:dyDescent="0.2">
      <c r="A644" s="991" t="s">
        <v>2</v>
      </c>
      <c r="B644" s="992"/>
      <c r="C644" s="990"/>
      <c r="D644" s="990"/>
      <c r="E644" s="990"/>
      <c r="F644" s="990"/>
      <c r="G644" s="990"/>
      <c r="H644" s="990"/>
      <c r="I644" s="990"/>
      <c r="J644" s="990"/>
      <c r="K644" s="990"/>
      <c r="L644" s="990"/>
      <c r="M644" s="990"/>
      <c r="N644" s="990"/>
      <c r="O644" s="990"/>
      <c r="P644" s="275">
        <v>15</v>
      </c>
    </row>
    <row r="645" spans="1:16" ht="15.75" hidden="1" x14ac:dyDescent="0.2">
      <c r="A645" s="1001" t="s">
        <v>30</v>
      </c>
      <c r="B645" s="1003" t="s">
        <v>31</v>
      </c>
      <c r="C645" s="1003"/>
      <c r="D645" s="1003"/>
      <c r="E645" s="1003"/>
      <c r="F645" s="1003"/>
      <c r="G645" s="1003" t="s">
        <v>32</v>
      </c>
      <c r="H645" s="1003"/>
      <c r="I645" s="1003"/>
      <c r="J645" s="1003"/>
      <c r="K645" s="1003"/>
      <c r="L645" s="1003" t="s">
        <v>33</v>
      </c>
      <c r="M645" s="1003"/>
      <c r="N645" s="1003"/>
      <c r="O645" s="1003"/>
      <c r="P645" s="1004"/>
    </row>
    <row r="646" spans="1:16" ht="15.75" hidden="1" x14ac:dyDescent="0.2">
      <c r="A646" s="1002"/>
      <c r="B646" s="79" t="s">
        <v>8</v>
      </c>
      <c r="C646" s="79" t="s">
        <v>7</v>
      </c>
      <c r="D646" s="79" t="s">
        <v>9</v>
      </c>
      <c r="E646" s="79" t="s">
        <v>19</v>
      </c>
      <c r="F646" s="79" t="s">
        <v>20</v>
      </c>
      <c r="G646" s="79" t="s">
        <v>8</v>
      </c>
      <c r="H646" s="79" t="s">
        <v>7</v>
      </c>
      <c r="I646" s="79" t="s">
        <v>9</v>
      </c>
      <c r="J646" s="79" t="s">
        <v>19</v>
      </c>
      <c r="K646" s="79" t="s">
        <v>20</v>
      </c>
      <c r="L646" s="79" t="s">
        <v>8</v>
      </c>
      <c r="M646" s="79" t="s">
        <v>7</v>
      </c>
      <c r="N646" s="79" t="s">
        <v>9</v>
      </c>
      <c r="O646" s="79" t="s">
        <v>19</v>
      </c>
      <c r="P646" s="24" t="s">
        <v>20</v>
      </c>
    </row>
    <row r="647" spans="1:16" ht="15.75" hidden="1" x14ac:dyDescent="0.2">
      <c r="A647" s="287" t="s">
        <v>600</v>
      </c>
      <c r="B647" s="32" t="s">
        <v>16</v>
      </c>
      <c r="C647" s="25" t="s">
        <v>11</v>
      </c>
      <c r="D647" s="25">
        <v>3</v>
      </c>
      <c r="E647" s="74">
        <f>skilled</f>
        <v>1100</v>
      </c>
      <c r="F647" s="74">
        <f>D647*E647</f>
        <v>3300</v>
      </c>
      <c r="G647" s="32" t="s">
        <v>582</v>
      </c>
      <c r="H647" s="74" t="s">
        <v>132</v>
      </c>
      <c r="I647" s="74">
        <v>6.1</v>
      </c>
      <c r="J647" s="74">
        <f>cement</f>
        <v>15631</v>
      </c>
      <c r="K647" s="74">
        <f t="shared" ref="K647:K652" si="9">I647*J647</f>
        <v>95349.1</v>
      </c>
      <c r="L647" s="75" t="s">
        <v>163</v>
      </c>
      <c r="M647" s="74" t="s">
        <v>13</v>
      </c>
      <c r="N647" s="74">
        <v>6</v>
      </c>
      <c r="O647" s="74">
        <f>mixermachine</f>
        <v>333</v>
      </c>
      <c r="P647" s="21">
        <f>N647*O647</f>
        <v>1998</v>
      </c>
    </row>
    <row r="648" spans="1:16" ht="18.75" hidden="1" x14ac:dyDescent="0.2">
      <c r="A648" s="313"/>
      <c r="B648" s="75" t="s">
        <v>28</v>
      </c>
      <c r="C648" s="25" t="s">
        <v>11</v>
      </c>
      <c r="D648" s="25">
        <v>32</v>
      </c>
      <c r="E648" s="74">
        <f>unskilled</f>
        <v>780</v>
      </c>
      <c r="F648" s="74">
        <f>D648*E648</f>
        <v>24960</v>
      </c>
      <c r="G648" s="32" t="s">
        <v>156</v>
      </c>
      <c r="H648" s="74" t="s">
        <v>165</v>
      </c>
      <c r="I648" s="74">
        <v>8.1</v>
      </c>
      <c r="J648" s="74">
        <f>aggregate20mm</f>
        <v>1580.97</v>
      </c>
      <c r="K648" s="74">
        <f t="shared" si="9"/>
        <v>12805.86</v>
      </c>
      <c r="L648" s="75" t="s">
        <v>3</v>
      </c>
      <c r="M648" s="74" t="s">
        <v>13</v>
      </c>
      <c r="N648" s="74">
        <v>6</v>
      </c>
      <c r="O648" s="74">
        <f>electricgenerator</f>
        <v>785</v>
      </c>
      <c r="P648" s="21">
        <f>N648*O648</f>
        <v>4710</v>
      </c>
    </row>
    <row r="649" spans="1:16" ht="18.75" hidden="1" x14ac:dyDescent="0.2">
      <c r="A649" s="313"/>
      <c r="B649" s="79"/>
      <c r="C649" s="79"/>
      <c r="D649" s="79"/>
      <c r="E649" s="79"/>
      <c r="F649" s="79"/>
      <c r="G649" s="32" t="s">
        <v>583</v>
      </c>
      <c r="H649" s="74" t="s">
        <v>165</v>
      </c>
      <c r="I649" s="74">
        <v>5.4</v>
      </c>
      <c r="J649" s="74">
        <f>aggregate10mm</f>
        <v>1420.97</v>
      </c>
      <c r="K649" s="74">
        <f t="shared" si="9"/>
        <v>7673.24</v>
      </c>
      <c r="L649" s="79"/>
      <c r="M649" s="79"/>
      <c r="N649" s="79"/>
      <c r="O649" s="79"/>
      <c r="P649" s="24"/>
    </row>
    <row r="650" spans="1:16" ht="18.75" hidden="1" x14ac:dyDescent="0.2">
      <c r="A650" s="313"/>
      <c r="B650" s="79"/>
      <c r="C650" s="79"/>
      <c r="D650" s="79"/>
      <c r="E650" s="79"/>
      <c r="F650" s="79"/>
      <c r="G650" s="32" t="s">
        <v>22</v>
      </c>
      <c r="H650" s="74" t="s">
        <v>165</v>
      </c>
      <c r="I650" s="74">
        <v>6.75</v>
      </c>
      <c r="J650" s="74">
        <f>sand</f>
        <v>2001.47</v>
      </c>
      <c r="K650" s="74">
        <f t="shared" si="9"/>
        <v>13509.92</v>
      </c>
      <c r="L650" s="79"/>
      <c r="M650" s="79"/>
      <c r="N650" s="79"/>
      <c r="O650" s="79"/>
      <c r="P650" s="24"/>
    </row>
    <row r="651" spans="1:16" ht="15.75" hidden="1" x14ac:dyDescent="0.2">
      <c r="A651" s="313"/>
      <c r="B651" s="73"/>
      <c r="C651" s="73"/>
      <c r="D651" s="25"/>
      <c r="E651" s="25"/>
      <c r="F651" s="25"/>
      <c r="G651" s="32" t="s">
        <v>26</v>
      </c>
      <c r="H651" s="74" t="s">
        <v>474</v>
      </c>
      <c r="I651" s="74">
        <v>3</v>
      </c>
      <c r="J651" s="74">
        <f>water*1000</f>
        <v>410</v>
      </c>
      <c r="K651" s="74">
        <f t="shared" si="9"/>
        <v>1230</v>
      </c>
      <c r="L651" s="73"/>
      <c r="M651" s="73"/>
      <c r="N651" s="73"/>
      <c r="O651" s="73"/>
      <c r="P651" s="61"/>
    </row>
    <row r="652" spans="1:16" ht="15.75" hidden="1" x14ac:dyDescent="0.2">
      <c r="A652" s="313"/>
      <c r="B652" s="79"/>
      <c r="C652" s="79"/>
      <c r="D652" s="79"/>
      <c r="E652" s="79"/>
      <c r="F652" s="79"/>
      <c r="G652" s="32" t="s">
        <v>153</v>
      </c>
      <c r="H652" s="73" t="s">
        <v>50</v>
      </c>
      <c r="I652" s="74">
        <f>0.4%*I647*1000</f>
        <v>24.4</v>
      </c>
      <c r="J652" s="74">
        <f>admixture</f>
        <v>356.63</v>
      </c>
      <c r="K652" s="74">
        <f t="shared" si="9"/>
        <v>8701.77</v>
      </c>
      <c r="L652" s="79"/>
      <c r="M652" s="79"/>
      <c r="N652" s="79"/>
      <c r="O652" s="79"/>
      <c r="P652" s="24"/>
    </row>
    <row r="653" spans="1:16" ht="15.75" hidden="1" x14ac:dyDescent="0.2">
      <c r="A653" s="1005" t="s">
        <v>34</v>
      </c>
      <c r="B653" s="1006"/>
      <c r="C653" s="1006"/>
      <c r="D653" s="1006"/>
      <c r="E653" s="1006"/>
      <c r="F653" s="73">
        <f>SUM(F647:F649)</f>
        <v>28260</v>
      </c>
      <c r="G653" s="1006" t="s">
        <v>35</v>
      </c>
      <c r="H653" s="1006"/>
      <c r="I653" s="1006"/>
      <c r="J653" s="1006"/>
      <c r="K653" s="73">
        <f>SUM(K647:K652)</f>
        <v>139269.89000000001</v>
      </c>
      <c r="L653" s="1006" t="s">
        <v>36</v>
      </c>
      <c r="M653" s="1006"/>
      <c r="N653" s="1006"/>
      <c r="O653" s="1006"/>
      <c r="P653" s="61">
        <f>P647+P648</f>
        <v>6708</v>
      </c>
    </row>
    <row r="654" spans="1:16" ht="15.75" hidden="1" x14ac:dyDescent="0.2">
      <c r="A654" s="149"/>
      <c r="B654" s="1006" t="s">
        <v>487</v>
      </c>
      <c r="C654" s="1006"/>
      <c r="D654" s="1006"/>
      <c r="E654" s="1006"/>
      <c r="F654" s="73">
        <f>F653+K653+P653</f>
        <v>174237.89</v>
      </c>
      <c r="G654" s="150"/>
      <c r="H654" s="150"/>
      <c r="I654" s="150"/>
      <c r="J654" s="150"/>
      <c r="K654" s="73"/>
      <c r="L654" s="150"/>
      <c r="M654" s="150"/>
      <c r="N654" s="150"/>
      <c r="O654" s="150"/>
      <c r="P654" s="61"/>
    </row>
    <row r="655" spans="1:16" ht="15.75" hidden="1" x14ac:dyDescent="0.2">
      <c r="A655" s="1005" t="s">
        <v>1072</v>
      </c>
      <c r="B655" s="1006"/>
      <c r="C655" s="1006"/>
      <c r="D655" s="1006"/>
      <c r="E655" s="1006"/>
      <c r="F655" s="364">
        <f>35%*F654</f>
        <v>60983.26</v>
      </c>
      <c r="G655" s="135"/>
      <c r="H655" s="135"/>
      <c r="I655" s="135"/>
      <c r="J655" s="135"/>
      <c r="K655" s="136"/>
      <c r="L655" s="135"/>
      <c r="M655" s="135"/>
      <c r="N655" s="135"/>
      <c r="O655" s="135"/>
      <c r="P655" s="137"/>
    </row>
    <row r="656" spans="1:16" ht="16.5" hidden="1" thickBot="1" x14ac:dyDescent="0.25">
      <c r="A656" s="82"/>
      <c r="B656" s="83"/>
      <c r="C656" s="83"/>
      <c r="D656" s="83"/>
      <c r="E656" s="83" t="s">
        <v>111</v>
      </c>
      <c r="F656" s="17">
        <f>15%*SUM(F654:F655)</f>
        <v>35283.17</v>
      </c>
      <c r="G656" s="1008"/>
      <c r="H656" s="1008"/>
      <c r="I656" s="1008"/>
      <c r="J656" s="1008"/>
      <c r="K656" s="84"/>
      <c r="L656" s="83"/>
      <c r="M656" s="83"/>
      <c r="N656" s="1000" t="s">
        <v>53</v>
      </c>
      <c r="O656" s="1000"/>
      <c r="P656" s="18">
        <f>(F654+F656)/P644</f>
        <v>13968.07</v>
      </c>
    </row>
    <row r="657" spans="1:16" ht="16.5" hidden="1" thickBot="1" x14ac:dyDescent="0.25">
      <c r="A657" s="327"/>
      <c r="B657" s="327"/>
      <c r="C657" s="327"/>
      <c r="D657" s="327"/>
      <c r="E657" s="327"/>
      <c r="F657" s="48"/>
      <c r="G657" s="327"/>
      <c r="H657" s="327"/>
      <c r="I657" s="327"/>
      <c r="J657" s="327"/>
      <c r="K657" s="327"/>
      <c r="L657" s="48"/>
      <c r="M657" s="329"/>
      <c r="N657" s="329"/>
      <c r="O657" s="329"/>
      <c r="P657" s="58"/>
    </row>
    <row r="658" spans="1:16" ht="15.75" customHeight="1" x14ac:dyDescent="0.2">
      <c r="A658" s="986" t="s">
        <v>29</v>
      </c>
      <c r="B658" s="987"/>
      <c r="C658" s="988" t="s">
        <v>591</v>
      </c>
      <c r="D658" s="989"/>
      <c r="E658" s="989"/>
      <c r="F658" s="989"/>
      <c r="G658" s="989"/>
      <c r="H658" s="989"/>
      <c r="I658" s="989"/>
      <c r="J658" s="989"/>
      <c r="K658" s="989"/>
      <c r="L658" s="989"/>
      <c r="M658" s="989"/>
      <c r="N658" s="989"/>
      <c r="O658" s="989"/>
      <c r="P658" s="274" t="s">
        <v>433</v>
      </c>
    </row>
    <row r="659" spans="1:16" ht="15.75" x14ac:dyDescent="0.2">
      <c r="A659" s="991" t="s">
        <v>2</v>
      </c>
      <c r="B659" s="992"/>
      <c r="C659" s="990"/>
      <c r="D659" s="990"/>
      <c r="E659" s="990"/>
      <c r="F659" s="990"/>
      <c r="G659" s="990"/>
      <c r="H659" s="990"/>
      <c r="I659" s="990"/>
      <c r="J659" s="990"/>
      <c r="K659" s="990"/>
      <c r="L659" s="990"/>
      <c r="M659" s="990"/>
      <c r="N659" s="990"/>
      <c r="O659" s="990"/>
      <c r="P659" s="275">
        <v>15</v>
      </c>
    </row>
    <row r="660" spans="1:16" ht="15.75" x14ac:dyDescent="0.2">
      <c r="A660" s="1001" t="s">
        <v>30</v>
      </c>
      <c r="B660" s="1003" t="s">
        <v>31</v>
      </c>
      <c r="C660" s="1003"/>
      <c r="D660" s="1003"/>
      <c r="E660" s="1003"/>
      <c r="F660" s="1003"/>
      <c r="G660" s="1003" t="s">
        <v>32</v>
      </c>
      <c r="H660" s="1003"/>
      <c r="I660" s="1003"/>
      <c r="J660" s="1003"/>
      <c r="K660" s="1003"/>
      <c r="L660" s="1003" t="s">
        <v>33</v>
      </c>
      <c r="M660" s="1003"/>
      <c r="N660" s="1003"/>
      <c r="O660" s="1003"/>
      <c r="P660" s="1004"/>
    </row>
    <row r="661" spans="1:16" ht="15.75" x14ac:dyDescent="0.2">
      <c r="A661" s="1002"/>
      <c r="B661" s="79" t="s">
        <v>8</v>
      </c>
      <c r="C661" s="79" t="s">
        <v>7</v>
      </c>
      <c r="D661" s="79" t="s">
        <v>9</v>
      </c>
      <c r="E661" s="79" t="s">
        <v>19</v>
      </c>
      <c r="F661" s="79" t="s">
        <v>20</v>
      </c>
      <c r="G661" s="79" t="s">
        <v>8</v>
      </c>
      <c r="H661" s="79" t="s">
        <v>7</v>
      </c>
      <c r="I661" s="79" t="s">
        <v>9</v>
      </c>
      <c r="J661" s="79" t="s">
        <v>19</v>
      </c>
      <c r="K661" s="79" t="s">
        <v>20</v>
      </c>
      <c r="L661" s="79" t="s">
        <v>8</v>
      </c>
      <c r="M661" s="79" t="s">
        <v>7</v>
      </c>
      <c r="N661" s="79" t="s">
        <v>9</v>
      </c>
      <c r="O661" s="79" t="s">
        <v>19</v>
      </c>
      <c r="P661" s="24" t="s">
        <v>20</v>
      </c>
    </row>
    <row r="662" spans="1:16" ht="15.75" x14ac:dyDescent="0.2">
      <c r="A662" s="287" t="s">
        <v>590</v>
      </c>
      <c r="B662" s="32" t="s">
        <v>16</v>
      </c>
      <c r="C662" s="25" t="s">
        <v>11</v>
      </c>
      <c r="D662" s="25">
        <v>3</v>
      </c>
      <c r="E662" s="74">
        <f>skilled</f>
        <v>1100</v>
      </c>
      <c r="F662" s="74">
        <f>D662*E662</f>
        <v>3300</v>
      </c>
      <c r="G662" s="32" t="s">
        <v>582</v>
      </c>
      <c r="H662" s="74" t="s">
        <v>132</v>
      </c>
      <c r="I662" s="74">
        <v>6.33</v>
      </c>
      <c r="J662" s="74">
        <f>cement</f>
        <v>15631</v>
      </c>
      <c r="K662" s="74">
        <f t="shared" ref="K662:K667" si="10">I662*J662</f>
        <v>98944.23</v>
      </c>
      <c r="L662" s="75" t="s">
        <v>163</v>
      </c>
      <c r="M662" s="74" t="s">
        <v>13</v>
      </c>
      <c r="N662" s="74">
        <v>6</v>
      </c>
      <c r="O662" s="74">
        <f>mixermachine</f>
        <v>333</v>
      </c>
      <c r="P662" s="21">
        <f>N662*O662</f>
        <v>1998</v>
      </c>
    </row>
    <row r="663" spans="1:16" ht="18.75" x14ac:dyDescent="0.2">
      <c r="A663" s="313"/>
      <c r="B663" s="75" t="s">
        <v>28</v>
      </c>
      <c r="C663" s="25" t="s">
        <v>11</v>
      </c>
      <c r="D663" s="25">
        <v>32</v>
      </c>
      <c r="E663" s="74">
        <f>unskilled</f>
        <v>780</v>
      </c>
      <c r="F663" s="74">
        <f>D663*E663</f>
        <v>24960</v>
      </c>
      <c r="G663" s="32" t="s">
        <v>156</v>
      </c>
      <c r="H663" s="74" t="s">
        <v>165</v>
      </c>
      <c r="I663" s="74">
        <v>8.1</v>
      </c>
      <c r="J663" s="74">
        <f>aggregate20mm</f>
        <v>1580.97</v>
      </c>
      <c r="K663" s="74">
        <f t="shared" si="10"/>
        <v>12805.86</v>
      </c>
      <c r="L663" s="75" t="s">
        <v>3</v>
      </c>
      <c r="M663" s="74" t="s">
        <v>13</v>
      </c>
      <c r="N663" s="74">
        <v>6</v>
      </c>
      <c r="O663" s="74">
        <f>electricgenerator</f>
        <v>785</v>
      </c>
      <c r="P663" s="21">
        <f>N663*O663</f>
        <v>4710</v>
      </c>
    </row>
    <row r="664" spans="1:16" ht="18.75" x14ac:dyDescent="0.2">
      <c r="A664" s="313"/>
      <c r="B664" s="79"/>
      <c r="C664" s="79"/>
      <c r="D664" s="79"/>
      <c r="E664" s="79"/>
      <c r="F664" s="79"/>
      <c r="G664" s="32" t="s">
        <v>583</v>
      </c>
      <c r="H664" s="74" t="s">
        <v>165</v>
      </c>
      <c r="I664" s="74">
        <v>5.4</v>
      </c>
      <c r="J664" s="74">
        <f>aggregate10mm</f>
        <v>1420.97</v>
      </c>
      <c r="K664" s="74">
        <f t="shared" si="10"/>
        <v>7673.24</v>
      </c>
      <c r="L664" s="79"/>
      <c r="M664" s="79"/>
      <c r="N664" s="79"/>
      <c r="O664" s="79"/>
      <c r="P664" s="24"/>
    </row>
    <row r="665" spans="1:16" ht="18.75" x14ac:dyDescent="0.2">
      <c r="A665" s="313"/>
      <c r="B665" s="79"/>
      <c r="C665" s="79"/>
      <c r="D665" s="79"/>
      <c r="E665" s="79"/>
      <c r="F665" s="79"/>
      <c r="G665" s="32" t="s">
        <v>22</v>
      </c>
      <c r="H665" s="74" t="s">
        <v>165</v>
      </c>
      <c r="I665" s="74">
        <v>6.75</v>
      </c>
      <c r="J665" s="74">
        <f>sand</f>
        <v>2001.47</v>
      </c>
      <c r="K665" s="74">
        <f t="shared" si="10"/>
        <v>13509.92</v>
      </c>
      <c r="L665" s="79"/>
      <c r="M665" s="79"/>
      <c r="N665" s="79"/>
      <c r="O665" s="79"/>
      <c r="P665" s="24"/>
    </row>
    <row r="666" spans="1:16" ht="15.75" x14ac:dyDescent="0.2">
      <c r="A666" s="313"/>
      <c r="B666" s="73"/>
      <c r="C666" s="73"/>
      <c r="D666" s="25"/>
      <c r="E666" s="25"/>
      <c r="F666" s="25"/>
      <c r="G666" s="32" t="s">
        <v>26</v>
      </c>
      <c r="H666" s="74" t="s">
        <v>474</v>
      </c>
      <c r="I666" s="74">
        <v>3</v>
      </c>
      <c r="J666" s="74">
        <f>water*1000</f>
        <v>410</v>
      </c>
      <c r="K666" s="74">
        <f t="shared" si="10"/>
        <v>1230</v>
      </c>
      <c r="L666" s="73"/>
      <c r="M666" s="73"/>
      <c r="N666" s="73"/>
      <c r="O666" s="73"/>
      <c r="P666" s="61"/>
    </row>
    <row r="667" spans="1:16" ht="15.75" x14ac:dyDescent="0.2">
      <c r="A667" s="313"/>
      <c r="B667" s="79"/>
      <c r="C667" s="79"/>
      <c r="D667" s="79"/>
      <c r="E667" s="79"/>
      <c r="F667" s="79"/>
      <c r="G667" s="32" t="s">
        <v>153</v>
      </c>
      <c r="H667" s="73" t="s">
        <v>50</v>
      </c>
      <c r="I667" s="74">
        <f>0.4%*I662*1000</f>
        <v>25.32</v>
      </c>
      <c r="J667" s="74">
        <f>admixture</f>
        <v>356.63</v>
      </c>
      <c r="K667" s="74">
        <f t="shared" si="10"/>
        <v>9029.8700000000008</v>
      </c>
      <c r="L667" s="79"/>
      <c r="M667" s="79"/>
      <c r="N667" s="79"/>
      <c r="O667" s="79"/>
      <c r="P667" s="24"/>
    </row>
    <row r="668" spans="1:16" ht="15.75" x14ac:dyDescent="0.2">
      <c r="A668" s="1005" t="s">
        <v>34</v>
      </c>
      <c r="B668" s="1006"/>
      <c r="C668" s="1006"/>
      <c r="D668" s="1006"/>
      <c r="E668" s="1006"/>
      <c r="F668" s="73">
        <f>SUM(F662:F664)</f>
        <v>28260</v>
      </c>
      <c r="G668" s="1006" t="s">
        <v>35</v>
      </c>
      <c r="H668" s="1006"/>
      <c r="I668" s="1006"/>
      <c r="J668" s="1006"/>
      <c r="K668" s="73">
        <f>SUM(K662:K667)</f>
        <v>143193.12</v>
      </c>
      <c r="L668" s="1006" t="s">
        <v>36</v>
      </c>
      <c r="M668" s="1006"/>
      <c r="N668" s="1006"/>
      <c r="O668" s="1006"/>
      <c r="P668" s="61">
        <f>P662+P663</f>
        <v>6708</v>
      </c>
    </row>
    <row r="669" spans="1:16" ht="15.75" x14ac:dyDescent="0.2">
      <c r="A669" s="149"/>
      <c r="B669" s="1006" t="s">
        <v>487</v>
      </c>
      <c r="C669" s="1006"/>
      <c r="D669" s="1006"/>
      <c r="E669" s="1006"/>
      <c r="F669" s="73">
        <f>F668+K668+P668</f>
        <v>178161.12</v>
      </c>
      <c r="G669" s="150"/>
      <c r="H669" s="150"/>
      <c r="I669" s="150"/>
      <c r="J669" s="150"/>
      <c r="K669" s="73"/>
      <c r="L669" s="150"/>
      <c r="M669" s="150"/>
      <c r="N669" s="150"/>
      <c r="O669" s="150"/>
      <c r="P669" s="61"/>
    </row>
    <row r="670" spans="1:16" ht="15.75" x14ac:dyDescent="0.2">
      <c r="A670" s="134"/>
      <c r="B670" s="150"/>
      <c r="C670" s="150"/>
      <c r="D670" s="150"/>
      <c r="E670" s="150" t="s">
        <v>931</v>
      </c>
      <c r="F670" s="73">
        <f>33%*F669</f>
        <v>58793.17</v>
      </c>
      <c r="G670" s="150"/>
      <c r="H670" s="135"/>
      <c r="I670" s="135"/>
      <c r="J670" s="135"/>
      <c r="K670" s="136"/>
      <c r="L670" s="135"/>
      <c r="M670" s="135"/>
      <c r="N670" s="135"/>
      <c r="O670" s="135"/>
      <c r="P670" s="137"/>
    </row>
    <row r="671" spans="1:16" ht="16.5" thickBot="1" x14ac:dyDescent="0.25">
      <c r="A671" s="82"/>
      <c r="B671" s="138"/>
      <c r="C671" s="138"/>
      <c r="D671" s="138"/>
      <c r="E671" s="138" t="s">
        <v>111</v>
      </c>
      <c r="F671" s="139">
        <f>15%*(F669+F670)</f>
        <v>35543.14</v>
      </c>
      <c r="G671" s="1007"/>
      <c r="H671" s="1008"/>
      <c r="I671" s="1008"/>
      <c r="J671" s="1008"/>
      <c r="K671" s="84"/>
      <c r="L671" s="83"/>
      <c r="M671" s="83"/>
      <c r="N671" s="1000" t="s">
        <v>53</v>
      </c>
      <c r="O671" s="1000"/>
      <c r="P671" s="18">
        <f>(SUM(F669:F671)/P659)</f>
        <v>18166.5</v>
      </c>
    </row>
    <row r="672" spans="1:16" ht="16.5" thickBot="1" x14ac:dyDescent="0.25">
      <c r="A672" s="327"/>
      <c r="B672" s="327"/>
      <c r="C672" s="327"/>
      <c r="D672" s="327"/>
      <c r="E672" s="327"/>
      <c r="F672" s="48"/>
      <c r="G672" s="327"/>
      <c r="H672" s="327"/>
      <c r="I672" s="327"/>
      <c r="J672" s="327"/>
      <c r="K672" s="327"/>
      <c r="L672" s="48"/>
      <c r="M672" s="329"/>
      <c r="N672" s="329"/>
      <c r="O672" s="329"/>
      <c r="P672" s="58"/>
    </row>
    <row r="673" spans="1:16" ht="15.6" hidden="1" customHeight="1" x14ac:dyDescent="0.2">
      <c r="A673" s="986" t="s">
        <v>29</v>
      </c>
      <c r="B673" s="987"/>
      <c r="C673" s="988" t="s">
        <v>592</v>
      </c>
      <c r="D673" s="988"/>
      <c r="E673" s="988"/>
      <c r="F673" s="988"/>
      <c r="G673" s="988"/>
      <c r="H673" s="988"/>
      <c r="I673" s="988"/>
      <c r="J673" s="988"/>
      <c r="K673" s="988"/>
      <c r="L673" s="988"/>
      <c r="M673" s="988"/>
      <c r="N673" s="988"/>
      <c r="O673" s="988"/>
      <c r="P673" s="274" t="s">
        <v>433</v>
      </c>
    </row>
    <row r="674" spans="1:16" ht="15.75" hidden="1" x14ac:dyDescent="0.2">
      <c r="A674" s="991" t="s">
        <v>2</v>
      </c>
      <c r="B674" s="992"/>
      <c r="C674" s="1024"/>
      <c r="D674" s="1024"/>
      <c r="E674" s="1024"/>
      <c r="F674" s="1024"/>
      <c r="G674" s="1024"/>
      <c r="H674" s="1024"/>
      <c r="I674" s="1024"/>
      <c r="J674" s="1024"/>
      <c r="K674" s="1024"/>
      <c r="L674" s="1024"/>
      <c r="M674" s="1024"/>
      <c r="N674" s="1024"/>
      <c r="O674" s="1024"/>
      <c r="P674" s="275">
        <v>15</v>
      </c>
    </row>
    <row r="675" spans="1:16" ht="15.75" hidden="1" x14ac:dyDescent="0.2">
      <c r="A675" s="1001" t="s">
        <v>30</v>
      </c>
      <c r="B675" s="1003" t="s">
        <v>31</v>
      </c>
      <c r="C675" s="1003"/>
      <c r="D675" s="1003"/>
      <c r="E675" s="1003"/>
      <c r="F675" s="1003"/>
      <c r="G675" s="1003" t="s">
        <v>32</v>
      </c>
      <c r="H675" s="1003"/>
      <c r="I675" s="1003"/>
      <c r="J675" s="1003"/>
      <c r="K675" s="1003"/>
      <c r="L675" s="1003" t="s">
        <v>33</v>
      </c>
      <c r="M675" s="1003"/>
      <c r="N675" s="1003"/>
      <c r="O675" s="1003"/>
      <c r="P675" s="1004"/>
    </row>
    <row r="676" spans="1:16" ht="15.75" hidden="1" x14ac:dyDescent="0.2">
      <c r="A676" s="1002"/>
      <c r="B676" s="79" t="s">
        <v>8</v>
      </c>
      <c r="C676" s="79" t="s">
        <v>7</v>
      </c>
      <c r="D676" s="79" t="s">
        <v>9</v>
      </c>
      <c r="E676" s="79" t="s">
        <v>19</v>
      </c>
      <c r="F676" s="79" t="s">
        <v>20</v>
      </c>
      <c r="G676" s="79" t="s">
        <v>8</v>
      </c>
      <c r="H676" s="79" t="s">
        <v>7</v>
      </c>
      <c r="I676" s="79" t="s">
        <v>9</v>
      </c>
      <c r="J676" s="79" t="s">
        <v>19</v>
      </c>
      <c r="K676" s="79" t="s">
        <v>20</v>
      </c>
      <c r="L676" s="79" t="s">
        <v>8</v>
      </c>
      <c r="M676" s="79" t="s">
        <v>7</v>
      </c>
      <c r="N676" s="79" t="s">
        <v>9</v>
      </c>
      <c r="O676" s="79" t="s">
        <v>19</v>
      </c>
      <c r="P676" s="24" t="s">
        <v>20</v>
      </c>
    </row>
    <row r="677" spans="1:16" ht="15.75" hidden="1" x14ac:dyDescent="0.2">
      <c r="A677" s="287" t="s">
        <v>593</v>
      </c>
      <c r="B677" s="32" t="s">
        <v>16</v>
      </c>
      <c r="C677" s="25" t="s">
        <v>11</v>
      </c>
      <c r="D677" s="25">
        <v>4</v>
      </c>
      <c r="E677" s="74">
        <f>skilled</f>
        <v>1100</v>
      </c>
      <c r="F677" s="74">
        <f>D677*E677</f>
        <v>4400</v>
      </c>
      <c r="G677" s="32" t="s">
        <v>582</v>
      </c>
      <c r="H677" s="74" t="s">
        <v>132</v>
      </c>
      <c r="I677" s="74">
        <v>6.45</v>
      </c>
      <c r="J677" s="74">
        <f>cement</f>
        <v>15631</v>
      </c>
      <c r="K677" s="74">
        <f t="shared" ref="K677:K682" si="11">I677*J677</f>
        <v>100819.95</v>
      </c>
      <c r="L677" s="75" t="s">
        <v>163</v>
      </c>
      <c r="M677" s="74" t="s">
        <v>13</v>
      </c>
      <c r="N677" s="74">
        <v>6</v>
      </c>
      <c r="O677" s="74">
        <f>mixermachine</f>
        <v>333</v>
      </c>
      <c r="P677" s="21">
        <f>N677*O677</f>
        <v>1998</v>
      </c>
    </row>
    <row r="678" spans="1:16" ht="18.75" hidden="1" x14ac:dyDescent="0.2">
      <c r="A678" s="313"/>
      <c r="B678" s="75" t="s">
        <v>28</v>
      </c>
      <c r="C678" s="25" t="s">
        <v>11</v>
      </c>
      <c r="D678" s="25">
        <v>33</v>
      </c>
      <c r="E678" s="74">
        <f>unskilled</f>
        <v>780</v>
      </c>
      <c r="F678" s="74">
        <f>D678*E678</f>
        <v>25740</v>
      </c>
      <c r="G678" s="32" t="s">
        <v>156</v>
      </c>
      <c r="H678" s="74" t="s">
        <v>165</v>
      </c>
      <c r="I678" s="74">
        <v>8.1</v>
      </c>
      <c r="J678" s="74">
        <f>aggregate20mm</f>
        <v>1580.97</v>
      </c>
      <c r="K678" s="74">
        <f t="shared" si="11"/>
        <v>12805.86</v>
      </c>
      <c r="L678" s="75" t="s">
        <v>3</v>
      </c>
      <c r="M678" s="74" t="s">
        <v>13</v>
      </c>
      <c r="N678" s="74">
        <v>6</v>
      </c>
      <c r="O678" s="74">
        <f>electricgenerator</f>
        <v>785</v>
      </c>
      <c r="P678" s="21">
        <f>N678*O678</f>
        <v>4710</v>
      </c>
    </row>
    <row r="679" spans="1:16" ht="18.75" hidden="1" x14ac:dyDescent="0.2">
      <c r="A679" s="313"/>
      <c r="B679" s="79"/>
      <c r="C679" s="79"/>
      <c r="D679" s="79"/>
      <c r="E679" s="79"/>
      <c r="F679" s="79"/>
      <c r="G679" s="32" t="s">
        <v>583</v>
      </c>
      <c r="H679" s="74" t="s">
        <v>165</v>
      </c>
      <c r="I679" s="74">
        <v>5.4</v>
      </c>
      <c r="J679" s="74">
        <f>aggregate10mm</f>
        <v>1420.97</v>
      </c>
      <c r="K679" s="74">
        <f t="shared" si="11"/>
        <v>7673.24</v>
      </c>
      <c r="L679" s="79"/>
      <c r="M679" s="79"/>
      <c r="N679" s="79"/>
      <c r="O679" s="79"/>
      <c r="P679" s="24"/>
    </row>
    <row r="680" spans="1:16" ht="18.75" hidden="1" x14ac:dyDescent="0.2">
      <c r="A680" s="313"/>
      <c r="B680" s="79"/>
      <c r="C680" s="79"/>
      <c r="D680" s="79"/>
      <c r="E680" s="79"/>
      <c r="F680" s="79"/>
      <c r="G680" s="32" t="s">
        <v>22</v>
      </c>
      <c r="H680" s="74" t="s">
        <v>165</v>
      </c>
      <c r="I680" s="74">
        <v>6.75</v>
      </c>
      <c r="J680" s="74">
        <f>sand</f>
        <v>2001.47</v>
      </c>
      <c r="K680" s="74">
        <f t="shared" si="11"/>
        <v>13509.92</v>
      </c>
      <c r="L680" s="79"/>
      <c r="M680" s="79"/>
      <c r="N680" s="79"/>
      <c r="O680" s="79"/>
      <c r="P680" s="24"/>
    </row>
    <row r="681" spans="1:16" ht="15.75" hidden="1" x14ac:dyDescent="0.2">
      <c r="A681" s="313"/>
      <c r="B681" s="73"/>
      <c r="C681" s="73"/>
      <c r="D681" s="25"/>
      <c r="E681" s="25"/>
      <c r="F681" s="25"/>
      <c r="G681" s="32" t="s">
        <v>26</v>
      </c>
      <c r="H681" s="74" t="s">
        <v>474</v>
      </c>
      <c r="I681" s="74">
        <v>3</v>
      </c>
      <c r="J681" s="74">
        <f>water*1000</f>
        <v>410</v>
      </c>
      <c r="K681" s="74">
        <f t="shared" si="11"/>
        <v>1230</v>
      </c>
      <c r="L681" s="73"/>
      <c r="M681" s="73"/>
      <c r="N681" s="73"/>
      <c r="O681" s="73"/>
      <c r="P681" s="61"/>
    </row>
    <row r="682" spans="1:16" ht="15.75" hidden="1" x14ac:dyDescent="0.2">
      <c r="A682" s="313"/>
      <c r="B682" s="79"/>
      <c r="C682" s="79"/>
      <c r="D682" s="79"/>
      <c r="E682" s="79"/>
      <c r="F682" s="79"/>
      <c r="G682" s="32" t="s">
        <v>153</v>
      </c>
      <c r="H682" s="73" t="s">
        <v>50</v>
      </c>
      <c r="I682" s="74">
        <f>0.4%*I677*1000</f>
        <v>25.8</v>
      </c>
      <c r="J682" s="74">
        <f>admixture</f>
        <v>356.63</v>
      </c>
      <c r="K682" s="74">
        <f t="shared" si="11"/>
        <v>9201.0499999999993</v>
      </c>
      <c r="L682" s="79"/>
      <c r="M682" s="79"/>
      <c r="N682" s="79"/>
      <c r="O682" s="79"/>
      <c r="P682" s="24"/>
    </row>
    <row r="683" spans="1:16" ht="15.75" hidden="1" x14ac:dyDescent="0.2">
      <c r="A683" s="1005" t="s">
        <v>34</v>
      </c>
      <c r="B683" s="1006"/>
      <c r="C683" s="1006"/>
      <c r="D683" s="1006"/>
      <c r="E683" s="1006"/>
      <c r="F683" s="73">
        <f>SUM(F677:F679)</f>
        <v>30140</v>
      </c>
      <c r="G683" s="1006" t="s">
        <v>35</v>
      </c>
      <c r="H683" s="1006"/>
      <c r="I683" s="1006"/>
      <c r="J683" s="1006"/>
      <c r="K683" s="73">
        <f>SUM(K677:K682)</f>
        <v>145240.01999999999</v>
      </c>
      <c r="L683" s="1006" t="s">
        <v>36</v>
      </c>
      <c r="M683" s="1006"/>
      <c r="N683" s="1006"/>
      <c r="O683" s="1006"/>
      <c r="P683" s="61">
        <f>P677+P678</f>
        <v>6708</v>
      </c>
    </row>
    <row r="684" spans="1:16" ht="15.75" hidden="1" x14ac:dyDescent="0.2">
      <c r="A684" s="149"/>
      <c r="B684" s="1006" t="s">
        <v>487</v>
      </c>
      <c r="C684" s="1006"/>
      <c r="D684" s="1006"/>
      <c r="E684" s="1006"/>
      <c r="F684" s="73">
        <f>F683+K683+P683</f>
        <v>182088.02</v>
      </c>
      <c r="G684" s="150"/>
      <c r="H684" s="150"/>
      <c r="I684" s="150"/>
      <c r="J684" s="150"/>
      <c r="K684" s="73"/>
      <c r="L684" s="150"/>
      <c r="M684" s="150"/>
      <c r="N684" s="150"/>
      <c r="O684" s="150"/>
      <c r="P684" s="61"/>
    </row>
    <row r="685" spans="1:16" ht="15.75" hidden="1" x14ac:dyDescent="0.2">
      <c r="A685" s="134"/>
      <c r="B685" s="150"/>
      <c r="C685" s="150"/>
      <c r="D685" s="150"/>
      <c r="E685" s="150" t="s">
        <v>1073</v>
      </c>
      <c r="F685" s="73">
        <f>35%*F684</f>
        <v>63730.81</v>
      </c>
      <c r="G685" s="150"/>
      <c r="H685" s="135"/>
      <c r="I685" s="135"/>
      <c r="J685" s="135"/>
      <c r="K685" s="136"/>
      <c r="L685" s="135"/>
      <c r="M685" s="135"/>
      <c r="N685" s="135"/>
      <c r="O685" s="135"/>
      <c r="P685" s="137"/>
    </row>
    <row r="686" spans="1:16" ht="16.5" hidden="1" thickBot="1" x14ac:dyDescent="0.25">
      <c r="A686" s="82"/>
      <c r="B686" s="83"/>
      <c r="C686" s="83"/>
      <c r="D686" s="83"/>
      <c r="E686" s="83" t="s">
        <v>111</v>
      </c>
      <c r="F686" s="139">
        <f>15%*(F684+F685)</f>
        <v>36872.82</v>
      </c>
      <c r="G686" s="1008"/>
      <c r="H686" s="1008"/>
      <c r="I686" s="1008"/>
      <c r="J686" s="1008"/>
      <c r="K686" s="84"/>
      <c r="L686" s="83"/>
      <c r="M686" s="83"/>
      <c r="N686" s="1000" t="s">
        <v>53</v>
      </c>
      <c r="O686" s="1000"/>
      <c r="P686" s="18">
        <f>(F684+F686)/P674</f>
        <v>14597.39</v>
      </c>
    </row>
    <row r="687" spans="1:16" ht="16.5" hidden="1" thickBot="1" x14ac:dyDescent="0.25">
      <c r="A687" s="327"/>
      <c r="B687" s="327"/>
      <c r="C687" s="327"/>
      <c r="D687" s="327"/>
      <c r="E687" s="327"/>
      <c r="F687" s="48"/>
      <c r="G687" s="327"/>
      <c r="H687" s="327"/>
      <c r="I687" s="327"/>
      <c r="J687" s="327"/>
      <c r="K687" s="327"/>
      <c r="L687" s="48"/>
      <c r="M687" s="329"/>
      <c r="N687" s="329"/>
      <c r="O687" s="329"/>
      <c r="P687" s="58"/>
    </row>
    <row r="688" spans="1:16" ht="15.6" customHeight="1" x14ac:dyDescent="0.2">
      <c r="A688" s="986" t="s">
        <v>29</v>
      </c>
      <c r="B688" s="987"/>
      <c r="C688" s="988" t="s">
        <v>595</v>
      </c>
      <c r="D688" s="988"/>
      <c r="E688" s="988"/>
      <c r="F688" s="988"/>
      <c r="G688" s="988"/>
      <c r="H688" s="988"/>
      <c r="I688" s="988"/>
      <c r="J688" s="988"/>
      <c r="K688" s="988"/>
      <c r="L688" s="988"/>
      <c r="M688" s="988"/>
      <c r="N688" s="988"/>
      <c r="O688" s="988"/>
      <c r="P688" s="274" t="s">
        <v>433</v>
      </c>
    </row>
    <row r="689" spans="1:16" ht="15.75" x14ac:dyDescent="0.2">
      <c r="A689" s="991" t="s">
        <v>2</v>
      </c>
      <c r="B689" s="992"/>
      <c r="C689" s="1024"/>
      <c r="D689" s="1024"/>
      <c r="E689" s="1024"/>
      <c r="F689" s="1024"/>
      <c r="G689" s="1024"/>
      <c r="H689" s="1024"/>
      <c r="I689" s="1024"/>
      <c r="J689" s="1024"/>
      <c r="K689" s="1024"/>
      <c r="L689" s="1024"/>
      <c r="M689" s="1024"/>
      <c r="N689" s="1024"/>
      <c r="O689" s="1024"/>
      <c r="P689" s="275">
        <v>15</v>
      </c>
    </row>
    <row r="690" spans="1:16" ht="15.75" x14ac:dyDescent="0.2">
      <c r="A690" s="1001" t="s">
        <v>30</v>
      </c>
      <c r="B690" s="1003" t="s">
        <v>31</v>
      </c>
      <c r="C690" s="1003"/>
      <c r="D690" s="1003"/>
      <c r="E690" s="1003"/>
      <c r="F690" s="1003"/>
      <c r="G690" s="1003" t="s">
        <v>32</v>
      </c>
      <c r="H690" s="1003"/>
      <c r="I690" s="1003"/>
      <c r="J690" s="1003"/>
      <c r="K690" s="1003"/>
      <c r="L690" s="1003" t="s">
        <v>33</v>
      </c>
      <c r="M690" s="1003"/>
      <c r="N690" s="1003"/>
      <c r="O690" s="1003"/>
      <c r="P690" s="1004"/>
    </row>
    <row r="691" spans="1:16" ht="15.75" x14ac:dyDescent="0.2">
      <c r="A691" s="1002"/>
      <c r="B691" s="79" t="s">
        <v>8</v>
      </c>
      <c r="C691" s="79" t="s">
        <v>7</v>
      </c>
      <c r="D691" s="79" t="s">
        <v>9</v>
      </c>
      <c r="E691" s="79" t="s">
        <v>19</v>
      </c>
      <c r="F691" s="79" t="s">
        <v>20</v>
      </c>
      <c r="G691" s="79" t="s">
        <v>8</v>
      </c>
      <c r="H691" s="79" t="s">
        <v>7</v>
      </c>
      <c r="I691" s="79" t="s">
        <v>9</v>
      </c>
      <c r="J691" s="79" t="s">
        <v>19</v>
      </c>
      <c r="K691" s="79" t="s">
        <v>20</v>
      </c>
      <c r="L691" s="79" t="s">
        <v>8</v>
      </c>
      <c r="M691" s="79" t="s">
        <v>7</v>
      </c>
      <c r="N691" s="79" t="s">
        <v>9</v>
      </c>
      <c r="O691" s="79" t="s">
        <v>19</v>
      </c>
      <c r="P691" s="24" t="s">
        <v>20</v>
      </c>
    </row>
    <row r="692" spans="1:16" ht="15.75" x14ac:dyDescent="0.2">
      <c r="A692" s="287" t="s">
        <v>594</v>
      </c>
      <c r="B692" s="32" t="s">
        <v>16</v>
      </c>
      <c r="C692" s="25" t="s">
        <v>11</v>
      </c>
      <c r="D692" s="25">
        <v>4</v>
      </c>
      <c r="E692" s="74">
        <f>skilled</f>
        <v>1100</v>
      </c>
      <c r="F692" s="74">
        <f>D692*E692</f>
        <v>4400</v>
      </c>
      <c r="G692" s="32" t="s">
        <v>582</v>
      </c>
      <c r="H692" s="74" t="s">
        <v>132</v>
      </c>
      <c r="I692" s="74">
        <v>6.98</v>
      </c>
      <c r="J692" s="74">
        <f>cement</f>
        <v>15631</v>
      </c>
      <c r="K692" s="74">
        <f t="shared" ref="K692:K697" si="12">I692*J692</f>
        <v>109104.38</v>
      </c>
      <c r="L692" s="75" t="s">
        <v>163</v>
      </c>
      <c r="M692" s="74" t="s">
        <v>13</v>
      </c>
      <c r="N692" s="74">
        <v>6</v>
      </c>
      <c r="O692" s="74">
        <f>mixermachine</f>
        <v>333</v>
      </c>
      <c r="P692" s="21">
        <f>N692*O692</f>
        <v>1998</v>
      </c>
    </row>
    <row r="693" spans="1:16" ht="18.75" x14ac:dyDescent="0.2">
      <c r="A693" s="313"/>
      <c r="B693" s="75" t="s">
        <v>28</v>
      </c>
      <c r="C693" s="25" t="s">
        <v>11</v>
      </c>
      <c r="D693" s="25">
        <v>33</v>
      </c>
      <c r="E693" s="74">
        <f>unskilled</f>
        <v>780</v>
      </c>
      <c r="F693" s="74">
        <f>D693*E693</f>
        <v>25740</v>
      </c>
      <c r="G693" s="32" t="s">
        <v>156</v>
      </c>
      <c r="H693" s="74" t="s">
        <v>165</v>
      </c>
      <c r="I693" s="74">
        <v>8.1</v>
      </c>
      <c r="J693" s="74">
        <f>aggregate20mm</f>
        <v>1580.97</v>
      </c>
      <c r="K693" s="74">
        <f t="shared" si="12"/>
        <v>12805.86</v>
      </c>
      <c r="L693" s="75" t="s">
        <v>3</v>
      </c>
      <c r="M693" s="74" t="s">
        <v>13</v>
      </c>
      <c r="N693" s="74">
        <v>6</v>
      </c>
      <c r="O693" s="74">
        <f>electricgenerator</f>
        <v>785</v>
      </c>
      <c r="P693" s="21">
        <f>N693*O693</f>
        <v>4710</v>
      </c>
    </row>
    <row r="694" spans="1:16" ht="18.75" x14ac:dyDescent="0.2">
      <c r="A694" s="313"/>
      <c r="B694" s="79"/>
      <c r="C694" s="79"/>
      <c r="D694" s="79"/>
      <c r="E694" s="79"/>
      <c r="F694" s="79"/>
      <c r="G694" s="32" t="s">
        <v>583</v>
      </c>
      <c r="H694" s="74" t="s">
        <v>165</v>
      </c>
      <c r="I694" s="74">
        <v>5.4</v>
      </c>
      <c r="J694" s="74">
        <f>aggregate10mm</f>
        <v>1420.97</v>
      </c>
      <c r="K694" s="74">
        <f t="shared" si="12"/>
        <v>7673.24</v>
      </c>
      <c r="L694" s="79"/>
      <c r="M694" s="79"/>
      <c r="N694" s="79"/>
      <c r="O694" s="79"/>
      <c r="P694" s="24"/>
    </row>
    <row r="695" spans="1:16" ht="18.75" x14ac:dyDescent="0.2">
      <c r="A695" s="313"/>
      <c r="B695" s="79"/>
      <c r="C695" s="79"/>
      <c r="D695" s="79"/>
      <c r="E695" s="79"/>
      <c r="F695" s="79"/>
      <c r="G695" s="32" t="s">
        <v>22</v>
      </c>
      <c r="H695" s="74" t="s">
        <v>165</v>
      </c>
      <c r="I695" s="74">
        <v>6.75</v>
      </c>
      <c r="J695" s="74">
        <f>sand</f>
        <v>2001.47</v>
      </c>
      <c r="K695" s="74">
        <f t="shared" si="12"/>
        <v>13509.92</v>
      </c>
      <c r="L695" s="79"/>
      <c r="M695" s="79"/>
      <c r="N695" s="79"/>
      <c r="O695" s="79"/>
      <c r="P695" s="24"/>
    </row>
    <row r="696" spans="1:16" ht="15.75" x14ac:dyDescent="0.2">
      <c r="A696" s="313"/>
      <c r="B696" s="73"/>
      <c r="C696" s="73"/>
      <c r="D696" s="25"/>
      <c r="E696" s="25"/>
      <c r="F696" s="25"/>
      <c r="G696" s="32" t="s">
        <v>26</v>
      </c>
      <c r="H696" s="74" t="s">
        <v>474</v>
      </c>
      <c r="I696" s="74">
        <v>3</v>
      </c>
      <c r="J696" s="74">
        <f>water*1000</f>
        <v>410</v>
      </c>
      <c r="K696" s="74">
        <f t="shared" si="12"/>
        <v>1230</v>
      </c>
      <c r="L696" s="73"/>
      <c r="M696" s="73"/>
      <c r="N696" s="73"/>
      <c r="O696" s="73"/>
      <c r="P696" s="61"/>
    </row>
    <row r="697" spans="1:16" ht="15.75" x14ac:dyDescent="0.2">
      <c r="A697" s="313"/>
      <c r="B697" s="79"/>
      <c r="C697" s="79"/>
      <c r="D697" s="79"/>
      <c r="E697" s="79"/>
      <c r="F697" s="79"/>
      <c r="G697" s="32" t="s">
        <v>153</v>
      </c>
      <c r="H697" s="73" t="s">
        <v>50</v>
      </c>
      <c r="I697" s="74">
        <f>0.4%*I692*1000</f>
        <v>27.92</v>
      </c>
      <c r="J697" s="74">
        <f>admixture</f>
        <v>356.63</v>
      </c>
      <c r="K697" s="74">
        <f t="shared" si="12"/>
        <v>9957.11</v>
      </c>
      <c r="L697" s="79"/>
      <c r="M697" s="79"/>
      <c r="N697" s="79"/>
      <c r="O697" s="79"/>
      <c r="P697" s="24"/>
    </row>
    <row r="698" spans="1:16" ht="15.75" x14ac:dyDescent="0.2">
      <c r="A698" s="1005" t="s">
        <v>34</v>
      </c>
      <c r="B698" s="1006"/>
      <c r="C698" s="1006"/>
      <c r="D698" s="1006"/>
      <c r="E698" s="1006"/>
      <c r="F698" s="73">
        <f>SUM(F692:F694)</f>
        <v>30140</v>
      </c>
      <c r="G698" s="1006" t="s">
        <v>35</v>
      </c>
      <c r="H698" s="1006"/>
      <c r="I698" s="1006"/>
      <c r="J698" s="1006"/>
      <c r="K698" s="73">
        <f>SUM(K692:K697)</f>
        <v>154280.51</v>
      </c>
      <c r="L698" s="1006" t="s">
        <v>36</v>
      </c>
      <c r="M698" s="1006"/>
      <c r="N698" s="1006"/>
      <c r="O698" s="1006"/>
      <c r="P698" s="61">
        <f>P692+P693</f>
        <v>6708</v>
      </c>
    </row>
    <row r="699" spans="1:16" ht="15.75" x14ac:dyDescent="0.2">
      <c r="A699" s="149"/>
      <c r="B699" s="1006" t="s">
        <v>487</v>
      </c>
      <c r="C699" s="1006"/>
      <c r="D699" s="1006"/>
      <c r="E699" s="1006"/>
      <c r="F699" s="73">
        <f>F698+K698+P698</f>
        <v>191128.51</v>
      </c>
      <c r="G699" s="150"/>
      <c r="H699" s="150"/>
      <c r="I699" s="150"/>
      <c r="J699" s="150"/>
      <c r="K699" s="73"/>
      <c r="L699" s="150"/>
      <c r="M699" s="150"/>
      <c r="N699" s="150"/>
      <c r="O699" s="150"/>
      <c r="P699" s="61"/>
    </row>
    <row r="700" spans="1:16" ht="15.75" x14ac:dyDescent="0.2">
      <c r="A700" s="134"/>
      <c r="B700" s="150"/>
      <c r="C700" s="150"/>
      <c r="D700" s="150"/>
      <c r="E700" s="150" t="s">
        <v>1073</v>
      </c>
      <c r="F700" s="73">
        <f>35%*F699</f>
        <v>66894.98</v>
      </c>
      <c r="G700" s="150"/>
      <c r="H700" s="135"/>
      <c r="I700" s="135"/>
      <c r="J700" s="135"/>
      <c r="K700" s="136"/>
      <c r="L700" s="135"/>
      <c r="M700" s="135"/>
      <c r="N700" s="135"/>
      <c r="O700" s="135"/>
      <c r="P700" s="137"/>
    </row>
    <row r="701" spans="1:16" ht="16.5" thickBot="1" x14ac:dyDescent="0.25">
      <c r="A701" s="82"/>
      <c r="B701" s="83"/>
      <c r="C701" s="83"/>
      <c r="D701" s="83"/>
      <c r="E701" s="83" t="s">
        <v>111</v>
      </c>
      <c r="F701" s="139">
        <f>15%*(F699+F700)</f>
        <v>38703.519999999997</v>
      </c>
      <c r="G701" s="1008"/>
      <c r="H701" s="1008"/>
      <c r="I701" s="1008"/>
      <c r="J701" s="1008"/>
      <c r="K701" s="84"/>
      <c r="L701" s="83"/>
      <c r="M701" s="83"/>
      <c r="N701" s="1000" t="s">
        <v>53</v>
      </c>
      <c r="O701" s="1000"/>
      <c r="P701" s="18">
        <f>(SUM(F699:F701)/P689)</f>
        <v>19781.8</v>
      </c>
    </row>
    <row r="702" spans="1:16" ht="16.5" thickBot="1" x14ac:dyDescent="0.25">
      <c r="A702" s="327"/>
      <c r="B702" s="327"/>
      <c r="C702" s="327"/>
      <c r="D702" s="327"/>
      <c r="E702" s="327"/>
      <c r="F702" s="48"/>
      <c r="G702" s="327"/>
      <c r="H702" s="327"/>
      <c r="I702" s="327"/>
      <c r="J702" s="327"/>
      <c r="K702" s="327"/>
      <c r="L702" s="48"/>
      <c r="M702" s="329"/>
      <c r="N702" s="329"/>
      <c r="O702" s="329"/>
      <c r="P702" s="58"/>
    </row>
    <row r="703" spans="1:16" ht="20.100000000000001" customHeight="1" x14ac:dyDescent="0.2">
      <c r="A703" s="986" t="s">
        <v>29</v>
      </c>
      <c r="B703" s="987"/>
      <c r="C703" s="988" t="s">
        <v>596</v>
      </c>
      <c r="D703" s="988"/>
      <c r="E703" s="988"/>
      <c r="F703" s="988"/>
      <c r="G703" s="988"/>
      <c r="H703" s="988"/>
      <c r="I703" s="988"/>
      <c r="J703" s="988"/>
      <c r="K703" s="988"/>
      <c r="L703" s="988"/>
      <c r="M703" s="988"/>
      <c r="N703" s="988"/>
      <c r="O703" s="988"/>
      <c r="P703" s="274" t="s">
        <v>578</v>
      </c>
    </row>
    <row r="704" spans="1:16" ht="20.100000000000001" customHeight="1" x14ac:dyDescent="0.2">
      <c r="A704" s="991" t="s">
        <v>201</v>
      </c>
      <c r="B704" s="992"/>
      <c r="C704" s="1024"/>
      <c r="D704" s="1024"/>
      <c r="E704" s="1024"/>
      <c r="F704" s="1024"/>
      <c r="G704" s="1024"/>
      <c r="H704" s="1024"/>
      <c r="I704" s="1024"/>
      <c r="J704" s="1024"/>
      <c r="K704" s="1024"/>
      <c r="L704" s="1024"/>
      <c r="M704" s="1024"/>
      <c r="N704" s="1024"/>
      <c r="O704" s="1024"/>
      <c r="P704" s="275">
        <v>1</v>
      </c>
    </row>
    <row r="705" spans="1:16" ht="20.100000000000001" customHeight="1" x14ac:dyDescent="0.2">
      <c r="A705" s="1001" t="s">
        <v>30</v>
      </c>
      <c r="B705" s="1003" t="s">
        <v>31</v>
      </c>
      <c r="C705" s="1003"/>
      <c r="D705" s="1003"/>
      <c r="E705" s="1003"/>
      <c r="F705" s="1003"/>
      <c r="G705" s="1003" t="s">
        <v>32</v>
      </c>
      <c r="H705" s="1003"/>
      <c r="I705" s="1003"/>
      <c r="J705" s="1003"/>
      <c r="K705" s="1003"/>
      <c r="L705" s="1003" t="s">
        <v>33</v>
      </c>
      <c r="M705" s="1003"/>
      <c r="N705" s="1003"/>
      <c r="O705" s="1003"/>
      <c r="P705" s="1004"/>
    </row>
    <row r="706" spans="1:16" ht="20.100000000000001" customHeight="1" x14ac:dyDescent="0.2">
      <c r="A706" s="1002"/>
      <c r="B706" s="79" t="s">
        <v>8</v>
      </c>
      <c r="C706" s="79" t="s">
        <v>7</v>
      </c>
      <c r="D706" s="79" t="s">
        <v>9</v>
      </c>
      <c r="E706" s="79" t="s">
        <v>19</v>
      </c>
      <c r="F706" s="79" t="s">
        <v>20</v>
      </c>
      <c r="G706" s="79" t="s">
        <v>8</v>
      </c>
      <c r="H706" s="79" t="s">
        <v>7</v>
      </c>
      <c r="I706" s="79" t="s">
        <v>9</v>
      </c>
      <c r="J706" s="79" t="s">
        <v>19</v>
      </c>
      <c r="K706" s="79" t="s">
        <v>20</v>
      </c>
      <c r="L706" s="79" t="s">
        <v>8</v>
      </c>
      <c r="M706" s="79" t="s">
        <v>7</v>
      </c>
      <c r="N706" s="79" t="s">
        <v>9</v>
      </c>
      <c r="O706" s="79" t="s">
        <v>19</v>
      </c>
      <c r="P706" s="24" t="s">
        <v>20</v>
      </c>
    </row>
    <row r="707" spans="1:16" ht="20.100000000000001" customHeight="1" x14ac:dyDescent="0.2">
      <c r="A707" s="287">
        <v>20.9</v>
      </c>
      <c r="B707" s="32" t="s">
        <v>16</v>
      </c>
      <c r="C707" s="25" t="s">
        <v>11</v>
      </c>
      <c r="D707" s="25">
        <v>4</v>
      </c>
      <c r="E707" s="74">
        <f>skilled</f>
        <v>1100</v>
      </c>
      <c r="F707" s="74">
        <f>D707*E707</f>
        <v>4400</v>
      </c>
      <c r="G707" s="32" t="s">
        <v>56</v>
      </c>
      <c r="H707" s="74" t="s">
        <v>132</v>
      </c>
      <c r="I707" s="74">
        <v>1.1000000000000001</v>
      </c>
      <c r="J707" s="74">
        <f>reinforcement</f>
        <v>101501</v>
      </c>
      <c r="K707" s="74">
        <f>J707*I707</f>
        <v>111651.1</v>
      </c>
      <c r="L707" s="75"/>
      <c r="M707" s="74"/>
      <c r="N707" s="74"/>
      <c r="O707" s="74"/>
      <c r="P707" s="21"/>
    </row>
    <row r="708" spans="1:16" ht="20.100000000000001" customHeight="1" x14ac:dyDescent="0.2">
      <c r="A708" s="81"/>
      <c r="B708" s="75" t="s">
        <v>28</v>
      </c>
      <c r="C708" s="25" t="s">
        <v>11</v>
      </c>
      <c r="D708" s="25">
        <v>12</v>
      </c>
      <c r="E708" s="74">
        <f>unskilled</f>
        <v>780</v>
      </c>
      <c r="F708" s="74">
        <f>D708*E708</f>
        <v>9360</v>
      </c>
      <c r="G708" s="32" t="s">
        <v>64</v>
      </c>
      <c r="H708" s="74" t="s">
        <v>50</v>
      </c>
      <c r="I708" s="74">
        <v>8</v>
      </c>
      <c r="J708" s="74">
        <f>bindingwireblack</f>
        <v>111.63</v>
      </c>
      <c r="K708" s="74">
        <f>I708*J708</f>
        <v>893.04</v>
      </c>
      <c r="L708" s="75"/>
      <c r="M708" s="74"/>
      <c r="N708" s="74"/>
      <c r="O708" s="74"/>
      <c r="P708" s="21"/>
    </row>
    <row r="709" spans="1:16" ht="20.100000000000001" customHeight="1" x14ac:dyDescent="0.2">
      <c r="A709" s="1005" t="s">
        <v>34</v>
      </c>
      <c r="B709" s="1006"/>
      <c r="C709" s="1006"/>
      <c r="D709" s="1006"/>
      <c r="E709" s="1006"/>
      <c r="F709" s="73">
        <f>SUM(F707:F708)</f>
        <v>13760</v>
      </c>
      <c r="G709" s="1006" t="s">
        <v>35</v>
      </c>
      <c r="H709" s="1006"/>
      <c r="I709" s="1006"/>
      <c r="J709" s="1006"/>
      <c r="K709" s="73">
        <f>SUM(K707:K708)</f>
        <v>112544.14</v>
      </c>
      <c r="L709" s="1006" t="s">
        <v>36</v>
      </c>
      <c r="M709" s="1006"/>
      <c r="N709" s="1006"/>
      <c r="O709" s="1006"/>
      <c r="P709" s="61">
        <f>SUM(P707:P708)</f>
        <v>0</v>
      </c>
    </row>
    <row r="710" spans="1:16" ht="20.100000000000001" customHeight="1" x14ac:dyDescent="0.2">
      <c r="A710" s="1005" t="s">
        <v>487</v>
      </c>
      <c r="B710" s="1006"/>
      <c r="C710" s="1006"/>
      <c r="D710" s="1006"/>
      <c r="E710" s="1006"/>
      <c r="F710" s="28">
        <f>F709+K709+P709</f>
        <v>126304.14</v>
      </c>
      <c r="G710" s="1006"/>
      <c r="H710" s="1006"/>
      <c r="I710" s="1006"/>
      <c r="J710" s="1006"/>
      <c r="K710" s="1006"/>
      <c r="L710" s="74"/>
      <c r="M710" s="292"/>
      <c r="N710" s="292"/>
      <c r="O710" s="292"/>
      <c r="P710" s="16"/>
    </row>
    <row r="711" spans="1:16" ht="20.100000000000001" customHeight="1" thickBot="1" x14ac:dyDescent="0.25">
      <c r="A711" s="82"/>
      <c r="B711" s="999" t="s">
        <v>110</v>
      </c>
      <c r="C711" s="999"/>
      <c r="D711" s="999"/>
      <c r="E711" s="999"/>
      <c r="F711" s="17">
        <f>15%*F710</f>
        <v>18945.62</v>
      </c>
      <c r="G711" s="83"/>
      <c r="H711" s="83"/>
      <c r="I711" s="83"/>
      <c r="J711" s="83"/>
      <c r="K711" s="83"/>
      <c r="L711" s="17"/>
      <c r="M711" s="276"/>
      <c r="N711" s="1000" t="s">
        <v>53</v>
      </c>
      <c r="O711" s="1000"/>
      <c r="P711" s="18">
        <f>(F711+F710)/P704</f>
        <v>145249.76</v>
      </c>
    </row>
    <row r="712" spans="1:16" ht="12.75" customHeight="1" x14ac:dyDescent="0.2">
      <c r="A712" s="281"/>
      <c r="B712" s="281"/>
      <c r="C712" s="281"/>
      <c r="D712" s="281"/>
      <c r="E712" s="281"/>
      <c r="F712" s="57"/>
      <c r="G712" s="281"/>
      <c r="H712" s="281"/>
      <c r="I712" s="281"/>
      <c r="J712" s="281"/>
      <c r="K712" s="281"/>
      <c r="L712" s="57"/>
      <c r="M712" s="67"/>
      <c r="N712" s="67"/>
      <c r="O712" s="67"/>
      <c r="P712" s="43"/>
    </row>
    <row r="713" spans="1:16" ht="16.5" hidden="1" thickBot="1" x14ac:dyDescent="0.25">
      <c r="A713" s="53" t="s">
        <v>598</v>
      </c>
      <c r="B713" s="53"/>
      <c r="C713" s="53"/>
      <c r="D713" s="53"/>
      <c r="E713" s="19"/>
      <c r="F713" s="19"/>
      <c r="G713" s="19"/>
      <c r="H713" s="19"/>
      <c r="I713" s="19"/>
      <c r="J713" s="19"/>
      <c r="K713" s="19"/>
      <c r="L713" s="19"/>
      <c r="M713" s="19"/>
      <c r="N713" s="19"/>
      <c r="O713" s="19"/>
      <c r="P713" s="19"/>
    </row>
    <row r="714" spans="1:16" ht="15.75" hidden="1" customHeight="1" x14ac:dyDescent="0.2">
      <c r="A714" s="986" t="s">
        <v>29</v>
      </c>
      <c r="B714" s="987"/>
      <c r="C714" s="988" t="s">
        <v>608</v>
      </c>
      <c r="D714" s="988"/>
      <c r="E714" s="988"/>
      <c r="F714" s="988"/>
      <c r="G714" s="988"/>
      <c r="H714" s="988"/>
      <c r="I714" s="988"/>
      <c r="J714" s="988"/>
      <c r="K714" s="988"/>
      <c r="L714" s="988"/>
      <c r="M714" s="988"/>
      <c r="N714" s="988"/>
      <c r="O714" s="988"/>
      <c r="P714" s="274" t="s">
        <v>433</v>
      </c>
    </row>
    <row r="715" spans="1:16" ht="15.75" hidden="1" x14ac:dyDescent="0.2">
      <c r="A715" s="991" t="s">
        <v>90</v>
      </c>
      <c r="B715" s="992"/>
      <c r="C715" s="1024"/>
      <c r="D715" s="1024"/>
      <c r="E715" s="1024"/>
      <c r="F715" s="1024"/>
      <c r="G715" s="1024"/>
      <c r="H715" s="1024"/>
      <c r="I715" s="1024"/>
      <c r="J715" s="1024"/>
      <c r="K715" s="1024"/>
      <c r="L715" s="1024"/>
      <c r="M715" s="1024"/>
      <c r="N715" s="1024"/>
      <c r="O715" s="1024"/>
      <c r="P715" s="275">
        <v>1</v>
      </c>
    </row>
    <row r="716" spans="1:16" ht="15.75" hidden="1" x14ac:dyDescent="0.2">
      <c r="A716" s="1001" t="s">
        <v>30</v>
      </c>
      <c r="B716" s="1003" t="s">
        <v>31</v>
      </c>
      <c r="C716" s="1003"/>
      <c r="D716" s="1003"/>
      <c r="E716" s="1003"/>
      <c r="F716" s="1003"/>
      <c r="G716" s="1003" t="s">
        <v>32</v>
      </c>
      <c r="H716" s="1003"/>
      <c r="I716" s="1003"/>
      <c r="J716" s="1003"/>
      <c r="K716" s="1003"/>
      <c r="L716" s="1003" t="s">
        <v>33</v>
      </c>
      <c r="M716" s="1003"/>
      <c r="N716" s="1003"/>
      <c r="O716" s="1003"/>
      <c r="P716" s="1004"/>
    </row>
    <row r="717" spans="1:16" ht="15.75" hidden="1" x14ac:dyDescent="0.2">
      <c r="A717" s="1002"/>
      <c r="B717" s="79" t="s">
        <v>8</v>
      </c>
      <c r="C717" s="79" t="s">
        <v>7</v>
      </c>
      <c r="D717" s="79" t="s">
        <v>9</v>
      </c>
      <c r="E717" s="79" t="s">
        <v>19</v>
      </c>
      <c r="F717" s="79" t="s">
        <v>20</v>
      </c>
      <c r="G717" s="79" t="s">
        <v>8</v>
      </c>
      <c r="H717" s="79" t="s">
        <v>7</v>
      </c>
      <c r="I717" s="79" t="s">
        <v>9</v>
      </c>
      <c r="J717" s="79" t="s">
        <v>19</v>
      </c>
      <c r="K717" s="79" t="s">
        <v>20</v>
      </c>
      <c r="L717" s="79" t="s">
        <v>8</v>
      </c>
      <c r="M717" s="79" t="s">
        <v>7</v>
      </c>
      <c r="N717" s="79" t="s">
        <v>9</v>
      </c>
      <c r="O717" s="79" t="s">
        <v>19</v>
      </c>
      <c r="P717" s="24" t="s">
        <v>20</v>
      </c>
    </row>
    <row r="718" spans="1:16" ht="15.75" hidden="1" x14ac:dyDescent="0.2">
      <c r="A718" s="287">
        <v>20.12</v>
      </c>
      <c r="B718" s="32" t="s">
        <v>16</v>
      </c>
      <c r="C718" s="25" t="s">
        <v>11</v>
      </c>
      <c r="D718" s="25">
        <v>2</v>
      </c>
      <c r="E718" s="74">
        <f>skilled</f>
        <v>1100</v>
      </c>
      <c r="F718" s="74">
        <f>D718*E718</f>
        <v>2200</v>
      </c>
      <c r="G718" s="32" t="s">
        <v>611</v>
      </c>
      <c r="H718" s="74" t="s">
        <v>250</v>
      </c>
      <c r="I718" s="74">
        <v>1</v>
      </c>
      <c r="J718" s="74">
        <f>concrete_m30_foundation</f>
        <v>13238.64</v>
      </c>
      <c r="K718" s="74">
        <f>J718*I718</f>
        <v>13238.64</v>
      </c>
      <c r="L718" s="75"/>
      <c r="M718" s="74"/>
      <c r="N718" s="74"/>
      <c r="O718" s="74"/>
      <c r="P718" s="21"/>
    </row>
    <row r="719" spans="1:16" ht="15.75" hidden="1" x14ac:dyDescent="0.2">
      <c r="A719" s="81"/>
      <c r="B719" s="75" t="s">
        <v>28</v>
      </c>
      <c r="C719" s="25" t="s">
        <v>11</v>
      </c>
      <c r="D719" s="25">
        <v>2</v>
      </c>
      <c r="E719" s="74">
        <f>unskilled</f>
        <v>780</v>
      </c>
      <c r="F719" s="74">
        <f>D719*E719</f>
        <v>1560</v>
      </c>
      <c r="G719" s="32" t="s">
        <v>56</v>
      </c>
      <c r="H719" s="74" t="s">
        <v>143</v>
      </c>
      <c r="I719" s="74">
        <v>0.08</v>
      </c>
      <c r="J719" s="74">
        <f>rebar_superstructure</f>
        <v>145249.76</v>
      </c>
      <c r="K719" s="74">
        <f>I719*J719</f>
        <v>11619.98</v>
      </c>
      <c r="L719" s="75"/>
      <c r="M719" s="74"/>
      <c r="N719" s="74"/>
      <c r="O719" s="74"/>
      <c r="P719" s="21"/>
    </row>
    <row r="720" spans="1:16" ht="15.75" hidden="1" x14ac:dyDescent="0.2">
      <c r="A720" s="1005" t="s">
        <v>34</v>
      </c>
      <c r="B720" s="1006"/>
      <c r="C720" s="1006"/>
      <c r="D720" s="1006"/>
      <c r="E720" s="1006"/>
      <c r="F720" s="73">
        <f>SUM(F718:F719)</f>
        <v>3760</v>
      </c>
      <c r="G720" s="1006" t="s">
        <v>35</v>
      </c>
      <c r="H720" s="1006"/>
      <c r="I720" s="1006"/>
      <c r="J720" s="1006"/>
      <c r="K720" s="73">
        <f>SUM(K718:K719)</f>
        <v>24858.62</v>
      </c>
      <c r="L720" s="1006" t="s">
        <v>36</v>
      </c>
      <c r="M720" s="1006"/>
      <c r="N720" s="1006"/>
      <c r="O720" s="1006"/>
      <c r="P720" s="61">
        <f>SUM(P718:P719)</f>
        <v>0</v>
      </c>
    </row>
    <row r="721" spans="1:16" ht="15.75" hidden="1" x14ac:dyDescent="0.2">
      <c r="A721" s="1005" t="s">
        <v>487</v>
      </c>
      <c r="B721" s="1006"/>
      <c r="C721" s="1006"/>
      <c r="D721" s="1006"/>
      <c r="E721" s="1006"/>
      <c r="F721" s="28">
        <f>F720+K720+P720</f>
        <v>28618.62</v>
      </c>
      <c r="G721" s="1006"/>
      <c r="H721" s="1006"/>
      <c r="I721" s="1006"/>
      <c r="J721" s="1006"/>
      <c r="K721" s="1006"/>
      <c r="L721" s="74"/>
      <c r="M721" s="292"/>
      <c r="N721" s="292"/>
      <c r="O721" s="292"/>
      <c r="P721" s="16"/>
    </row>
    <row r="722" spans="1:16" ht="16.5" hidden="1" thickBot="1" x14ac:dyDescent="0.25">
      <c r="A722" s="82"/>
      <c r="B722" s="999" t="s">
        <v>110</v>
      </c>
      <c r="C722" s="999"/>
      <c r="D722" s="999"/>
      <c r="E722" s="999"/>
      <c r="F722" s="17">
        <f>15%*F721</f>
        <v>4292.79</v>
      </c>
      <c r="G722" s="83"/>
      <c r="H722" s="83"/>
      <c r="I722" s="83"/>
      <c r="J722" s="83"/>
      <c r="K722" s="83"/>
      <c r="L722" s="17"/>
      <c r="M722" s="276"/>
      <c r="N722" s="1000" t="s">
        <v>53</v>
      </c>
      <c r="O722" s="1000"/>
      <c r="P722" s="18">
        <f>(F722+F721)/P715</f>
        <v>32911.410000000003</v>
      </c>
    </row>
    <row r="723" spans="1:16" ht="15.75" hidden="1" x14ac:dyDescent="0.2">
      <c r="A723" s="281"/>
      <c r="B723" s="281"/>
      <c r="C723" s="281"/>
      <c r="D723" s="281"/>
      <c r="E723" s="281"/>
      <c r="F723" s="57"/>
      <c r="G723" s="281"/>
      <c r="H723" s="281"/>
      <c r="I723" s="281"/>
      <c r="J723" s="281"/>
      <c r="K723" s="281"/>
      <c r="L723" s="57"/>
      <c r="M723" s="299"/>
      <c r="N723" s="299"/>
      <c r="O723" s="299"/>
      <c r="P723" s="43"/>
    </row>
    <row r="724" spans="1:16" ht="15.75" x14ac:dyDescent="0.2">
      <c r="A724" s="1009" t="s">
        <v>612</v>
      </c>
      <c r="B724" s="1009"/>
      <c r="C724" s="1009"/>
      <c r="D724" s="1009"/>
      <c r="E724" s="1009"/>
      <c r="F724" s="1009"/>
      <c r="G724" s="1009"/>
      <c r="H724" s="1009"/>
      <c r="I724" s="1009"/>
      <c r="J724" s="1009"/>
      <c r="K724" s="1009"/>
      <c r="L724" s="1009"/>
      <c r="M724" s="1009"/>
      <c r="N724" s="1009"/>
      <c r="O724" s="1009"/>
      <c r="P724" s="1009"/>
    </row>
    <row r="725" spans="1:16" ht="16.5" thickBot="1" x14ac:dyDescent="0.25">
      <c r="A725" s="1009" t="s">
        <v>613</v>
      </c>
      <c r="B725" s="1009"/>
      <c r="C725" s="1009"/>
      <c r="D725" s="1009"/>
      <c r="E725" s="1009"/>
      <c r="F725" s="1009"/>
      <c r="G725" s="1009"/>
      <c r="H725" s="1009"/>
      <c r="I725" s="1009"/>
      <c r="J725" s="1009"/>
      <c r="K725" s="1009"/>
      <c r="L725" s="1009"/>
      <c r="M725" s="1009"/>
      <c r="N725" s="1009"/>
      <c r="O725" s="1009"/>
      <c r="P725" s="1009"/>
    </row>
    <row r="726" spans="1:16" ht="18.75" customHeight="1" x14ac:dyDescent="0.2">
      <c r="A726" s="310" t="s">
        <v>29</v>
      </c>
      <c r="B726" s="311"/>
      <c r="C726" s="988" t="s">
        <v>620</v>
      </c>
      <c r="D726" s="988"/>
      <c r="E726" s="988"/>
      <c r="F726" s="988"/>
      <c r="G726" s="988"/>
      <c r="H726" s="988"/>
      <c r="I726" s="988"/>
      <c r="J726" s="988"/>
      <c r="K726" s="988"/>
      <c r="L726" s="988"/>
      <c r="M726" s="988"/>
      <c r="N726" s="988"/>
      <c r="O726" s="988"/>
      <c r="P726" s="274" t="s">
        <v>578</v>
      </c>
    </row>
    <row r="727" spans="1:16" ht="15.6" customHeight="1" x14ac:dyDescent="0.2">
      <c r="A727" s="343" t="s">
        <v>170</v>
      </c>
      <c r="B727" s="344"/>
      <c r="C727" s="1024"/>
      <c r="D727" s="1024"/>
      <c r="E727" s="1024"/>
      <c r="F727" s="1024"/>
      <c r="G727" s="1024"/>
      <c r="H727" s="1024"/>
      <c r="I727" s="1024"/>
      <c r="J727" s="1024"/>
      <c r="K727" s="1024"/>
      <c r="L727" s="1024"/>
      <c r="M727" s="1024"/>
      <c r="N727" s="1024"/>
      <c r="O727" s="1024"/>
      <c r="P727" s="275">
        <v>0.38</v>
      </c>
    </row>
    <row r="728" spans="1:16" ht="15.6" customHeight="1" x14ac:dyDescent="0.2">
      <c r="A728" s="345" t="s">
        <v>30</v>
      </c>
      <c r="B728" s="1003" t="s">
        <v>31</v>
      </c>
      <c r="C728" s="1003"/>
      <c r="D728" s="1003"/>
      <c r="E728" s="1003"/>
      <c r="F728" s="1003"/>
      <c r="G728" s="1003" t="s">
        <v>32</v>
      </c>
      <c r="H728" s="1003"/>
      <c r="I728" s="1003"/>
      <c r="J728" s="1003"/>
      <c r="K728" s="1003"/>
      <c r="L728" s="1003" t="s">
        <v>33</v>
      </c>
      <c r="M728" s="1003"/>
      <c r="N728" s="1003"/>
      <c r="O728" s="1003"/>
      <c r="P728" s="1004"/>
    </row>
    <row r="729" spans="1:16" ht="15.6" customHeight="1" x14ac:dyDescent="0.2">
      <c r="A729" s="346"/>
      <c r="B729" s="79" t="s">
        <v>8</v>
      </c>
      <c r="C729" s="79" t="s">
        <v>7</v>
      </c>
      <c r="D729" s="79" t="s">
        <v>9</v>
      </c>
      <c r="E729" s="79" t="s">
        <v>19</v>
      </c>
      <c r="F729" s="79" t="s">
        <v>20</v>
      </c>
      <c r="G729" s="79" t="s">
        <v>8</v>
      </c>
      <c r="H729" s="79" t="s">
        <v>7</v>
      </c>
      <c r="I729" s="79" t="s">
        <v>9</v>
      </c>
      <c r="J729" s="79" t="s">
        <v>19</v>
      </c>
      <c r="K729" s="79" t="s">
        <v>20</v>
      </c>
      <c r="L729" s="79" t="s">
        <v>8</v>
      </c>
      <c r="M729" s="79" t="s">
        <v>7</v>
      </c>
      <c r="N729" s="79" t="s">
        <v>9</v>
      </c>
      <c r="O729" s="79" t="s">
        <v>19</v>
      </c>
      <c r="P729" s="24" t="s">
        <v>20</v>
      </c>
    </row>
    <row r="730" spans="1:16" ht="31.5" x14ac:dyDescent="0.2">
      <c r="A730" s="72">
        <v>21.1</v>
      </c>
      <c r="B730" s="32" t="s">
        <v>148</v>
      </c>
      <c r="C730" s="25" t="s">
        <v>11</v>
      </c>
      <c r="D730" s="25">
        <v>1</v>
      </c>
      <c r="E730" s="74">
        <f>technician</f>
        <v>900</v>
      </c>
      <c r="F730" s="74">
        <f>D730*E730</f>
        <v>900</v>
      </c>
      <c r="G730" s="32" t="s">
        <v>210</v>
      </c>
      <c r="H730" s="74" t="s">
        <v>132</v>
      </c>
      <c r="I730" s="74">
        <v>0.39</v>
      </c>
      <c r="J730" s="74">
        <f>HTstrand</f>
        <v>128995</v>
      </c>
      <c r="K730" s="74">
        <f>I730*J730</f>
        <v>50308.05</v>
      </c>
      <c r="L730" s="151" t="s">
        <v>615</v>
      </c>
      <c r="M730" s="74" t="s">
        <v>13</v>
      </c>
      <c r="N730" s="74">
        <v>2.5</v>
      </c>
      <c r="O730" s="74">
        <f>stressingjack</f>
        <v>143.5</v>
      </c>
      <c r="P730" s="21">
        <f>O730*N730</f>
        <v>358.75</v>
      </c>
    </row>
    <row r="731" spans="1:16" ht="31.5" x14ac:dyDescent="0.2">
      <c r="A731" s="72"/>
      <c r="B731" s="32" t="s">
        <v>16</v>
      </c>
      <c r="C731" s="25" t="s">
        <v>11</v>
      </c>
      <c r="D731" s="25">
        <v>2</v>
      </c>
      <c r="E731" s="74">
        <f>skilled</f>
        <v>1100</v>
      </c>
      <c r="F731" s="74">
        <f>D731*E731</f>
        <v>2200</v>
      </c>
      <c r="G731" s="32" t="s">
        <v>211</v>
      </c>
      <c r="H731" s="74" t="s">
        <v>17</v>
      </c>
      <c r="I731" s="74">
        <v>42</v>
      </c>
      <c r="J731" s="74">
        <f>sheathingpipe</f>
        <v>275</v>
      </c>
      <c r="K731" s="74">
        <f>I731*J731</f>
        <v>11550</v>
      </c>
      <c r="L731" s="151" t="s">
        <v>171</v>
      </c>
      <c r="M731" s="74" t="s">
        <v>13</v>
      </c>
      <c r="N731" s="74">
        <v>1</v>
      </c>
      <c r="O731" s="74">
        <f>groutingpump</f>
        <v>391.5</v>
      </c>
      <c r="P731" s="21">
        <f>O731*N731</f>
        <v>391.5</v>
      </c>
    </row>
    <row r="732" spans="1:16" ht="78.75" x14ac:dyDescent="0.2">
      <c r="A732" s="72"/>
      <c r="B732" s="75" t="s">
        <v>28</v>
      </c>
      <c r="C732" s="25" t="s">
        <v>11</v>
      </c>
      <c r="D732" s="25">
        <v>5</v>
      </c>
      <c r="E732" s="74">
        <f>unskilled</f>
        <v>780</v>
      </c>
      <c r="F732" s="74">
        <f>D732*E732</f>
        <v>3900</v>
      </c>
      <c r="G732" s="70" t="s">
        <v>212</v>
      </c>
      <c r="H732" s="74" t="s">
        <v>71</v>
      </c>
      <c r="I732" s="74">
        <v>2</v>
      </c>
      <c r="J732" s="74">
        <f>anchorageset</f>
        <v>2546.5</v>
      </c>
      <c r="K732" s="74">
        <f>I732*J732</f>
        <v>5093</v>
      </c>
      <c r="L732" s="75" t="s">
        <v>3</v>
      </c>
      <c r="M732" s="74" t="s">
        <v>13</v>
      </c>
      <c r="N732" s="74">
        <v>3.5</v>
      </c>
      <c r="O732" s="74">
        <f>electricgenerator</f>
        <v>785</v>
      </c>
      <c r="P732" s="21">
        <f>O732*N732</f>
        <v>2747.5</v>
      </c>
    </row>
    <row r="733" spans="1:16" ht="15.6" customHeight="1" x14ac:dyDescent="0.2">
      <c r="A733" s="72"/>
      <c r="B733" s="75" t="s">
        <v>148</v>
      </c>
      <c r="C733" s="25" t="s">
        <v>11</v>
      </c>
      <c r="D733" s="25">
        <v>1</v>
      </c>
      <c r="E733" s="74">
        <f>technician</f>
        <v>900</v>
      </c>
      <c r="F733" s="74">
        <f t="shared" ref="F733:F738" si="13">D733*E733</f>
        <v>900</v>
      </c>
      <c r="G733" s="32" t="s">
        <v>213</v>
      </c>
      <c r="H733" s="74" t="s">
        <v>132</v>
      </c>
      <c r="I733" s="74">
        <v>0.13</v>
      </c>
      <c r="J733" s="74">
        <f>cement</f>
        <v>15631</v>
      </c>
      <c r="K733" s="74">
        <f>I733*J733</f>
        <v>2032.03</v>
      </c>
      <c r="L733" s="75"/>
      <c r="M733" s="74"/>
      <c r="N733" s="74"/>
      <c r="O733" s="74"/>
      <c r="P733" s="21"/>
    </row>
    <row r="734" spans="1:16" ht="31.15" customHeight="1" x14ac:dyDescent="0.2">
      <c r="A734" s="72"/>
      <c r="B734" s="32" t="s">
        <v>16</v>
      </c>
      <c r="C734" s="25" t="s">
        <v>11</v>
      </c>
      <c r="D734" s="25">
        <v>1</v>
      </c>
      <c r="E734" s="74">
        <f>skilled</f>
        <v>1100</v>
      </c>
      <c r="F734" s="74">
        <f t="shared" si="13"/>
        <v>1100</v>
      </c>
      <c r="G734" s="1051" t="s">
        <v>614</v>
      </c>
      <c r="H734" s="1051"/>
      <c r="I734" s="1051"/>
      <c r="J734" s="1051"/>
      <c r="K734" s="74">
        <f>0.5%*SUM(K730:K733)</f>
        <v>344.92</v>
      </c>
      <c r="L734" s="75"/>
      <c r="M734" s="74"/>
      <c r="N734" s="74"/>
      <c r="O734" s="74"/>
      <c r="P734" s="21"/>
    </row>
    <row r="735" spans="1:16" ht="15.6" customHeight="1" x14ac:dyDescent="0.2">
      <c r="A735" s="72"/>
      <c r="B735" s="75" t="s">
        <v>28</v>
      </c>
      <c r="C735" s="25" t="s">
        <v>11</v>
      </c>
      <c r="D735" s="25">
        <v>2</v>
      </c>
      <c r="E735" s="74">
        <f>unskilled</f>
        <v>780</v>
      </c>
      <c r="F735" s="74">
        <f t="shared" si="13"/>
        <v>1560</v>
      </c>
      <c r="G735" s="32"/>
      <c r="H735" s="74"/>
      <c r="I735" s="74"/>
      <c r="J735" s="74"/>
      <c r="K735" s="74"/>
      <c r="L735" s="75"/>
      <c r="M735" s="74"/>
      <c r="N735" s="74"/>
      <c r="O735" s="74"/>
      <c r="P735" s="21"/>
    </row>
    <row r="736" spans="1:16" ht="15.6" customHeight="1" x14ac:dyDescent="0.2">
      <c r="A736" s="72"/>
      <c r="B736" s="32" t="s">
        <v>148</v>
      </c>
      <c r="C736" s="25" t="s">
        <v>11</v>
      </c>
      <c r="D736" s="25">
        <v>1</v>
      </c>
      <c r="E736" s="74">
        <f>technician</f>
        <v>900</v>
      </c>
      <c r="F736" s="74">
        <f t="shared" si="13"/>
        <v>900</v>
      </c>
      <c r="G736" s="32"/>
      <c r="H736" s="74"/>
      <c r="I736" s="74"/>
      <c r="J736" s="74"/>
      <c r="K736" s="74"/>
      <c r="L736" s="75"/>
      <c r="M736" s="74"/>
      <c r="N736" s="74"/>
      <c r="O736" s="74"/>
      <c r="P736" s="21"/>
    </row>
    <row r="737" spans="1:16" ht="15.6" customHeight="1" x14ac:dyDescent="0.2">
      <c r="A737" s="72"/>
      <c r="B737" s="32" t="s">
        <v>16</v>
      </c>
      <c r="C737" s="25" t="s">
        <v>11</v>
      </c>
      <c r="D737" s="25">
        <v>1</v>
      </c>
      <c r="E737" s="74">
        <f>skilled</f>
        <v>1100</v>
      </c>
      <c r="F737" s="74">
        <f t="shared" si="13"/>
        <v>1100</v>
      </c>
      <c r="G737" s="32"/>
      <c r="H737" s="74"/>
      <c r="I737" s="74"/>
      <c r="J737" s="74"/>
      <c r="K737" s="74"/>
      <c r="L737" s="75"/>
      <c r="M737" s="74"/>
      <c r="N737" s="74"/>
      <c r="O737" s="74"/>
      <c r="P737" s="21"/>
    </row>
    <row r="738" spans="1:16" ht="15.6" customHeight="1" x14ac:dyDescent="0.2">
      <c r="A738" s="72"/>
      <c r="B738" s="75" t="s">
        <v>101</v>
      </c>
      <c r="C738" s="25" t="s">
        <v>11</v>
      </c>
      <c r="D738" s="25">
        <v>2</v>
      </c>
      <c r="E738" s="74">
        <f>unskilled</f>
        <v>780</v>
      </c>
      <c r="F738" s="74">
        <f t="shared" si="13"/>
        <v>1560</v>
      </c>
      <c r="G738" s="32"/>
      <c r="H738" s="74"/>
      <c r="I738" s="74"/>
      <c r="J738" s="74"/>
      <c r="K738" s="74"/>
      <c r="L738" s="73"/>
      <c r="M738" s="73"/>
      <c r="N738" s="73"/>
      <c r="O738" s="73"/>
      <c r="P738" s="61"/>
    </row>
    <row r="739" spans="1:16" ht="15.6" customHeight="1" x14ac:dyDescent="0.2">
      <c r="A739" s="1005" t="s">
        <v>34</v>
      </c>
      <c r="B739" s="1006"/>
      <c r="C739" s="1006"/>
      <c r="D739" s="1006"/>
      <c r="E739" s="1006"/>
      <c r="F739" s="73">
        <f>SUM(F730:F738)</f>
        <v>14120</v>
      </c>
      <c r="G739" s="1006" t="s">
        <v>35</v>
      </c>
      <c r="H739" s="1006"/>
      <c r="I739" s="1006"/>
      <c r="J739" s="1006"/>
      <c r="K739" s="73">
        <f>SUM(K730:K738)</f>
        <v>69328</v>
      </c>
      <c r="L739" s="1006" t="s">
        <v>36</v>
      </c>
      <c r="M739" s="1006"/>
      <c r="N739" s="1006"/>
      <c r="O739" s="1006"/>
      <c r="P739" s="61">
        <f>SUM(P730:P732)</f>
        <v>3497.75</v>
      </c>
    </row>
    <row r="740" spans="1:16" ht="15.6" customHeight="1" x14ac:dyDescent="0.2">
      <c r="A740" s="1005" t="s">
        <v>487</v>
      </c>
      <c r="B740" s="1006"/>
      <c r="C740" s="1006"/>
      <c r="D740" s="1006"/>
      <c r="E740" s="1006"/>
      <c r="F740" s="28">
        <f>F739+K739+P739</f>
        <v>86945.75</v>
      </c>
      <c r="G740" s="90"/>
      <c r="H740" s="90"/>
      <c r="I740" s="90"/>
      <c r="J740" s="90"/>
      <c r="K740" s="90"/>
      <c r="L740" s="74"/>
      <c r="M740" s="90"/>
      <c r="N740" s="90"/>
      <c r="O740" s="90"/>
      <c r="P740" s="21"/>
    </row>
    <row r="741" spans="1:16" ht="16.149999999999999" customHeight="1" thickBot="1" x14ac:dyDescent="0.25">
      <c r="A741" s="82"/>
      <c r="B741" s="999" t="s">
        <v>110</v>
      </c>
      <c r="C741" s="999"/>
      <c r="D741" s="999"/>
      <c r="E741" s="999"/>
      <c r="F741" s="17">
        <f>15%*F740</f>
        <v>13041.86</v>
      </c>
      <c r="G741" s="83"/>
      <c r="H741" s="83"/>
      <c r="I741" s="83"/>
      <c r="J741" s="83"/>
      <c r="K741" s="83"/>
      <c r="L741" s="17"/>
      <c r="M741" s="276"/>
      <c r="N741" s="1000" t="s">
        <v>53</v>
      </c>
      <c r="O741" s="1000"/>
      <c r="P741" s="31">
        <f>(F740+F741)/P727</f>
        <v>263125.28999999998</v>
      </c>
    </row>
    <row r="742" spans="1:16" ht="16.149999999999999" customHeight="1" x14ac:dyDescent="0.2">
      <c r="A742" s="301"/>
      <c r="B742" s="301"/>
      <c r="C742" s="301"/>
      <c r="D742" s="301"/>
      <c r="E742" s="301"/>
      <c r="F742" s="51"/>
      <c r="G742" s="301"/>
      <c r="H742" s="301"/>
      <c r="I742" s="301"/>
      <c r="J742" s="301"/>
      <c r="K742" s="301"/>
      <c r="L742" s="51"/>
      <c r="M742" s="280"/>
      <c r="N742" s="303"/>
      <c r="O742" s="303"/>
      <c r="P742" s="47"/>
    </row>
    <row r="743" spans="1:16" ht="15.75" hidden="1" x14ac:dyDescent="0.2">
      <c r="A743" s="1009" t="s">
        <v>616</v>
      </c>
      <c r="B743" s="1009"/>
      <c r="C743" s="1009"/>
      <c r="D743" s="1009"/>
      <c r="E743" s="1009"/>
      <c r="F743" s="1009"/>
      <c r="G743" s="1009"/>
      <c r="H743" s="1009"/>
      <c r="I743" s="1009"/>
      <c r="J743" s="1009"/>
      <c r="K743" s="1009"/>
      <c r="L743" s="1009"/>
      <c r="M743" s="1009"/>
      <c r="N743" s="1009"/>
      <c r="O743" s="1009"/>
      <c r="P743" s="1009"/>
    </row>
    <row r="744" spans="1:16" ht="16.5" hidden="1" thickBot="1" x14ac:dyDescent="0.25">
      <c r="A744" s="1009" t="s">
        <v>617</v>
      </c>
      <c r="B744" s="1009"/>
      <c r="C744" s="1009"/>
      <c r="D744" s="1009"/>
      <c r="E744" s="1009"/>
      <c r="F744" s="1009"/>
      <c r="G744" s="1009"/>
      <c r="H744" s="1009"/>
      <c r="I744" s="1009"/>
      <c r="J744" s="1009"/>
      <c r="K744" s="1009"/>
      <c r="L744" s="1009"/>
      <c r="M744" s="1009"/>
      <c r="N744" s="1009"/>
      <c r="O744" s="1009"/>
      <c r="P744" s="1009"/>
    </row>
    <row r="745" spans="1:16" ht="15.75" hidden="1" x14ac:dyDescent="0.2">
      <c r="A745" s="986" t="s">
        <v>29</v>
      </c>
      <c r="B745" s="987"/>
      <c r="C745" s="988" t="s">
        <v>618</v>
      </c>
      <c r="D745" s="989"/>
      <c r="E745" s="989"/>
      <c r="F745" s="989"/>
      <c r="G745" s="989"/>
      <c r="H745" s="989"/>
      <c r="I745" s="989"/>
      <c r="J745" s="989"/>
      <c r="K745" s="989"/>
      <c r="L745" s="989"/>
      <c r="M745" s="989"/>
      <c r="N745" s="989"/>
      <c r="O745" s="989"/>
      <c r="P745" s="274" t="s">
        <v>578</v>
      </c>
    </row>
    <row r="746" spans="1:16" ht="15.75" hidden="1" x14ac:dyDescent="0.2">
      <c r="A746" s="1011" t="s">
        <v>209</v>
      </c>
      <c r="B746" s="1012"/>
      <c r="C746" s="990"/>
      <c r="D746" s="990"/>
      <c r="E746" s="990"/>
      <c r="F746" s="990"/>
      <c r="G746" s="990"/>
      <c r="H746" s="990"/>
      <c r="I746" s="990"/>
      <c r="J746" s="990"/>
      <c r="K746" s="990"/>
      <c r="L746" s="990"/>
      <c r="M746" s="990"/>
      <c r="N746" s="990"/>
      <c r="O746" s="990"/>
      <c r="P746" s="275">
        <v>1</v>
      </c>
    </row>
    <row r="747" spans="1:16" ht="15.75" hidden="1" x14ac:dyDescent="0.2">
      <c r="A747" s="1001" t="s">
        <v>30</v>
      </c>
      <c r="B747" s="1003" t="s">
        <v>31</v>
      </c>
      <c r="C747" s="1003"/>
      <c r="D747" s="1003"/>
      <c r="E747" s="1003"/>
      <c r="F747" s="1003"/>
      <c r="G747" s="1003" t="s">
        <v>32</v>
      </c>
      <c r="H747" s="1003"/>
      <c r="I747" s="1003"/>
      <c r="J747" s="1003"/>
      <c r="K747" s="1003"/>
      <c r="L747" s="1003" t="s">
        <v>33</v>
      </c>
      <c r="M747" s="1003"/>
      <c r="N747" s="1003"/>
      <c r="O747" s="1003"/>
      <c r="P747" s="1004"/>
    </row>
    <row r="748" spans="1:16" ht="15.75" hidden="1" x14ac:dyDescent="0.2">
      <c r="A748" s="1002"/>
      <c r="B748" s="79" t="s">
        <v>8</v>
      </c>
      <c r="C748" s="79" t="s">
        <v>7</v>
      </c>
      <c r="D748" s="79" t="s">
        <v>9</v>
      </c>
      <c r="E748" s="79" t="s">
        <v>19</v>
      </c>
      <c r="F748" s="79" t="s">
        <v>20</v>
      </c>
      <c r="G748" s="79" t="s">
        <v>8</v>
      </c>
      <c r="H748" s="79" t="s">
        <v>7</v>
      </c>
      <c r="I748" s="79" t="s">
        <v>9</v>
      </c>
      <c r="J748" s="79" t="s">
        <v>19</v>
      </c>
      <c r="K748" s="79" t="s">
        <v>20</v>
      </c>
      <c r="L748" s="79" t="s">
        <v>8</v>
      </c>
      <c r="M748" s="79" t="s">
        <v>7</v>
      </c>
      <c r="N748" s="79" t="s">
        <v>9</v>
      </c>
      <c r="O748" s="79" t="s">
        <v>19</v>
      </c>
      <c r="P748" s="24" t="s">
        <v>20</v>
      </c>
    </row>
    <row r="749" spans="1:16" ht="21" hidden="1" customHeight="1" x14ac:dyDescent="0.2">
      <c r="A749" s="72" t="s">
        <v>619</v>
      </c>
      <c r="B749" s="32" t="s">
        <v>148</v>
      </c>
      <c r="C749" s="25" t="s">
        <v>11</v>
      </c>
      <c r="D749" s="25">
        <v>1</v>
      </c>
      <c r="E749" s="74">
        <f>technician</f>
        <v>900</v>
      </c>
      <c r="F749" s="74">
        <f t="shared" ref="F749:F756" si="14">D749*E749</f>
        <v>900</v>
      </c>
      <c r="G749" s="32" t="s">
        <v>622</v>
      </c>
      <c r="H749" s="74" t="s">
        <v>132</v>
      </c>
      <c r="I749" s="74">
        <v>1.1000000000000001</v>
      </c>
      <c r="J749" s="74">
        <f>mssteel</f>
        <v>101540</v>
      </c>
      <c r="K749" s="74">
        <f>I749*J749</f>
        <v>111694</v>
      </c>
      <c r="L749" s="75" t="s">
        <v>157</v>
      </c>
      <c r="M749" s="74" t="s">
        <v>13</v>
      </c>
      <c r="N749" s="74">
        <v>6</v>
      </c>
      <c r="O749" s="74">
        <f>crane</f>
        <v>3057.5</v>
      </c>
      <c r="P749" s="74">
        <f>N749*O749</f>
        <v>18345</v>
      </c>
    </row>
    <row r="750" spans="1:16" ht="15.75" hidden="1" x14ac:dyDescent="0.2">
      <c r="A750" s="1065" t="s">
        <v>621</v>
      </c>
      <c r="B750" s="75" t="s">
        <v>16</v>
      </c>
      <c r="C750" s="25" t="s">
        <v>11</v>
      </c>
      <c r="D750" s="25">
        <v>3</v>
      </c>
      <c r="E750" s="74">
        <f>skilled</f>
        <v>1100</v>
      </c>
      <c r="F750" s="74">
        <f t="shared" si="14"/>
        <v>3300</v>
      </c>
      <c r="G750" s="1010" t="s">
        <v>623</v>
      </c>
      <c r="H750" s="1010"/>
      <c r="I750" s="1010"/>
      <c r="J750" s="1010"/>
      <c r="K750" s="74">
        <f>3%*K749</f>
        <v>3350.82</v>
      </c>
      <c r="L750" s="75" t="s">
        <v>626</v>
      </c>
      <c r="M750" s="74"/>
      <c r="N750" s="74"/>
      <c r="O750" s="74"/>
      <c r="P750" s="21">
        <f>5%*K749</f>
        <v>5584.7</v>
      </c>
    </row>
    <row r="751" spans="1:16" ht="15.75" hidden="1" x14ac:dyDescent="0.2">
      <c r="A751" s="1065"/>
      <c r="B751" s="32" t="s">
        <v>70</v>
      </c>
      <c r="C751" s="73" t="s">
        <v>11</v>
      </c>
      <c r="D751" s="25">
        <v>5</v>
      </c>
      <c r="E751" s="25">
        <f>semiskilled</f>
        <v>880</v>
      </c>
      <c r="F751" s="74">
        <f t="shared" si="14"/>
        <v>4400</v>
      </c>
      <c r="G751" s="1010" t="s">
        <v>624</v>
      </c>
      <c r="H751" s="1010"/>
      <c r="I751" s="1010"/>
      <c r="J751" s="1010"/>
      <c r="K751" s="74">
        <f>12%*K749</f>
        <v>13403.28</v>
      </c>
      <c r="L751" s="73"/>
      <c r="M751" s="73"/>
      <c r="N751" s="73"/>
      <c r="O751" s="73"/>
      <c r="P751" s="61"/>
    </row>
    <row r="752" spans="1:16" ht="15.75" hidden="1" x14ac:dyDescent="0.2">
      <c r="A752" s="1065"/>
      <c r="B752" s="75" t="s">
        <v>28</v>
      </c>
      <c r="C752" s="73" t="s">
        <v>11</v>
      </c>
      <c r="D752" s="25">
        <v>5</v>
      </c>
      <c r="E752" s="25">
        <f>unskilled</f>
        <v>780</v>
      </c>
      <c r="F752" s="74">
        <f t="shared" si="14"/>
        <v>3900</v>
      </c>
      <c r="G752" s="1010" t="s">
        <v>625</v>
      </c>
      <c r="H752" s="1010"/>
      <c r="I752" s="1010"/>
      <c r="J752" s="1010"/>
      <c r="K752" s="74">
        <f>5%*K749</f>
        <v>5584.7</v>
      </c>
      <c r="L752" s="73"/>
      <c r="M752" s="73"/>
      <c r="N752" s="73"/>
      <c r="O752" s="73"/>
      <c r="P752" s="61"/>
    </row>
    <row r="753" spans="1:16" ht="15.75" hidden="1" x14ac:dyDescent="0.2">
      <c r="A753" s="152"/>
      <c r="B753" s="32" t="s">
        <v>148</v>
      </c>
      <c r="C753" s="25" t="s">
        <v>11</v>
      </c>
      <c r="D753" s="25">
        <v>1</v>
      </c>
      <c r="E753" s="74">
        <f>technician</f>
        <v>900</v>
      </c>
      <c r="F753" s="74">
        <f t="shared" si="14"/>
        <v>900</v>
      </c>
      <c r="G753" s="32"/>
      <c r="H753" s="74"/>
      <c r="I753" s="74"/>
      <c r="J753" s="74"/>
      <c r="K753" s="74"/>
      <c r="L753" s="73"/>
      <c r="M753" s="73"/>
      <c r="N753" s="73"/>
      <c r="O753" s="73"/>
      <c r="P753" s="61"/>
    </row>
    <row r="754" spans="1:16" ht="15.75" hidden="1" x14ac:dyDescent="0.2">
      <c r="A754" s="152"/>
      <c r="B754" s="75" t="s">
        <v>16</v>
      </c>
      <c r="C754" s="25" t="s">
        <v>11</v>
      </c>
      <c r="D754" s="25">
        <v>3</v>
      </c>
      <c r="E754" s="74">
        <f>skilled</f>
        <v>1100</v>
      </c>
      <c r="F754" s="74">
        <f t="shared" si="14"/>
        <v>3300</v>
      </c>
      <c r="G754" s="32"/>
      <c r="H754" s="74"/>
      <c r="I754" s="74"/>
      <c r="J754" s="74"/>
      <c r="K754" s="74"/>
      <c r="L754" s="73"/>
      <c r="M754" s="73"/>
      <c r="N754" s="73"/>
      <c r="O754" s="73"/>
      <c r="P754" s="61"/>
    </row>
    <row r="755" spans="1:16" ht="15.75" hidden="1" x14ac:dyDescent="0.2">
      <c r="A755" s="152"/>
      <c r="B755" s="32" t="s">
        <v>70</v>
      </c>
      <c r="C755" s="73" t="s">
        <v>11</v>
      </c>
      <c r="D755" s="25">
        <v>6</v>
      </c>
      <c r="E755" s="25">
        <f>semiskilled</f>
        <v>880</v>
      </c>
      <c r="F755" s="74">
        <f t="shared" si="14"/>
        <v>5280</v>
      </c>
      <c r="G755" s="32"/>
      <c r="H755" s="74"/>
      <c r="I755" s="74"/>
      <c r="J755" s="74"/>
      <c r="K755" s="74"/>
      <c r="L755" s="73"/>
      <c r="M755" s="73"/>
      <c r="N755" s="73"/>
      <c r="O755" s="73"/>
      <c r="P755" s="61"/>
    </row>
    <row r="756" spans="1:16" ht="15.75" hidden="1" x14ac:dyDescent="0.2">
      <c r="A756" s="42"/>
      <c r="B756" s="75" t="s">
        <v>28</v>
      </c>
      <c r="C756" s="73" t="s">
        <v>11</v>
      </c>
      <c r="D756" s="25">
        <v>6</v>
      </c>
      <c r="E756" s="25">
        <f>unskilled</f>
        <v>780</v>
      </c>
      <c r="F756" s="74">
        <f t="shared" si="14"/>
        <v>4680</v>
      </c>
      <c r="G756" s="32"/>
      <c r="H756" s="32"/>
      <c r="I756" s="26"/>
      <c r="J756" s="73"/>
      <c r="K756" s="74"/>
      <c r="L756" s="73"/>
      <c r="M756" s="73"/>
      <c r="N756" s="73"/>
      <c r="O756" s="73"/>
      <c r="P756" s="61"/>
    </row>
    <row r="757" spans="1:16" ht="16.5" hidden="1" customHeight="1" x14ac:dyDescent="0.2">
      <c r="A757" s="1005" t="s">
        <v>34</v>
      </c>
      <c r="B757" s="1006"/>
      <c r="C757" s="1006"/>
      <c r="D757" s="1006"/>
      <c r="E757" s="1006"/>
      <c r="F757" s="73">
        <f>SUM(F749:F756)</f>
        <v>26660</v>
      </c>
      <c r="G757" s="1006" t="s">
        <v>35</v>
      </c>
      <c r="H757" s="1006"/>
      <c r="I757" s="1006"/>
      <c r="J757" s="1006"/>
      <c r="K757" s="73">
        <f>SUM(K749:K756)</f>
        <v>134032.79999999999</v>
      </c>
      <c r="L757" s="1006" t="s">
        <v>36</v>
      </c>
      <c r="M757" s="1006"/>
      <c r="N757" s="1006"/>
      <c r="O757" s="1006"/>
      <c r="P757" s="61">
        <f>SUM(P749:P750)</f>
        <v>23929.7</v>
      </c>
    </row>
    <row r="758" spans="1:16" ht="15.75" hidden="1" x14ac:dyDescent="0.2">
      <c r="A758" s="1005" t="s">
        <v>487</v>
      </c>
      <c r="B758" s="1006"/>
      <c r="C758" s="1006"/>
      <c r="D758" s="1006"/>
      <c r="E758" s="1006"/>
      <c r="F758" s="28">
        <f>F757+K757+P757</f>
        <v>184622.5</v>
      </c>
      <c r="G758" s="90"/>
      <c r="H758" s="90"/>
      <c r="I758" s="90"/>
      <c r="J758" s="90"/>
      <c r="K758" s="90"/>
      <c r="L758" s="74"/>
      <c r="M758" s="90"/>
      <c r="N758" s="90"/>
      <c r="O758" s="90"/>
      <c r="P758" s="21"/>
    </row>
    <row r="759" spans="1:16" ht="16.5" hidden="1" thickBot="1" x14ac:dyDescent="0.25">
      <c r="A759" s="82"/>
      <c r="B759" s="999" t="s">
        <v>110</v>
      </c>
      <c r="C759" s="999"/>
      <c r="D759" s="999"/>
      <c r="E759" s="999"/>
      <c r="F759" s="17">
        <f>15%*F758</f>
        <v>27693.38</v>
      </c>
      <c r="G759" s="83"/>
      <c r="H759" s="83"/>
      <c r="I759" s="83"/>
      <c r="J759" s="83"/>
      <c r="K759" s="83"/>
      <c r="L759" s="17"/>
      <c r="M759" s="276"/>
      <c r="N759" s="1000" t="s">
        <v>53</v>
      </c>
      <c r="O759" s="1000"/>
      <c r="P759" s="18">
        <f>(F759+F758)/P746</f>
        <v>212315.88</v>
      </c>
    </row>
    <row r="760" spans="1:16" ht="16.5" hidden="1" thickBot="1" x14ac:dyDescent="0.25">
      <c r="A760" s="347"/>
      <c r="B760" s="281"/>
      <c r="C760" s="281"/>
      <c r="D760" s="281"/>
      <c r="E760" s="281"/>
      <c r="F760" s="57"/>
      <c r="G760" s="281"/>
      <c r="H760" s="281"/>
      <c r="I760" s="281"/>
      <c r="J760" s="281"/>
      <c r="K760" s="281"/>
      <c r="L760" s="57"/>
      <c r="M760" s="299"/>
      <c r="N760" s="299"/>
      <c r="O760" s="299"/>
      <c r="P760" s="43"/>
    </row>
    <row r="761" spans="1:16" ht="15.75" hidden="1" x14ac:dyDescent="0.2">
      <c r="A761" s="986" t="s">
        <v>29</v>
      </c>
      <c r="B761" s="987"/>
      <c r="C761" s="988" t="s">
        <v>618</v>
      </c>
      <c r="D761" s="989"/>
      <c r="E761" s="989"/>
      <c r="F761" s="989"/>
      <c r="G761" s="989"/>
      <c r="H761" s="989"/>
      <c r="I761" s="989"/>
      <c r="J761" s="989"/>
      <c r="K761" s="989"/>
      <c r="L761" s="989"/>
      <c r="M761" s="989"/>
      <c r="N761" s="989"/>
      <c r="O761" s="989"/>
      <c r="P761" s="274" t="s">
        <v>578</v>
      </c>
    </row>
    <row r="762" spans="1:16" ht="15.75" hidden="1" x14ac:dyDescent="0.2">
      <c r="A762" s="1011" t="s">
        <v>209</v>
      </c>
      <c r="B762" s="1012"/>
      <c r="C762" s="990"/>
      <c r="D762" s="990"/>
      <c r="E762" s="990"/>
      <c r="F762" s="990"/>
      <c r="G762" s="990"/>
      <c r="H762" s="990"/>
      <c r="I762" s="990"/>
      <c r="J762" s="990"/>
      <c r="K762" s="990"/>
      <c r="L762" s="990"/>
      <c r="M762" s="990"/>
      <c r="N762" s="990"/>
      <c r="O762" s="990"/>
      <c r="P762" s="275">
        <v>1</v>
      </c>
    </row>
    <row r="763" spans="1:16" ht="15.75" hidden="1" x14ac:dyDescent="0.2">
      <c r="A763" s="1001" t="s">
        <v>30</v>
      </c>
      <c r="B763" s="1003" t="s">
        <v>31</v>
      </c>
      <c r="C763" s="1003"/>
      <c r="D763" s="1003"/>
      <c r="E763" s="1003"/>
      <c r="F763" s="1003"/>
      <c r="G763" s="1003" t="s">
        <v>32</v>
      </c>
      <c r="H763" s="1003"/>
      <c r="I763" s="1003"/>
      <c r="J763" s="1003"/>
      <c r="K763" s="1003"/>
      <c r="L763" s="1003" t="s">
        <v>33</v>
      </c>
      <c r="M763" s="1003"/>
      <c r="N763" s="1003"/>
      <c r="O763" s="1003"/>
      <c r="P763" s="1004"/>
    </row>
    <row r="764" spans="1:16" ht="15.75" hidden="1" x14ac:dyDescent="0.2">
      <c r="A764" s="1002"/>
      <c r="B764" s="79" t="s">
        <v>8</v>
      </c>
      <c r="C764" s="79" t="s">
        <v>7</v>
      </c>
      <c r="D764" s="79" t="s">
        <v>9</v>
      </c>
      <c r="E764" s="79" t="s">
        <v>19</v>
      </c>
      <c r="F764" s="79" t="s">
        <v>20</v>
      </c>
      <c r="G764" s="79" t="s">
        <v>8</v>
      </c>
      <c r="H764" s="79" t="s">
        <v>7</v>
      </c>
      <c r="I764" s="79" t="s">
        <v>9</v>
      </c>
      <c r="J764" s="79" t="s">
        <v>19</v>
      </c>
      <c r="K764" s="79" t="s">
        <v>20</v>
      </c>
      <c r="L764" s="79" t="s">
        <v>8</v>
      </c>
      <c r="M764" s="79" t="s">
        <v>7</v>
      </c>
      <c r="N764" s="79" t="s">
        <v>9</v>
      </c>
      <c r="O764" s="79" t="s">
        <v>19</v>
      </c>
      <c r="P764" s="24" t="s">
        <v>20</v>
      </c>
    </row>
    <row r="765" spans="1:16" ht="21" hidden="1" customHeight="1" x14ac:dyDescent="0.2">
      <c r="A765" s="72" t="s">
        <v>627</v>
      </c>
      <c r="B765" s="32" t="s">
        <v>148</v>
      </c>
      <c r="C765" s="25" t="s">
        <v>11</v>
      </c>
      <c r="D765" s="25">
        <v>2</v>
      </c>
      <c r="E765" s="74">
        <f>technician</f>
        <v>900</v>
      </c>
      <c r="F765" s="74">
        <f t="shared" ref="F765:F772" si="15">D765*E765</f>
        <v>1800</v>
      </c>
      <c r="G765" s="32" t="s">
        <v>622</v>
      </c>
      <c r="H765" s="74" t="s">
        <v>132</v>
      </c>
      <c r="I765" s="74">
        <v>1.1000000000000001</v>
      </c>
      <c r="J765" s="74">
        <f>mssteel</f>
        <v>101540</v>
      </c>
      <c r="K765" s="74">
        <f>I765*J765</f>
        <v>111694</v>
      </c>
      <c r="L765" s="75" t="s">
        <v>157</v>
      </c>
      <c r="M765" s="74" t="s">
        <v>13</v>
      </c>
      <c r="N765" s="74">
        <v>6</v>
      </c>
      <c r="O765" s="74">
        <f>crane</f>
        <v>3057.5</v>
      </c>
      <c r="P765" s="74">
        <f>N765*O765</f>
        <v>18345</v>
      </c>
    </row>
    <row r="766" spans="1:16" ht="15.75" hidden="1" x14ac:dyDescent="0.2">
      <c r="A766" s="152" t="s">
        <v>628</v>
      </c>
      <c r="B766" s="75" t="s">
        <v>16</v>
      </c>
      <c r="C766" s="25" t="s">
        <v>11</v>
      </c>
      <c r="D766" s="25">
        <v>4</v>
      </c>
      <c r="E766" s="74">
        <f>skilled</f>
        <v>1100</v>
      </c>
      <c r="F766" s="74">
        <f t="shared" si="15"/>
        <v>4400</v>
      </c>
      <c r="G766" s="1010" t="s">
        <v>623</v>
      </c>
      <c r="H766" s="1010"/>
      <c r="I766" s="1010"/>
      <c r="J766" s="1010"/>
      <c r="K766" s="74">
        <f>3%*K765</f>
        <v>3350.82</v>
      </c>
      <c r="L766" s="75" t="s">
        <v>626</v>
      </c>
      <c r="M766" s="74"/>
      <c r="N766" s="74"/>
      <c r="O766" s="74"/>
      <c r="P766" s="21">
        <f>5%*K765</f>
        <v>5584.7</v>
      </c>
    </row>
    <row r="767" spans="1:16" ht="15.75" hidden="1" x14ac:dyDescent="0.2">
      <c r="A767" s="152"/>
      <c r="B767" s="32" t="s">
        <v>70</v>
      </c>
      <c r="C767" s="73" t="s">
        <v>11</v>
      </c>
      <c r="D767" s="25">
        <v>6</v>
      </c>
      <c r="E767" s="25">
        <f>semiskilled</f>
        <v>880</v>
      </c>
      <c r="F767" s="74">
        <f t="shared" si="15"/>
        <v>5280</v>
      </c>
      <c r="G767" s="1010" t="s">
        <v>624</v>
      </c>
      <c r="H767" s="1010"/>
      <c r="I767" s="1010"/>
      <c r="J767" s="1010"/>
      <c r="K767" s="74">
        <f>12%*K765</f>
        <v>13403.28</v>
      </c>
      <c r="L767" s="73"/>
      <c r="M767" s="73"/>
      <c r="N767" s="73"/>
      <c r="O767" s="73"/>
      <c r="P767" s="61"/>
    </row>
    <row r="768" spans="1:16" ht="15.75" hidden="1" x14ac:dyDescent="0.2">
      <c r="A768" s="152"/>
      <c r="B768" s="75" t="s">
        <v>28</v>
      </c>
      <c r="C768" s="73" t="s">
        <v>11</v>
      </c>
      <c r="D768" s="25">
        <v>6</v>
      </c>
      <c r="E768" s="25">
        <f>unskilled</f>
        <v>780</v>
      </c>
      <c r="F768" s="74">
        <f t="shared" si="15"/>
        <v>4680</v>
      </c>
      <c r="G768" s="1010" t="s">
        <v>625</v>
      </c>
      <c r="H768" s="1010"/>
      <c r="I768" s="1010"/>
      <c r="J768" s="1010"/>
      <c r="K768" s="74">
        <f>5%*K765</f>
        <v>5584.7</v>
      </c>
      <c r="L768" s="73"/>
      <c r="M768" s="73"/>
      <c r="N768" s="73"/>
      <c r="O768" s="73"/>
      <c r="P768" s="61"/>
    </row>
    <row r="769" spans="1:16" ht="15.75" hidden="1" x14ac:dyDescent="0.2">
      <c r="A769" s="152"/>
      <c r="B769" s="32" t="s">
        <v>148</v>
      </c>
      <c r="C769" s="25" t="s">
        <v>11</v>
      </c>
      <c r="D769" s="25">
        <v>2</v>
      </c>
      <c r="E769" s="74">
        <f>technician</f>
        <v>900</v>
      </c>
      <c r="F769" s="74">
        <f t="shared" si="15"/>
        <v>1800</v>
      </c>
      <c r="G769" s="32"/>
      <c r="H769" s="74"/>
      <c r="I769" s="74"/>
      <c r="J769" s="74"/>
      <c r="K769" s="74"/>
      <c r="L769" s="73"/>
      <c r="M769" s="73"/>
      <c r="N769" s="73"/>
      <c r="O769" s="73"/>
      <c r="P769" s="61"/>
    </row>
    <row r="770" spans="1:16" ht="15.75" hidden="1" x14ac:dyDescent="0.2">
      <c r="A770" s="152"/>
      <c r="B770" s="75" t="s">
        <v>16</v>
      </c>
      <c r="C770" s="25" t="s">
        <v>11</v>
      </c>
      <c r="D770" s="25">
        <v>4</v>
      </c>
      <c r="E770" s="74">
        <f>skilled</f>
        <v>1100</v>
      </c>
      <c r="F770" s="74">
        <f t="shared" si="15"/>
        <v>4400</v>
      </c>
      <c r="G770" s="32"/>
      <c r="H770" s="74"/>
      <c r="I770" s="74"/>
      <c r="J770" s="74"/>
      <c r="K770" s="74"/>
      <c r="L770" s="73"/>
      <c r="M770" s="73"/>
      <c r="N770" s="73"/>
      <c r="O770" s="73"/>
      <c r="P770" s="61"/>
    </row>
    <row r="771" spans="1:16" ht="15.75" hidden="1" x14ac:dyDescent="0.2">
      <c r="A771" s="152"/>
      <c r="B771" s="32" t="s">
        <v>70</v>
      </c>
      <c r="C771" s="73" t="s">
        <v>11</v>
      </c>
      <c r="D771" s="25">
        <v>8</v>
      </c>
      <c r="E771" s="25">
        <f>semiskilled</f>
        <v>880</v>
      </c>
      <c r="F771" s="74">
        <f t="shared" si="15"/>
        <v>7040</v>
      </c>
      <c r="G771" s="32"/>
      <c r="H771" s="74"/>
      <c r="I771" s="74"/>
      <c r="J771" s="74"/>
      <c r="K771" s="74"/>
      <c r="L771" s="73"/>
      <c r="M771" s="73"/>
      <c r="N771" s="73"/>
      <c r="O771" s="73"/>
      <c r="P771" s="61"/>
    </row>
    <row r="772" spans="1:16" ht="15.75" hidden="1" x14ac:dyDescent="0.2">
      <c r="A772" s="42"/>
      <c r="B772" s="75" t="s">
        <v>28</v>
      </c>
      <c r="C772" s="73" t="s">
        <v>11</v>
      </c>
      <c r="D772" s="25">
        <v>8</v>
      </c>
      <c r="E772" s="25">
        <f>unskilled</f>
        <v>780</v>
      </c>
      <c r="F772" s="74">
        <f t="shared" si="15"/>
        <v>6240</v>
      </c>
      <c r="G772" s="32"/>
      <c r="H772" s="32"/>
      <c r="I772" s="26"/>
      <c r="J772" s="73"/>
      <c r="K772" s="74"/>
      <c r="L772" s="73"/>
      <c r="M772" s="73"/>
      <c r="N772" s="73"/>
      <c r="O772" s="73"/>
      <c r="P772" s="61"/>
    </row>
    <row r="773" spans="1:16" ht="16.5" hidden="1" customHeight="1" x14ac:dyDescent="0.2">
      <c r="A773" s="1005" t="s">
        <v>34</v>
      </c>
      <c r="B773" s="1006"/>
      <c r="C773" s="1006"/>
      <c r="D773" s="1006"/>
      <c r="E773" s="1006"/>
      <c r="F773" s="73">
        <f>SUM(F765:F772)</f>
        <v>35640</v>
      </c>
      <c r="G773" s="1006" t="s">
        <v>35</v>
      </c>
      <c r="H773" s="1006"/>
      <c r="I773" s="1006"/>
      <c r="J773" s="1006"/>
      <c r="K773" s="73">
        <f>SUM(K765:K772)</f>
        <v>134032.79999999999</v>
      </c>
      <c r="L773" s="1006" t="s">
        <v>36</v>
      </c>
      <c r="M773" s="1006"/>
      <c r="N773" s="1006"/>
      <c r="O773" s="1006"/>
      <c r="P773" s="61">
        <f>SUM(P765:P766)</f>
        <v>23929.7</v>
      </c>
    </row>
    <row r="774" spans="1:16" ht="15.75" hidden="1" x14ac:dyDescent="0.2">
      <c r="A774" s="1005" t="s">
        <v>487</v>
      </c>
      <c r="B774" s="1006"/>
      <c r="C774" s="1006"/>
      <c r="D774" s="1006"/>
      <c r="E774" s="1006"/>
      <c r="F774" s="28">
        <f>F773+K773+P773</f>
        <v>193602.5</v>
      </c>
      <c r="G774" s="90"/>
      <c r="H774" s="90"/>
      <c r="I774" s="90"/>
      <c r="J774" s="90"/>
      <c r="K774" s="90"/>
      <c r="L774" s="74"/>
      <c r="M774" s="90"/>
      <c r="N774" s="90"/>
      <c r="O774" s="90"/>
      <c r="P774" s="21"/>
    </row>
    <row r="775" spans="1:16" ht="16.5" hidden="1" thickBot="1" x14ac:dyDescent="0.25">
      <c r="A775" s="82"/>
      <c r="B775" s="999" t="s">
        <v>110</v>
      </c>
      <c r="C775" s="999"/>
      <c r="D775" s="999"/>
      <c r="E775" s="999"/>
      <c r="F775" s="17">
        <f>15%*F774</f>
        <v>29040.38</v>
      </c>
      <c r="G775" s="83"/>
      <c r="H775" s="83"/>
      <c r="I775" s="83"/>
      <c r="J775" s="83"/>
      <c r="K775" s="83"/>
      <c r="L775" s="17"/>
      <c r="M775" s="276"/>
      <c r="N775" s="1000" t="s">
        <v>53</v>
      </c>
      <c r="O775" s="1000"/>
      <c r="P775" s="18">
        <f>(F775+F774)/P762</f>
        <v>222642.88</v>
      </c>
    </row>
    <row r="776" spans="1:16" ht="15.75" hidden="1" x14ac:dyDescent="0.2">
      <c r="A776" s="347"/>
      <c r="B776" s="281"/>
      <c r="C776" s="281"/>
      <c r="D776" s="281"/>
      <c r="E776" s="281"/>
      <c r="F776" s="57"/>
      <c r="G776" s="281"/>
      <c r="H776" s="281"/>
      <c r="I776" s="281"/>
      <c r="J776" s="281"/>
      <c r="K776" s="281"/>
      <c r="L776" s="57"/>
      <c r="M776" s="299"/>
      <c r="N776" s="299"/>
      <c r="O776" s="299"/>
      <c r="P776" s="43"/>
    </row>
    <row r="777" spans="1:16" ht="15.75" x14ac:dyDescent="0.2">
      <c r="A777" s="1009" t="s">
        <v>629</v>
      </c>
      <c r="B777" s="1009"/>
      <c r="C777" s="1009"/>
      <c r="D777" s="1009"/>
      <c r="E777" s="1009"/>
      <c r="F777" s="1009"/>
      <c r="G777" s="1009"/>
      <c r="H777" s="1009"/>
      <c r="I777" s="1009"/>
      <c r="J777" s="1009"/>
      <c r="K777" s="1009"/>
      <c r="L777" s="1009"/>
      <c r="M777" s="1009"/>
      <c r="N777" s="1009"/>
      <c r="O777" s="1009"/>
      <c r="P777" s="1009"/>
    </row>
    <row r="778" spans="1:16" ht="15.75" x14ac:dyDescent="0.2">
      <c r="A778" s="1009" t="s">
        <v>317</v>
      </c>
      <c r="B778" s="1009"/>
      <c r="C778" s="1009"/>
      <c r="D778" s="1009"/>
      <c r="E778" s="1009"/>
      <c r="F778" s="1009"/>
      <c r="G778" s="1009"/>
      <c r="H778" s="1009"/>
      <c r="I778" s="1009"/>
      <c r="J778" s="1009"/>
      <c r="K778" s="1009"/>
      <c r="L778" s="1009"/>
      <c r="M778" s="1009"/>
      <c r="N778" s="1009"/>
      <c r="O778" s="1009"/>
      <c r="P778" s="1009"/>
    </row>
    <row r="779" spans="1:16" ht="16.5" thickBot="1" x14ac:dyDescent="0.25">
      <c r="A779" s="53" t="s">
        <v>630</v>
      </c>
      <c r="B779" s="53"/>
      <c r="C779" s="53"/>
      <c r="D779" s="53"/>
      <c r="E779" s="283"/>
      <c r="F779" s="19"/>
      <c r="G779" s="283"/>
      <c r="H779" s="283"/>
      <c r="I779" s="283"/>
      <c r="J779" s="283"/>
      <c r="K779" s="283"/>
      <c r="L779" s="19"/>
      <c r="M779" s="306"/>
      <c r="N779" s="306"/>
      <c r="O779" s="306"/>
      <c r="P779" s="30"/>
    </row>
    <row r="780" spans="1:16" ht="15.75" x14ac:dyDescent="0.2">
      <c r="A780" s="986" t="s">
        <v>29</v>
      </c>
      <c r="B780" s="987"/>
      <c r="C780" s="988" t="s">
        <v>260</v>
      </c>
      <c r="D780" s="989"/>
      <c r="E780" s="989"/>
      <c r="F780" s="989"/>
      <c r="G780" s="989"/>
      <c r="H780" s="989"/>
      <c r="I780" s="989"/>
      <c r="J780" s="989"/>
      <c r="K780" s="989"/>
      <c r="L780" s="989"/>
      <c r="M780" s="989"/>
      <c r="N780" s="989"/>
      <c r="O780" s="989"/>
      <c r="P780" s="274" t="s">
        <v>433</v>
      </c>
    </row>
    <row r="781" spans="1:16" ht="32.450000000000003" customHeight="1" x14ac:dyDescent="0.2">
      <c r="A781" s="991" t="s">
        <v>105</v>
      </c>
      <c r="B781" s="992"/>
      <c r="C781" s="990"/>
      <c r="D781" s="990"/>
      <c r="E781" s="990"/>
      <c r="F781" s="990"/>
      <c r="G781" s="990"/>
      <c r="H781" s="990"/>
      <c r="I781" s="990"/>
      <c r="J781" s="990"/>
      <c r="K781" s="990"/>
      <c r="L781" s="990"/>
      <c r="M781" s="990"/>
      <c r="N781" s="990"/>
      <c r="O781" s="990"/>
      <c r="P781" s="275">
        <v>6</v>
      </c>
    </row>
    <row r="782" spans="1:16" ht="15.75" x14ac:dyDescent="0.2">
      <c r="A782" s="1001" t="s">
        <v>30</v>
      </c>
      <c r="B782" s="1003" t="s">
        <v>31</v>
      </c>
      <c r="C782" s="1003"/>
      <c r="D782" s="1003"/>
      <c r="E782" s="1003"/>
      <c r="F782" s="1003"/>
      <c r="G782" s="1003" t="s">
        <v>32</v>
      </c>
      <c r="H782" s="1003"/>
      <c r="I782" s="1003"/>
      <c r="J782" s="1003"/>
      <c r="K782" s="1003"/>
      <c r="L782" s="1003" t="s">
        <v>33</v>
      </c>
      <c r="M782" s="1003"/>
      <c r="N782" s="1003"/>
      <c r="O782" s="1003"/>
      <c r="P782" s="1004"/>
    </row>
    <row r="783" spans="1:16" ht="15.75" x14ac:dyDescent="0.2">
      <c r="A783" s="1002"/>
      <c r="B783" s="79" t="s">
        <v>8</v>
      </c>
      <c r="C783" s="79" t="s">
        <v>7</v>
      </c>
      <c r="D783" s="79" t="s">
        <v>9</v>
      </c>
      <c r="E783" s="79" t="s">
        <v>19</v>
      </c>
      <c r="F783" s="79" t="s">
        <v>20</v>
      </c>
      <c r="G783" s="79" t="s">
        <v>8</v>
      </c>
      <c r="H783" s="79" t="s">
        <v>7</v>
      </c>
      <c r="I783" s="79" t="s">
        <v>9</v>
      </c>
      <c r="J783" s="79" t="s">
        <v>19</v>
      </c>
      <c r="K783" s="79" t="s">
        <v>20</v>
      </c>
      <c r="L783" s="79" t="s">
        <v>8</v>
      </c>
      <c r="M783" s="79" t="s">
        <v>7</v>
      </c>
      <c r="N783" s="79" t="s">
        <v>9</v>
      </c>
      <c r="O783" s="79" t="s">
        <v>19</v>
      </c>
      <c r="P783" s="24" t="s">
        <v>20</v>
      </c>
    </row>
    <row r="784" spans="1:16" ht="15.75" x14ac:dyDescent="0.2">
      <c r="A784" s="152" t="s">
        <v>631</v>
      </c>
      <c r="B784" s="32" t="s">
        <v>18</v>
      </c>
      <c r="C784" s="73" t="s">
        <v>11</v>
      </c>
      <c r="D784" s="73">
        <v>3</v>
      </c>
      <c r="E784" s="73">
        <f>skilled</f>
        <v>1100</v>
      </c>
      <c r="F784" s="73">
        <f>E784*D784</f>
        <v>3300</v>
      </c>
      <c r="G784" s="32" t="s">
        <v>57</v>
      </c>
      <c r="H784" s="73" t="s">
        <v>58</v>
      </c>
      <c r="I784" s="73">
        <v>70.2</v>
      </c>
      <c r="J784" s="73">
        <f>gi10gauge</f>
        <v>131.63</v>
      </c>
      <c r="K784" s="73">
        <f>J784*I784</f>
        <v>9240.43</v>
      </c>
      <c r="L784" s="35"/>
      <c r="M784" s="35"/>
      <c r="N784" s="35"/>
      <c r="O784" s="35"/>
      <c r="P784" s="61"/>
    </row>
    <row r="785" spans="1:16" ht="15.75" x14ac:dyDescent="0.2">
      <c r="A785" s="81"/>
      <c r="B785" s="32" t="s">
        <v>10</v>
      </c>
      <c r="C785" s="73" t="s">
        <v>11</v>
      </c>
      <c r="D785" s="73">
        <v>7</v>
      </c>
      <c r="E785" s="73">
        <f>unskilled</f>
        <v>780</v>
      </c>
      <c r="F785" s="73">
        <f>E785*D785</f>
        <v>5460</v>
      </c>
      <c r="G785" s="32" t="s">
        <v>160</v>
      </c>
      <c r="H785" s="73" t="s">
        <v>58</v>
      </c>
      <c r="I785" s="73">
        <v>7.82</v>
      </c>
      <c r="J785" s="73">
        <f>gi8gauge</f>
        <v>131.63</v>
      </c>
      <c r="K785" s="74">
        <f>J785*I785</f>
        <v>1029.3499999999999</v>
      </c>
      <c r="L785" s="73"/>
      <c r="M785" s="73"/>
      <c r="N785" s="73"/>
      <c r="O785" s="73"/>
      <c r="P785" s="61"/>
    </row>
    <row r="786" spans="1:16" ht="15.75" x14ac:dyDescent="0.2">
      <c r="A786" s="81"/>
      <c r="B786" s="32"/>
      <c r="C786" s="73"/>
      <c r="D786" s="73"/>
      <c r="E786" s="73"/>
      <c r="F786" s="73"/>
      <c r="G786" s="32" t="s">
        <v>59</v>
      </c>
      <c r="H786" s="73" t="s">
        <v>50</v>
      </c>
      <c r="I786" s="73">
        <v>3.62</v>
      </c>
      <c r="J786" s="73">
        <f>gi12gauge</f>
        <v>131.63</v>
      </c>
      <c r="K786" s="74">
        <f>J786*I786</f>
        <v>476.5</v>
      </c>
      <c r="L786" s="73"/>
      <c r="M786" s="73"/>
      <c r="N786" s="73"/>
      <c r="O786" s="73"/>
      <c r="P786" s="61"/>
    </row>
    <row r="787" spans="1:16" ht="14.25" customHeight="1" x14ac:dyDescent="0.2">
      <c r="A787" s="72"/>
      <c r="B787" s="32"/>
      <c r="C787" s="73"/>
      <c r="D787" s="73"/>
      <c r="E787" s="73"/>
      <c r="F787" s="73"/>
      <c r="G787" s="32" t="s">
        <v>60</v>
      </c>
      <c r="H787" s="73" t="s">
        <v>165</v>
      </c>
      <c r="I787" s="73">
        <v>6.6</v>
      </c>
      <c r="J787" s="73">
        <f>stone</f>
        <v>1516.22</v>
      </c>
      <c r="K787" s="74">
        <f>J787*I787</f>
        <v>10007.049999999999</v>
      </c>
      <c r="L787" s="35"/>
      <c r="M787" s="35"/>
      <c r="N787" s="35"/>
      <c r="O787" s="35"/>
      <c r="P787" s="33"/>
    </row>
    <row r="788" spans="1:16" ht="15.75" x14ac:dyDescent="0.2">
      <c r="A788" s="1005" t="s">
        <v>34</v>
      </c>
      <c r="B788" s="1006"/>
      <c r="C788" s="1006"/>
      <c r="D788" s="1006"/>
      <c r="E788" s="1006"/>
      <c r="F788" s="73">
        <f>SUM(F784:F787)</f>
        <v>8760</v>
      </c>
      <c r="G788" s="1006" t="s">
        <v>35</v>
      </c>
      <c r="H788" s="1006"/>
      <c r="I788" s="1006"/>
      <c r="J788" s="1006"/>
      <c r="K788" s="73">
        <f>SUM(K784:K787)</f>
        <v>20753.330000000002</v>
      </c>
      <c r="L788" s="1006" t="s">
        <v>36</v>
      </c>
      <c r="M788" s="1006"/>
      <c r="N788" s="1006"/>
      <c r="O788" s="1006"/>
      <c r="P788" s="61">
        <f>SUM(P784:P785)</f>
        <v>0</v>
      </c>
    </row>
    <row r="789" spans="1:16" ht="15.75" x14ac:dyDescent="0.2">
      <c r="A789" s="1005" t="s">
        <v>487</v>
      </c>
      <c r="B789" s="1006"/>
      <c r="C789" s="1006"/>
      <c r="D789" s="1006"/>
      <c r="E789" s="1006"/>
      <c r="F789" s="28">
        <f>F788+K788+P788</f>
        <v>29513.33</v>
      </c>
      <c r="G789" s="90"/>
      <c r="H789" s="90"/>
      <c r="I789" s="90"/>
      <c r="J789" s="90"/>
      <c r="K789" s="90"/>
      <c r="L789" s="74"/>
      <c r="M789" s="90"/>
      <c r="N789" s="90"/>
      <c r="O789" s="90"/>
      <c r="P789" s="16"/>
    </row>
    <row r="790" spans="1:16" ht="16.5" thickBot="1" x14ac:dyDescent="0.25">
      <c r="A790" s="82"/>
      <c r="B790" s="999" t="s">
        <v>111</v>
      </c>
      <c r="C790" s="999"/>
      <c r="D790" s="999"/>
      <c r="E790" s="999"/>
      <c r="F790" s="17">
        <f>15%*F789</f>
        <v>4427</v>
      </c>
      <c r="G790" s="83"/>
      <c r="H790" s="83"/>
      <c r="I790" s="83"/>
      <c r="J790" s="83"/>
      <c r="K790" s="83"/>
      <c r="L790" s="17"/>
      <c r="M790" s="83"/>
      <c r="N790" s="1000" t="s">
        <v>53</v>
      </c>
      <c r="O790" s="1000"/>
      <c r="P790" s="31">
        <f>(F789+F790)/P781</f>
        <v>5656.72</v>
      </c>
    </row>
    <row r="791" spans="1:16" ht="16.5" thickBot="1" x14ac:dyDescent="0.25">
      <c r="A791" s="48"/>
      <c r="B791" s="48"/>
      <c r="C791" s="48"/>
      <c r="D791" s="48"/>
      <c r="E791" s="48"/>
      <c r="F791" s="48"/>
      <c r="G791" s="48"/>
      <c r="H791" s="48"/>
      <c r="I791" s="48"/>
      <c r="J791" s="48"/>
      <c r="K791" s="48"/>
      <c r="L791" s="48"/>
      <c r="M791" s="48"/>
      <c r="N791" s="48"/>
      <c r="O791" s="348"/>
      <c r="P791" s="348"/>
    </row>
    <row r="792" spans="1:16" ht="28.5" customHeight="1" x14ac:dyDescent="0.2">
      <c r="A792" s="986" t="s">
        <v>29</v>
      </c>
      <c r="B792" s="987"/>
      <c r="C792" s="988" t="s">
        <v>261</v>
      </c>
      <c r="D792" s="989"/>
      <c r="E792" s="989"/>
      <c r="F792" s="989"/>
      <c r="G792" s="989"/>
      <c r="H792" s="989"/>
      <c r="I792" s="989"/>
      <c r="J792" s="989"/>
      <c r="K792" s="989"/>
      <c r="L792" s="989"/>
      <c r="M792" s="989"/>
      <c r="N792" s="989"/>
      <c r="O792" s="989"/>
      <c r="P792" s="274" t="s">
        <v>433</v>
      </c>
    </row>
    <row r="793" spans="1:16" ht="33.75" customHeight="1" x14ac:dyDescent="0.2">
      <c r="A793" s="991" t="s">
        <v>105</v>
      </c>
      <c r="B793" s="992"/>
      <c r="C793" s="990"/>
      <c r="D793" s="990"/>
      <c r="E793" s="990"/>
      <c r="F793" s="990"/>
      <c r="G793" s="990"/>
      <c r="H793" s="990"/>
      <c r="I793" s="990"/>
      <c r="J793" s="990"/>
      <c r="K793" s="990"/>
      <c r="L793" s="990"/>
      <c r="M793" s="990"/>
      <c r="N793" s="990"/>
      <c r="O793" s="990"/>
      <c r="P793" s="275">
        <v>6</v>
      </c>
    </row>
    <row r="794" spans="1:16" ht="15.75" x14ac:dyDescent="0.2">
      <c r="A794" s="1001" t="s">
        <v>30</v>
      </c>
      <c r="B794" s="1003" t="s">
        <v>31</v>
      </c>
      <c r="C794" s="1003"/>
      <c r="D794" s="1003"/>
      <c r="E794" s="1003"/>
      <c r="F794" s="1003"/>
      <c r="G794" s="1003" t="s">
        <v>32</v>
      </c>
      <c r="H794" s="1003"/>
      <c r="I794" s="1003"/>
      <c r="J794" s="1003"/>
      <c r="K794" s="1003"/>
      <c r="L794" s="1003" t="s">
        <v>33</v>
      </c>
      <c r="M794" s="1003"/>
      <c r="N794" s="1003"/>
      <c r="O794" s="1003"/>
      <c r="P794" s="1004"/>
    </row>
    <row r="795" spans="1:16" ht="15.75" x14ac:dyDescent="0.2">
      <c r="A795" s="1002"/>
      <c r="B795" s="79" t="s">
        <v>8</v>
      </c>
      <c r="C795" s="79" t="s">
        <v>7</v>
      </c>
      <c r="D795" s="79" t="s">
        <v>9</v>
      </c>
      <c r="E795" s="79" t="s">
        <v>19</v>
      </c>
      <c r="F795" s="79" t="s">
        <v>20</v>
      </c>
      <c r="G795" s="79" t="s">
        <v>8</v>
      </c>
      <c r="H795" s="79" t="s">
        <v>7</v>
      </c>
      <c r="I795" s="79" t="s">
        <v>9</v>
      </c>
      <c r="J795" s="79" t="s">
        <v>19</v>
      </c>
      <c r="K795" s="79" t="s">
        <v>20</v>
      </c>
      <c r="L795" s="79" t="s">
        <v>8</v>
      </c>
      <c r="M795" s="79" t="s">
        <v>7</v>
      </c>
      <c r="N795" s="79" t="s">
        <v>9</v>
      </c>
      <c r="O795" s="79" t="s">
        <v>19</v>
      </c>
      <c r="P795" s="24" t="s">
        <v>20</v>
      </c>
    </row>
    <row r="796" spans="1:16" ht="15.75" x14ac:dyDescent="0.2">
      <c r="A796" s="152" t="s">
        <v>633</v>
      </c>
      <c r="B796" s="32" t="s">
        <v>18</v>
      </c>
      <c r="C796" s="73" t="s">
        <v>11</v>
      </c>
      <c r="D796" s="73">
        <v>3</v>
      </c>
      <c r="E796" s="73">
        <f>skilled</f>
        <v>1100</v>
      </c>
      <c r="F796" s="73">
        <f>E796*D796</f>
        <v>3300</v>
      </c>
      <c r="G796" s="32" t="s">
        <v>57</v>
      </c>
      <c r="H796" s="73" t="s">
        <v>58</v>
      </c>
      <c r="I796" s="73">
        <v>72.45</v>
      </c>
      <c r="J796" s="73">
        <f>gi10gauge</f>
        <v>131.63</v>
      </c>
      <c r="K796" s="73">
        <f>J796*I796</f>
        <v>9536.59</v>
      </c>
      <c r="L796" s="35"/>
      <c r="M796" s="35"/>
      <c r="N796" s="35"/>
      <c r="O796" s="35"/>
      <c r="P796" s="61"/>
    </row>
    <row r="797" spans="1:16" ht="15.75" x14ac:dyDescent="0.2">
      <c r="A797" s="81"/>
      <c r="B797" s="32" t="s">
        <v>10</v>
      </c>
      <c r="C797" s="73" t="s">
        <v>11</v>
      </c>
      <c r="D797" s="73">
        <v>7</v>
      </c>
      <c r="E797" s="73">
        <f>unskilled</f>
        <v>780</v>
      </c>
      <c r="F797" s="73">
        <f>E797*D797</f>
        <v>5460</v>
      </c>
      <c r="G797" s="32" t="s">
        <v>160</v>
      </c>
      <c r="H797" s="73" t="s">
        <v>58</v>
      </c>
      <c r="I797" s="73">
        <v>8.8800000000000008</v>
      </c>
      <c r="J797" s="73">
        <f>gi8gauge</f>
        <v>131.63</v>
      </c>
      <c r="K797" s="74">
        <f>J797*I797</f>
        <v>1168.8699999999999</v>
      </c>
      <c r="L797" s="73"/>
      <c r="M797" s="73"/>
      <c r="N797" s="73"/>
      <c r="O797" s="73"/>
      <c r="P797" s="61"/>
    </row>
    <row r="798" spans="1:16" ht="15.75" x14ac:dyDescent="0.2">
      <c r="A798" s="81"/>
      <c r="B798" s="32"/>
      <c r="C798" s="73"/>
      <c r="D798" s="73"/>
      <c r="E798" s="73"/>
      <c r="F798" s="73"/>
      <c r="G798" s="32" t="s">
        <v>59</v>
      </c>
      <c r="H798" s="73" t="s">
        <v>50</v>
      </c>
      <c r="I798" s="73">
        <v>3.9</v>
      </c>
      <c r="J798" s="73">
        <f>gi12gauge</f>
        <v>131.63</v>
      </c>
      <c r="K798" s="74">
        <f>J798*I798</f>
        <v>513.36</v>
      </c>
      <c r="L798" s="73"/>
      <c r="M798" s="73"/>
      <c r="N798" s="73"/>
      <c r="O798" s="73"/>
      <c r="P798" s="61"/>
    </row>
    <row r="799" spans="1:16" ht="18.75" x14ac:dyDescent="0.2">
      <c r="A799" s="72"/>
      <c r="B799" s="32"/>
      <c r="C799" s="73"/>
      <c r="D799" s="73"/>
      <c r="E799" s="73"/>
      <c r="F799" s="73"/>
      <c r="G799" s="32" t="s">
        <v>60</v>
      </c>
      <c r="H799" s="73" t="s">
        <v>165</v>
      </c>
      <c r="I799" s="73">
        <v>6.6</v>
      </c>
      <c r="J799" s="73">
        <f>stone</f>
        <v>1516.22</v>
      </c>
      <c r="K799" s="74">
        <f>J799*I799</f>
        <v>10007.049999999999</v>
      </c>
      <c r="L799" s="35"/>
      <c r="M799" s="35"/>
      <c r="N799" s="35"/>
      <c r="O799" s="35"/>
      <c r="P799" s="33"/>
    </row>
    <row r="800" spans="1:16" ht="15.75" x14ac:dyDescent="0.2">
      <c r="A800" s="1005" t="s">
        <v>34</v>
      </c>
      <c r="B800" s="1006"/>
      <c r="C800" s="1006"/>
      <c r="D800" s="1006"/>
      <c r="E800" s="1006"/>
      <c r="F800" s="73">
        <f>SUM(F796:F799)</f>
        <v>8760</v>
      </c>
      <c r="G800" s="1006" t="s">
        <v>35</v>
      </c>
      <c r="H800" s="1006"/>
      <c r="I800" s="1006"/>
      <c r="J800" s="1006"/>
      <c r="K800" s="73">
        <f>SUM(K796:K799)</f>
        <v>21225.87</v>
      </c>
      <c r="L800" s="1006" t="s">
        <v>36</v>
      </c>
      <c r="M800" s="1006"/>
      <c r="N800" s="1006"/>
      <c r="O800" s="1006"/>
      <c r="P800" s="61">
        <f>SUM(P796:P797)</f>
        <v>0</v>
      </c>
    </row>
    <row r="801" spans="1:16" ht="15.75" x14ac:dyDescent="0.2">
      <c r="A801" s="1005" t="s">
        <v>487</v>
      </c>
      <c r="B801" s="1006"/>
      <c r="C801" s="1006"/>
      <c r="D801" s="1006"/>
      <c r="E801" s="1006"/>
      <c r="F801" s="28">
        <f>F800+K800+P800</f>
        <v>29985.87</v>
      </c>
      <c r="G801" s="90"/>
      <c r="H801" s="90"/>
      <c r="I801" s="90"/>
      <c r="J801" s="90"/>
      <c r="K801" s="90"/>
      <c r="L801" s="74"/>
      <c r="M801" s="90"/>
      <c r="N801" s="90"/>
      <c r="O801" s="90"/>
      <c r="P801" s="16"/>
    </row>
    <row r="802" spans="1:16" ht="16.5" thickBot="1" x14ac:dyDescent="0.25">
      <c r="A802" s="82"/>
      <c r="B802" s="999" t="s">
        <v>111</v>
      </c>
      <c r="C802" s="999"/>
      <c r="D802" s="999"/>
      <c r="E802" s="999"/>
      <c r="F802" s="17">
        <f>15%*F801</f>
        <v>4497.88</v>
      </c>
      <c r="G802" s="83"/>
      <c r="H802" s="83"/>
      <c r="I802" s="83"/>
      <c r="J802" s="83"/>
      <c r="K802" s="83"/>
      <c r="L802" s="17"/>
      <c r="M802" s="83"/>
      <c r="N802" s="1000" t="s">
        <v>53</v>
      </c>
      <c r="O802" s="1000"/>
      <c r="P802" s="31">
        <f>(F801+F802)/P793</f>
        <v>5747.29</v>
      </c>
    </row>
    <row r="803" spans="1:16" ht="16.5" thickBot="1" x14ac:dyDescent="0.25">
      <c r="A803" s="327"/>
      <c r="B803" s="327"/>
      <c r="C803" s="327"/>
      <c r="D803" s="327"/>
      <c r="E803" s="327"/>
      <c r="F803" s="48"/>
      <c r="G803" s="327"/>
      <c r="H803" s="327"/>
      <c r="I803" s="327"/>
      <c r="J803" s="327"/>
      <c r="K803" s="327"/>
      <c r="L803" s="48"/>
      <c r="M803" s="328"/>
      <c r="N803" s="328"/>
      <c r="O803" s="348"/>
      <c r="P803" s="348"/>
    </row>
    <row r="804" spans="1:16" ht="25.5" customHeight="1" x14ac:dyDescent="0.2">
      <c r="A804" s="1057" t="s">
        <v>29</v>
      </c>
      <c r="B804" s="1058"/>
      <c r="C804" s="1059" t="s">
        <v>632</v>
      </c>
      <c r="D804" s="1060"/>
      <c r="E804" s="1060"/>
      <c r="F804" s="1060"/>
      <c r="G804" s="1060"/>
      <c r="H804" s="1060"/>
      <c r="I804" s="1060"/>
      <c r="J804" s="1060"/>
      <c r="K804" s="1060"/>
      <c r="L804" s="1060"/>
      <c r="M804" s="1060"/>
      <c r="N804" s="1060"/>
      <c r="O804" s="1060"/>
      <c r="P804" s="274" t="s">
        <v>433</v>
      </c>
    </row>
    <row r="805" spans="1:16" ht="35.25" customHeight="1" x14ac:dyDescent="0.2">
      <c r="A805" s="1066" t="s">
        <v>105</v>
      </c>
      <c r="B805" s="1067"/>
      <c r="C805" s="1061"/>
      <c r="D805" s="1061"/>
      <c r="E805" s="1061"/>
      <c r="F805" s="1061"/>
      <c r="G805" s="1061"/>
      <c r="H805" s="1061"/>
      <c r="I805" s="1061"/>
      <c r="J805" s="1061"/>
      <c r="K805" s="1061"/>
      <c r="L805" s="1061"/>
      <c r="M805" s="1061"/>
      <c r="N805" s="1061"/>
      <c r="O805" s="1061"/>
      <c r="P805" s="275">
        <v>6</v>
      </c>
    </row>
    <row r="806" spans="1:16" ht="15.75" x14ac:dyDescent="0.2">
      <c r="A806" s="1002" t="s">
        <v>30</v>
      </c>
      <c r="B806" s="1038" t="s">
        <v>31</v>
      </c>
      <c r="C806" s="1038"/>
      <c r="D806" s="1038"/>
      <c r="E806" s="1038"/>
      <c r="F806" s="1038"/>
      <c r="G806" s="1038" t="s">
        <v>32</v>
      </c>
      <c r="H806" s="1038"/>
      <c r="I806" s="1038"/>
      <c r="J806" s="1038"/>
      <c r="K806" s="1038"/>
      <c r="L806" s="1038" t="s">
        <v>33</v>
      </c>
      <c r="M806" s="1038"/>
      <c r="N806" s="1038"/>
      <c r="O806" s="1038"/>
      <c r="P806" s="1044"/>
    </row>
    <row r="807" spans="1:16" ht="15.75" x14ac:dyDescent="0.2">
      <c r="A807" s="1002"/>
      <c r="B807" s="79" t="s">
        <v>8</v>
      </c>
      <c r="C807" s="79" t="s">
        <v>7</v>
      </c>
      <c r="D807" s="79" t="s">
        <v>9</v>
      </c>
      <c r="E807" s="79" t="s">
        <v>19</v>
      </c>
      <c r="F807" s="79" t="s">
        <v>20</v>
      </c>
      <c r="G807" s="79" t="s">
        <v>8</v>
      </c>
      <c r="H807" s="79" t="s">
        <v>7</v>
      </c>
      <c r="I807" s="79" t="s">
        <v>9</v>
      </c>
      <c r="J807" s="79" t="s">
        <v>19</v>
      </c>
      <c r="K807" s="79" t="s">
        <v>20</v>
      </c>
      <c r="L807" s="79" t="s">
        <v>8</v>
      </c>
      <c r="M807" s="79" t="s">
        <v>7</v>
      </c>
      <c r="N807" s="79" t="s">
        <v>9</v>
      </c>
      <c r="O807" s="79" t="s">
        <v>19</v>
      </c>
      <c r="P807" s="24" t="s">
        <v>20</v>
      </c>
    </row>
    <row r="808" spans="1:16" ht="15.75" x14ac:dyDescent="0.2">
      <c r="A808" s="86" t="s">
        <v>634</v>
      </c>
      <c r="B808" s="32" t="s">
        <v>18</v>
      </c>
      <c r="C808" s="73" t="s">
        <v>11</v>
      </c>
      <c r="D808" s="73">
        <v>3</v>
      </c>
      <c r="E808" s="73">
        <f>skilled</f>
        <v>1100</v>
      </c>
      <c r="F808" s="73">
        <f>E808*D808</f>
        <v>3300</v>
      </c>
      <c r="G808" s="32" t="s">
        <v>57</v>
      </c>
      <c r="H808" s="73" t="s">
        <v>58</v>
      </c>
      <c r="I808" s="73">
        <v>79</v>
      </c>
      <c r="J808" s="73">
        <f>gi10gauge</f>
        <v>131.63</v>
      </c>
      <c r="K808" s="73">
        <f>J808*I808</f>
        <v>10398.77</v>
      </c>
      <c r="L808" s="35"/>
      <c r="M808" s="35"/>
      <c r="N808" s="35"/>
      <c r="O808" s="35"/>
      <c r="P808" s="61"/>
    </row>
    <row r="809" spans="1:16" ht="15.75" x14ac:dyDescent="0.2">
      <c r="A809" s="34"/>
      <c r="B809" s="32" t="s">
        <v>10</v>
      </c>
      <c r="C809" s="73" t="s">
        <v>11</v>
      </c>
      <c r="D809" s="73">
        <v>8</v>
      </c>
      <c r="E809" s="73">
        <f>unskilled</f>
        <v>780</v>
      </c>
      <c r="F809" s="73">
        <f>E809*D809</f>
        <v>6240</v>
      </c>
      <c r="G809" s="32" t="s">
        <v>160</v>
      </c>
      <c r="H809" s="73" t="s">
        <v>58</v>
      </c>
      <c r="I809" s="73">
        <v>10.8</v>
      </c>
      <c r="J809" s="73">
        <f>gi8gauge</f>
        <v>131.63</v>
      </c>
      <c r="K809" s="74">
        <f>J809*I809</f>
        <v>1421.6</v>
      </c>
      <c r="L809" s="73"/>
      <c r="M809" s="73"/>
      <c r="N809" s="73"/>
      <c r="O809" s="73"/>
      <c r="P809" s="61"/>
    </row>
    <row r="810" spans="1:16" ht="15.75" x14ac:dyDescent="0.2">
      <c r="A810" s="23"/>
      <c r="B810" s="32"/>
      <c r="C810" s="73"/>
      <c r="D810" s="73"/>
      <c r="E810" s="73"/>
      <c r="F810" s="73"/>
      <c r="G810" s="32" t="s">
        <v>59</v>
      </c>
      <c r="H810" s="73" t="s">
        <v>50</v>
      </c>
      <c r="I810" s="73">
        <v>5</v>
      </c>
      <c r="J810" s="73">
        <f>gi12gauge</f>
        <v>131.63</v>
      </c>
      <c r="K810" s="74">
        <f>J810*I810</f>
        <v>658.15</v>
      </c>
      <c r="L810" s="73"/>
      <c r="M810" s="73"/>
      <c r="N810" s="73"/>
      <c r="O810" s="73"/>
      <c r="P810" s="61"/>
    </row>
    <row r="811" spans="1:16" ht="18.75" x14ac:dyDescent="0.2">
      <c r="A811" s="72"/>
      <c r="B811" s="32"/>
      <c r="C811" s="73"/>
      <c r="D811" s="73"/>
      <c r="E811" s="73"/>
      <c r="F811" s="73"/>
      <c r="G811" s="32" t="s">
        <v>60</v>
      </c>
      <c r="H811" s="73" t="s">
        <v>165</v>
      </c>
      <c r="I811" s="73">
        <v>6.6</v>
      </c>
      <c r="J811" s="73">
        <f>stone</f>
        <v>1516.22</v>
      </c>
      <c r="K811" s="74">
        <f>J811*I811</f>
        <v>10007.049999999999</v>
      </c>
      <c r="L811" s="35"/>
      <c r="M811" s="35"/>
      <c r="N811" s="35"/>
      <c r="O811" s="35"/>
      <c r="P811" s="33"/>
    </row>
    <row r="812" spans="1:16" ht="15.75" x14ac:dyDescent="0.2">
      <c r="A812" s="1005" t="s">
        <v>34</v>
      </c>
      <c r="B812" s="1006"/>
      <c r="C812" s="1006"/>
      <c r="D812" s="1006"/>
      <c r="E812" s="1006"/>
      <c r="F812" s="73">
        <f>SUM(F808:F811)</f>
        <v>9540</v>
      </c>
      <c r="G812" s="1006" t="s">
        <v>35</v>
      </c>
      <c r="H812" s="1006"/>
      <c r="I812" s="1006"/>
      <c r="J812" s="1006"/>
      <c r="K812" s="73">
        <f>SUM(K808:K811)</f>
        <v>22485.57</v>
      </c>
      <c r="L812" s="1006" t="s">
        <v>36</v>
      </c>
      <c r="M812" s="1006"/>
      <c r="N812" s="1006"/>
      <c r="O812" s="1006"/>
      <c r="P812" s="61">
        <f>SUM(P808:P809)</f>
        <v>0</v>
      </c>
    </row>
    <row r="813" spans="1:16" ht="15.75" x14ac:dyDescent="0.2">
      <c r="A813" s="1005" t="s">
        <v>487</v>
      </c>
      <c r="B813" s="1006"/>
      <c r="C813" s="1006"/>
      <c r="D813" s="1006"/>
      <c r="E813" s="1006"/>
      <c r="F813" s="28">
        <f>F812+K812+P812</f>
        <v>32025.57</v>
      </c>
      <c r="G813" s="90"/>
      <c r="H813" s="90"/>
      <c r="I813" s="90"/>
      <c r="J813" s="90"/>
      <c r="K813" s="90"/>
      <c r="L813" s="74"/>
      <c r="M813" s="90"/>
      <c r="N813" s="90"/>
      <c r="O813" s="90"/>
      <c r="P813" s="16"/>
    </row>
    <row r="814" spans="1:16" ht="16.5" thickBot="1" x14ac:dyDescent="0.25">
      <c r="A814" s="349"/>
      <c r="B814" s="1054" t="s">
        <v>111</v>
      </c>
      <c r="C814" s="1055"/>
      <c r="D814" s="1055"/>
      <c r="E814" s="1056"/>
      <c r="F814" s="22">
        <f>15%*F813</f>
        <v>4803.84</v>
      </c>
      <c r="G814" s="138"/>
      <c r="H814" s="138"/>
      <c r="I814" s="138"/>
      <c r="J814" s="138"/>
      <c r="K814" s="138"/>
      <c r="L814" s="22"/>
      <c r="M814" s="138"/>
      <c r="N814" s="1041" t="s">
        <v>53</v>
      </c>
      <c r="O814" s="1042"/>
      <c r="P814" s="31">
        <f>(F813+F814)/P805</f>
        <v>6138.24</v>
      </c>
    </row>
    <row r="815" spans="1:16" ht="16.5" thickBot="1" x14ac:dyDescent="0.25">
      <c r="A815" s="281"/>
      <c r="B815" s="281"/>
      <c r="C815" s="281"/>
      <c r="D815" s="281"/>
      <c r="E815" s="281"/>
      <c r="F815" s="57"/>
      <c r="G815" s="281"/>
      <c r="H815" s="281"/>
      <c r="I815" s="281"/>
      <c r="J815" s="281"/>
      <c r="K815" s="281"/>
      <c r="L815" s="57"/>
      <c r="M815" s="299"/>
      <c r="N815" s="299"/>
      <c r="O815" s="299"/>
      <c r="P815" s="43"/>
    </row>
    <row r="816" spans="1:16" ht="15.75" x14ac:dyDescent="0.2">
      <c r="A816" s="986" t="s">
        <v>29</v>
      </c>
      <c r="B816" s="987"/>
      <c r="C816" s="988" t="s">
        <v>649</v>
      </c>
      <c r="D816" s="989"/>
      <c r="E816" s="989"/>
      <c r="F816" s="989"/>
      <c r="G816" s="989"/>
      <c r="H816" s="989"/>
      <c r="I816" s="989"/>
      <c r="J816" s="989"/>
      <c r="K816" s="989"/>
      <c r="L816" s="989"/>
      <c r="M816" s="989"/>
      <c r="N816" s="989"/>
      <c r="O816" s="989"/>
      <c r="P816" s="274" t="s">
        <v>433</v>
      </c>
    </row>
    <row r="817" spans="1:16" ht="48" customHeight="1" x14ac:dyDescent="0.2">
      <c r="A817" s="991" t="s">
        <v>105</v>
      </c>
      <c r="B817" s="992"/>
      <c r="C817" s="990"/>
      <c r="D817" s="990"/>
      <c r="E817" s="990"/>
      <c r="F817" s="990"/>
      <c r="G817" s="990"/>
      <c r="H817" s="990"/>
      <c r="I817" s="990"/>
      <c r="J817" s="990"/>
      <c r="K817" s="990"/>
      <c r="L817" s="990"/>
      <c r="M817" s="990"/>
      <c r="N817" s="990"/>
      <c r="O817" s="990"/>
      <c r="P817" s="275">
        <v>6</v>
      </c>
    </row>
    <row r="818" spans="1:16" ht="15.75" x14ac:dyDescent="0.2">
      <c r="A818" s="1001" t="s">
        <v>30</v>
      </c>
      <c r="B818" s="1003" t="s">
        <v>31</v>
      </c>
      <c r="C818" s="1003"/>
      <c r="D818" s="1003"/>
      <c r="E818" s="1003"/>
      <c r="F818" s="1003"/>
      <c r="G818" s="1003" t="s">
        <v>32</v>
      </c>
      <c r="H818" s="1003"/>
      <c r="I818" s="1003"/>
      <c r="J818" s="1003"/>
      <c r="K818" s="1003"/>
      <c r="L818" s="1003" t="s">
        <v>33</v>
      </c>
      <c r="M818" s="1003"/>
      <c r="N818" s="1003"/>
      <c r="O818" s="1003"/>
      <c r="P818" s="1004"/>
    </row>
    <row r="819" spans="1:16" ht="15.75" x14ac:dyDescent="0.2">
      <c r="A819" s="1002"/>
      <c r="B819" s="79" t="s">
        <v>8</v>
      </c>
      <c r="C819" s="79" t="s">
        <v>7</v>
      </c>
      <c r="D819" s="79" t="s">
        <v>9</v>
      </c>
      <c r="E819" s="79" t="s">
        <v>19</v>
      </c>
      <c r="F819" s="79" t="s">
        <v>20</v>
      </c>
      <c r="G819" s="79" t="s">
        <v>8</v>
      </c>
      <c r="H819" s="79" t="s">
        <v>7</v>
      </c>
      <c r="I819" s="79" t="s">
        <v>9</v>
      </c>
      <c r="J819" s="79" t="s">
        <v>19</v>
      </c>
      <c r="K819" s="79" t="s">
        <v>20</v>
      </c>
      <c r="L819" s="79" t="s">
        <v>8</v>
      </c>
      <c r="M819" s="79" t="s">
        <v>7</v>
      </c>
      <c r="N819" s="79" t="s">
        <v>9</v>
      </c>
      <c r="O819" s="79" t="s">
        <v>19</v>
      </c>
      <c r="P819" s="24" t="s">
        <v>20</v>
      </c>
    </row>
    <row r="820" spans="1:16" ht="15.75" x14ac:dyDescent="0.2">
      <c r="A820" s="152" t="s">
        <v>650</v>
      </c>
      <c r="B820" s="32" t="s">
        <v>18</v>
      </c>
      <c r="C820" s="73" t="s">
        <v>11</v>
      </c>
      <c r="D820" s="73">
        <v>3</v>
      </c>
      <c r="E820" s="73">
        <f>skilled</f>
        <v>1100</v>
      </c>
      <c r="F820" s="73">
        <f>E820*D820</f>
        <v>3300</v>
      </c>
      <c r="G820" s="32" t="s">
        <v>57</v>
      </c>
      <c r="H820" s="73" t="s">
        <v>50</v>
      </c>
      <c r="I820" s="73">
        <v>96.6</v>
      </c>
      <c r="J820" s="73">
        <f>gi10gauge</f>
        <v>131.63</v>
      </c>
      <c r="K820" s="73">
        <f>J820*I820</f>
        <v>12715.46</v>
      </c>
      <c r="L820" s="35"/>
      <c r="M820" s="35"/>
      <c r="N820" s="35"/>
      <c r="O820" s="35"/>
      <c r="P820" s="61"/>
    </row>
    <row r="821" spans="1:16" ht="15.75" x14ac:dyDescent="0.2">
      <c r="A821" s="81"/>
      <c r="B821" s="32" t="s">
        <v>10</v>
      </c>
      <c r="C821" s="73" t="s">
        <v>11</v>
      </c>
      <c r="D821" s="73">
        <v>8</v>
      </c>
      <c r="E821" s="73">
        <f>unskilled</f>
        <v>780</v>
      </c>
      <c r="F821" s="73">
        <f>E821*D821</f>
        <v>6240</v>
      </c>
      <c r="G821" s="32" t="s">
        <v>160</v>
      </c>
      <c r="H821" s="73" t="s">
        <v>50</v>
      </c>
      <c r="I821" s="73">
        <v>13.12</v>
      </c>
      <c r="J821" s="73">
        <f>gi8gauge</f>
        <v>131.63</v>
      </c>
      <c r="K821" s="74">
        <f>J821*I821</f>
        <v>1726.99</v>
      </c>
      <c r="L821" s="73"/>
      <c r="M821" s="73"/>
      <c r="N821" s="73"/>
      <c r="O821" s="73"/>
      <c r="P821" s="61"/>
    </row>
    <row r="822" spans="1:16" ht="15.75" x14ac:dyDescent="0.2">
      <c r="A822" s="81"/>
      <c r="B822" s="32"/>
      <c r="C822" s="73"/>
      <c r="D822" s="73"/>
      <c r="E822" s="73"/>
      <c r="F822" s="73"/>
      <c r="G822" s="32" t="s">
        <v>59</v>
      </c>
      <c r="H822" s="73" t="s">
        <v>50</v>
      </c>
      <c r="I822" s="73">
        <v>4.76</v>
      </c>
      <c r="J822" s="73">
        <f>gi12gauge</f>
        <v>131.63</v>
      </c>
      <c r="K822" s="74">
        <f>J822*I822</f>
        <v>626.55999999999995</v>
      </c>
      <c r="L822" s="73"/>
      <c r="M822" s="73"/>
      <c r="N822" s="73"/>
      <c r="O822" s="73"/>
      <c r="P822" s="61"/>
    </row>
    <row r="823" spans="1:16" ht="18.75" x14ac:dyDescent="0.2">
      <c r="A823" s="72"/>
      <c r="B823" s="32"/>
      <c r="C823" s="73"/>
      <c r="D823" s="73"/>
      <c r="E823" s="73"/>
      <c r="F823" s="73"/>
      <c r="G823" s="32" t="s">
        <v>60</v>
      </c>
      <c r="H823" s="73" t="s">
        <v>165</v>
      </c>
      <c r="I823" s="73">
        <v>6.6</v>
      </c>
      <c r="J823" s="73">
        <f>stone</f>
        <v>1516.22</v>
      </c>
      <c r="K823" s="74">
        <f>J823*I823</f>
        <v>10007.049999999999</v>
      </c>
      <c r="L823" s="35"/>
      <c r="M823" s="35"/>
      <c r="N823" s="35"/>
      <c r="O823" s="35"/>
      <c r="P823" s="33"/>
    </row>
    <row r="824" spans="1:16" ht="15.75" x14ac:dyDescent="0.2">
      <c r="A824" s="1005" t="s">
        <v>34</v>
      </c>
      <c r="B824" s="1006"/>
      <c r="C824" s="1006"/>
      <c r="D824" s="1006"/>
      <c r="E824" s="1006"/>
      <c r="F824" s="73">
        <f>SUM(F820:F823)</f>
        <v>9540</v>
      </c>
      <c r="G824" s="1006" t="s">
        <v>35</v>
      </c>
      <c r="H824" s="1006"/>
      <c r="I824" s="1006"/>
      <c r="J824" s="1006"/>
      <c r="K824" s="73">
        <f>SUM(K820:K823)</f>
        <v>25076.06</v>
      </c>
      <c r="L824" s="1006" t="s">
        <v>36</v>
      </c>
      <c r="M824" s="1006"/>
      <c r="N824" s="1006"/>
      <c r="O824" s="1006"/>
      <c r="P824" s="61">
        <f>SUM(P820:P821)</f>
        <v>0</v>
      </c>
    </row>
    <row r="825" spans="1:16" ht="15.75" x14ac:dyDescent="0.2">
      <c r="A825" s="1005" t="s">
        <v>487</v>
      </c>
      <c r="B825" s="1006"/>
      <c r="C825" s="1006"/>
      <c r="D825" s="1006"/>
      <c r="E825" s="1006"/>
      <c r="F825" s="28">
        <f>F824+K824+P824</f>
        <v>34616.06</v>
      </c>
      <c r="G825" s="90"/>
      <c r="H825" s="90"/>
      <c r="I825" s="90"/>
      <c r="J825" s="90"/>
      <c r="K825" s="90"/>
      <c r="L825" s="74"/>
      <c r="M825" s="90"/>
      <c r="N825" s="90"/>
      <c r="O825" s="90"/>
      <c r="P825" s="16"/>
    </row>
    <row r="826" spans="1:16" ht="16.5" thickBot="1" x14ac:dyDescent="0.25">
      <c r="A826" s="82"/>
      <c r="B826" s="999" t="s">
        <v>111</v>
      </c>
      <c r="C826" s="999"/>
      <c r="D826" s="999"/>
      <c r="E826" s="999"/>
      <c r="F826" s="17">
        <f>15%*F825</f>
        <v>5192.41</v>
      </c>
      <c r="G826" s="83"/>
      <c r="H826" s="83"/>
      <c r="I826" s="83"/>
      <c r="J826" s="83"/>
      <c r="K826" s="83"/>
      <c r="L826" s="17"/>
      <c r="M826" s="83"/>
      <c r="N826" s="1000" t="s">
        <v>53</v>
      </c>
      <c r="O826" s="1000"/>
      <c r="P826" s="31">
        <f>(F825+F826)/P817</f>
        <v>6634.75</v>
      </c>
    </row>
    <row r="827" spans="1:16" ht="16.5" thickBot="1" x14ac:dyDescent="0.25">
      <c r="A827" s="281"/>
      <c r="B827" s="281"/>
      <c r="C827" s="281"/>
      <c r="D827" s="281"/>
      <c r="E827" s="281"/>
      <c r="F827" s="57"/>
      <c r="G827" s="281"/>
      <c r="H827" s="281"/>
      <c r="I827" s="281"/>
      <c r="J827" s="281"/>
      <c r="K827" s="281"/>
      <c r="L827" s="57"/>
      <c r="M827" s="299"/>
      <c r="N827" s="299"/>
      <c r="O827" s="304"/>
      <c r="P827" s="304"/>
    </row>
    <row r="828" spans="1:16" ht="15.75" x14ac:dyDescent="0.2">
      <c r="A828" s="986" t="s">
        <v>29</v>
      </c>
      <c r="B828" s="987"/>
      <c r="C828" s="988" t="s">
        <v>647</v>
      </c>
      <c r="D828" s="989"/>
      <c r="E828" s="989"/>
      <c r="F828" s="989"/>
      <c r="G828" s="989"/>
      <c r="H828" s="989"/>
      <c r="I828" s="989"/>
      <c r="J828" s="989"/>
      <c r="K828" s="989"/>
      <c r="L828" s="989"/>
      <c r="M828" s="989"/>
      <c r="N828" s="989"/>
      <c r="O828" s="989"/>
      <c r="P828" s="274" t="s">
        <v>433</v>
      </c>
    </row>
    <row r="829" spans="1:16" ht="58.5" customHeight="1" x14ac:dyDescent="0.2">
      <c r="A829" s="991" t="s">
        <v>105</v>
      </c>
      <c r="B829" s="992"/>
      <c r="C829" s="990"/>
      <c r="D829" s="990"/>
      <c r="E829" s="990"/>
      <c r="F829" s="990"/>
      <c r="G829" s="990"/>
      <c r="H829" s="990"/>
      <c r="I829" s="990"/>
      <c r="J829" s="990"/>
      <c r="K829" s="990"/>
      <c r="L829" s="990"/>
      <c r="M829" s="990"/>
      <c r="N829" s="990"/>
      <c r="O829" s="990"/>
      <c r="P829" s="275">
        <v>6</v>
      </c>
    </row>
    <row r="830" spans="1:16" ht="15.75" x14ac:dyDescent="0.2">
      <c r="A830" s="1001" t="s">
        <v>30</v>
      </c>
      <c r="B830" s="1003" t="s">
        <v>31</v>
      </c>
      <c r="C830" s="1003"/>
      <c r="D830" s="1003"/>
      <c r="E830" s="1003"/>
      <c r="F830" s="1003"/>
      <c r="G830" s="1003" t="s">
        <v>32</v>
      </c>
      <c r="H830" s="1003"/>
      <c r="I830" s="1003"/>
      <c r="J830" s="1003"/>
      <c r="K830" s="1003"/>
      <c r="L830" s="1003" t="s">
        <v>33</v>
      </c>
      <c r="M830" s="1003"/>
      <c r="N830" s="1003"/>
      <c r="O830" s="1003"/>
      <c r="P830" s="1004"/>
    </row>
    <row r="831" spans="1:16" ht="15.75" x14ac:dyDescent="0.2">
      <c r="A831" s="1002"/>
      <c r="B831" s="79" t="s">
        <v>8</v>
      </c>
      <c r="C831" s="79" t="s">
        <v>7</v>
      </c>
      <c r="D831" s="79" t="s">
        <v>9</v>
      </c>
      <c r="E831" s="79" t="s">
        <v>19</v>
      </c>
      <c r="F831" s="79" t="s">
        <v>20</v>
      </c>
      <c r="G831" s="79" t="s">
        <v>8</v>
      </c>
      <c r="H831" s="79" t="s">
        <v>7</v>
      </c>
      <c r="I831" s="79" t="s">
        <v>9</v>
      </c>
      <c r="J831" s="79" t="s">
        <v>19</v>
      </c>
      <c r="K831" s="79" t="s">
        <v>20</v>
      </c>
      <c r="L831" s="79" t="s">
        <v>8</v>
      </c>
      <c r="M831" s="79" t="s">
        <v>7</v>
      </c>
      <c r="N831" s="79" t="s">
        <v>9</v>
      </c>
      <c r="O831" s="79" t="s">
        <v>19</v>
      </c>
      <c r="P831" s="24" t="s">
        <v>20</v>
      </c>
    </row>
    <row r="832" spans="1:16" ht="15.75" x14ac:dyDescent="0.2">
      <c r="A832" s="152" t="s">
        <v>648</v>
      </c>
      <c r="B832" s="32" t="s">
        <v>18</v>
      </c>
      <c r="C832" s="73" t="s">
        <v>11</v>
      </c>
      <c r="D832" s="73">
        <v>3</v>
      </c>
      <c r="E832" s="73">
        <f>skilled</f>
        <v>1100</v>
      </c>
      <c r="F832" s="73">
        <f>E832*D832</f>
        <v>3300</v>
      </c>
      <c r="G832" s="32" t="s">
        <v>57</v>
      </c>
      <c r="H832" s="73" t="s">
        <v>58</v>
      </c>
      <c r="I832" s="73">
        <v>98.7</v>
      </c>
      <c r="J832" s="73">
        <f>gi10gauge</f>
        <v>131.63</v>
      </c>
      <c r="K832" s="73">
        <f>J832*I832</f>
        <v>12991.88</v>
      </c>
      <c r="L832" s="35"/>
      <c r="M832" s="35"/>
      <c r="N832" s="35"/>
      <c r="O832" s="35"/>
      <c r="P832" s="61"/>
    </row>
    <row r="833" spans="1:16" ht="15.75" x14ac:dyDescent="0.2">
      <c r="A833" s="81"/>
      <c r="B833" s="32" t="s">
        <v>10</v>
      </c>
      <c r="C833" s="73" t="s">
        <v>11</v>
      </c>
      <c r="D833" s="73">
        <v>9</v>
      </c>
      <c r="E833" s="73">
        <f>unskilled</f>
        <v>780</v>
      </c>
      <c r="F833" s="73">
        <f>E833*D833</f>
        <v>7020</v>
      </c>
      <c r="G833" s="32" t="s">
        <v>160</v>
      </c>
      <c r="H833" s="73" t="s">
        <v>58</v>
      </c>
      <c r="I833" s="73">
        <v>14.57</v>
      </c>
      <c r="J833" s="73">
        <f>gi8gauge</f>
        <v>131.63</v>
      </c>
      <c r="K833" s="74">
        <f>J833*I833</f>
        <v>1917.85</v>
      </c>
      <c r="L833" s="73"/>
      <c r="M833" s="73"/>
      <c r="N833" s="73"/>
      <c r="O833" s="73"/>
      <c r="P833" s="61"/>
    </row>
    <row r="834" spans="1:16" ht="15.75" x14ac:dyDescent="0.2">
      <c r="A834" s="81"/>
      <c r="B834" s="32"/>
      <c r="C834" s="73"/>
      <c r="D834" s="73"/>
      <c r="E834" s="73"/>
      <c r="F834" s="73"/>
      <c r="G834" s="32" t="s">
        <v>59</v>
      </c>
      <c r="H834" s="73" t="s">
        <v>50</v>
      </c>
      <c r="I834" s="73">
        <v>5.0999999999999996</v>
      </c>
      <c r="J834" s="73">
        <f>gi12gauge</f>
        <v>131.63</v>
      </c>
      <c r="K834" s="74">
        <f>J834*I834</f>
        <v>671.31</v>
      </c>
      <c r="L834" s="73"/>
      <c r="M834" s="73"/>
      <c r="N834" s="73"/>
      <c r="O834" s="73"/>
      <c r="P834" s="61"/>
    </row>
    <row r="835" spans="1:16" ht="18.75" x14ac:dyDescent="0.2">
      <c r="A835" s="72"/>
      <c r="B835" s="32"/>
      <c r="C835" s="73"/>
      <c r="D835" s="73"/>
      <c r="E835" s="73"/>
      <c r="F835" s="73"/>
      <c r="G835" s="32" t="s">
        <v>60</v>
      </c>
      <c r="H835" s="73" t="s">
        <v>165</v>
      </c>
      <c r="I835" s="73">
        <v>6.6</v>
      </c>
      <c r="J835" s="73">
        <f>stone</f>
        <v>1516.22</v>
      </c>
      <c r="K835" s="74">
        <f>J835*I835</f>
        <v>10007.049999999999</v>
      </c>
      <c r="L835" s="35"/>
      <c r="M835" s="35"/>
      <c r="N835" s="35"/>
      <c r="O835" s="35"/>
      <c r="P835" s="33"/>
    </row>
    <row r="836" spans="1:16" ht="15.75" x14ac:dyDescent="0.2">
      <c r="A836" s="1005" t="s">
        <v>34</v>
      </c>
      <c r="B836" s="1006"/>
      <c r="C836" s="1006"/>
      <c r="D836" s="1006"/>
      <c r="E836" s="1006"/>
      <c r="F836" s="73">
        <f>SUM(F832:F835)</f>
        <v>10320</v>
      </c>
      <c r="G836" s="1006" t="s">
        <v>35</v>
      </c>
      <c r="H836" s="1006"/>
      <c r="I836" s="1006"/>
      <c r="J836" s="1006"/>
      <c r="K836" s="73">
        <f>SUM(K832:K835)</f>
        <v>25588.09</v>
      </c>
      <c r="L836" s="1006" t="s">
        <v>36</v>
      </c>
      <c r="M836" s="1006"/>
      <c r="N836" s="1006"/>
      <c r="O836" s="1006"/>
      <c r="P836" s="61">
        <f>SUM(P832:P833)</f>
        <v>0</v>
      </c>
    </row>
    <row r="837" spans="1:16" ht="15.75" x14ac:dyDescent="0.2">
      <c r="A837" s="1005" t="s">
        <v>487</v>
      </c>
      <c r="B837" s="1006"/>
      <c r="C837" s="1006"/>
      <c r="D837" s="1006"/>
      <c r="E837" s="1006"/>
      <c r="F837" s="28">
        <f>F836+K836+P836</f>
        <v>35908.089999999997</v>
      </c>
      <c r="G837" s="90"/>
      <c r="H837" s="90"/>
      <c r="I837" s="90"/>
      <c r="J837" s="90"/>
      <c r="K837" s="90"/>
      <c r="L837" s="74"/>
      <c r="M837" s="90"/>
      <c r="N837" s="90"/>
      <c r="O837" s="90"/>
      <c r="P837" s="16"/>
    </row>
    <row r="838" spans="1:16" ht="16.5" thickBot="1" x14ac:dyDescent="0.25">
      <c r="A838" s="82"/>
      <c r="B838" s="999" t="s">
        <v>111</v>
      </c>
      <c r="C838" s="999"/>
      <c r="D838" s="999"/>
      <c r="E838" s="999"/>
      <c r="F838" s="17">
        <f>15%*F837</f>
        <v>5386.21</v>
      </c>
      <c r="G838" s="83"/>
      <c r="H838" s="83"/>
      <c r="I838" s="83"/>
      <c r="J838" s="83"/>
      <c r="K838" s="83"/>
      <c r="L838" s="17"/>
      <c r="M838" s="83"/>
      <c r="N838" s="1000" t="s">
        <v>53</v>
      </c>
      <c r="O838" s="1000"/>
      <c r="P838" s="31">
        <f>(F837+F838)/P829</f>
        <v>6882.38</v>
      </c>
    </row>
    <row r="839" spans="1:16" ht="16.5" thickBot="1" x14ac:dyDescent="0.25">
      <c r="A839" s="281"/>
      <c r="B839" s="281"/>
      <c r="C839" s="281"/>
      <c r="D839" s="281"/>
      <c r="E839" s="281"/>
      <c r="F839" s="57"/>
      <c r="G839" s="281"/>
      <c r="H839" s="281"/>
      <c r="I839" s="281"/>
      <c r="J839" s="281"/>
      <c r="K839" s="281"/>
      <c r="L839" s="57"/>
      <c r="M839" s="299"/>
      <c r="N839" s="299"/>
      <c r="O839" s="304"/>
      <c r="P839" s="304"/>
    </row>
    <row r="840" spans="1:16" ht="15.75" x14ac:dyDescent="0.2">
      <c r="A840" s="986" t="s">
        <v>29</v>
      </c>
      <c r="B840" s="987"/>
      <c r="C840" s="988" t="s">
        <v>1198</v>
      </c>
      <c r="D840" s="989"/>
      <c r="E840" s="989"/>
      <c r="F840" s="989"/>
      <c r="G840" s="989"/>
      <c r="H840" s="989"/>
      <c r="I840" s="989"/>
      <c r="J840" s="989"/>
      <c r="K840" s="989"/>
      <c r="L840" s="989"/>
      <c r="M840" s="989"/>
      <c r="N840" s="989"/>
      <c r="O840" s="989"/>
      <c r="P840" s="274" t="s">
        <v>433</v>
      </c>
    </row>
    <row r="841" spans="1:16" ht="42.75" customHeight="1" x14ac:dyDescent="0.2">
      <c r="A841" s="991" t="s">
        <v>105</v>
      </c>
      <c r="B841" s="992"/>
      <c r="C841" s="990"/>
      <c r="D841" s="990"/>
      <c r="E841" s="990"/>
      <c r="F841" s="990"/>
      <c r="G841" s="990"/>
      <c r="H841" s="990"/>
      <c r="I841" s="990"/>
      <c r="J841" s="990"/>
      <c r="K841" s="990"/>
      <c r="L841" s="990"/>
      <c r="M841" s="990"/>
      <c r="N841" s="990"/>
      <c r="O841" s="990"/>
      <c r="P841" s="275">
        <v>6</v>
      </c>
    </row>
    <row r="842" spans="1:16" ht="15.75" x14ac:dyDescent="0.2">
      <c r="A842" s="1001" t="s">
        <v>30</v>
      </c>
      <c r="B842" s="1003" t="s">
        <v>31</v>
      </c>
      <c r="C842" s="1003"/>
      <c r="D842" s="1003"/>
      <c r="E842" s="1003"/>
      <c r="F842" s="1003"/>
      <c r="G842" s="1003" t="s">
        <v>32</v>
      </c>
      <c r="H842" s="1003"/>
      <c r="I842" s="1003"/>
      <c r="J842" s="1003"/>
      <c r="K842" s="1003"/>
      <c r="L842" s="1003" t="s">
        <v>33</v>
      </c>
      <c r="M842" s="1003"/>
      <c r="N842" s="1003"/>
      <c r="O842" s="1003"/>
      <c r="P842" s="1004"/>
    </row>
    <row r="843" spans="1:16" ht="15.75" x14ac:dyDescent="0.2">
      <c r="A843" s="1002"/>
      <c r="B843" s="79" t="s">
        <v>8</v>
      </c>
      <c r="C843" s="79" t="s">
        <v>7</v>
      </c>
      <c r="D843" s="79" t="s">
        <v>9</v>
      </c>
      <c r="E843" s="79" t="s">
        <v>19</v>
      </c>
      <c r="F843" s="79" t="s">
        <v>20</v>
      </c>
      <c r="G843" s="79" t="s">
        <v>8</v>
      </c>
      <c r="H843" s="79" t="s">
        <v>7</v>
      </c>
      <c r="I843" s="79" t="s">
        <v>9</v>
      </c>
      <c r="J843" s="79" t="s">
        <v>19</v>
      </c>
      <c r="K843" s="79" t="s">
        <v>20</v>
      </c>
      <c r="L843" s="79" t="s">
        <v>8</v>
      </c>
      <c r="M843" s="79" t="s">
        <v>7</v>
      </c>
      <c r="N843" s="79" t="s">
        <v>9</v>
      </c>
      <c r="O843" s="79" t="s">
        <v>19</v>
      </c>
      <c r="P843" s="24" t="s">
        <v>20</v>
      </c>
    </row>
    <row r="844" spans="1:16" ht="15.75" x14ac:dyDescent="0.2">
      <c r="A844" s="81" t="s">
        <v>635</v>
      </c>
      <c r="B844" s="32" t="s">
        <v>18</v>
      </c>
      <c r="C844" s="73" t="s">
        <v>11</v>
      </c>
      <c r="D844" s="73">
        <v>3</v>
      </c>
      <c r="E844" s="73">
        <f>skilled</f>
        <v>1100</v>
      </c>
      <c r="F844" s="73">
        <f>E844*D844</f>
        <v>3300</v>
      </c>
      <c r="G844" s="32" t="s">
        <v>57</v>
      </c>
      <c r="H844" s="73" t="s">
        <v>58</v>
      </c>
      <c r="I844" s="73">
        <v>92.94</v>
      </c>
      <c r="J844" s="73">
        <f>gi10gauge</f>
        <v>131.63</v>
      </c>
      <c r="K844" s="73">
        <f>J844*I844</f>
        <v>12233.69</v>
      </c>
      <c r="L844" s="35"/>
      <c r="M844" s="35"/>
      <c r="N844" s="35"/>
      <c r="O844" s="35"/>
      <c r="P844" s="61"/>
    </row>
    <row r="845" spans="1:16" ht="15.75" x14ac:dyDescent="0.2">
      <c r="A845" s="81"/>
      <c r="B845" s="32" t="s">
        <v>10</v>
      </c>
      <c r="C845" s="73" t="s">
        <v>11</v>
      </c>
      <c r="D845" s="73">
        <v>8</v>
      </c>
      <c r="E845" s="73">
        <f>unskilled</f>
        <v>780</v>
      </c>
      <c r="F845" s="73">
        <f>E845*D845</f>
        <v>6240</v>
      </c>
      <c r="G845" s="32" t="s">
        <v>160</v>
      </c>
      <c r="H845" s="73" t="s">
        <v>58</v>
      </c>
      <c r="I845" s="73">
        <v>12.07</v>
      </c>
      <c r="J845" s="73">
        <f>gi8gauge</f>
        <v>131.63</v>
      </c>
      <c r="K845" s="74">
        <f>J845*I845</f>
        <v>1588.77</v>
      </c>
      <c r="L845" s="73"/>
      <c r="M845" s="73"/>
      <c r="N845" s="73"/>
      <c r="O845" s="73"/>
      <c r="P845" s="61"/>
    </row>
    <row r="846" spans="1:16" ht="15.75" x14ac:dyDescent="0.2">
      <c r="A846" s="81"/>
      <c r="B846" s="32"/>
      <c r="C846" s="73"/>
      <c r="D846" s="73"/>
      <c r="E846" s="73"/>
      <c r="F846" s="73"/>
      <c r="G846" s="32" t="s">
        <v>59</v>
      </c>
      <c r="H846" s="73" t="s">
        <v>50</v>
      </c>
      <c r="I846" s="73">
        <v>5.22</v>
      </c>
      <c r="J846" s="73">
        <f>gi12gauge</f>
        <v>131.63</v>
      </c>
      <c r="K846" s="74">
        <f>J846*I846</f>
        <v>687.11</v>
      </c>
      <c r="L846" s="73"/>
      <c r="M846" s="73"/>
      <c r="N846" s="73"/>
      <c r="O846" s="73"/>
      <c r="P846" s="61"/>
    </row>
    <row r="847" spans="1:16" ht="18.75" x14ac:dyDescent="0.2">
      <c r="A847" s="72"/>
      <c r="B847" s="32"/>
      <c r="C847" s="73"/>
      <c r="D847" s="73"/>
      <c r="E847" s="73"/>
      <c r="F847" s="73"/>
      <c r="G847" s="32" t="s">
        <v>60</v>
      </c>
      <c r="H847" s="73" t="s">
        <v>165</v>
      </c>
      <c r="I847" s="73">
        <v>6.6</v>
      </c>
      <c r="J847" s="73">
        <f>stone</f>
        <v>1516.22</v>
      </c>
      <c r="K847" s="74">
        <f>J847*I847</f>
        <v>10007.049999999999</v>
      </c>
      <c r="L847" s="35"/>
      <c r="M847" s="35"/>
      <c r="N847" s="35"/>
      <c r="O847" s="35"/>
      <c r="P847" s="33"/>
    </row>
    <row r="848" spans="1:16" ht="15.75" x14ac:dyDescent="0.2">
      <c r="A848" s="1005" t="s">
        <v>34</v>
      </c>
      <c r="B848" s="1006"/>
      <c r="C848" s="1006"/>
      <c r="D848" s="1006"/>
      <c r="E848" s="1006"/>
      <c r="F848" s="73">
        <f>SUM(F844:F847)</f>
        <v>9540</v>
      </c>
      <c r="G848" s="1006" t="s">
        <v>35</v>
      </c>
      <c r="H848" s="1006"/>
      <c r="I848" s="1006"/>
      <c r="J848" s="1006"/>
      <c r="K848" s="73">
        <f>SUM(K844:K847)</f>
        <v>24516.62</v>
      </c>
      <c r="L848" s="1006" t="s">
        <v>36</v>
      </c>
      <c r="M848" s="1006"/>
      <c r="N848" s="1006"/>
      <c r="O848" s="1006"/>
      <c r="P848" s="61">
        <f>SUM(P844:P845)</f>
        <v>0</v>
      </c>
    </row>
    <row r="849" spans="1:16" ht="15.75" x14ac:dyDescent="0.2">
      <c r="A849" s="1005" t="s">
        <v>487</v>
      </c>
      <c r="B849" s="1006"/>
      <c r="C849" s="1006"/>
      <c r="D849" s="1006"/>
      <c r="E849" s="1006"/>
      <c r="F849" s="28">
        <f>F848+K848+P848</f>
        <v>34056.620000000003</v>
      </c>
      <c r="G849" s="90"/>
      <c r="H849" s="90"/>
      <c r="I849" s="90"/>
      <c r="J849" s="90"/>
      <c r="K849" s="90"/>
      <c r="L849" s="74"/>
      <c r="M849" s="90"/>
      <c r="N849" s="90"/>
      <c r="O849" s="90"/>
      <c r="P849" s="16"/>
    </row>
    <row r="850" spans="1:16" ht="16.5" thickBot="1" x14ac:dyDescent="0.25">
      <c r="A850" s="82"/>
      <c r="B850" s="999" t="s">
        <v>111</v>
      </c>
      <c r="C850" s="999"/>
      <c r="D850" s="999"/>
      <c r="E850" s="999"/>
      <c r="F850" s="17">
        <f>15%*F849</f>
        <v>5108.49</v>
      </c>
      <c r="G850" s="83"/>
      <c r="H850" s="83"/>
      <c r="I850" s="83"/>
      <c r="J850" s="83"/>
      <c r="K850" s="83"/>
      <c r="L850" s="17"/>
      <c r="M850" s="83"/>
      <c r="N850" s="1000" t="s">
        <v>53</v>
      </c>
      <c r="O850" s="1000"/>
      <c r="P850" s="31">
        <f>(F849+F850)/P841</f>
        <v>6527.52</v>
      </c>
    </row>
    <row r="851" spans="1:16" ht="15.75" x14ac:dyDescent="0.2">
      <c r="A851" s="281"/>
      <c r="B851" s="281"/>
      <c r="C851" s="281"/>
      <c r="D851" s="281"/>
      <c r="E851" s="281"/>
      <c r="F851" s="57"/>
      <c r="G851" s="281"/>
      <c r="H851" s="281"/>
      <c r="I851" s="281"/>
      <c r="J851" s="281"/>
      <c r="K851" s="281"/>
      <c r="L851" s="57"/>
      <c r="M851" s="299"/>
      <c r="N851" s="299"/>
      <c r="O851" s="304"/>
      <c r="P851" s="304"/>
    </row>
    <row r="852" spans="1:16" ht="16.5" thickBot="1" x14ac:dyDescent="0.25">
      <c r="A852" s="350" t="s">
        <v>92</v>
      </c>
      <c r="B852" s="282"/>
      <c r="C852" s="19"/>
      <c r="D852" s="305"/>
      <c r="E852" s="19"/>
      <c r="F852" s="19"/>
      <c r="G852" s="19"/>
      <c r="H852" s="19"/>
      <c r="I852" s="19"/>
      <c r="J852" s="19"/>
      <c r="K852" s="19"/>
      <c r="L852" s="19"/>
      <c r="M852" s="19"/>
      <c r="N852" s="19"/>
      <c r="O852" s="19"/>
      <c r="P852" s="19"/>
    </row>
    <row r="853" spans="1:16" ht="15.75" x14ac:dyDescent="0.2">
      <c r="A853" s="986" t="s">
        <v>29</v>
      </c>
      <c r="B853" s="987"/>
      <c r="C853" s="988" t="s">
        <v>202</v>
      </c>
      <c r="D853" s="989"/>
      <c r="E853" s="989"/>
      <c r="F853" s="989"/>
      <c r="G853" s="989"/>
      <c r="H853" s="989"/>
      <c r="I853" s="989"/>
      <c r="J853" s="989"/>
      <c r="K853" s="989"/>
      <c r="L853" s="989"/>
      <c r="M853" s="989"/>
      <c r="N853" s="989"/>
      <c r="O853" s="989"/>
      <c r="P853" s="274" t="s">
        <v>432</v>
      </c>
    </row>
    <row r="854" spans="1:16" ht="15.75" x14ac:dyDescent="0.2">
      <c r="A854" s="991" t="s">
        <v>93</v>
      </c>
      <c r="B854" s="992"/>
      <c r="C854" s="990"/>
      <c r="D854" s="990"/>
      <c r="E854" s="990"/>
      <c r="F854" s="990"/>
      <c r="G854" s="990"/>
      <c r="H854" s="990"/>
      <c r="I854" s="990"/>
      <c r="J854" s="990"/>
      <c r="K854" s="990"/>
      <c r="L854" s="990"/>
      <c r="M854" s="990"/>
      <c r="N854" s="990"/>
      <c r="O854" s="990"/>
      <c r="P854" s="275">
        <v>300</v>
      </c>
    </row>
    <row r="855" spans="1:16" ht="15.75" x14ac:dyDescent="0.2">
      <c r="A855" s="993" t="s">
        <v>30</v>
      </c>
      <c r="B855" s="995" t="s">
        <v>31</v>
      </c>
      <c r="C855" s="995"/>
      <c r="D855" s="995"/>
      <c r="E855" s="995"/>
      <c r="F855" s="995"/>
      <c r="G855" s="995" t="s">
        <v>32</v>
      </c>
      <c r="H855" s="995"/>
      <c r="I855" s="995"/>
      <c r="J855" s="995"/>
      <c r="K855" s="995"/>
      <c r="L855" s="995" t="s">
        <v>33</v>
      </c>
      <c r="M855" s="995"/>
      <c r="N855" s="995"/>
      <c r="O855" s="995"/>
      <c r="P855" s="996"/>
    </row>
    <row r="856" spans="1:16" ht="15.75" x14ac:dyDescent="0.2">
      <c r="A856" s="994"/>
      <c r="B856" s="351" t="s">
        <v>8</v>
      </c>
      <c r="C856" s="351" t="s">
        <v>7</v>
      </c>
      <c r="D856" s="351" t="s">
        <v>9</v>
      </c>
      <c r="E856" s="351" t="s">
        <v>19</v>
      </c>
      <c r="F856" s="351" t="s">
        <v>20</v>
      </c>
      <c r="G856" s="351" t="s">
        <v>8</v>
      </c>
      <c r="H856" s="351" t="s">
        <v>7</v>
      </c>
      <c r="I856" s="351" t="s">
        <v>9</v>
      </c>
      <c r="J856" s="351" t="s">
        <v>19</v>
      </c>
      <c r="K856" s="351" t="s">
        <v>20</v>
      </c>
      <c r="L856" s="351" t="s">
        <v>8</v>
      </c>
      <c r="M856" s="351" t="s">
        <v>7</v>
      </c>
      <c r="N856" s="351" t="s">
        <v>9</v>
      </c>
      <c r="O856" s="351" t="s">
        <v>19</v>
      </c>
      <c r="P856" s="352" t="s">
        <v>20</v>
      </c>
    </row>
    <row r="857" spans="1:16" ht="18.75" x14ac:dyDescent="0.2">
      <c r="A857" s="77">
        <v>24.5</v>
      </c>
      <c r="B857" s="32" t="s">
        <v>16</v>
      </c>
      <c r="C857" s="78" t="s">
        <v>11</v>
      </c>
      <c r="D857" s="27">
        <v>1</v>
      </c>
      <c r="E857" s="78">
        <f>skilled</f>
        <v>1100</v>
      </c>
      <c r="F857" s="27">
        <f>D857*E857</f>
        <v>1100</v>
      </c>
      <c r="G857" s="353" t="s">
        <v>94</v>
      </c>
      <c r="H857" s="74" t="s">
        <v>168</v>
      </c>
      <c r="I857" s="78">
        <v>360</v>
      </c>
      <c r="J857" s="78">
        <f>geotextile</f>
        <v>120.49</v>
      </c>
      <c r="K857" s="78">
        <f>I857*J857</f>
        <v>43376.4</v>
      </c>
      <c r="L857" s="78"/>
      <c r="M857" s="78"/>
      <c r="N857" s="78"/>
      <c r="O857" s="78"/>
      <c r="P857" s="41"/>
    </row>
    <row r="858" spans="1:16" ht="15.75" x14ac:dyDescent="0.2">
      <c r="A858" s="77"/>
      <c r="B858" s="75" t="s">
        <v>28</v>
      </c>
      <c r="C858" s="78" t="s">
        <v>11</v>
      </c>
      <c r="D858" s="27">
        <v>2</v>
      </c>
      <c r="E858" s="27">
        <f>unskilled</f>
        <v>780</v>
      </c>
      <c r="F858" s="27">
        <f>D858*E858</f>
        <v>1560</v>
      </c>
      <c r="G858" s="354"/>
      <c r="H858" s="353"/>
      <c r="I858" s="355"/>
      <c r="J858" s="78"/>
      <c r="K858" s="28"/>
      <c r="L858" s="78"/>
      <c r="M858" s="78"/>
      <c r="N858" s="78"/>
      <c r="O858" s="78"/>
      <c r="P858" s="41"/>
    </row>
    <row r="859" spans="1:16" ht="15.75" x14ac:dyDescent="0.2">
      <c r="A859" s="997" t="s">
        <v>95</v>
      </c>
      <c r="B859" s="998"/>
      <c r="C859" s="998"/>
      <c r="D859" s="998"/>
      <c r="E859" s="998"/>
      <c r="F859" s="78">
        <f>SUM(F857:F858)</f>
        <v>2660</v>
      </c>
      <c r="G859" s="998" t="s">
        <v>99</v>
      </c>
      <c r="H859" s="998"/>
      <c r="I859" s="998"/>
      <c r="J859" s="998"/>
      <c r="K859" s="78">
        <f>K857</f>
        <v>43376.4</v>
      </c>
      <c r="L859" s="998" t="s">
        <v>36</v>
      </c>
      <c r="M859" s="998"/>
      <c r="N859" s="998"/>
      <c r="O859" s="998"/>
      <c r="P859" s="41">
        <f>SUM(P857:P858)</f>
        <v>0</v>
      </c>
    </row>
    <row r="860" spans="1:16" ht="15.75" x14ac:dyDescent="0.2">
      <c r="A860" s="997" t="s">
        <v>487</v>
      </c>
      <c r="B860" s="998"/>
      <c r="C860" s="998"/>
      <c r="D860" s="998"/>
      <c r="E860" s="998"/>
      <c r="F860" s="28">
        <f>F859+K859+P859</f>
        <v>46036.4</v>
      </c>
      <c r="G860" s="356"/>
      <c r="H860" s="356"/>
      <c r="I860" s="356"/>
      <c r="J860" s="356"/>
      <c r="K860" s="356"/>
      <c r="L860" s="28"/>
      <c r="M860" s="356"/>
      <c r="N860" s="356"/>
      <c r="O860" s="356"/>
      <c r="P860" s="29"/>
    </row>
    <row r="861" spans="1:16" ht="16.5" thickBot="1" x14ac:dyDescent="0.25">
      <c r="A861" s="308"/>
      <c r="B861" s="999" t="s">
        <v>110</v>
      </c>
      <c r="C861" s="999"/>
      <c r="D861" s="999"/>
      <c r="E861" s="999"/>
      <c r="F861" s="17">
        <f>15%*F860</f>
        <v>6905.46</v>
      </c>
      <c r="G861" s="83"/>
      <c r="H861" s="83"/>
      <c r="I861" s="83"/>
      <c r="J861" s="83"/>
      <c r="K861" s="83"/>
      <c r="L861" s="17"/>
      <c r="M861" s="276"/>
      <c r="N861" s="1000" t="s">
        <v>53</v>
      </c>
      <c r="O861" s="1000"/>
      <c r="P861" s="18">
        <f>(F861+F860)/P854</f>
        <v>176.47</v>
      </c>
    </row>
    <row r="862" spans="1:16" s="514" customFormat="1" ht="15.75" x14ac:dyDescent="0.2">
      <c r="A862" s="1086" t="s">
        <v>696</v>
      </c>
      <c r="B862" s="1086"/>
      <c r="C862" s="1086"/>
      <c r="D862" s="1086"/>
      <c r="E862" s="1086"/>
      <c r="F862" s="1086"/>
      <c r="G862" s="1086"/>
      <c r="H862" s="1086"/>
      <c r="I862" s="1086"/>
      <c r="J862" s="1086"/>
      <c r="K862" s="1086"/>
      <c r="L862" s="1086"/>
      <c r="M862" s="1086"/>
      <c r="N862" s="1086"/>
      <c r="O862" s="1086"/>
      <c r="P862" s="1086"/>
    </row>
    <row r="863" spans="1:16" s="514" customFormat="1" ht="16.5" thickBot="1" x14ac:dyDescent="0.25">
      <c r="A863" s="1086" t="s">
        <v>697</v>
      </c>
      <c r="B863" s="1086"/>
      <c r="C863" s="1086"/>
      <c r="D863" s="1086"/>
      <c r="E863" s="1086"/>
      <c r="F863" s="1086"/>
      <c r="G863" s="1086"/>
      <c r="H863" s="1086"/>
      <c r="I863" s="1086"/>
      <c r="J863" s="1086"/>
      <c r="K863" s="1086"/>
      <c r="L863" s="1086"/>
      <c r="M863" s="1086"/>
      <c r="N863" s="1086"/>
      <c r="O863" s="1086"/>
      <c r="P863" s="1086"/>
    </row>
    <row r="864" spans="1:16" s="514" customFormat="1" ht="15.75" x14ac:dyDescent="0.2">
      <c r="A864" s="1087" t="s">
        <v>29</v>
      </c>
      <c r="B864" s="1088"/>
      <c r="C864" s="1089" t="s">
        <v>699</v>
      </c>
      <c r="D864" s="1090"/>
      <c r="E864" s="1090"/>
      <c r="F864" s="1090"/>
      <c r="G864" s="1090"/>
      <c r="H864" s="1090"/>
      <c r="I864" s="1090"/>
      <c r="J864" s="1090"/>
      <c r="K864" s="1090"/>
      <c r="L864" s="1090"/>
      <c r="M864" s="1090"/>
      <c r="N864" s="1090"/>
      <c r="O864" s="1090"/>
      <c r="P864" s="515" t="s">
        <v>434</v>
      </c>
    </row>
    <row r="865" spans="1:16" s="514" customFormat="1" ht="31.15" customHeight="1" x14ac:dyDescent="0.2">
      <c r="A865" s="1092" t="s">
        <v>698</v>
      </c>
      <c r="B865" s="1093"/>
      <c r="C865" s="1091"/>
      <c r="D865" s="1091"/>
      <c r="E865" s="1091"/>
      <c r="F865" s="1091"/>
      <c r="G865" s="1091"/>
      <c r="H865" s="1091"/>
      <c r="I865" s="1091"/>
      <c r="J865" s="1091"/>
      <c r="K865" s="1091"/>
      <c r="L865" s="1091"/>
      <c r="M865" s="1091"/>
      <c r="N865" s="1091"/>
      <c r="O865" s="1091"/>
      <c r="P865" s="516">
        <v>30</v>
      </c>
    </row>
    <row r="866" spans="1:16" s="514" customFormat="1" ht="15.75" x14ac:dyDescent="0.2">
      <c r="A866" s="1094" t="s">
        <v>30</v>
      </c>
      <c r="B866" s="1096" t="s">
        <v>31</v>
      </c>
      <c r="C866" s="1096"/>
      <c r="D866" s="1096"/>
      <c r="E866" s="1096"/>
      <c r="F866" s="1096"/>
      <c r="G866" s="1096" t="s">
        <v>32</v>
      </c>
      <c r="H866" s="1096"/>
      <c r="I866" s="1096"/>
      <c r="J866" s="1096"/>
      <c r="K866" s="1096"/>
      <c r="L866" s="1096" t="s">
        <v>33</v>
      </c>
      <c r="M866" s="1096"/>
      <c r="N866" s="1096"/>
      <c r="O866" s="1096"/>
      <c r="P866" s="1097"/>
    </row>
    <row r="867" spans="1:16" s="514" customFormat="1" ht="15.75" x14ac:dyDescent="0.2">
      <c r="A867" s="1095"/>
      <c r="B867" s="517" t="s">
        <v>8</v>
      </c>
      <c r="C867" s="517" t="s">
        <v>7</v>
      </c>
      <c r="D867" s="517" t="s">
        <v>9</v>
      </c>
      <c r="E867" s="517" t="s">
        <v>19</v>
      </c>
      <c r="F867" s="517" t="s">
        <v>20</v>
      </c>
      <c r="G867" s="517" t="s">
        <v>8</v>
      </c>
      <c r="H867" s="517" t="s">
        <v>7</v>
      </c>
      <c r="I867" s="517" t="s">
        <v>9</v>
      </c>
      <c r="J867" s="517" t="s">
        <v>19</v>
      </c>
      <c r="K867" s="517" t="s">
        <v>20</v>
      </c>
      <c r="L867" s="517" t="s">
        <v>8</v>
      </c>
      <c r="M867" s="517" t="s">
        <v>7</v>
      </c>
      <c r="N867" s="517" t="s">
        <v>9</v>
      </c>
      <c r="O867" s="517" t="s">
        <v>19</v>
      </c>
      <c r="P867" s="518" t="s">
        <v>20</v>
      </c>
    </row>
    <row r="868" spans="1:16" s="514" customFormat="1" ht="31.5" x14ac:dyDescent="0.2">
      <c r="A868" s="519">
        <v>25.5</v>
      </c>
      <c r="B868" s="520" t="s">
        <v>16</v>
      </c>
      <c r="C868" s="521" t="s">
        <v>11</v>
      </c>
      <c r="D868" s="27">
        <v>1</v>
      </c>
      <c r="E868" s="78">
        <f>skilled</f>
        <v>1100</v>
      </c>
      <c r="F868" s="27">
        <f>D868*E868</f>
        <v>1100</v>
      </c>
      <c r="G868" s="522" t="s">
        <v>695</v>
      </c>
      <c r="H868" s="74" t="s">
        <v>17</v>
      </c>
      <c r="I868" s="74">
        <v>31.5</v>
      </c>
      <c r="J868" s="74">
        <f>HDPEpipe100mm</f>
        <v>445.62</v>
      </c>
      <c r="K868" s="27">
        <f>I868*J868</f>
        <v>14037.03</v>
      </c>
      <c r="L868" s="523"/>
      <c r="M868" s="74"/>
      <c r="N868" s="27"/>
      <c r="O868" s="78"/>
      <c r="P868" s="85"/>
    </row>
    <row r="869" spans="1:16" s="514" customFormat="1" ht="15.75" x14ac:dyDescent="0.2">
      <c r="A869" s="77"/>
      <c r="B869" s="524" t="s">
        <v>28</v>
      </c>
      <c r="C869" s="521" t="s">
        <v>11</v>
      </c>
      <c r="D869" s="27">
        <v>1</v>
      </c>
      <c r="E869" s="27">
        <f>unskilled</f>
        <v>780</v>
      </c>
      <c r="F869" s="27">
        <f>D869*E869</f>
        <v>780</v>
      </c>
      <c r="G869" s="522"/>
      <c r="H869" s="74"/>
      <c r="I869" s="74"/>
      <c r="J869" s="74"/>
      <c r="K869" s="27"/>
      <c r="L869" s="522"/>
      <c r="M869" s="74"/>
      <c r="N869" s="27"/>
      <c r="O869" s="27"/>
      <c r="P869" s="85"/>
    </row>
    <row r="870" spans="1:16" s="514" customFormat="1" ht="15.75" x14ac:dyDescent="0.2">
      <c r="A870" s="997" t="s">
        <v>95</v>
      </c>
      <c r="B870" s="998"/>
      <c r="C870" s="998"/>
      <c r="D870" s="998"/>
      <c r="E870" s="998"/>
      <c r="F870" s="78">
        <f>SUM(F868:F869)</f>
        <v>1880</v>
      </c>
      <c r="G870" s="998" t="s">
        <v>99</v>
      </c>
      <c r="H870" s="998"/>
      <c r="I870" s="998"/>
      <c r="J870" s="998"/>
      <c r="K870" s="78">
        <f>SUM(K868:K869)</f>
        <v>14037.03</v>
      </c>
      <c r="L870" s="998" t="s">
        <v>36</v>
      </c>
      <c r="M870" s="998"/>
      <c r="N870" s="998"/>
      <c r="O870" s="998"/>
      <c r="P870" s="41">
        <f>SUM(P868:P869)</f>
        <v>0</v>
      </c>
    </row>
    <row r="871" spans="1:16" s="514" customFormat="1" ht="31.5" x14ac:dyDescent="0.2">
      <c r="A871" s="1098" t="s">
        <v>487</v>
      </c>
      <c r="B871" s="1099"/>
      <c r="C871" s="1099"/>
      <c r="D871" s="1099"/>
      <c r="E871" s="1099"/>
      <c r="F871" s="28">
        <f>F870+K870+P870</f>
        <v>15917.03</v>
      </c>
      <c r="G871" s="522" t="s">
        <v>1177</v>
      </c>
      <c r="H871" s="525" t="s">
        <v>17</v>
      </c>
      <c r="I871" s="525">
        <v>31.5</v>
      </c>
      <c r="J871" s="356">
        <f>'Basic Rate'!G40</f>
        <v>222.8</v>
      </c>
      <c r="K871" s="27">
        <f>I871*J871</f>
        <v>7018.2</v>
      </c>
      <c r="L871" s="28"/>
      <c r="M871" s="525"/>
      <c r="N871" s="525"/>
      <c r="O871" s="525"/>
      <c r="P871" s="29"/>
    </row>
    <row r="872" spans="1:16" s="514" customFormat="1" ht="16.5" thickBot="1" x14ac:dyDescent="0.25">
      <c r="A872" s="526"/>
      <c r="B872" s="1100" t="s">
        <v>110</v>
      </c>
      <c r="C872" s="1100"/>
      <c r="D872" s="1100"/>
      <c r="E872" s="1100"/>
      <c r="F872" s="17">
        <f>15%*F871</f>
        <v>2387.5500000000002</v>
      </c>
      <c r="G872" s="527"/>
      <c r="H872" s="527"/>
      <c r="I872" s="527"/>
      <c r="J872" s="527"/>
      <c r="K872" s="527"/>
      <c r="L872" s="17"/>
      <c r="M872" s="528"/>
      <c r="N872" s="1101" t="s">
        <v>53</v>
      </c>
      <c r="O872" s="1101"/>
      <c r="P872" s="18">
        <f>(F872+F871)/P865</f>
        <v>610.15</v>
      </c>
    </row>
    <row r="873" spans="1:16" s="514" customFormat="1" ht="16.5" thickBot="1" x14ac:dyDescent="0.25">
      <c r="A873" s="978"/>
      <c r="B873" s="979"/>
      <c r="C873" s="979"/>
      <c r="D873" s="979"/>
      <c r="E873" s="979"/>
      <c r="F873" s="979"/>
      <c r="G873" s="979"/>
      <c r="H873" s="979"/>
      <c r="I873" s="979"/>
      <c r="J873" s="979"/>
      <c r="K873" s="980"/>
      <c r="L873" s="981" t="s">
        <v>1178</v>
      </c>
      <c r="M873" s="982"/>
      <c r="N873" s="1102" t="s">
        <v>53</v>
      </c>
      <c r="O873" s="1102"/>
      <c r="P873" s="563">
        <f>1.15*(F870+K871+P870)/P865</f>
        <v>341.1</v>
      </c>
    </row>
    <row r="874" spans="1:16" ht="16.5" thickBot="1" x14ac:dyDescent="0.25">
      <c r="A874" s="312"/>
      <c r="B874" s="301"/>
      <c r="C874" s="301"/>
      <c r="D874" s="301"/>
      <c r="E874" s="301"/>
      <c r="F874" s="51"/>
      <c r="G874" s="301"/>
      <c r="H874" s="301"/>
      <c r="I874" s="301"/>
      <c r="J874" s="301"/>
      <c r="K874" s="301"/>
      <c r="L874" s="51"/>
      <c r="M874" s="280"/>
      <c r="N874" s="303"/>
      <c r="O874" s="303"/>
      <c r="P874" s="52"/>
    </row>
    <row r="875" spans="1:16" ht="16.5" hidden="1" thickBot="1" x14ac:dyDescent="0.25">
      <c r="A875" s="350" t="s">
        <v>640</v>
      </c>
      <c r="B875" s="283"/>
      <c r="C875" s="283"/>
      <c r="D875" s="283"/>
      <c r="E875" s="283"/>
      <c r="F875" s="19"/>
      <c r="G875" s="283"/>
      <c r="H875" s="283"/>
      <c r="I875" s="283"/>
      <c r="J875" s="283"/>
      <c r="K875" s="283"/>
      <c r="L875" s="19"/>
      <c r="M875" s="306"/>
      <c r="N875" s="306"/>
      <c r="O875" s="306"/>
      <c r="P875" s="30"/>
    </row>
    <row r="876" spans="1:16" ht="15.75" hidden="1" x14ac:dyDescent="0.2">
      <c r="A876" s="986" t="s">
        <v>29</v>
      </c>
      <c r="B876" s="987"/>
      <c r="C876" s="988" t="s">
        <v>637</v>
      </c>
      <c r="D876" s="989"/>
      <c r="E876" s="989"/>
      <c r="F876" s="989"/>
      <c r="G876" s="989"/>
      <c r="H876" s="989"/>
      <c r="I876" s="989"/>
      <c r="J876" s="989"/>
      <c r="K876" s="989"/>
      <c r="L876" s="989"/>
      <c r="M876" s="989"/>
      <c r="N876" s="989"/>
      <c r="O876" s="989"/>
      <c r="P876" s="274" t="s">
        <v>433</v>
      </c>
    </row>
    <row r="877" spans="1:16" ht="15.75" hidden="1" x14ac:dyDescent="0.2">
      <c r="A877" s="991" t="s">
        <v>636</v>
      </c>
      <c r="B877" s="992"/>
      <c r="C877" s="990"/>
      <c r="D877" s="990"/>
      <c r="E877" s="990"/>
      <c r="F877" s="990"/>
      <c r="G877" s="990"/>
      <c r="H877" s="990"/>
      <c r="I877" s="990"/>
      <c r="J877" s="990"/>
      <c r="K877" s="990"/>
      <c r="L877" s="990"/>
      <c r="M877" s="990"/>
      <c r="N877" s="990"/>
      <c r="O877" s="990"/>
      <c r="P877" s="275">
        <v>100</v>
      </c>
    </row>
    <row r="878" spans="1:16" ht="15.75" hidden="1" x14ac:dyDescent="0.2">
      <c r="A878" s="993" t="s">
        <v>30</v>
      </c>
      <c r="B878" s="995" t="s">
        <v>31</v>
      </c>
      <c r="C878" s="995"/>
      <c r="D878" s="995"/>
      <c r="E878" s="995"/>
      <c r="F878" s="995"/>
      <c r="G878" s="995" t="s">
        <v>32</v>
      </c>
      <c r="H878" s="995"/>
      <c r="I878" s="995"/>
      <c r="J878" s="995"/>
      <c r="K878" s="995"/>
      <c r="L878" s="995" t="s">
        <v>33</v>
      </c>
      <c r="M878" s="995"/>
      <c r="N878" s="995"/>
      <c r="O878" s="995"/>
      <c r="P878" s="996"/>
    </row>
    <row r="879" spans="1:16" ht="15.75" hidden="1" x14ac:dyDescent="0.2">
      <c r="A879" s="994"/>
      <c r="B879" s="351" t="s">
        <v>8</v>
      </c>
      <c r="C879" s="351" t="s">
        <v>7</v>
      </c>
      <c r="D879" s="351" t="s">
        <v>9</v>
      </c>
      <c r="E879" s="351" t="s">
        <v>19</v>
      </c>
      <c r="F879" s="351" t="s">
        <v>20</v>
      </c>
      <c r="G879" s="351" t="s">
        <v>8</v>
      </c>
      <c r="H879" s="351" t="s">
        <v>7</v>
      </c>
      <c r="I879" s="351" t="s">
        <v>9</v>
      </c>
      <c r="J879" s="351" t="s">
        <v>19</v>
      </c>
      <c r="K879" s="351" t="s">
        <v>20</v>
      </c>
      <c r="L879" s="351" t="s">
        <v>8</v>
      </c>
      <c r="M879" s="351" t="s">
        <v>7</v>
      </c>
      <c r="N879" s="351" t="s">
        <v>9</v>
      </c>
      <c r="O879" s="351" t="s">
        <v>19</v>
      </c>
      <c r="P879" s="352" t="s">
        <v>20</v>
      </c>
    </row>
    <row r="880" spans="1:16" ht="15.75" hidden="1" x14ac:dyDescent="0.2">
      <c r="A880" s="77" t="s">
        <v>639</v>
      </c>
      <c r="B880" s="32" t="s">
        <v>16</v>
      </c>
      <c r="C880" s="78" t="s">
        <v>11</v>
      </c>
      <c r="D880" s="27">
        <v>2</v>
      </c>
      <c r="E880" s="78">
        <f>skilled</f>
        <v>1100</v>
      </c>
      <c r="F880" s="27">
        <f>D880*E880</f>
        <v>2200</v>
      </c>
      <c r="G880" s="353" t="s">
        <v>651</v>
      </c>
      <c r="H880" s="74" t="s">
        <v>250</v>
      </c>
      <c r="I880" s="27">
        <v>100</v>
      </c>
      <c r="J880" s="78">
        <f>stone</f>
        <v>1516.22</v>
      </c>
      <c r="K880" s="27">
        <f>I880*J880</f>
        <v>151622</v>
      </c>
      <c r="L880" s="353" t="s">
        <v>197</v>
      </c>
      <c r="M880" s="74" t="s">
        <v>13</v>
      </c>
      <c r="N880" s="27">
        <v>6</v>
      </c>
      <c r="O880" s="78">
        <f>excavator</f>
        <v>3357.5</v>
      </c>
      <c r="P880" s="85">
        <f>N880*O880</f>
        <v>20145</v>
      </c>
    </row>
    <row r="881" spans="1:16" ht="15.75" hidden="1" x14ac:dyDescent="0.2">
      <c r="A881" s="77"/>
      <c r="B881" s="75" t="s">
        <v>28</v>
      </c>
      <c r="C881" s="78" t="s">
        <v>11</v>
      </c>
      <c r="D881" s="27">
        <v>4</v>
      </c>
      <c r="E881" s="27">
        <f>unskilled</f>
        <v>780</v>
      </c>
      <c r="F881" s="27">
        <f>D881*E881</f>
        <v>3120</v>
      </c>
      <c r="G881" s="354" t="s">
        <v>638</v>
      </c>
      <c r="H881" s="74" t="s">
        <v>250</v>
      </c>
      <c r="I881" s="27">
        <v>20</v>
      </c>
      <c r="J881" s="27">
        <f>stone</f>
        <v>1516.22</v>
      </c>
      <c r="K881" s="27">
        <f>I881*J881</f>
        <v>30324.400000000001</v>
      </c>
      <c r="L881" s="354"/>
      <c r="M881" s="74"/>
      <c r="N881" s="27"/>
      <c r="O881" s="27"/>
      <c r="P881" s="85"/>
    </row>
    <row r="882" spans="1:16" ht="15.75" hidden="1" x14ac:dyDescent="0.2">
      <c r="A882" s="997" t="s">
        <v>95</v>
      </c>
      <c r="B882" s="998"/>
      <c r="C882" s="998"/>
      <c r="D882" s="998"/>
      <c r="E882" s="998"/>
      <c r="F882" s="78">
        <f>SUM(F880:F881)</f>
        <v>5320</v>
      </c>
      <c r="G882" s="998" t="s">
        <v>99</v>
      </c>
      <c r="H882" s="998"/>
      <c r="I882" s="998"/>
      <c r="J882" s="998"/>
      <c r="K882" s="78">
        <f>SUM(K880:K881)</f>
        <v>181946.4</v>
      </c>
      <c r="L882" s="998" t="s">
        <v>36</v>
      </c>
      <c r="M882" s="998"/>
      <c r="N882" s="998"/>
      <c r="O882" s="998"/>
      <c r="P882" s="41">
        <f>SUM(P880:P881)</f>
        <v>20145</v>
      </c>
    </row>
    <row r="883" spans="1:16" ht="15.75" hidden="1" x14ac:dyDescent="0.2">
      <c r="A883" s="997" t="s">
        <v>487</v>
      </c>
      <c r="B883" s="998"/>
      <c r="C883" s="998"/>
      <c r="D883" s="998"/>
      <c r="E883" s="998"/>
      <c r="F883" s="28">
        <f>F882+K882+P882</f>
        <v>207411.4</v>
      </c>
      <c r="G883" s="356"/>
      <c r="H883" s="356"/>
      <c r="I883" s="356"/>
      <c r="J883" s="356"/>
      <c r="K883" s="356"/>
      <c r="L883" s="28"/>
      <c r="M883" s="356"/>
      <c r="N883" s="356"/>
      <c r="O883" s="356"/>
      <c r="P883" s="29"/>
    </row>
    <row r="884" spans="1:16" ht="16.5" hidden="1" thickBot="1" x14ac:dyDescent="0.25">
      <c r="A884" s="308"/>
      <c r="B884" s="999" t="s">
        <v>110</v>
      </c>
      <c r="C884" s="999"/>
      <c r="D884" s="999"/>
      <c r="E884" s="999"/>
      <c r="F884" s="17">
        <f>15%*F883</f>
        <v>31111.71</v>
      </c>
      <c r="G884" s="83"/>
      <c r="H884" s="83"/>
      <c r="I884" s="83"/>
      <c r="J884" s="83"/>
      <c r="K884" s="83"/>
      <c r="L884" s="17"/>
      <c r="M884" s="276"/>
      <c r="N884" s="1000" t="s">
        <v>53</v>
      </c>
      <c r="O884" s="1000"/>
      <c r="P884" s="18">
        <f>(F884+F883)/P877</f>
        <v>2385.23</v>
      </c>
    </row>
    <row r="885" spans="1:16" ht="16.5" hidden="1" thickBot="1" x14ac:dyDescent="0.25">
      <c r="A885" s="281"/>
      <c r="B885" s="281"/>
      <c r="C885" s="281"/>
      <c r="D885" s="281"/>
      <c r="E885" s="281"/>
      <c r="F885" s="57"/>
      <c r="G885" s="281"/>
      <c r="H885" s="281"/>
      <c r="I885" s="281"/>
      <c r="J885" s="281"/>
      <c r="K885" s="281"/>
      <c r="L885" s="57"/>
      <c r="M885" s="299"/>
      <c r="N885" s="299"/>
      <c r="O885" s="299"/>
      <c r="P885" s="43"/>
    </row>
    <row r="886" spans="1:16" ht="15.75" hidden="1" x14ac:dyDescent="0.2">
      <c r="A886" s="986" t="s">
        <v>29</v>
      </c>
      <c r="B886" s="987"/>
      <c r="C886" s="988" t="s">
        <v>751</v>
      </c>
      <c r="D886" s="989"/>
      <c r="E886" s="989"/>
      <c r="F886" s="989"/>
      <c r="G886" s="989"/>
      <c r="H886" s="989"/>
      <c r="I886" s="989"/>
      <c r="J886" s="989"/>
      <c r="K886" s="989"/>
      <c r="L886" s="989"/>
      <c r="M886" s="989"/>
      <c r="N886" s="989"/>
      <c r="O886" s="989"/>
      <c r="P886" s="274" t="s">
        <v>433</v>
      </c>
    </row>
    <row r="887" spans="1:16" ht="15.75" hidden="1" x14ac:dyDescent="0.2">
      <c r="A887" s="991" t="s">
        <v>636</v>
      </c>
      <c r="B887" s="992"/>
      <c r="C887" s="990"/>
      <c r="D887" s="990"/>
      <c r="E887" s="990"/>
      <c r="F887" s="990"/>
      <c r="G887" s="990"/>
      <c r="H887" s="990"/>
      <c r="I887" s="990"/>
      <c r="J887" s="990"/>
      <c r="K887" s="990"/>
      <c r="L887" s="990"/>
      <c r="M887" s="990"/>
      <c r="N887" s="990"/>
      <c r="O887" s="990"/>
      <c r="P887" s="275">
        <v>100</v>
      </c>
    </row>
    <row r="888" spans="1:16" ht="15.75" hidden="1" x14ac:dyDescent="0.2">
      <c r="A888" s="993" t="s">
        <v>30</v>
      </c>
      <c r="B888" s="995" t="s">
        <v>31</v>
      </c>
      <c r="C888" s="995"/>
      <c r="D888" s="995"/>
      <c r="E888" s="995"/>
      <c r="F888" s="995"/>
      <c r="G888" s="995" t="s">
        <v>32</v>
      </c>
      <c r="H888" s="995"/>
      <c r="I888" s="995"/>
      <c r="J888" s="995"/>
      <c r="K888" s="995"/>
      <c r="L888" s="995" t="s">
        <v>33</v>
      </c>
      <c r="M888" s="995"/>
      <c r="N888" s="995"/>
      <c r="O888" s="995"/>
      <c r="P888" s="996"/>
    </row>
    <row r="889" spans="1:16" ht="15.75" hidden="1" x14ac:dyDescent="0.2">
      <c r="A889" s="994"/>
      <c r="B889" s="351" t="s">
        <v>8</v>
      </c>
      <c r="C889" s="351" t="s">
        <v>7</v>
      </c>
      <c r="D889" s="351" t="s">
        <v>9</v>
      </c>
      <c r="E889" s="351" t="s">
        <v>19</v>
      </c>
      <c r="F889" s="351" t="s">
        <v>20</v>
      </c>
      <c r="G889" s="351" t="s">
        <v>8</v>
      </c>
      <c r="H889" s="351" t="s">
        <v>7</v>
      </c>
      <c r="I889" s="351" t="s">
        <v>9</v>
      </c>
      <c r="J889" s="351" t="s">
        <v>19</v>
      </c>
      <c r="K889" s="351" t="s">
        <v>20</v>
      </c>
      <c r="L889" s="351" t="s">
        <v>8</v>
      </c>
      <c r="M889" s="351" t="s">
        <v>7</v>
      </c>
      <c r="N889" s="351" t="s">
        <v>9</v>
      </c>
      <c r="O889" s="351" t="s">
        <v>19</v>
      </c>
      <c r="P889" s="352" t="s">
        <v>20</v>
      </c>
    </row>
    <row r="890" spans="1:16" ht="15.75" hidden="1" x14ac:dyDescent="0.2">
      <c r="A890" s="77" t="s">
        <v>653</v>
      </c>
      <c r="B890" s="32" t="s">
        <v>16</v>
      </c>
      <c r="C890" s="78" t="s">
        <v>11</v>
      </c>
      <c r="D890" s="27">
        <v>2</v>
      </c>
      <c r="E890" s="78">
        <f>skilled</f>
        <v>1100</v>
      </c>
      <c r="F890" s="27">
        <f>D890*E890</f>
        <v>2200</v>
      </c>
      <c r="G890" s="353" t="s">
        <v>652</v>
      </c>
      <c r="H890" s="74" t="s">
        <v>250</v>
      </c>
      <c r="I890" s="27">
        <v>100</v>
      </c>
      <c r="J890" s="78">
        <f>stone</f>
        <v>1516.22</v>
      </c>
      <c r="K890" s="27">
        <f>I890*J890</f>
        <v>151622</v>
      </c>
      <c r="L890" s="353" t="s">
        <v>654</v>
      </c>
      <c r="M890" s="74" t="s">
        <v>13</v>
      </c>
      <c r="N890" s="27">
        <v>12</v>
      </c>
      <c r="O890" s="78">
        <f>crane15t</f>
        <v>4170.5</v>
      </c>
      <c r="P890" s="85">
        <f>N890*O890</f>
        <v>50046</v>
      </c>
    </row>
    <row r="891" spans="1:16" ht="15.75" hidden="1" x14ac:dyDescent="0.2">
      <c r="A891" s="77"/>
      <c r="B891" s="75" t="s">
        <v>28</v>
      </c>
      <c r="C891" s="78" t="s">
        <v>11</v>
      </c>
      <c r="D891" s="27">
        <v>6</v>
      </c>
      <c r="E891" s="27">
        <f>unskilled</f>
        <v>780</v>
      </c>
      <c r="F891" s="27">
        <f>D891*E891</f>
        <v>4680</v>
      </c>
      <c r="G891" s="354" t="s">
        <v>638</v>
      </c>
      <c r="H891" s="74" t="s">
        <v>250</v>
      </c>
      <c r="I891" s="27">
        <v>20</v>
      </c>
      <c r="J891" s="27">
        <f>stone</f>
        <v>1516.22</v>
      </c>
      <c r="K891" s="27">
        <f>I891*J891</f>
        <v>30324.400000000001</v>
      </c>
      <c r="L891" s="354"/>
      <c r="M891" s="74"/>
      <c r="N891" s="27"/>
      <c r="O891" s="27"/>
      <c r="P891" s="85"/>
    </row>
    <row r="892" spans="1:16" ht="15.75" hidden="1" x14ac:dyDescent="0.2">
      <c r="A892" s="997" t="s">
        <v>95</v>
      </c>
      <c r="B892" s="998"/>
      <c r="C892" s="998"/>
      <c r="D892" s="998"/>
      <c r="E892" s="998"/>
      <c r="F892" s="78">
        <f>SUM(F890:F891)</f>
        <v>6880</v>
      </c>
      <c r="G892" s="998" t="s">
        <v>99</v>
      </c>
      <c r="H892" s="998"/>
      <c r="I892" s="998"/>
      <c r="J892" s="998"/>
      <c r="K892" s="78">
        <f>SUM(K890:K891)</f>
        <v>181946.4</v>
      </c>
      <c r="L892" s="998" t="s">
        <v>36</v>
      </c>
      <c r="M892" s="998"/>
      <c r="N892" s="998"/>
      <c r="O892" s="998"/>
      <c r="P892" s="41">
        <f>SUM(P890:P891)</f>
        <v>50046</v>
      </c>
    </row>
    <row r="893" spans="1:16" ht="15.75" hidden="1" x14ac:dyDescent="0.2">
      <c r="A893" s="997" t="s">
        <v>487</v>
      </c>
      <c r="B893" s="998"/>
      <c r="C893" s="998"/>
      <c r="D893" s="998"/>
      <c r="E893" s="998"/>
      <c r="F893" s="28">
        <f>F892+K892+P892</f>
        <v>238872.4</v>
      </c>
      <c r="G893" s="356"/>
      <c r="H893" s="356"/>
      <c r="I893" s="356"/>
      <c r="J893" s="356"/>
      <c r="K893" s="356"/>
      <c r="L893" s="28"/>
      <c r="M893" s="356"/>
      <c r="N893" s="356"/>
      <c r="O893" s="356"/>
      <c r="P893" s="29"/>
    </row>
    <row r="894" spans="1:16" ht="16.5" hidden="1" thickBot="1" x14ac:dyDescent="0.25">
      <c r="A894" s="308"/>
      <c r="B894" s="999" t="s">
        <v>110</v>
      </c>
      <c r="C894" s="999"/>
      <c r="D894" s="999"/>
      <c r="E894" s="999"/>
      <c r="F894" s="17">
        <f>15%*F893</f>
        <v>35830.86</v>
      </c>
      <c r="G894" s="83"/>
      <c r="H894" s="83"/>
      <c r="I894" s="83"/>
      <c r="J894" s="83"/>
      <c r="K894" s="83"/>
      <c r="L894" s="17"/>
      <c r="M894" s="276"/>
      <c r="N894" s="1000" t="s">
        <v>53</v>
      </c>
      <c r="O894" s="1000"/>
      <c r="P894" s="18">
        <f>(F894+F893)/P887</f>
        <v>2747.03</v>
      </c>
    </row>
    <row r="895" spans="1:16" ht="16.5" hidden="1" thickBot="1" x14ac:dyDescent="0.25">
      <c r="A895" s="281"/>
      <c r="B895" s="281"/>
      <c r="C895" s="281"/>
      <c r="D895" s="281"/>
      <c r="E895" s="281"/>
      <c r="F895" s="57"/>
      <c r="G895" s="281"/>
      <c r="H895" s="281"/>
      <c r="I895" s="281"/>
      <c r="J895" s="281"/>
      <c r="K895" s="281"/>
      <c r="L895" s="57"/>
      <c r="M895" s="299"/>
      <c r="N895" s="299"/>
      <c r="O895" s="299"/>
      <c r="P895" s="43"/>
    </row>
    <row r="896" spans="1:16" ht="15.75" hidden="1" x14ac:dyDescent="0.2">
      <c r="A896" s="986" t="s">
        <v>29</v>
      </c>
      <c r="B896" s="987"/>
      <c r="C896" s="988" t="s">
        <v>655</v>
      </c>
      <c r="D896" s="989"/>
      <c r="E896" s="989"/>
      <c r="F896" s="989"/>
      <c r="G896" s="989"/>
      <c r="H896" s="989"/>
      <c r="I896" s="989"/>
      <c r="J896" s="989"/>
      <c r="K896" s="989"/>
      <c r="L896" s="989"/>
      <c r="M896" s="989"/>
      <c r="N896" s="989"/>
      <c r="O896" s="989"/>
      <c r="P896" s="274" t="s">
        <v>433</v>
      </c>
    </row>
    <row r="897" spans="1:16" ht="15.75" hidden="1" x14ac:dyDescent="0.2">
      <c r="A897" s="991" t="s">
        <v>636</v>
      </c>
      <c r="B897" s="992"/>
      <c r="C897" s="990"/>
      <c r="D897" s="990"/>
      <c r="E897" s="990"/>
      <c r="F897" s="990"/>
      <c r="G897" s="990"/>
      <c r="H897" s="990"/>
      <c r="I897" s="990"/>
      <c r="J897" s="990"/>
      <c r="K897" s="990"/>
      <c r="L897" s="990"/>
      <c r="M897" s="990"/>
      <c r="N897" s="990"/>
      <c r="O897" s="990"/>
      <c r="P897" s="275">
        <v>1</v>
      </c>
    </row>
    <row r="898" spans="1:16" ht="15.75" hidden="1" x14ac:dyDescent="0.2">
      <c r="A898" s="993" t="s">
        <v>30</v>
      </c>
      <c r="B898" s="995" t="s">
        <v>31</v>
      </c>
      <c r="C898" s="995"/>
      <c r="D898" s="995"/>
      <c r="E898" s="995"/>
      <c r="F898" s="995"/>
      <c r="G898" s="995" t="s">
        <v>32</v>
      </c>
      <c r="H898" s="995"/>
      <c r="I898" s="995"/>
      <c r="J898" s="995"/>
      <c r="K898" s="995"/>
      <c r="L898" s="995" t="s">
        <v>33</v>
      </c>
      <c r="M898" s="995"/>
      <c r="N898" s="995"/>
      <c r="O898" s="995"/>
      <c r="P898" s="996"/>
    </row>
    <row r="899" spans="1:16" ht="15.75" hidden="1" x14ac:dyDescent="0.2">
      <c r="A899" s="994"/>
      <c r="B899" s="351" t="s">
        <v>8</v>
      </c>
      <c r="C899" s="351" t="s">
        <v>7</v>
      </c>
      <c r="D899" s="351" t="s">
        <v>9</v>
      </c>
      <c r="E899" s="351" t="s">
        <v>19</v>
      </c>
      <c r="F899" s="351" t="s">
        <v>20</v>
      </c>
      <c r="G899" s="351" t="s">
        <v>8</v>
      </c>
      <c r="H899" s="351" t="s">
        <v>7</v>
      </c>
      <c r="I899" s="351" t="s">
        <v>9</v>
      </c>
      <c r="J899" s="351" t="s">
        <v>19</v>
      </c>
      <c r="K899" s="351" t="s">
        <v>20</v>
      </c>
      <c r="L899" s="351" t="s">
        <v>8</v>
      </c>
      <c r="M899" s="351" t="s">
        <v>7</v>
      </c>
      <c r="N899" s="351" t="s">
        <v>9</v>
      </c>
      <c r="O899" s="351" t="s">
        <v>19</v>
      </c>
      <c r="P899" s="352" t="s">
        <v>20</v>
      </c>
    </row>
    <row r="900" spans="1:16" ht="15.75" hidden="1" x14ac:dyDescent="0.2">
      <c r="A900" s="77">
        <v>24.15</v>
      </c>
      <c r="B900" s="32" t="s">
        <v>16</v>
      </c>
      <c r="C900" s="78" t="s">
        <v>11</v>
      </c>
      <c r="D900" s="27">
        <v>1</v>
      </c>
      <c r="E900" s="78">
        <f>skilled</f>
        <v>1100</v>
      </c>
      <c r="F900" s="27">
        <f>D900*E900</f>
        <v>1100</v>
      </c>
      <c r="G900" s="353" t="s">
        <v>651</v>
      </c>
      <c r="H900" s="74" t="s">
        <v>250</v>
      </c>
      <c r="I900" s="27">
        <v>1</v>
      </c>
      <c r="J900" s="78">
        <f>stone</f>
        <v>1516.22</v>
      </c>
      <c r="K900" s="27">
        <f>I900*J900</f>
        <v>1516.22</v>
      </c>
      <c r="L900" s="353"/>
      <c r="M900" s="74"/>
      <c r="N900" s="27"/>
      <c r="O900" s="78"/>
      <c r="P900" s="85"/>
    </row>
    <row r="901" spans="1:16" ht="15.75" hidden="1" x14ac:dyDescent="0.2">
      <c r="A901" s="77"/>
      <c r="B901" s="75" t="s">
        <v>28</v>
      </c>
      <c r="C901" s="78" t="s">
        <v>11</v>
      </c>
      <c r="D901" s="27">
        <v>3</v>
      </c>
      <c r="E901" s="27">
        <f>unskilled</f>
        <v>780</v>
      </c>
      <c r="F901" s="27">
        <f>D901*E901</f>
        <v>2340</v>
      </c>
      <c r="G901" s="354" t="s">
        <v>638</v>
      </c>
      <c r="H901" s="74" t="s">
        <v>250</v>
      </c>
      <c r="I901" s="27">
        <v>2</v>
      </c>
      <c r="J901" s="27">
        <f>stone</f>
        <v>1516.22</v>
      </c>
      <c r="K901" s="27">
        <f>I901*J901</f>
        <v>3032.44</v>
      </c>
      <c r="L901" s="354"/>
      <c r="M901" s="74"/>
      <c r="N901" s="27"/>
      <c r="O901" s="27"/>
      <c r="P901" s="85"/>
    </row>
    <row r="902" spans="1:16" ht="15.75" hidden="1" x14ac:dyDescent="0.2">
      <c r="A902" s="997" t="s">
        <v>95</v>
      </c>
      <c r="B902" s="998"/>
      <c r="C902" s="998"/>
      <c r="D902" s="998"/>
      <c r="E902" s="998"/>
      <c r="F902" s="78">
        <f>SUM(F900:F901)</f>
        <v>3440</v>
      </c>
      <c r="G902" s="998" t="s">
        <v>99</v>
      </c>
      <c r="H902" s="998"/>
      <c r="I902" s="998"/>
      <c r="J902" s="998"/>
      <c r="K902" s="78">
        <f>SUM(K900:K901)</f>
        <v>4548.66</v>
      </c>
      <c r="L902" s="998" t="s">
        <v>36</v>
      </c>
      <c r="M902" s="998"/>
      <c r="N902" s="998"/>
      <c r="O902" s="998"/>
      <c r="P902" s="41">
        <f>SUM(P900:P901)</f>
        <v>0</v>
      </c>
    </row>
    <row r="903" spans="1:16" ht="15.75" hidden="1" x14ac:dyDescent="0.2">
      <c r="A903" s="997" t="s">
        <v>487</v>
      </c>
      <c r="B903" s="998"/>
      <c r="C903" s="998"/>
      <c r="D903" s="998"/>
      <c r="E903" s="998"/>
      <c r="F903" s="28">
        <f>F902+K902+P902</f>
        <v>7988.66</v>
      </c>
      <c r="G903" s="356"/>
      <c r="H903" s="356"/>
      <c r="I903" s="356"/>
      <c r="J903" s="356"/>
      <c r="K903" s="356"/>
      <c r="L903" s="28"/>
      <c r="M903" s="356"/>
      <c r="N903" s="356"/>
      <c r="O903" s="356"/>
      <c r="P903" s="29"/>
    </row>
    <row r="904" spans="1:16" ht="16.5" hidden="1" thickBot="1" x14ac:dyDescent="0.25">
      <c r="A904" s="308"/>
      <c r="B904" s="999" t="s">
        <v>110</v>
      </c>
      <c r="C904" s="999"/>
      <c r="D904" s="999"/>
      <c r="E904" s="999"/>
      <c r="F904" s="17">
        <f>15%*F903</f>
        <v>1198.3</v>
      </c>
      <c r="G904" s="83"/>
      <c r="H904" s="83"/>
      <c r="I904" s="83"/>
      <c r="J904" s="83"/>
      <c r="K904" s="83"/>
      <c r="L904" s="17"/>
      <c r="M904" s="276"/>
      <c r="N904" s="1000" t="s">
        <v>53</v>
      </c>
      <c r="O904" s="1000"/>
      <c r="P904" s="18">
        <f>(F904+F903)/P897</f>
        <v>9186.9599999999991</v>
      </c>
    </row>
    <row r="905" spans="1:16" ht="16.5" hidden="1" thickBot="1" x14ac:dyDescent="0.25">
      <c r="A905" s="281"/>
      <c r="B905" s="281"/>
      <c r="C905" s="281"/>
      <c r="D905" s="281"/>
      <c r="E905" s="281"/>
      <c r="F905" s="57"/>
      <c r="G905" s="281"/>
      <c r="H905" s="281"/>
      <c r="I905" s="281"/>
      <c r="J905" s="281"/>
      <c r="K905" s="281"/>
      <c r="L905" s="57"/>
      <c r="M905" s="299"/>
      <c r="N905" s="299"/>
      <c r="O905" s="299"/>
      <c r="P905" s="43"/>
    </row>
    <row r="906" spans="1:16" ht="15.75" hidden="1" x14ac:dyDescent="0.2">
      <c r="A906" s="986" t="s">
        <v>29</v>
      </c>
      <c r="B906" s="987"/>
      <c r="C906" s="988" t="s">
        <v>657</v>
      </c>
      <c r="D906" s="989"/>
      <c r="E906" s="989"/>
      <c r="F906" s="989"/>
      <c r="G906" s="989"/>
      <c r="H906" s="989"/>
      <c r="I906" s="989"/>
      <c r="J906" s="989"/>
      <c r="K906" s="989"/>
      <c r="L906" s="989"/>
      <c r="M906" s="989"/>
      <c r="N906" s="989"/>
      <c r="O906" s="989"/>
      <c r="P906" s="274" t="s">
        <v>433</v>
      </c>
    </row>
    <row r="907" spans="1:16" ht="15.75" hidden="1" x14ac:dyDescent="0.2">
      <c r="A907" s="991" t="s">
        <v>656</v>
      </c>
      <c r="B907" s="992"/>
      <c r="C907" s="990"/>
      <c r="D907" s="990"/>
      <c r="E907" s="990"/>
      <c r="F907" s="990"/>
      <c r="G907" s="990"/>
      <c r="H907" s="990"/>
      <c r="I907" s="990"/>
      <c r="J907" s="990"/>
      <c r="K907" s="990"/>
      <c r="L907" s="990"/>
      <c r="M907" s="990"/>
      <c r="N907" s="990"/>
      <c r="O907" s="990"/>
      <c r="P907" s="275">
        <v>1</v>
      </c>
    </row>
    <row r="908" spans="1:16" ht="15.75" hidden="1" x14ac:dyDescent="0.2">
      <c r="A908" s="993" t="s">
        <v>30</v>
      </c>
      <c r="B908" s="995" t="s">
        <v>31</v>
      </c>
      <c r="C908" s="995"/>
      <c r="D908" s="995"/>
      <c r="E908" s="995"/>
      <c r="F908" s="995"/>
      <c r="G908" s="995" t="s">
        <v>32</v>
      </c>
      <c r="H908" s="995"/>
      <c r="I908" s="995"/>
      <c r="J908" s="995"/>
      <c r="K908" s="995"/>
      <c r="L908" s="995" t="s">
        <v>33</v>
      </c>
      <c r="M908" s="995"/>
      <c r="N908" s="995"/>
      <c r="O908" s="995"/>
      <c r="P908" s="996"/>
    </row>
    <row r="909" spans="1:16" ht="15.75" hidden="1" x14ac:dyDescent="0.2">
      <c r="A909" s="994"/>
      <c r="B909" s="351" t="s">
        <v>8</v>
      </c>
      <c r="C909" s="351" t="s">
        <v>7</v>
      </c>
      <c r="D909" s="351" t="s">
        <v>9</v>
      </c>
      <c r="E909" s="351" t="s">
        <v>19</v>
      </c>
      <c r="F909" s="351" t="s">
        <v>20</v>
      </c>
      <c r="G909" s="351" t="s">
        <v>8</v>
      </c>
      <c r="H909" s="351" t="s">
        <v>7</v>
      </c>
      <c r="I909" s="351" t="s">
        <v>9</v>
      </c>
      <c r="J909" s="351" t="s">
        <v>19</v>
      </c>
      <c r="K909" s="351" t="s">
        <v>20</v>
      </c>
      <c r="L909" s="351" t="s">
        <v>8</v>
      </c>
      <c r="M909" s="351" t="s">
        <v>7</v>
      </c>
      <c r="N909" s="351" t="s">
        <v>9</v>
      </c>
      <c r="O909" s="351" t="s">
        <v>19</v>
      </c>
      <c r="P909" s="352" t="s">
        <v>20</v>
      </c>
    </row>
    <row r="910" spans="1:16" ht="47.25" hidden="1" x14ac:dyDescent="0.2">
      <c r="A910" s="77">
        <v>24.16</v>
      </c>
      <c r="B910" s="32" t="s">
        <v>16</v>
      </c>
      <c r="C910" s="78" t="s">
        <v>11</v>
      </c>
      <c r="D910" s="27">
        <v>1</v>
      </c>
      <c r="E910" s="78">
        <f>skilled</f>
        <v>1100</v>
      </c>
      <c r="F910" s="27">
        <f>D910*E910</f>
        <v>1100</v>
      </c>
      <c r="G910" s="354" t="s">
        <v>658</v>
      </c>
      <c r="H910" s="74" t="s">
        <v>250</v>
      </c>
      <c r="I910" s="27">
        <v>1.2</v>
      </c>
      <c r="J910" s="78">
        <f>filtermaterial</f>
        <v>2246.2199999999998</v>
      </c>
      <c r="K910" s="27">
        <f>I910*J910</f>
        <v>2695.46</v>
      </c>
      <c r="L910" s="353"/>
      <c r="M910" s="74"/>
      <c r="N910" s="27"/>
      <c r="O910" s="78"/>
      <c r="P910" s="85"/>
    </row>
    <row r="911" spans="1:16" ht="15.75" hidden="1" x14ac:dyDescent="0.2">
      <c r="A911" s="77"/>
      <c r="B911" s="75" t="s">
        <v>28</v>
      </c>
      <c r="C911" s="78" t="s">
        <v>11</v>
      </c>
      <c r="D911" s="27">
        <v>3</v>
      </c>
      <c r="E911" s="27">
        <f>unskilled</f>
        <v>780</v>
      </c>
      <c r="F911" s="27">
        <f>D911*E911</f>
        <v>2340</v>
      </c>
      <c r="G911" s="354"/>
      <c r="H911" s="74"/>
      <c r="I911" s="27"/>
      <c r="J911" s="27"/>
      <c r="K911" s="27"/>
      <c r="L911" s="354"/>
      <c r="M911" s="74"/>
      <c r="N911" s="27"/>
      <c r="O911" s="27"/>
      <c r="P911" s="85"/>
    </row>
    <row r="912" spans="1:16" ht="15.75" hidden="1" x14ac:dyDescent="0.2">
      <c r="A912" s="997" t="s">
        <v>95</v>
      </c>
      <c r="B912" s="998"/>
      <c r="C912" s="998"/>
      <c r="D912" s="998"/>
      <c r="E912" s="998"/>
      <c r="F912" s="78">
        <f>SUM(F910:F911)</f>
        <v>3440</v>
      </c>
      <c r="G912" s="998" t="s">
        <v>99</v>
      </c>
      <c r="H912" s="998"/>
      <c r="I912" s="998"/>
      <c r="J912" s="998"/>
      <c r="K912" s="78">
        <f>SUM(K910:K911)</f>
        <v>2695.46</v>
      </c>
      <c r="L912" s="998" t="s">
        <v>36</v>
      </c>
      <c r="M912" s="998"/>
      <c r="N912" s="998"/>
      <c r="O912" s="998"/>
      <c r="P912" s="41">
        <f>SUM(P910:P911)</f>
        <v>0</v>
      </c>
    </row>
    <row r="913" spans="1:16" ht="15.75" hidden="1" x14ac:dyDescent="0.2">
      <c r="A913" s="997" t="s">
        <v>487</v>
      </c>
      <c r="B913" s="998"/>
      <c r="C913" s="998"/>
      <c r="D913" s="998"/>
      <c r="E913" s="998"/>
      <c r="F913" s="28">
        <f>F912+K912+P912</f>
        <v>6135.46</v>
      </c>
      <c r="G913" s="356"/>
      <c r="H913" s="356"/>
      <c r="I913" s="356"/>
      <c r="J913" s="356"/>
      <c r="K913" s="356"/>
      <c r="L913" s="28"/>
      <c r="M913" s="356"/>
      <c r="N913" s="356"/>
      <c r="O913" s="356"/>
      <c r="P913" s="29"/>
    </row>
    <row r="914" spans="1:16" ht="16.5" hidden="1" thickBot="1" x14ac:dyDescent="0.25">
      <c r="A914" s="308"/>
      <c r="B914" s="999" t="s">
        <v>110</v>
      </c>
      <c r="C914" s="999"/>
      <c r="D914" s="999"/>
      <c r="E914" s="999"/>
      <c r="F914" s="17">
        <f>15%*F913</f>
        <v>920.32</v>
      </c>
      <c r="G914" s="83"/>
      <c r="H914" s="83"/>
      <c r="I914" s="83"/>
      <c r="J914" s="83"/>
      <c r="K914" s="83"/>
      <c r="L914" s="17"/>
      <c r="M914" s="276"/>
      <c r="N914" s="1000" t="s">
        <v>53</v>
      </c>
      <c r="O914" s="1000"/>
      <c r="P914" s="18">
        <f>(F914+F913)/P907</f>
        <v>7055.78</v>
      </c>
    </row>
    <row r="915" spans="1:16" ht="16.5" hidden="1" thickBot="1" x14ac:dyDescent="0.25">
      <c r="A915" s="281"/>
      <c r="B915" s="281"/>
      <c r="C915" s="281"/>
      <c r="D915" s="281"/>
      <c r="E915" s="281"/>
      <c r="F915" s="57"/>
      <c r="G915" s="281"/>
      <c r="H915" s="281"/>
      <c r="I915" s="281"/>
      <c r="J915" s="281"/>
      <c r="K915" s="281"/>
      <c r="L915" s="57"/>
      <c r="M915" s="299"/>
      <c r="N915" s="299"/>
      <c r="O915" s="299"/>
      <c r="P915" s="43"/>
    </row>
    <row r="916" spans="1:16" ht="15.75" hidden="1" x14ac:dyDescent="0.2">
      <c r="A916" s="986" t="s">
        <v>29</v>
      </c>
      <c r="B916" s="987"/>
      <c r="C916" s="988" t="s">
        <v>659</v>
      </c>
      <c r="D916" s="989"/>
      <c r="E916" s="989"/>
      <c r="F916" s="989"/>
      <c r="G916" s="989"/>
      <c r="H916" s="989"/>
      <c r="I916" s="989"/>
      <c r="J916" s="989"/>
      <c r="K916" s="989"/>
      <c r="L916" s="989"/>
      <c r="M916" s="989"/>
      <c r="N916" s="989"/>
      <c r="O916" s="989"/>
      <c r="P916" s="274" t="s">
        <v>433</v>
      </c>
    </row>
    <row r="917" spans="1:16" ht="15.75" hidden="1" x14ac:dyDescent="0.2">
      <c r="A917" s="991" t="s">
        <v>636</v>
      </c>
      <c r="B917" s="992"/>
      <c r="C917" s="990"/>
      <c r="D917" s="990"/>
      <c r="E917" s="990"/>
      <c r="F917" s="990"/>
      <c r="G917" s="990"/>
      <c r="H917" s="990"/>
      <c r="I917" s="990"/>
      <c r="J917" s="990"/>
      <c r="K917" s="990"/>
      <c r="L917" s="990"/>
      <c r="M917" s="990"/>
      <c r="N917" s="990"/>
      <c r="O917" s="990"/>
      <c r="P917" s="275">
        <v>1</v>
      </c>
    </row>
    <row r="918" spans="1:16" ht="15.75" hidden="1" x14ac:dyDescent="0.2">
      <c r="A918" s="993" t="s">
        <v>30</v>
      </c>
      <c r="B918" s="995" t="s">
        <v>31</v>
      </c>
      <c r="C918" s="995"/>
      <c r="D918" s="995"/>
      <c r="E918" s="995"/>
      <c r="F918" s="995"/>
      <c r="G918" s="995" t="s">
        <v>32</v>
      </c>
      <c r="H918" s="995"/>
      <c r="I918" s="995"/>
      <c r="J918" s="995"/>
      <c r="K918" s="995"/>
      <c r="L918" s="995" t="s">
        <v>33</v>
      </c>
      <c r="M918" s="995"/>
      <c r="N918" s="995"/>
      <c r="O918" s="995"/>
      <c r="P918" s="996"/>
    </row>
    <row r="919" spans="1:16" ht="15.75" hidden="1" x14ac:dyDescent="0.2">
      <c r="A919" s="994"/>
      <c r="B919" s="351" t="s">
        <v>8</v>
      </c>
      <c r="C919" s="351" t="s">
        <v>7</v>
      </c>
      <c r="D919" s="351" t="s">
        <v>9</v>
      </c>
      <c r="E919" s="351" t="s">
        <v>19</v>
      </c>
      <c r="F919" s="351" t="s">
        <v>20</v>
      </c>
      <c r="G919" s="351" t="s">
        <v>8</v>
      </c>
      <c r="H919" s="351" t="s">
        <v>7</v>
      </c>
      <c r="I919" s="351" t="s">
        <v>9</v>
      </c>
      <c r="J919" s="351" t="s">
        <v>19</v>
      </c>
      <c r="K919" s="351" t="s">
        <v>20</v>
      </c>
      <c r="L919" s="351" t="s">
        <v>8</v>
      </c>
      <c r="M919" s="351" t="s">
        <v>7</v>
      </c>
      <c r="N919" s="351" t="s">
        <v>9</v>
      </c>
      <c r="O919" s="351" t="s">
        <v>19</v>
      </c>
      <c r="P919" s="352" t="s">
        <v>20</v>
      </c>
    </row>
    <row r="920" spans="1:16" ht="15.75" hidden="1" x14ac:dyDescent="0.2">
      <c r="A920" s="77">
        <v>24.17</v>
      </c>
      <c r="B920" s="32" t="s">
        <v>16</v>
      </c>
      <c r="C920" s="78" t="s">
        <v>11</v>
      </c>
      <c r="D920" s="27">
        <v>1</v>
      </c>
      <c r="E920" s="78">
        <f>skilled</f>
        <v>1100</v>
      </c>
      <c r="F920" s="27">
        <f>D920*E920</f>
        <v>1100</v>
      </c>
      <c r="G920" s="354" t="s">
        <v>60</v>
      </c>
      <c r="H920" s="74" t="s">
        <v>250</v>
      </c>
      <c r="I920" s="27">
        <v>1.1000000000000001</v>
      </c>
      <c r="J920" s="78">
        <f>stone</f>
        <v>1516.22</v>
      </c>
      <c r="K920" s="27">
        <f>I920*J920</f>
        <v>1667.84</v>
      </c>
      <c r="L920" s="353"/>
      <c r="M920" s="74"/>
      <c r="N920" s="27"/>
      <c r="O920" s="78"/>
      <c r="P920" s="85"/>
    </row>
    <row r="921" spans="1:16" ht="15.75" hidden="1" x14ac:dyDescent="0.2">
      <c r="A921" s="77"/>
      <c r="B921" s="75" t="s">
        <v>28</v>
      </c>
      <c r="C921" s="78" t="s">
        <v>11</v>
      </c>
      <c r="D921" s="27">
        <v>3</v>
      </c>
      <c r="E921" s="27">
        <f>unskilled</f>
        <v>780</v>
      </c>
      <c r="F921" s="27">
        <f>D921*E921</f>
        <v>2340</v>
      </c>
      <c r="G921" s="354" t="s">
        <v>24</v>
      </c>
      <c r="H921" s="74" t="s">
        <v>250</v>
      </c>
      <c r="I921" s="27">
        <v>0.19</v>
      </c>
      <c r="J921" s="27">
        <f>ROUND(cement*1.44,2)</f>
        <v>22508.639999999999</v>
      </c>
      <c r="K921" s="27">
        <f>I921*J921</f>
        <v>4276.6400000000003</v>
      </c>
      <c r="L921" s="354"/>
      <c r="M921" s="74"/>
      <c r="N921" s="27"/>
      <c r="O921" s="27"/>
      <c r="P921" s="85"/>
    </row>
    <row r="922" spans="1:16" ht="15.75" hidden="1" x14ac:dyDescent="0.2">
      <c r="A922" s="77"/>
      <c r="B922" s="75"/>
      <c r="C922" s="78"/>
      <c r="D922" s="27"/>
      <c r="E922" s="27"/>
      <c r="F922" s="27"/>
      <c r="G922" s="354" t="s">
        <v>100</v>
      </c>
      <c r="H922" s="74" t="s">
        <v>250</v>
      </c>
      <c r="I922" s="27">
        <v>0.42</v>
      </c>
      <c r="J922" s="27">
        <f>sand</f>
        <v>2001.47</v>
      </c>
      <c r="K922" s="27">
        <f>I922*J922</f>
        <v>840.62</v>
      </c>
      <c r="L922" s="354"/>
      <c r="M922" s="74"/>
      <c r="N922" s="27"/>
      <c r="O922" s="27"/>
      <c r="P922" s="85"/>
    </row>
    <row r="923" spans="1:16" ht="15.75" hidden="1" x14ac:dyDescent="0.2">
      <c r="A923" s="997" t="s">
        <v>95</v>
      </c>
      <c r="B923" s="998"/>
      <c r="C923" s="998"/>
      <c r="D923" s="998"/>
      <c r="E923" s="998"/>
      <c r="F923" s="78">
        <f>SUM(F920:F921)</f>
        <v>3440</v>
      </c>
      <c r="G923" s="998" t="s">
        <v>99</v>
      </c>
      <c r="H923" s="998"/>
      <c r="I923" s="998"/>
      <c r="J923" s="998"/>
      <c r="K923" s="78">
        <f>SUM(K920:K922)</f>
        <v>6785.1</v>
      </c>
      <c r="L923" s="998" t="s">
        <v>36</v>
      </c>
      <c r="M923" s="998"/>
      <c r="N923" s="998"/>
      <c r="O923" s="998"/>
      <c r="P923" s="41">
        <f>SUM(P920:P921)</f>
        <v>0</v>
      </c>
    </row>
    <row r="924" spans="1:16" ht="15.75" hidden="1" x14ac:dyDescent="0.2">
      <c r="A924" s="997" t="s">
        <v>487</v>
      </c>
      <c r="B924" s="998"/>
      <c r="C924" s="998"/>
      <c r="D924" s="998"/>
      <c r="E924" s="998"/>
      <c r="F924" s="28">
        <f>F923+K923+P923</f>
        <v>10225.1</v>
      </c>
      <c r="G924" s="356"/>
      <c r="H924" s="356"/>
      <c r="I924" s="356"/>
      <c r="J924" s="356"/>
      <c r="K924" s="356"/>
      <c r="L924" s="28"/>
      <c r="M924" s="356"/>
      <c r="N924" s="356"/>
      <c r="O924" s="356"/>
      <c r="P924" s="29"/>
    </row>
    <row r="925" spans="1:16" ht="16.5" hidden="1" thickBot="1" x14ac:dyDescent="0.25">
      <c r="A925" s="308"/>
      <c r="B925" s="999" t="s">
        <v>110</v>
      </c>
      <c r="C925" s="999"/>
      <c r="D925" s="999"/>
      <c r="E925" s="999"/>
      <c r="F925" s="17">
        <f>15%*F924</f>
        <v>1533.77</v>
      </c>
      <c r="G925" s="83"/>
      <c r="H925" s="83"/>
      <c r="I925" s="83"/>
      <c r="J925" s="83"/>
      <c r="K925" s="83"/>
      <c r="L925" s="17"/>
      <c r="M925" s="276"/>
      <c r="N925" s="1000" t="s">
        <v>53</v>
      </c>
      <c r="O925" s="1000"/>
      <c r="P925" s="18">
        <f>(F925+F924)/P917</f>
        <v>11758.87</v>
      </c>
    </row>
    <row r="926" spans="1:16" ht="16.5" hidden="1" thickBot="1" x14ac:dyDescent="0.25">
      <c r="A926" s="281"/>
      <c r="B926" s="281"/>
      <c r="C926" s="281"/>
      <c r="D926" s="281"/>
      <c r="E926" s="281"/>
      <c r="F926" s="57"/>
      <c r="G926" s="281"/>
      <c r="H926" s="281"/>
      <c r="I926" s="281"/>
      <c r="J926" s="281"/>
      <c r="K926" s="281"/>
      <c r="L926" s="57"/>
      <c r="M926" s="299"/>
      <c r="N926" s="299"/>
      <c r="O926" s="299"/>
      <c r="P926" s="43"/>
    </row>
    <row r="927" spans="1:16" ht="15.75" x14ac:dyDescent="0.2">
      <c r="A927" s="986" t="s">
        <v>29</v>
      </c>
      <c r="B927" s="987"/>
      <c r="C927" s="988" t="s">
        <v>1093</v>
      </c>
      <c r="D927" s="989"/>
      <c r="E927" s="989"/>
      <c r="F927" s="989"/>
      <c r="G927" s="989"/>
      <c r="H927" s="989"/>
      <c r="I927" s="989"/>
      <c r="J927" s="989"/>
      <c r="K927" s="989"/>
      <c r="L927" s="989"/>
      <c r="M927" s="989"/>
      <c r="N927" s="989"/>
      <c r="O927" s="989"/>
      <c r="P927" s="274" t="s">
        <v>434</v>
      </c>
    </row>
    <row r="928" spans="1:16" ht="15.75" x14ac:dyDescent="0.2">
      <c r="A928" s="991" t="s">
        <v>660</v>
      </c>
      <c r="B928" s="992"/>
      <c r="C928" s="990"/>
      <c r="D928" s="990"/>
      <c r="E928" s="990"/>
      <c r="F928" s="990"/>
      <c r="G928" s="990"/>
      <c r="H928" s="990"/>
      <c r="I928" s="990"/>
      <c r="J928" s="990"/>
      <c r="K928" s="990"/>
      <c r="L928" s="990"/>
      <c r="M928" s="990"/>
      <c r="N928" s="990"/>
      <c r="O928" s="990"/>
      <c r="P928" s="275">
        <v>40</v>
      </c>
    </row>
    <row r="929" spans="1:16" ht="15.75" x14ac:dyDescent="0.2">
      <c r="A929" s="993" t="s">
        <v>30</v>
      </c>
      <c r="B929" s="995" t="s">
        <v>31</v>
      </c>
      <c r="C929" s="995"/>
      <c r="D929" s="995"/>
      <c r="E929" s="995"/>
      <c r="F929" s="995"/>
      <c r="G929" s="995" t="s">
        <v>32</v>
      </c>
      <c r="H929" s="995"/>
      <c r="I929" s="995"/>
      <c r="J929" s="995"/>
      <c r="K929" s="995"/>
      <c r="L929" s="995" t="s">
        <v>33</v>
      </c>
      <c r="M929" s="995"/>
      <c r="N929" s="995"/>
      <c r="O929" s="995"/>
      <c r="P929" s="996"/>
    </row>
    <row r="930" spans="1:16" ht="15.75" x14ac:dyDescent="0.2">
      <c r="A930" s="994"/>
      <c r="B930" s="351" t="s">
        <v>8</v>
      </c>
      <c r="C930" s="351" t="s">
        <v>7</v>
      </c>
      <c r="D930" s="351" t="s">
        <v>9</v>
      </c>
      <c r="E930" s="351" t="s">
        <v>19</v>
      </c>
      <c r="F930" s="351" t="s">
        <v>20</v>
      </c>
      <c r="G930" s="351" t="s">
        <v>8</v>
      </c>
      <c r="H930" s="351" t="s">
        <v>7</v>
      </c>
      <c r="I930" s="351" t="s">
        <v>9</v>
      </c>
      <c r="J930" s="351" t="s">
        <v>19</v>
      </c>
      <c r="K930" s="351" t="s">
        <v>20</v>
      </c>
      <c r="L930" s="351" t="s">
        <v>8</v>
      </c>
      <c r="M930" s="351" t="s">
        <v>7</v>
      </c>
      <c r="N930" s="351" t="s">
        <v>9</v>
      </c>
      <c r="O930" s="351" t="s">
        <v>19</v>
      </c>
      <c r="P930" s="352" t="s">
        <v>20</v>
      </c>
    </row>
    <row r="931" spans="1:16" ht="15.75" x14ac:dyDescent="0.2">
      <c r="A931" s="77" t="s">
        <v>662</v>
      </c>
      <c r="B931" s="32" t="s">
        <v>16</v>
      </c>
      <c r="C931" s="78" t="s">
        <v>11</v>
      </c>
      <c r="D931" s="27">
        <v>1</v>
      </c>
      <c r="E931" s="78">
        <f>skilled</f>
        <v>1100</v>
      </c>
      <c r="F931" s="27">
        <f>D931*E931</f>
        <v>1100</v>
      </c>
      <c r="G931" s="354" t="s">
        <v>1207</v>
      </c>
      <c r="H931" s="74" t="s">
        <v>17</v>
      </c>
      <c r="I931" s="27">
        <v>44</v>
      </c>
      <c r="J931" s="78">
        <f>reinforcement/1000*(25^2/162)</f>
        <v>391.59</v>
      </c>
      <c r="K931" s="27">
        <f>I931*J931</f>
        <v>17229.96</v>
      </c>
      <c r="L931" s="353" t="s">
        <v>470</v>
      </c>
      <c r="M931" s="74" t="s">
        <v>13</v>
      </c>
      <c r="N931" s="27">
        <v>6</v>
      </c>
      <c r="O931" s="78">
        <f>aircompressor</f>
        <v>1281</v>
      </c>
      <c r="P931" s="27">
        <f>N931*O931</f>
        <v>7686</v>
      </c>
    </row>
    <row r="932" spans="1:16" ht="15.75" x14ac:dyDescent="0.2">
      <c r="A932" s="77"/>
      <c r="B932" s="75" t="s">
        <v>28</v>
      </c>
      <c r="C932" s="78" t="s">
        <v>11</v>
      </c>
      <c r="D932" s="27">
        <v>8</v>
      </c>
      <c r="E932" s="27">
        <f>unskilled</f>
        <v>780</v>
      </c>
      <c r="F932" s="27">
        <f>D932*E932</f>
        <v>6240</v>
      </c>
      <c r="G932" s="354" t="s">
        <v>663</v>
      </c>
      <c r="H932" s="1062" t="s">
        <v>664</v>
      </c>
      <c r="I932" s="1063"/>
      <c r="J932" s="1064"/>
      <c r="K932" s="27">
        <f>10%*K931</f>
        <v>1723</v>
      </c>
      <c r="L932" s="354" t="s">
        <v>665</v>
      </c>
      <c r="M932" s="74" t="s">
        <v>13</v>
      </c>
      <c r="N932" s="27">
        <v>6</v>
      </c>
      <c r="O932" s="27">
        <f>jackhammer</f>
        <v>273</v>
      </c>
      <c r="P932" s="27">
        <f>N932*O932</f>
        <v>1638</v>
      </c>
    </row>
    <row r="933" spans="1:16" ht="15.75" x14ac:dyDescent="0.2">
      <c r="A933" s="997" t="s">
        <v>95</v>
      </c>
      <c r="B933" s="998"/>
      <c r="C933" s="998"/>
      <c r="D933" s="998"/>
      <c r="E933" s="998"/>
      <c r="F933" s="78">
        <f>SUM(F931:F932)</f>
        <v>7340</v>
      </c>
      <c r="G933" s="998" t="s">
        <v>99</v>
      </c>
      <c r="H933" s="998"/>
      <c r="I933" s="998"/>
      <c r="J933" s="998"/>
      <c r="K933" s="78">
        <f>SUM(K931:K932)</f>
        <v>18952.96</v>
      </c>
      <c r="L933" s="998" t="s">
        <v>36</v>
      </c>
      <c r="M933" s="998"/>
      <c r="N933" s="998"/>
      <c r="O933" s="998"/>
      <c r="P933" s="41">
        <f>SUM(P931:P932)</f>
        <v>9324</v>
      </c>
    </row>
    <row r="934" spans="1:16" ht="15.75" x14ac:dyDescent="0.2">
      <c r="A934" s="997" t="s">
        <v>487</v>
      </c>
      <c r="B934" s="998"/>
      <c r="C934" s="998"/>
      <c r="D934" s="998"/>
      <c r="E934" s="998"/>
      <c r="F934" s="28">
        <f>F933+K933+P933</f>
        <v>35616.959999999999</v>
      </c>
      <c r="G934" s="356"/>
      <c r="H934" s="356"/>
      <c r="I934" s="356"/>
      <c r="J934" s="356"/>
      <c r="K934" s="356"/>
      <c r="L934" s="28"/>
      <c r="M934" s="356"/>
      <c r="N934" s="356"/>
      <c r="O934" s="356"/>
      <c r="P934" s="29"/>
    </row>
    <row r="935" spans="1:16" ht="15.75" x14ac:dyDescent="0.2">
      <c r="A935" s="374"/>
      <c r="B935" s="1016" t="s">
        <v>110</v>
      </c>
      <c r="C935" s="1016"/>
      <c r="D935" s="1016"/>
      <c r="E935" s="1016"/>
      <c r="F935" s="364">
        <f>15%*F934</f>
        <v>5342.54</v>
      </c>
      <c r="G935" s="135"/>
      <c r="H935" s="135"/>
      <c r="I935" s="135"/>
      <c r="J935" s="135"/>
      <c r="K935" s="135"/>
      <c r="L935" s="364"/>
      <c r="M935" s="375"/>
      <c r="N935" s="1017" t="s">
        <v>53</v>
      </c>
      <c r="O935" s="1017"/>
      <c r="P935" s="376">
        <f>(F935+F934)/P928</f>
        <v>1023.99</v>
      </c>
    </row>
    <row r="936" spans="1:16" ht="16.5" thickBot="1" x14ac:dyDescent="0.25">
      <c r="A936" s="377"/>
      <c r="B936" s="316"/>
      <c r="C936" s="316"/>
      <c r="D936" s="316"/>
      <c r="E936" s="316"/>
      <c r="F936" s="316"/>
      <c r="G936" s="380"/>
      <c r="H936" s="1018"/>
      <c r="I936" s="1018"/>
      <c r="J936" s="1018"/>
      <c r="K936" s="379"/>
      <c r="L936" s="316"/>
      <c r="M936" s="378"/>
      <c r="N936" s="379"/>
      <c r="O936" s="295" t="s">
        <v>1094</v>
      </c>
      <c r="P936" s="381">
        <f>dowelrod_20mm/20^2*25^2</f>
        <v>1599.98</v>
      </c>
    </row>
    <row r="937" spans="1:16" ht="16.5" thickBot="1" x14ac:dyDescent="0.25">
      <c r="A937" s="281"/>
      <c r="B937" s="281"/>
      <c r="C937" s="281"/>
      <c r="D937" s="281"/>
      <c r="E937" s="281"/>
      <c r="F937" s="57"/>
      <c r="G937" s="281"/>
      <c r="H937" s="281"/>
      <c r="I937" s="281"/>
      <c r="J937" s="281"/>
      <c r="K937" s="281"/>
      <c r="L937" s="57"/>
      <c r="M937" s="299"/>
      <c r="N937" s="299"/>
      <c r="O937" s="299"/>
      <c r="P937" s="43"/>
    </row>
    <row r="938" spans="1:16" ht="15.75" hidden="1" x14ac:dyDescent="0.2">
      <c r="A938" s="986" t="s">
        <v>29</v>
      </c>
      <c r="B938" s="987"/>
      <c r="C938" s="988" t="s">
        <v>666</v>
      </c>
      <c r="D938" s="989"/>
      <c r="E938" s="989"/>
      <c r="F938" s="989"/>
      <c r="G938" s="989"/>
      <c r="H938" s="989"/>
      <c r="I938" s="989"/>
      <c r="J938" s="989"/>
      <c r="K938" s="989"/>
      <c r="L938" s="989"/>
      <c r="M938" s="989"/>
      <c r="N938" s="989"/>
      <c r="O938" s="989"/>
      <c r="P938" s="274" t="s">
        <v>434</v>
      </c>
    </row>
    <row r="939" spans="1:16" ht="15.75" hidden="1" x14ac:dyDescent="0.2">
      <c r="A939" s="991" t="s">
        <v>660</v>
      </c>
      <c r="B939" s="992"/>
      <c r="C939" s="990"/>
      <c r="D939" s="990"/>
      <c r="E939" s="990"/>
      <c r="F939" s="990"/>
      <c r="G939" s="990"/>
      <c r="H939" s="990"/>
      <c r="I939" s="990"/>
      <c r="J939" s="990"/>
      <c r="K939" s="990"/>
      <c r="L939" s="990"/>
      <c r="M939" s="990"/>
      <c r="N939" s="990"/>
      <c r="O939" s="990"/>
      <c r="P939" s="275">
        <v>10</v>
      </c>
    </row>
    <row r="940" spans="1:16" ht="15.75" hidden="1" x14ac:dyDescent="0.2">
      <c r="A940" s="993" t="s">
        <v>30</v>
      </c>
      <c r="B940" s="995" t="s">
        <v>31</v>
      </c>
      <c r="C940" s="995"/>
      <c r="D940" s="995"/>
      <c r="E940" s="995"/>
      <c r="F940" s="995"/>
      <c r="G940" s="995" t="s">
        <v>32</v>
      </c>
      <c r="H940" s="995"/>
      <c r="I940" s="995"/>
      <c r="J940" s="995"/>
      <c r="K940" s="995"/>
      <c r="L940" s="995" t="s">
        <v>33</v>
      </c>
      <c r="M940" s="995"/>
      <c r="N940" s="995"/>
      <c r="O940" s="995"/>
      <c r="P940" s="996"/>
    </row>
    <row r="941" spans="1:16" ht="15.75" hidden="1" x14ac:dyDescent="0.2">
      <c r="A941" s="994"/>
      <c r="B941" s="351" t="s">
        <v>8</v>
      </c>
      <c r="C941" s="351" t="s">
        <v>7</v>
      </c>
      <c r="D941" s="351" t="s">
        <v>9</v>
      </c>
      <c r="E941" s="351" t="s">
        <v>19</v>
      </c>
      <c r="F941" s="351" t="s">
        <v>20</v>
      </c>
      <c r="G941" s="351" t="s">
        <v>8</v>
      </c>
      <c r="H941" s="351" t="s">
        <v>7</v>
      </c>
      <c r="I941" s="351" t="s">
        <v>9</v>
      </c>
      <c r="J941" s="351" t="s">
        <v>19</v>
      </c>
      <c r="K941" s="351" t="s">
        <v>20</v>
      </c>
      <c r="L941" s="351" t="s">
        <v>8</v>
      </c>
      <c r="M941" s="351" t="s">
        <v>7</v>
      </c>
      <c r="N941" s="351" t="s">
        <v>9</v>
      </c>
      <c r="O941" s="351" t="s">
        <v>19</v>
      </c>
      <c r="P941" s="352" t="s">
        <v>20</v>
      </c>
    </row>
    <row r="942" spans="1:16" ht="15.75" hidden="1" x14ac:dyDescent="0.2">
      <c r="A942" s="77">
        <v>24.19</v>
      </c>
      <c r="B942" s="32" t="s">
        <v>16</v>
      </c>
      <c r="C942" s="78" t="s">
        <v>11</v>
      </c>
      <c r="D942" s="27">
        <v>2</v>
      </c>
      <c r="E942" s="78">
        <f>skilled</f>
        <v>1100</v>
      </c>
      <c r="F942" s="27">
        <f>D942*E942</f>
        <v>2200</v>
      </c>
      <c r="G942" s="354" t="s">
        <v>667</v>
      </c>
      <c r="H942" s="1013" t="s">
        <v>668</v>
      </c>
      <c r="I942" s="1014"/>
      <c r="J942" s="1015"/>
      <c r="K942" s="27">
        <f>10%*F949</f>
        <v>1780</v>
      </c>
      <c r="L942" s="353" t="s">
        <v>470</v>
      </c>
      <c r="M942" s="74" t="s">
        <v>13</v>
      </c>
      <c r="N942" s="27">
        <v>6</v>
      </c>
      <c r="O942" s="78">
        <f>aircompressor</f>
        <v>1281</v>
      </c>
      <c r="P942" s="85">
        <f>N942*O942</f>
        <v>7686</v>
      </c>
    </row>
    <row r="943" spans="1:16" ht="15.75" hidden="1" x14ac:dyDescent="0.2">
      <c r="A943" s="77"/>
      <c r="B943" s="75" t="s">
        <v>28</v>
      </c>
      <c r="C943" s="78" t="s">
        <v>11</v>
      </c>
      <c r="D943" s="27">
        <v>20</v>
      </c>
      <c r="E943" s="27">
        <f>unskilled</f>
        <v>780</v>
      </c>
      <c r="F943" s="27">
        <f>D943*E943</f>
        <v>15600</v>
      </c>
      <c r="G943" s="354" t="s">
        <v>669</v>
      </c>
      <c r="H943" s="74" t="s">
        <v>451</v>
      </c>
      <c r="I943" s="27">
        <v>1</v>
      </c>
      <c r="J943" s="73">
        <v>9500</v>
      </c>
      <c r="K943" s="27">
        <f t="shared" ref="K943:K948" si="16">I943*J943</f>
        <v>9500</v>
      </c>
      <c r="L943" s="354" t="s">
        <v>665</v>
      </c>
      <c r="M943" s="74" t="s">
        <v>13</v>
      </c>
      <c r="N943" s="27">
        <v>6</v>
      </c>
      <c r="O943" s="27">
        <f>jackhammer</f>
        <v>273</v>
      </c>
      <c r="P943" s="85">
        <f>N943*O943</f>
        <v>1638</v>
      </c>
    </row>
    <row r="944" spans="1:16" ht="31.5" hidden="1" x14ac:dyDescent="0.2">
      <c r="A944" s="77"/>
      <c r="B944" s="75"/>
      <c r="C944" s="78"/>
      <c r="D944" s="27"/>
      <c r="E944" s="27"/>
      <c r="F944" s="27"/>
      <c r="G944" s="354" t="s">
        <v>670</v>
      </c>
      <c r="H944" s="74" t="s">
        <v>17</v>
      </c>
      <c r="I944" s="74">
        <v>10</v>
      </c>
      <c r="J944" s="74">
        <f>dowelrod_20mm/20^2*25^2</f>
        <v>1599.98</v>
      </c>
      <c r="K944" s="27">
        <f t="shared" si="16"/>
        <v>15999.8</v>
      </c>
      <c r="L944" s="354" t="s">
        <v>673</v>
      </c>
      <c r="M944" s="74" t="s">
        <v>13</v>
      </c>
      <c r="N944" s="27">
        <v>6</v>
      </c>
      <c r="O944" s="27">
        <f>groutinjection</f>
        <v>253</v>
      </c>
      <c r="P944" s="85">
        <f>N944*O944</f>
        <v>1518</v>
      </c>
    </row>
    <row r="945" spans="1:16" ht="31.5" hidden="1" x14ac:dyDescent="0.2">
      <c r="A945" s="77"/>
      <c r="B945" s="75"/>
      <c r="C945" s="78"/>
      <c r="D945" s="27"/>
      <c r="E945" s="27"/>
      <c r="F945" s="27"/>
      <c r="G945" s="354" t="s">
        <v>671</v>
      </c>
      <c r="H945" s="74" t="s">
        <v>451</v>
      </c>
      <c r="I945" s="74">
        <v>3.3</v>
      </c>
      <c r="J945" s="74">
        <f>hexcoupling</f>
        <v>110</v>
      </c>
      <c r="K945" s="27">
        <f t="shared" si="16"/>
        <v>363</v>
      </c>
      <c r="L945" s="354" t="s">
        <v>674</v>
      </c>
      <c r="M945" s="1023" t="s">
        <v>675</v>
      </c>
      <c r="N945" s="1023"/>
      <c r="O945" s="1023"/>
      <c r="P945" s="85">
        <f>5%*F949</f>
        <v>890</v>
      </c>
    </row>
    <row r="946" spans="1:16" ht="31.5" hidden="1" x14ac:dyDescent="0.2">
      <c r="A946" s="77"/>
      <c r="B946" s="75"/>
      <c r="C946" s="78"/>
      <c r="D946" s="27"/>
      <c r="E946" s="27"/>
      <c r="F946" s="27"/>
      <c r="G946" s="354" t="s">
        <v>672</v>
      </c>
      <c r="H946" s="74" t="s">
        <v>451</v>
      </c>
      <c r="I946" s="74">
        <v>0.7</v>
      </c>
      <c r="J946" s="74">
        <f>hexanchorplate</f>
        <v>120</v>
      </c>
      <c r="K946" s="27">
        <f t="shared" si="16"/>
        <v>84</v>
      </c>
      <c r="L946" s="354"/>
      <c r="M946" s="74"/>
      <c r="N946" s="27"/>
      <c r="O946" s="27"/>
      <c r="P946" s="85"/>
    </row>
    <row r="947" spans="1:16" ht="15.75" hidden="1" x14ac:dyDescent="0.2">
      <c r="A947" s="77"/>
      <c r="B947" s="75"/>
      <c r="C947" s="78"/>
      <c r="D947" s="27"/>
      <c r="E947" s="27"/>
      <c r="F947" s="27"/>
      <c r="G947" s="354" t="s">
        <v>24</v>
      </c>
      <c r="H947" s="74" t="s">
        <v>50</v>
      </c>
      <c r="I947" s="74">
        <v>10</v>
      </c>
      <c r="J947" s="74">
        <f>cement/1000</f>
        <v>15.63</v>
      </c>
      <c r="K947" s="27">
        <f t="shared" si="16"/>
        <v>156.30000000000001</v>
      </c>
      <c r="L947" s="354"/>
      <c r="M947" s="74"/>
      <c r="N947" s="27"/>
      <c r="O947" s="27"/>
      <c r="P947" s="85"/>
    </row>
    <row r="948" spans="1:16" ht="15.75" hidden="1" x14ac:dyDescent="0.2">
      <c r="A948" s="77"/>
      <c r="B948" s="75"/>
      <c r="C948" s="78"/>
      <c r="D948" s="27"/>
      <c r="E948" s="27"/>
      <c r="F948" s="27"/>
      <c r="G948" s="354" t="s">
        <v>153</v>
      </c>
      <c r="H948" s="74" t="s">
        <v>50</v>
      </c>
      <c r="I948" s="74">
        <f>5%*I947</f>
        <v>0.5</v>
      </c>
      <c r="J948" s="74">
        <f>admixture</f>
        <v>356.63</v>
      </c>
      <c r="K948" s="27">
        <f t="shared" si="16"/>
        <v>178.32</v>
      </c>
      <c r="L948" s="354"/>
      <c r="M948" s="74"/>
      <c r="N948" s="27"/>
      <c r="O948" s="27"/>
      <c r="P948" s="85"/>
    </row>
    <row r="949" spans="1:16" ht="15.75" hidden="1" x14ac:dyDescent="0.2">
      <c r="A949" s="1022" t="s">
        <v>95</v>
      </c>
      <c r="B949" s="1020"/>
      <c r="C949" s="1020"/>
      <c r="D949" s="1020"/>
      <c r="E949" s="1021"/>
      <c r="F949" s="78">
        <f>SUM(F942:F943)</f>
        <v>17800</v>
      </c>
      <c r="G949" s="1019" t="s">
        <v>99</v>
      </c>
      <c r="H949" s="1020"/>
      <c r="I949" s="1020"/>
      <c r="J949" s="1021"/>
      <c r="K949" s="78">
        <f>SUM(K942:K948)</f>
        <v>28061.42</v>
      </c>
      <c r="L949" s="1019" t="s">
        <v>36</v>
      </c>
      <c r="M949" s="1020"/>
      <c r="N949" s="1020"/>
      <c r="O949" s="1021"/>
      <c r="P949" s="41">
        <f>SUM(P942:P945)</f>
        <v>11732</v>
      </c>
    </row>
    <row r="950" spans="1:16" ht="15.75" hidden="1" x14ac:dyDescent="0.2">
      <c r="A950" s="997" t="s">
        <v>487</v>
      </c>
      <c r="B950" s="998"/>
      <c r="C950" s="998"/>
      <c r="D950" s="998"/>
      <c r="E950" s="998"/>
      <c r="F950" s="28">
        <f>F949+K949+P949</f>
        <v>57593.42</v>
      </c>
      <c r="G950" s="356"/>
      <c r="H950" s="356"/>
      <c r="I950" s="356"/>
      <c r="J950" s="356"/>
      <c r="K950" s="356"/>
      <c r="L950" s="28"/>
      <c r="M950" s="356"/>
      <c r="N950" s="356"/>
      <c r="O950" s="356"/>
      <c r="P950" s="29"/>
    </row>
    <row r="951" spans="1:16" ht="16.5" hidden="1" thickBot="1" x14ac:dyDescent="0.25">
      <c r="A951" s="308"/>
      <c r="B951" s="999" t="s">
        <v>110</v>
      </c>
      <c r="C951" s="999"/>
      <c r="D951" s="999"/>
      <c r="E951" s="999"/>
      <c r="F951" s="17">
        <f>15%*F950</f>
        <v>8639.01</v>
      </c>
      <c r="G951" s="83"/>
      <c r="H951" s="83"/>
      <c r="I951" s="83"/>
      <c r="J951" s="83"/>
      <c r="K951" s="83"/>
      <c r="L951" s="17"/>
      <c r="M951" s="276"/>
      <c r="N951" s="1000" t="s">
        <v>53</v>
      </c>
      <c r="O951" s="1000"/>
      <c r="P951" s="18">
        <f>(F951+F950)/P939</f>
        <v>6623.24</v>
      </c>
    </row>
    <row r="952" spans="1:16" ht="16.5" hidden="1" thickBot="1" x14ac:dyDescent="0.25">
      <c r="A952" s="281"/>
      <c r="B952" s="281"/>
      <c r="C952" s="281"/>
      <c r="D952" s="281"/>
      <c r="E952" s="281"/>
      <c r="F952" s="57"/>
      <c r="G952" s="281"/>
      <c r="H952" s="281"/>
      <c r="I952" s="281"/>
      <c r="J952" s="281"/>
      <c r="K952" s="281"/>
      <c r="L952" s="57"/>
      <c r="M952" s="299"/>
      <c r="N952" s="299"/>
      <c r="O952" s="299"/>
      <c r="P952" s="43"/>
    </row>
    <row r="953" spans="1:16" ht="15.75" x14ac:dyDescent="0.2">
      <c r="A953" s="986" t="s">
        <v>29</v>
      </c>
      <c r="B953" s="987"/>
      <c r="C953" s="988" t="s">
        <v>676</v>
      </c>
      <c r="D953" s="989"/>
      <c r="E953" s="989"/>
      <c r="F953" s="989"/>
      <c r="G953" s="989"/>
      <c r="H953" s="989"/>
      <c r="I953" s="989"/>
      <c r="J953" s="989"/>
      <c r="K953" s="989"/>
      <c r="L953" s="989"/>
      <c r="M953" s="989"/>
      <c r="N953" s="989"/>
      <c r="O953" s="989"/>
      <c r="P953" s="274" t="s">
        <v>434</v>
      </c>
    </row>
    <row r="954" spans="1:16" ht="15.75" x14ac:dyDescent="0.2">
      <c r="A954" s="991" t="s">
        <v>656</v>
      </c>
      <c r="B954" s="992"/>
      <c r="C954" s="990"/>
      <c r="D954" s="990"/>
      <c r="E954" s="990"/>
      <c r="F954" s="990"/>
      <c r="G954" s="990"/>
      <c r="H954" s="990"/>
      <c r="I954" s="990"/>
      <c r="J954" s="990"/>
      <c r="K954" s="990"/>
      <c r="L954" s="990"/>
      <c r="M954" s="990"/>
      <c r="N954" s="990"/>
      <c r="O954" s="990"/>
      <c r="P954" s="275">
        <v>100</v>
      </c>
    </row>
    <row r="955" spans="1:16" ht="15.75" x14ac:dyDescent="0.2">
      <c r="A955" s="993" t="s">
        <v>30</v>
      </c>
      <c r="B955" s="995" t="s">
        <v>31</v>
      </c>
      <c r="C955" s="995"/>
      <c r="D955" s="995"/>
      <c r="E955" s="995"/>
      <c r="F955" s="995"/>
      <c r="G955" s="995" t="s">
        <v>32</v>
      </c>
      <c r="H955" s="995"/>
      <c r="I955" s="995"/>
      <c r="J955" s="995"/>
      <c r="K955" s="995"/>
      <c r="L955" s="995" t="s">
        <v>33</v>
      </c>
      <c r="M955" s="995"/>
      <c r="N955" s="995"/>
      <c r="O955" s="995"/>
      <c r="P955" s="996"/>
    </row>
    <row r="956" spans="1:16" ht="15.75" x14ac:dyDescent="0.2">
      <c r="A956" s="994"/>
      <c r="B956" s="351" t="s">
        <v>8</v>
      </c>
      <c r="C956" s="351" t="s">
        <v>7</v>
      </c>
      <c r="D956" s="351" t="s">
        <v>9</v>
      </c>
      <c r="E956" s="351" t="s">
        <v>19</v>
      </c>
      <c r="F956" s="351" t="s">
        <v>20</v>
      </c>
      <c r="G956" s="351" t="s">
        <v>8</v>
      </c>
      <c r="H956" s="351" t="s">
        <v>7</v>
      </c>
      <c r="I956" s="351" t="s">
        <v>9</v>
      </c>
      <c r="J956" s="351" t="s">
        <v>19</v>
      </c>
      <c r="K956" s="351" t="s">
        <v>20</v>
      </c>
      <c r="L956" s="351" t="s">
        <v>8</v>
      </c>
      <c r="M956" s="351" t="s">
        <v>7</v>
      </c>
      <c r="N956" s="351" t="s">
        <v>9</v>
      </c>
      <c r="O956" s="351" t="s">
        <v>19</v>
      </c>
      <c r="P956" s="352" t="s">
        <v>20</v>
      </c>
    </row>
    <row r="957" spans="1:16" ht="15.75" x14ac:dyDescent="0.2">
      <c r="A957" s="77" t="s">
        <v>677</v>
      </c>
      <c r="B957" s="32" t="s">
        <v>16</v>
      </c>
      <c r="C957" s="78" t="s">
        <v>11</v>
      </c>
      <c r="D957" s="27">
        <v>3</v>
      </c>
      <c r="E957" s="78">
        <f>skilled</f>
        <v>1100</v>
      </c>
      <c r="F957" s="27">
        <f>D957*E957</f>
        <v>3300</v>
      </c>
      <c r="G957" s="354" t="s">
        <v>678</v>
      </c>
      <c r="H957" s="74" t="s">
        <v>17</v>
      </c>
      <c r="I957" s="74">
        <v>110</v>
      </c>
      <c r="J957" s="74">
        <f>hdpepipe_250mm</f>
        <v>1577.85</v>
      </c>
      <c r="K957" s="27">
        <f>I957*J957</f>
        <v>173563.5</v>
      </c>
      <c r="L957" s="353" t="s">
        <v>3</v>
      </c>
      <c r="M957" s="74" t="s">
        <v>13</v>
      </c>
      <c r="N957" s="27">
        <v>24</v>
      </c>
      <c r="O957" s="78">
        <f>electricgenerator</f>
        <v>785</v>
      </c>
      <c r="P957" s="85">
        <f>N957*O957</f>
        <v>18840</v>
      </c>
    </row>
    <row r="958" spans="1:16" ht="15.75" x14ac:dyDescent="0.2">
      <c r="A958" s="77"/>
      <c r="B958" s="75" t="s">
        <v>70</v>
      </c>
      <c r="C958" s="78" t="s">
        <v>11</v>
      </c>
      <c r="D958" s="27">
        <v>2</v>
      </c>
      <c r="E958" s="27">
        <f>semiskilled</f>
        <v>880</v>
      </c>
      <c r="F958" s="27">
        <f>D958*E958</f>
        <v>1760</v>
      </c>
      <c r="G958" s="354"/>
      <c r="H958" s="74"/>
      <c r="I958" s="74"/>
      <c r="J958" s="74"/>
      <c r="K958" s="27"/>
      <c r="L958" s="354" t="s">
        <v>679</v>
      </c>
      <c r="M958" s="74" t="s">
        <v>13</v>
      </c>
      <c r="N958" s="27">
        <v>18</v>
      </c>
      <c r="O958" s="27">
        <f>screwjack</f>
        <v>53</v>
      </c>
      <c r="P958" s="85">
        <f>N958*O958</f>
        <v>954</v>
      </c>
    </row>
    <row r="959" spans="1:16" ht="15.75" x14ac:dyDescent="0.2">
      <c r="A959" s="87"/>
      <c r="B959" s="357" t="s">
        <v>28</v>
      </c>
      <c r="C959" s="358" t="s">
        <v>11</v>
      </c>
      <c r="D959" s="88">
        <v>10</v>
      </c>
      <c r="E959" s="89">
        <f>unskilled</f>
        <v>780</v>
      </c>
      <c r="F959" s="27">
        <f>D959*E959</f>
        <v>7800</v>
      </c>
      <c r="G959" s="354"/>
      <c r="H959" s="74"/>
      <c r="I959" s="74"/>
      <c r="J959" s="74"/>
      <c r="K959" s="27"/>
      <c r="L959" s="354" t="s">
        <v>680</v>
      </c>
      <c r="M959" s="74" t="s">
        <v>13</v>
      </c>
      <c r="N959" s="27">
        <v>18</v>
      </c>
      <c r="O959" s="27">
        <f>heatingplate</f>
        <v>92.5</v>
      </c>
      <c r="P959" s="85">
        <f>N959*O959</f>
        <v>1665</v>
      </c>
    </row>
    <row r="960" spans="1:16" ht="15.75" x14ac:dyDescent="0.2">
      <c r="A960" s="77"/>
      <c r="B960" s="75"/>
      <c r="C960" s="78"/>
      <c r="D960" s="27"/>
      <c r="E960" s="27"/>
      <c r="F960" s="27"/>
      <c r="G960" s="354"/>
      <c r="H960" s="74"/>
      <c r="I960" s="74"/>
      <c r="J960" s="74"/>
      <c r="K960" s="27"/>
      <c r="L960" s="354" t="s">
        <v>681</v>
      </c>
      <c r="M960" s="74" t="s">
        <v>13</v>
      </c>
      <c r="N960" s="27">
        <v>12</v>
      </c>
      <c r="O960" s="27">
        <f>handdriller</f>
        <v>126.5</v>
      </c>
      <c r="P960" s="85">
        <f>N960*O960</f>
        <v>1518</v>
      </c>
    </row>
    <row r="961" spans="1:16" ht="15.75" x14ac:dyDescent="0.2">
      <c r="A961" s="997" t="s">
        <v>95</v>
      </c>
      <c r="B961" s="998"/>
      <c r="C961" s="998"/>
      <c r="D961" s="998"/>
      <c r="E961" s="998"/>
      <c r="F961" s="78">
        <f>SUM(F957:F959)</f>
        <v>12860</v>
      </c>
      <c r="G961" s="998" t="s">
        <v>99</v>
      </c>
      <c r="H961" s="998"/>
      <c r="I961" s="998"/>
      <c r="J961" s="998"/>
      <c r="K961" s="78">
        <f>SUM(K957:K960)</f>
        <v>173563.5</v>
      </c>
      <c r="L961" s="998" t="s">
        <v>36</v>
      </c>
      <c r="M961" s="998"/>
      <c r="N961" s="998"/>
      <c r="O961" s="998"/>
      <c r="P961" s="41">
        <f>SUM(P957:P960)</f>
        <v>22977</v>
      </c>
    </row>
    <row r="962" spans="1:16" ht="15.75" x14ac:dyDescent="0.2">
      <c r="A962" s="997" t="s">
        <v>487</v>
      </c>
      <c r="B962" s="998"/>
      <c r="C962" s="998"/>
      <c r="D962" s="998"/>
      <c r="E962" s="998"/>
      <c r="F962" s="28">
        <f>F961+K961+P961</f>
        <v>209400.5</v>
      </c>
      <c r="G962" s="356"/>
      <c r="H962" s="356"/>
      <c r="I962" s="356"/>
      <c r="J962" s="356"/>
      <c r="K962" s="356"/>
      <c r="L962" s="28"/>
      <c r="M962" s="356"/>
      <c r="N962" s="356"/>
      <c r="O962" s="356"/>
      <c r="P962" s="29"/>
    </row>
    <row r="963" spans="1:16" ht="16.5" thickBot="1" x14ac:dyDescent="0.25">
      <c r="A963" s="308"/>
      <c r="B963" s="999" t="s">
        <v>110</v>
      </c>
      <c r="C963" s="999"/>
      <c r="D963" s="999"/>
      <c r="E963" s="999"/>
      <c r="F963" s="17">
        <f>15%*F962</f>
        <v>31410.080000000002</v>
      </c>
      <c r="G963" s="83"/>
      <c r="H963" s="83"/>
      <c r="I963" s="83"/>
      <c r="J963" s="83"/>
      <c r="K963" s="83"/>
      <c r="L963" s="17"/>
      <c r="M963" s="276"/>
      <c r="N963" s="1000" t="s">
        <v>53</v>
      </c>
      <c r="O963" s="1000"/>
      <c r="P963" s="18">
        <f>(F963+F962)/P954</f>
        <v>2408.11</v>
      </c>
    </row>
    <row r="964" spans="1:16" ht="15.75" x14ac:dyDescent="0.2">
      <c r="A964" s="281"/>
      <c r="B964" s="281"/>
      <c r="C964" s="281"/>
      <c r="D964" s="281"/>
      <c r="E964" s="281"/>
      <c r="F964" s="57"/>
      <c r="G964" s="281"/>
      <c r="H964" s="281"/>
      <c r="I964" s="281"/>
      <c r="J964" s="281"/>
      <c r="K964" s="281"/>
      <c r="L964" s="57"/>
      <c r="M964" s="299"/>
      <c r="N964" s="299"/>
      <c r="O964" s="299"/>
      <c r="P964" s="43"/>
    </row>
    <row r="965" spans="1:16" ht="15.75" hidden="1" x14ac:dyDescent="0.2">
      <c r="A965" s="986" t="s">
        <v>29</v>
      </c>
      <c r="B965" s="987"/>
      <c r="C965" s="988" t="s">
        <v>684</v>
      </c>
      <c r="D965" s="989"/>
      <c r="E965" s="989"/>
      <c r="F965" s="989"/>
      <c r="G965" s="989"/>
      <c r="H965" s="989"/>
      <c r="I965" s="989"/>
      <c r="J965" s="989"/>
      <c r="K965" s="989"/>
      <c r="L965" s="989"/>
      <c r="M965" s="989"/>
      <c r="N965" s="989"/>
      <c r="O965" s="989"/>
      <c r="P965" s="274" t="s">
        <v>433</v>
      </c>
    </row>
    <row r="966" spans="1:16" ht="15.75" hidden="1" x14ac:dyDescent="0.2">
      <c r="A966" s="991" t="s">
        <v>682</v>
      </c>
      <c r="B966" s="992"/>
      <c r="C966" s="990"/>
      <c r="D966" s="990"/>
      <c r="E966" s="990"/>
      <c r="F966" s="990"/>
      <c r="G966" s="990"/>
      <c r="H966" s="990"/>
      <c r="I966" s="990"/>
      <c r="J966" s="990"/>
      <c r="K966" s="990"/>
      <c r="L966" s="990"/>
      <c r="M966" s="990"/>
      <c r="N966" s="990"/>
      <c r="O966" s="990"/>
      <c r="P966" s="275">
        <v>10</v>
      </c>
    </row>
    <row r="967" spans="1:16" ht="15.75" hidden="1" x14ac:dyDescent="0.2">
      <c r="A967" s="993" t="s">
        <v>30</v>
      </c>
      <c r="B967" s="995" t="s">
        <v>31</v>
      </c>
      <c r="C967" s="995"/>
      <c r="D967" s="995"/>
      <c r="E967" s="995"/>
      <c r="F967" s="995"/>
      <c r="G967" s="995" t="s">
        <v>32</v>
      </c>
      <c r="H967" s="995"/>
      <c r="I967" s="995"/>
      <c r="J967" s="995"/>
      <c r="K967" s="995"/>
      <c r="L967" s="995" t="s">
        <v>33</v>
      </c>
      <c r="M967" s="995"/>
      <c r="N967" s="995"/>
      <c r="O967" s="995"/>
      <c r="P967" s="996"/>
    </row>
    <row r="968" spans="1:16" ht="15.75" hidden="1" x14ac:dyDescent="0.2">
      <c r="A968" s="994"/>
      <c r="B968" s="351" t="s">
        <v>8</v>
      </c>
      <c r="C968" s="351" t="s">
        <v>7</v>
      </c>
      <c r="D968" s="351" t="s">
        <v>9</v>
      </c>
      <c r="E968" s="351" t="s">
        <v>19</v>
      </c>
      <c r="F968" s="351" t="s">
        <v>20</v>
      </c>
      <c r="G968" s="351" t="s">
        <v>8</v>
      </c>
      <c r="H968" s="351" t="s">
        <v>7</v>
      </c>
      <c r="I968" s="351" t="s">
        <v>9</v>
      </c>
      <c r="J968" s="351" t="s">
        <v>19</v>
      </c>
      <c r="K968" s="351" t="s">
        <v>20</v>
      </c>
      <c r="L968" s="351" t="s">
        <v>8</v>
      </c>
      <c r="M968" s="351" t="s">
        <v>7</v>
      </c>
      <c r="N968" s="351" t="s">
        <v>9</v>
      </c>
      <c r="O968" s="351" t="s">
        <v>19</v>
      </c>
      <c r="P968" s="352" t="s">
        <v>20</v>
      </c>
    </row>
    <row r="969" spans="1:16" ht="15.75" hidden="1" x14ac:dyDescent="0.2">
      <c r="A969" s="77" t="s">
        <v>683</v>
      </c>
      <c r="B969" s="32" t="s">
        <v>16</v>
      </c>
      <c r="C969" s="78" t="s">
        <v>11</v>
      </c>
      <c r="D969" s="27">
        <v>3</v>
      </c>
      <c r="E969" s="78">
        <f>skilled</f>
        <v>1100</v>
      </c>
      <c r="F969" s="27">
        <f>D969*E969</f>
        <v>3300</v>
      </c>
      <c r="G969" s="354" t="s">
        <v>24</v>
      </c>
      <c r="H969" s="74" t="s">
        <v>132</v>
      </c>
      <c r="I969" s="74">
        <v>1.7</v>
      </c>
      <c r="J969" s="74">
        <f>cement</f>
        <v>15631</v>
      </c>
      <c r="K969" s="27">
        <f t="shared" ref="K969:K974" si="17">I969*J969</f>
        <v>26572.7</v>
      </c>
      <c r="L969" s="353" t="s">
        <v>163</v>
      </c>
      <c r="M969" s="74" t="s">
        <v>13</v>
      </c>
      <c r="N969" s="27">
        <v>6</v>
      </c>
      <c r="O969" s="78">
        <f>mixermachine</f>
        <v>333</v>
      </c>
      <c r="P969" s="85">
        <f>N969*O969</f>
        <v>1998</v>
      </c>
    </row>
    <row r="970" spans="1:16" ht="31.5" hidden="1" x14ac:dyDescent="0.2">
      <c r="A970" s="77"/>
      <c r="B970" s="75" t="s">
        <v>28</v>
      </c>
      <c r="C970" s="78" t="s">
        <v>11</v>
      </c>
      <c r="D970" s="27">
        <v>30</v>
      </c>
      <c r="E970" s="27">
        <f>unskilled</f>
        <v>780</v>
      </c>
      <c r="F970" s="27">
        <f>D970*E970</f>
        <v>23400</v>
      </c>
      <c r="G970" s="354" t="s">
        <v>685</v>
      </c>
      <c r="H970" s="74" t="s">
        <v>250</v>
      </c>
      <c r="I970" s="74">
        <v>3.45</v>
      </c>
      <c r="J970" s="74">
        <f>aggregate40mm</f>
        <v>1585.97</v>
      </c>
      <c r="K970" s="27">
        <f t="shared" si="17"/>
        <v>5471.6</v>
      </c>
      <c r="L970" s="354" t="s">
        <v>689</v>
      </c>
      <c r="M970" s="74" t="s">
        <v>13</v>
      </c>
      <c r="N970" s="27">
        <v>6</v>
      </c>
      <c r="O970" s="25">
        <v>220</v>
      </c>
      <c r="P970" s="85">
        <f>N970*O970</f>
        <v>1320</v>
      </c>
    </row>
    <row r="971" spans="1:16" ht="31.5" hidden="1" x14ac:dyDescent="0.2">
      <c r="A971" s="77"/>
      <c r="B971" s="75"/>
      <c r="C971" s="78"/>
      <c r="D971" s="27"/>
      <c r="E971" s="27"/>
      <c r="F971" s="27"/>
      <c r="G971" s="354" t="s">
        <v>686</v>
      </c>
      <c r="H971" s="74" t="s">
        <v>250</v>
      </c>
      <c r="I971" s="74">
        <v>1.56</v>
      </c>
      <c r="J971" s="74">
        <f>aggregate20mm</f>
        <v>1580.97</v>
      </c>
      <c r="K971" s="27">
        <f t="shared" si="17"/>
        <v>2466.31</v>
      </c>
      <c r="L971" s="354"/>
      <c r="M971" s="74"/>
      <c r="N971" s="27"/>
      <c r="O971" s="27"/>
      <c r="P971" s="85"/>
    </row>
    <row r="972" spans="1:16" ht="15.75" hidden="1" x14ac:dyDescent="0.2">
      <c r="A972" s="77"/>
      <c r="B972" s="75"/>
      <c r="C972" s="78"/>
      <c r="D972" s="27"/>
      <c r="E972" s="27"/>
      <c r="F972" s="27"/>
      <c r="G972" s="354" t="s">
        <v>687</v>
      </c>
      <c r="H972" s="74" t="s">
        <v>250</v>
      </c>
      <c r="I972" s="74">
        <v>0.72</v>
      </c>
      <c r="J972" s="74">
        <f>aggregate10mm</f>
        <v>1420.97</v>
      </c>
      <c r="K972" s="27">
        <f t="shared" si="17"/>
        <v>1023.1</v>
      </c>
      <c r="L972" s="354"/>
      <c r="M972" s="74"/>
      <c r="N972" s="27"/>
      <c r="O972" s="27"/>
      <c r="P972" s="85"/>
    </row>
    <row r="973" spans="1:16" ht="15.75" hidden="1" x14ac:dyDescent="0.2">
      <c r="A973" s="77"/>
      <c r="B973" s="75"/>
      <c r="C973" s="78"/>
      <c r="D973" s="27"/>
      <c r="E973" s="27"/>
      <c r="F973" s="27"/>
      <c r="G973" s="354" t="s">
        <v>22</v>
      </c>
      <c r="H973" s="74" t="s">
        <v>250</v>
      </c>
      <c r="I973" s="74">
        <v>3</v>
      </c>
      <c r="J973" s="74">
        <f>sand</f>
        <v>2001.47</v>
      </c>
      <c r="K973" s="27">
        <f t="shared" si="17"/>
        <v>6004.41</v>
      </c>
      <c r="L973" s="354"/>
      <c r="M973" s="74"/>
      <c r="N973" s="27"/>
      <c r="O973" s="27"/>
      <c r="P973" s="85"/>
    </row>
    <row r="974" spans="1:16" ht="15.75" hidden="1" x14ac:dyDescent="0.2">
      <c r="A974" s="77"/>
      <c r="B974" s="75"/>
      <c r="C974" s="78"/>
      <c r="D974" s="27"/>
      <c r="E974" s="27"/>
      <c r="F974" s="27"/>
      <c r="G974" s="354" t="s">
        <v>688</v>
      </c>
      <c r="H974" s="74" t="s">
        <v>250</v>
      </c>
      <c r="I974" s="74">
        <v>4.4000000000000004</v>
      </c>
      <c r="J974" s="74">
        <f>stone</f>
        <v>1516.22</v>
      </c>
      <c r="K974" s="27">
        <f t="shared" si="17"/>
        <v>6671.37</v>
      </c>
      <c r="L974" s="354"/>
      <c r="M974" s="74"/>
      <c r="N974" s="27"/>
      <c r="O974" s="27"/>
      <c r="P974" s="85"/>
    </row>
    <row r="975" spans="1:16" ht="15.75" hidden="1" x14ac:dyDescent="0.2">
      <c r="A975" s="997" t="s">
        <v>95</v>
      </c>
      <c r="B975" s="998"/>
      <c r="C975" s="998"/>
      <c r="D975" s="998"/>
      <c r="E975" s="998"/>
      <c r="F975" s="78">
        <f>SUM(F969:F971)</f>
        <v>26700</v>
      </c>
      <c r="G975" s="998" t="s">
        <v>99</v>
      </c>
      <c r="H975" s="998"/>
      <c r="I975" s="998"/>
      <c r="J975" s="998"/>
      <c r="K975" s="78">
        <f>SUM(K969:K974)</f>
        <v>48209.49</v>
      </c>
      <c r="L975" s="998" t="s">
        <v>36</v>
      </c>
      <c r="M975" s="998"/>
      <c r="N975" s="998"/>
      <c r="O975" s="998"/>
      <c r="P975" s="41">
        <f>SUM(P969:P972)</f>
        <v>3318</v>
      </c>
    </row>
    <row r="976" spans="1:16" ht="15.75" hidden="1" x14ac:dyDescent="0.2">
      <c r="A976" s="997" t="s">
        <v>487</v>
      </c>
      <c r="B976" s="998"/>
      <c r="C976" s="998"/>
      <c r="D976" s="998"/>
      <c r="E976" s="998"/>
      <c r="F976" s="28">
        <f>F975+K975+P975</f>
        <v>78227.490000000005</v>
      </c>
      <c r="G976" s="356"/>
      <c r="H976" s="356"/>
      <c r="I976" s="356"/>
      <c r="J976" s="356"/>
      <c r="K976" s="356"/>
      <c r="L976" s="28"/>
      <c r="M976" s="356"/>
      <c r="N976" s="356"/>
      <c r="O976" s="356"/>
      <c r="P976" s="29"/>
    </row>
    <row r="977" spans="1:20" ht="16.5" hidden="1" thickBot="1" x14ac:dyDescent="0.25">
      <c r="A977" s="308"/>
      <c r="B977" s="999" t="s">
        <v>110</v>
      </c>
      <c r="C977" s="999"/>
      <c r="D977" s="999"/>
      <c r="E977" s="999"/>
      <c r="F977" s="17">
        <f>15%*F976</f>
        <v>11734.12</v>
      </c>
      <c r="G977" s="83"/>
      <c r="H977" s="83"/>
      <c r="I977" s="83"/>
      <c r="J977" s="83"/>
      <c r="K977" s="83"/>
      <c r="L977" s="17"/>
      <c r="M977" s="276"/>
      <c r="N977" s="1000" t="s">
        <v>53</v>
      </c>
      <c r="O977" s="1000"/>
      <c r="P977" s="18">
        <f>(F977+F976)/P966</f>
        <v>8996.16</v>
      </c>
    </row>
    <row r="978" spans="1:20" ht="16.5" hidden="1" thickBot="1" x14ac:dyDescent="0.25">
      <c r="A978" s="281"/>
      <c r="B978" s="281"/>
      <c r="C978" s="281"/>
      <c r="D978" s="281"/>
      <c r="E978" s="281"/>
      <c r="F978" s="57"/>
      <c r="G978" s="281"/>
      <c r="H978" s="281"/>
      <c r="I978" s="281"/>
      <c r="J978" s="281"/>
      <c r="K978" s="281"/>
      <c r="L978" s="57"/>
      <c r="M978" s="299"/>
      <c r="N978" s="299"/>
      <c r="O978" s="299"/>
      <c r="P978" s="43"/>
    </row>
    <row r="979" spans="1:20" ht="15.75" hidden="1" x14ac:dyDescent="0.2">
      <c r="A979" s="986" t="s">
        <v>29</v>
      </c>
      <c r="B979" s="987"/>
      <c r="C979" s="988" t="s">
        <v>691</v>
      </c>
      <c r="D979" s="989"/>
      <c r="E979" s="989"/>
      <c r="F979" s="989"/>
      <c r="G979" s="989"/>
      <c r="H979" s="989"/>
      <c r="I979" s="989"/>
      <c r="J979" s="989"/>
      <c r="K979" s="989"/>
      <c r="L979" s="989"/>
      <c r="M979" s="989"/>
      <c r="N979" s="989"/>
      <c r="O979" s="989"/>
      <c r="P979" s="274" t="s">
        <v>433</v>
      </c>
    </row>
    <row r="980" spans="1:20" ht="15.75" hidden="1" x14ac:dyDescent="0.2">
      <c r="A980" s="991" t="s">
        <v>682</v>
      </c>
      <c r="B980" s="992"/>
      <c r="C980" s="990"/>
      <c r="D980" s="990"/>
      <c r="E980" s="990"/>
      <c r="F980" s="990"/>
      <c r="G980" s="990"/>
      <c r="H980" s="990"/>
      <c r="I980" s="990"/>
      <c r="J980" s="990"/>
      <c r="K980" s="990"/>
      <c r="L980" s="990"/>
      <c r="M980" s="990"/>
      <c r="N980" s="990"/>
      <c r="O980" s="990"/>
      <c r="P980" s="275">
        <v>10</v>
      </c>
    </row>
    <row r="981" spans="1:20" ht="15.75" hidden="1" x14ac:dyDescent="0.2">
      <c r="A981" s="993" t="s">
        <v>30</v>
      </c>
      <c r="B981" s="995" t="s">
        <v>31</v>
      </c>
      <c r="C981" s="995"/>
      <c r="D981" s="995"/>
      <c r="E981" s="995"/>
      <c r="F981" s="995"/>
      <c r="G981" s="995" t="s">
        <v>32</v>
      </c>
      <c r="H981" s="995"/>
      <c r="I981" s="995"/>
      <c r="J981" s="995"/>
      <c r="K981" s="995"/>
      <c r="L981" s="995" t="s">
        <v>33</v>
      </c>
      <c r="M981" s="995"/>
      <c r="N981" s="995"/>
      <c r="O981" s="995"/>
      <c r="P981" s="996"/>
    </row>
    <row r="982" spans="1:20" ht="15.75" hidden="1" x14ac:dyDescent="0.2">
      <c r="A982" s="994"/>
      <c r="B982" s="351" t="s">
        <v>8</v>
      </c>
      <c r="C982" s="351" t="s">
        <v>7</v>
      </c>
      <c r="D982" s="351" t="s">
        <v>9</v>
      </c>
      <c r="E982" s="351" t="s">
        <v>19</v>
      </c>
      <c r="F982" s="351" t="s">
        <v>20</v>
      </c>
      <c r="G982" s="351" t="s">
        <v>8</v>
      </c>
      <c r="H982" s="351" t="s">
        <v>7</v>
      </c>
      <c r="I982" s="351" t="s">
        <v>9</v>
      </c>
      <c r="J982" s="351" t="s">
        <v>19</v>
      </c>
      <c r="K982" s="351" t="s">
        <v>20</v>
      </c>
      <c r="L982" s="351" t="s">
        <v>8</v>
      </c>
      <c r="M982" s="351" t="s">
        <v>7</v>
      </c>
      <c r="N982" s="351" t="s">
        <v>9</v>
      </c>
      <c r="O982" s="351" t="s">
        <v>19</v>
      </c>
      <c r="P982" s="352" t="s">
        <v>20</v>
      </c>
    </row>
    <row r="983" spans="1:20" ht="15.75" hidden="1" x14ac:dyDescent="0.2">
      <c r="A983" s="77" t="s">
        <v>690</v>
      </c>
      <c r="B983" s="32" t="s">
        <v>16</v>
      </c>
      <c r="C983" s="78" t="s">
        <v>11</v>
      </c>
      <c r="D983" s="27">
        <v>4</v>
      </c>
      <c r="E983" s="78">
        <f>skilled</f>
        <v>1100</v>
      </c>
      <c r="F983" s="27">
        <f>D983*E983</f>
        <v>4400</v>
      </c>
      <c r="G983" s="354" t="s">
        <v>24</v>
      </c>
      <c r="H983" s="74" t="s">
        <v>132</v>
      </c>
      <c r="I983" s="74">
        <v>1.95</v>
      </c>
      <c r="J983" s="74">
        <f>cement</f>
        <v>15631</v>
      </c>
      <c r="K983" s="27">
        <f t="shared" ref="K983:K988" si="18">I983*J983</f>
        <v>30480.45</v>
      </c>
      <c r="L983" s="353" t="s">
        <v>163</v>
      </c>
      <c r="M983" s="74" t="s">
        <v>13</v>
      </c>
      <c r="N983" s="27">
        <v>6</v>
      </c>
      <c r="O983" s="78">
        <f>mixermachine</f>
        <v>333</v>
      </c>
      <c r="P983" s="85">
        <f>N983*O983</f>
        <v>1998</v>
      </c>
    </row>
    <row r="984" spans="1:20" ht="31.5" hidden="1" x14ac:dyDescent="0.2">
      <c r="A984" s="77"/>
      <c r="B984" s="75" t="s">
        <v>28</v>
      </c>
      <c r="C984" s="78" t="s">
        <v>11</v>
      </c>
      <c r="D984" s="27">
        <v>30</v>
      </c>
      <c r="E984" s="27">
        <f>unskilled</f>
        <v>780</v>
      </c>
      <c r="F984" s="27">
        <f>D984*E984</f>
        <v>23400</v>
      </c>
      <c r="G984" s="354" t="s">
        <v>685</v>
      </c>
      <c r="H984" s="74" t="s">
        <v>250</v>
      </c>
      <c r="I984" s="74">
        <v>4</v>
      </c>
      <c r="J984" s="74">
        <f>aggregate40mm</f>
        <v>1585.97</v>
      </c>
      <c r="K984" s="27">
        <f t="shared" si="18"/>
        <v>6343.88</v>
      </c>
      <c r="L984" s="354" t="s">
        <v>689</v>
      </c>
      <c r="M984" s="74" t="s">
        <v>13</v>
      </c>
      <c r="N984" s="27">
        <v>6</v>
      </c>
      <c r="O984" s="25">
        <f>O970</f>
        <v>220</v>
      </c>
      <c r="P984" s="85">
        <f>N984*O984</f>
        <v>1320</v>
      </c>
    </row>
    <row r="985" spans="1:20" ht="31.5" hidden="1" x14ac:dyDescent="0.2">
      <c r="A985" s="77"/>
      <c r="B985" s="75"/>
      <c r="C985" s="78"/>
      <c r="D985" s="27"/>
      <c r="E985" s="27"/>
      <c r="F985" s="27"/>
      <c r="G985" s="354" t="s">
        <v>686</v>
      </c>
      <c r="H985" s="74" t="s">
        <v>250</v>
      </c>
      <c r="I985" s="74">
        <v>1.8</v>
      </c>
      <c r="J985" s="74">
        <f>aggregate20mm</f>
        <v>1580.97</v>
      </c>
      <c r="K985" s="27">
        <f t="shared" si="18"/>
        <v>2845.75</v>
      </c>
      <c r="L985" s="354"/>
      <c r="M985" s="74"/>
      <c r="N985" s="27"/>
      <c r="O985" s="27"/>
      <c r="P985" s="85"/>
    </row>
    <row r="986" spans="1:20" ht="15.75" hidden="1" x14ac:dyDescent="0.2">
      <c r="A986" s="77"/>
      <c r="B986" s="75"/>
      <c r="C986" s="78"/>
      <c r="D986" s="27"/>
      <c r="E986" s="27"/>
      <c r="F986" s="27"/>
      <c r="G986" s="354" t="s">
        <v>687</v>
      </c>
      <c r="H986" s="74" t="s">
        <v>250</v>
      </c>
      <c r="I986" s="74">
        <v>0.8</v>
      </c>
      <c r="J986" s="74">
        <f>aggregate10mm</f>
        <v>1420.97</v>
      </c>
      <c r="K986" s="27">
        <f t="shared" si="18"/>
        <v>1136.78</v>
      </c>
      <c r="L986" s="354"/>
      <c r="M986" s="74"/>
      <c r="N986" s="27"/>
      <c r="O986" s="27"/>
      <c r="P986" s="85"/>
      <c r="T986" s="63">
        <f>5.16/4.13*1.7</f>
        <v>2.12</v>
      </c>
    </row>
    <row r="987" spans="1:20" ht="15.75" hidden="1" x14ac:dyDescent="0.2">
      <c r="A987" s="77"/>
      <c r="B987" s="75"/>
      <c r="C987" s="78"/>
      <c r="D987" s="27"/>
      <c r="E987" s="27"/>
      <c r="F987" s="27"/>
      <c r="G987" s="354" t="s">
        <v>22</v>
      </c>
      <c r="H987" s="74" t="s">
        <v>250</v>
      </c>
      <c r="I987" s="74">
        <v>3.45</v>
      </c>
      <c r="J987" s="74">
        <f>sand</f>
        <v>2001.47</v>
      </c>
      <c r="K987" s="27">
        <f t="shared" si="18"/>
        <v>6905.07</v>
      </c>
      <c r="L987" s="354"/>
      <c r="M987" s="74"/>
      <c r="N987" s="27"/>
      <c r="O987" s="27"/>
      <c r="P987" s="85"/>
      <c r="T987" s="63">
        <f>5.4/8.1*3.45</f>
        <v>2.2999999999999998</v>
      </c>
    </row>
    <row r="988" spans="1:20" ht="15.75" hidden="1" x14ac:dyDescent="0.2">
      <c r="A988" s="77"/>
      <c r="B988" s="75"/>
      <c r="C988" s="78"/>
      <c r="D988" s="27"/>
      <c r="E988" s="27"/>
      <c r="F988" s="27"/>
      <c r="G988" s="354" t="s">
        <v>688</v>
      </c>
      <c r="H988" s="74" t="s">
        <v>250</v>
      </c>
      <c r="I988" s="74">
        <v>3.3</v>
      </c>
      <c r="J988" s="74">
        <f>stone</f>
        <v>1516.22</v>
      </c>
      <c r="K988" s="27">
        <f t="shared" si="18"/>
        <v>5003.53</v>
      </c>
      <c r="L988" s="354"/>
      <c r="M988" s="74"/>
      <c r="N988" s="27"/>
      <c r="O988" s="27"/>
      <c r="P988" s="85"/>
    </row>
    <row r="989" spans="1:20" ht="15.75" hidden="1" x14ac:dyDescent="0.2">
      <c r="A989" s="997" t="s">
        <v>95</v>
      </c>
      <c r="B989" s="998"/>
      <c r="C989" s="998"/>
      <c r="D989" s="998"/>
      <c r="E989" s="998"/>
      <c r="F989" s="78">
        <f>SUM(F983:F985)</f>
        <v>27800</v>
      </c>
      <c r="G989" s="998" t="s">
        <v>99</v>
      </c>
      <c r="H989" s="998"/>
      <c r="I989" s="998"/>
      <c r="J989" s="998"/>
      <c r="K989" s="78">
        <f>SUM(K983:K988)</f>
        <v>52715.46</v>
      </c>
      <c r="L989" s="998" t="s">
        <v>36</v>
      </c>
      <c r="M989" s="998"/>
      <c r="N989" s="998"/>
      <c r="O989" s="998"/>
      <c r="P989" s="41">
        <f>SUM(P983:P986)</f>
        <v>3318</v>
      </c>
    </row>
    <row r="990" spans="1:20" ht="15.75" hidden="1" x14ac:dyDescent="0.2">
      <c r="A990" s="997" t="s">
        <v>487</v>
      </c>
      <c r="B990" s="998"/>
      <c r="C990" s="998"/>
      <c r="D990" s="998"/>
      <c r="E990" s="998"/>
      <c r="F990" s="28">
        <f>F989+K989+P989</f>
        <v>83833.460000000006</v>
      </c>
      <c r="G990" s="356"/>
      <c r="H990" s="356"/>
      <c r="I990" s="356"/>
      <c r="J990" s="356"/>
      <c r="K990" s="356"/>
      <c r="L990" s="28"/>
      <c r="M990" s="356"/>
      <c r="N990" s="356"/>
      <c r="O990" s="356"/>
      <c r="P990" s="29"/>
    </row>
    <row r="991" spans="1:20" ht="16.5" hidden="1" thickBot="1" x14ac:dyDescent="0.25">
      <c r="A991" s="308"/>
      <c r="B991" s="999" t="s">
        <v>110</v>
      </c>
      <c r="C991" s="999"/>
      <c r="D991" s="999"/>
      <c r="E991" s="999"/>
      <c r="F991" s="17">
        <f>15%*F990</f>
        <v>12575.02</v>
      </c>
      <c r="G991" s="83"/>
      <c r="H991" s="83"/>
      <c r="I991" s="83"/>
      <c r="J991" s="83"/>
      <c r="K991" s="83"/>
      <c r="L991" s="17"/>
      <c r="M991" s="276"/>
      <c r="N991" s="1000" t="s">
        <v>53</v>
      </c>
      <c r="O991" s="1000"/>
      <c r="P991" s="18">
        <f>(F991+F990)/P980</f>
        <v>9640.85</v>
      </c>
    </row>
    <row r="992" spans="1:20" ht="16.5" hidden="1" thickBot="1" x14ac:dyDescent="0.25">
      <c r="A992" s="281"/>
      <c r="B992" s="281"/>
      <c r="C992" s="281"/>
      <c r="D992" s="281"/>
      <c r="E992" s="281"/>
      <c r="F992" s="57"/>
      <c r="G992" s="281"/>
      <c r="H992" s="281"/>
      <c r="I992" s="281"/>
      <c r="J992" s="281"/>
      <c r="K992" s="281"/>
      <c r="L992" s="57"/>
      <c r="M992" s="299"/>
      <c r="N992" s="299"/>
      <c r="O992" s="299"/>
      <c r="P992" s="43"/>
    </row>
    <row r="993" spans="1:16" ht="15.75" hidden="1" x14ac:dyDescent="0.2">
      <c r="A993" s="986" t="s">
        <v>29</v>
      </c>
      <c r="B993" s="987"/>
      <c r="C993" s="988" t="s">
        <v>1065</v>
      </c>
      <c r="D993" s="989"/>
      <c r="E993" s="989"/>
      <c r="F993" s="989"/>
      <c r="G993" s="989"/>
      <c r="H993" s="989"/>
      <c r="I993" s="989"/>
      <c r="J993" s="989"/>
      <c r="K993" s="989"/>
      <c r="L993" s="989"/>
      <c r="M993" s="989"/>
      <c r="N993" s="989"/>
      <c r="O993" s="989"/>
      <c r="P993" s="274" t="s">
        <v>433</v>
      </c>
    </row>
    <row r="994" spans="1:16" ht="15.75" hidden="1" x14ac:dyDescent="0.2">
      <c r="A994" s="991" t="s">
        <v>682</v>
      </c>
      <c r="B994" s="992"/>
      <c r="C994" s="990"/>
      <c r="D994" s="990"/>
      <c r="E994" s="990"/>
      <c r="F994" s="990"/>
      <c r="G994" s="990"/>
      <c r="H994" s="990"/>
      <c r="I994" s="990"/>
      <c r="J994" s="990"/>
      <c r="K994" s="990"/>
      <c r="L994" s="990"/>
      <c r="M994" s="990"/>
      <c r="N994" s="990"/>
      <c r="O994" s="990"/>
      <c r="P994" s="275">
        <v>10</v>
      </c>
    </row>
    <row r="995" spans="1:16" ht="15.75" hidden="1" x14ac:dyDescent="0.2">
      <c r="A995" s="993" t="s">
        <v>30</v>
      </c>
      <c r="B995" s="995" t="s">
        <v>31</v>
      </c>
      <c r="C995" s="995"/>
      <c r="D995" s="995"/>
      <c r="E995" s="995"/>
      <c r="F995" s="995"/>
      <c r="G995" s="995" t="s">
        <v>32</v>
      </c>
      <c r="H995" s="995"/>
      <c r="I995" s="995"/>
      <c r="J995" s="995"/>
      <c r="K995" s="995"/>
      <c r="L995" s="995" t="s">
        <v>33</v>
      </c>
      <c r="M995" s="995"/>
      <c r="N995" s="995"/>
      <c r="O995" s="995"/>
      <c r="P995" s="996"/>
    </row>
    <row r="996" spans="1:16" ht="15.75" hidden="1" x14ac:dyDescent="0.2">
      <c r="A996" s="994"/>
      <c r="B996" s="351" t="s">
        <v>8</v>
      </c>
      <c r="C996" s="351" t="s">
        <v>7</v>
      </c>
      <c r="D996" s="351" t="s">
        <v>9</v>
      </c>
      <c r="E996" s="351" t="s">
        <v>19</v>
      </c>
      <c r="F996" s="351" t="s">
        <v>20</v>
      </c>
      <c r="G996" s="351" t="s">
        <v>8</v>
      </c>
      <c r="H996" s="351" t="s">
        <v>7</v>
      </c>
      <c r="I996" s="351" t="s">
        <v>9</v>
      </c>
      <c r="J996" s="351" t="s">
        <v>19</v>
      </c>
      <c r="K996" s="351" t="s">
        <v>20</v>
      </c>
      <c r="L996" s="351" t="s">
        <v>8</v>
      </c>
      <c r="M996" s="351" t="s">
        <v>7</v>
      </c>
      <c r="N996" s="351" t="s">
        <v>9</v>
      </c>
      <c r="O996" s="351" t="s">
        <v>19</v>
      </c>
      <c r="P996" s="352" t="s">
        <v>20</v>
      </c>
    </row>
    <row r="997" spans="1:16" ht="15.75" hidden="1" x14ac:dyDescent="0.2">
      <c r="A997" s="77"/>
      <c r="B997" s="32" t="s">
        <v>16</v>
      </c>
      <c r="C997" s="78" t="s">
        <v>11</v>
      </c>
      <c r="D997" s="27">
        <v>3</v>
      </c>
      <c r="E997" s="78">
        <f>skilled</f>
        <v>1100</v>
      </c>
      <c r="F997" s="27">
        <f>D997*E997</f>
        <v>3300</v>
      </c>
      <c r="G997" s="354" t="s">
        <v>24</v>
      </c>
      <c r="H997" s="74" t="s">
        <v>132</v>
      </c>
      <c r="I997" s="74">
        <f>5.16/4.13*I969</f>
        <v>2.12</v>
      </c>
      <c r="J997" s="74">
        <f>cement</f>
        <v>15631</v>
      </c>
      <c r="K997" s="27">
        <f t="shared" ref="K997:K1002" si="19">I997*J997</f>
        <v>33137.72</v>
      </c>
      <c r="L997" s="353" t="s">
        <v>163</v>
      </c>
      <c r="M997" s="74" t="s">
        <v>13</v>
      </c>
      <c r="N997" s="27">
        <v>6</v>
      </c>
      <c r="O997" s="78">
        <f>mixermachine</f>
        <v>333</v>
      </c>
      <c r="P997" s="85">
        <f>N997*O997</f>
        <v>1998</v>
      </c>
    </row>
    <row r="998" spans="1:16" ht="31.5" hidden="1" x14ac:dyDescent="0.2">
      <c r="A998" s="77"/>
      <c r="B998" s="75" t="s">
        <v>28</v>
      </c>
      <c r="C998" s="78" t="s">
        <v>11</v>
      </c>
      <c r="D998" s="27">
        <v>30</v>
      </c>
      <c r="E998" s="27">
        <f>unskilled</f>
        <v>780</v>
      </c>
      <c r="F998" s="27">
        <f>D998*E998</f>
        <v>23400</v>
      </c>
      <c r="G998" s="354" t="s">
        <v>685</v>
      </c>
      <c r="H998" s="74" t="s">
        <v>250</v>
      </c>
      <c r="I998" s="74">
        <f>5.4/8.1*I970</f>
        <v>2.2999999999999998</v>
      </c>
      <c r="J998" s="74">
        <f>aggregate40mm</f>
        <v>1585.97</v>
      </c>
      <c r="K998" s="27">
        <f t="shared" si="19"/>
        <v>3647.73</v>
      </c>
      <c r="L998" s="354" t="s">
        <v>689</v>
      </c>
      <c r="M998" s="74" t="s">
        <v>13</v>
      </c>
      <c r="N998" s="27">
        <v>6</v>
      </c>
      <c r="O998" s="25">
        <v>220</v>
      </c>
      <c r="P998" s="85">
        <f>N998*O998</f>
        <v>1320</v>
      </c>
    </row>
    <row r="999" spans="1:16" ht="31.5" hidden="1" x14ac:dyDescent="0.2">
      <c r="A999" s="77"/>
      <c r="B999" s="75"/>
      <c r="C999" s="78"/>
      <c r="D999" s="27"/>
      <c r="E999" s="27"/>
      <c r="F999" s="27"/>
      <c r="G999" s="354" t="s">
        <v>686</v>
      </c>
      <c r="H999" s="74" t="s">
        <v>250</v>
      </c>
      <c r="I999" s="74">
        <f>5.4/4.05*I971</f>
        <v>2.08</v>
      </c>
      <c r="J999" s="74">
        <f>aggregate20mm</f>
        <v>1580.97</v>
      </c>
      <c r="K999" s="27">
        <f t="shared" si="19"/>
        <v>3288.42</v>
      </c>
      <c r="L999" s="354"/>
      <c r="M999" s="74"/>
      <c r="N999" s="27"/>
      <c r="O999" s="27"/>
      <c r="P999" s="85"/>
    </row>
    <row r="1000" spans="1:16" ht="15.75" hidden="1" x14ac:dyDescent="0.2">
      <c r="A1000" s="77"/>
      <c r="B1000" s="75"/>
      <c r="C1000" s="78"/>
      <c r="D1000" s="27"/>
      <c r="E1000" s="27"/>
      <c r="F1000" s="27"/>
      <c r="G1000" s="354" t="s">
        <v>687</v>
      </c>
      <c r="H1000" s="74" t="s">
        <v>250</v>
      </c>
      <c r="I1000" s="74">
        <f>2.7/1.35*I972</f>
        <v>1.44</v>
      </c>
      <c r="J1000" s="74">
        <f>aggregate10mm</f>
        <v>1420.97</v>
      </c>
      <c r="K1000" s="27">
        <f t="shared" si="19"/>
        <v>2046.2</v>
      </c>
      <c r="L1000" s="354"/>
      <c r="M1000" s="74"/>
      <c r="N1000" s="27"/>
      <c r="O1000" s="27"/>
      <c r="P1000" s="85"/>
    </row>
    <row r="1001" spans="1:16" ht="15.75" hidden="1" x14ac:dyDescent="0.2">
      <c r="A1001" s="77"/>
      <c r="B1001" s="75"/>
      <c r="C1001" s="78"/>
      <c r="D1001" s="27"/>
      <c r="E1001" s="27"/>
      <c r="F1001" s="27"/>
      <c r="G1001" s="354" t="s">
        <v>22</v>
      </c>
      <c r="H1001" s="74" t="s">
        <v>250</v>
      </c>
      <c r="I1001" s="74">
        <v>3</v>
      </c>
      <c r="J1001" s="74">
        <f>sand</f>
        <v>2001.47</v>
      </c>
      <c r="K1001" s="27">
        <f t="shared" si="19"/>
        <v>6004.41</v>
      </c>
      <c r="L1001" s="354"/>
      <c r="M1001" s="74"/>
      <c r="N1001" s="27"/>
      <c r="O1001" s="27"/>
      <c r="P1001" s="85"/>
    </row>
    <row r="1002" spans="1:16" ht="15.75" hidden="1" x14ac:dyDescent="0.2">
      <c r="A1002" s="77"/>
      <c r="B1002" s="75"/>
      <c r="C1002" s="78"/>
      <c r="D1002" s="27"/>
      <c r="E1002" s="27"/>
      <c r="F1002" s="27"/>
      <c r="G1002" s="354" t="s">
        <v>688</v>
      </c>
      <c r="H1002" s="74" t="s">
        <v>250</v>
      </c>
      <c r="I1002" s="74">
        <v>4.4000000000000004</v>
      </c>
      <c r="J1002" s="74">
        <f>stone</f>
        <v>1516.22</v>
      </c>
      <c r="K1002" s="27">
        <f t="shared" si="19"/>
        <v>6671.37</v>
      </c>
      <c r="L1002" s="354"/>
      <c r="M1002" s="74"/>
      <c r="N1002" s="27"/>
      <c r="O1002" s="27"/>
      <c r="P1002" s="85"/>
    </row>
    <row r="1003" spans="1:16" ht="15.75" hidden="1" x14ac:dyDescent="0.2">
      <c r="A1003" s="997" t="s">
        <v>95</v>
      </c>
      <c r="B1003" s="998"/>
      <c r="C1003" s="998"/>
      <c r="D1003" s="998"/>
      <c r="E1003" s="998"/>
      <c r="F1003" s="78">
        <f>SUM(F997:F999)</f>
        <v>26700</v>
      </c>
      <c r="G1003" s="998" t="s">
        <v>99</v>
      </c>
      <c r="H1003" s="998"/>
      <c r="I1003" s="998"/>
      <c r="J1003" s="998"/>
      <c r="K1003" s="78">
        <f>SUM(K997:K1002)</f>
        <v>54795.85</v>
      </c>
      <c r="L1003" s="998" t="s">
        <v>36</v>
      </c>
      <c r="M1003" s="998"/>
      <c r="N1003" s="998"/>
      <c r="O1003" s="998"/>
      <c r="P1003" s="41">
        <f>SUM(P997:P1000)</f>
        <v>3318</v>
      </c>
    </row>
    <row r="1004" spans="1:16" ht="15.75" hidden="1" x14ac:dyDescent="0.2">
      <c r="A1004" s="997" t="s">
        <v>487</v>
      </c>
      <c r="B1004" s="998"/>
      <c r="C1004" s="998"/>
      <c r="D1004" s="998"/>
      <c r="E1004" s="998"/>
      <c r="F1004" s="28">
        <f>F1003+K1003+P1003</f>
        <v>84813.85</v>
      </c>
      <c r="G1004" s="356"/>
      <c r="H1004" s="356"/>
      <c r="I1004" s="356"/>
      <c r="J1004" s="356"/>
      <c r="K1004" s="356"/>
      <c r="L1004" s="28"/>
      <c r="M1004" s="356"/>
      <c r="N1004" s="356"/>
      <c r="O1004" s="356"/>
      <c r="P1004" s="29"/>
    </row>
    <row r="1005" spans="1:16" ht="16.5" hidden="1" thickBot="1" x14ac:dyDescent="0.25">
      <c r="A1005" s="308"/>
      <c r="B1005" s="999" t="s">
        <v>110</v>
      </c>
      <c r="C1005" s="999"/>
      <c r="D1005" s="999"/>
      <c r="E1005" s="999"/>
      <c r="F1005" s="17">
        <f>15%*F1004</f>
        <v>12722.08</v>
      </c>
      <c r="G1005" s="83"/>
      <c r="H1005" s="83"/>
      <c r="I1005" s="83"/>
      <c r="J1005" s="83"/>
      <c r="K1005" s="83"/>
      <c r="L1005" s="17"/>
      <c r="M1005" s="276"/>
      <c r="N1005" s="1000" t="s">
        <v>53</v>
      </c>
      <c r="O1005" s="1000"/>
      <c r="P1005" s="18">
        <f>(F1005+F1004)/P994</f>
        <v>9753.59</v>
      </c>
    </row>
    <row r="1006" spans="1:16" ht="16.5" hidden="1" thickBot="1" x14ac:dyDescent="0.25">
      <c r="A1006" s="281"/>
      <c r="B1006" s="281"/>
      <c r="C1006" s="281"/>
      <c r="D1006" s="281"/>
      <c r="E1006" s="281"/>
      <c r="F1006" s="57"/>
      <c r="G1006" s="281"/>
      <c r="H1006" s="281"/>
      <c r="I1006" s="281"/>
      <c r="J1006" s="281"/>
      <c r="K1006" s="281"/>
      <c r="L1006" s="57"/>
      <c r="M1006" s="299"/>
      <c r="N1006" s="299"/>
      <c r="O1006" s="299"/>
      <c r="P1006" s="43"/>
    </row>
    <row r="1007" spans="1:16" ht="15.75" hidden="1" x14ac:dyDescent="0.2">
      <c r="A1007" s="986" t="s">
        <v>29</v>
      </c>
      <c r="B1007" s="987"/>
      <c r="C1007" s="988" t="s">
        <v>1083</v>
      </c>
      <c r="D1007" s="989"/>
      <c r="E1007" s="989"/>
      <c r="F1007" s="989"/>
      <c r="G1007" s="989"/>
      <c r="H1007" s="989"/>
      <c r="I1007" s="989"/>
      <c r="J1007" s="989"/>
      <c r="K1007" s="989"/>
      <c r="L1007" s="989"/>
      <c r="M1007" s="989"/>
      <c r="N1007" s="989"/>
      <c r="O1007" s="989"/>
      <c r="P1007" s="274" t="s">
        <v>433</v>
      </c>
    </row>
    <row r="1008" spans="1:16" ht="15.75" hidden="1" x14ac:dyDescent="0.2">
      <c r="A1008" s="991" t="s">
        <v>682</v>
      </c>
      <c r="B1008" s="992"/>
      <c r="C1008" s="990"/>
      <c r="D1008" s="990"/>
      <c r="E1008" s="990"/>
      <c r="F1008" s="990"/>
      <c r="G1008" s="990"/>
      <c r="H1008" s="990"/>
      <c r="I1008" s="990"/>
      <c r="J1008" s="990"/>
      <c r="K1008" s="990"/>
      <c r="L1008" s="990"/>
      <c r="M1008" s="990"/>
      <c r="N1008" s="990"/>
      <c r="O1008" s="990"/>
      <c r="P1008" s="275">
        <v>10</v>
      </c>
    </row>
    <row r="1009" spans="1:16" ht="15.75" hidden="1" x14ac:dyDescent="0.2">
      <c r="A1009" s="993" t="s">
        <v>30</v>
      </c>
      <c r="B1009" s="995" t="s">
        <v>31</v>
      </c>
      <c r="C1009" s="995"/>
      <c r="D1009" s="995"/>
      <c r="E1009" s="995"/>
      <c r="F1009" s="995"/>
      <c r="G1009" s="995" t="s">
        <v>32</v>
      </c>
      <c r="H1009" s="995"/>
      <c r="I1009" s="995"/>
      <c r="J1009" s="995"/>
      <c r="K1009" s="995"/>
      <c r="L1009" s="995" t="s">
        <v>33</v>
      </c>
      <c r="M1009" s="995"/>
      <c r="N1009" s="995"/>
      <c r="O1009" s="995"/>
      <c r="P1009" s="996"/>
    </row>
    <row r="1010" spans="1:16" ht="15.75" hidden="1" x14ac:dyDescent="0.2">
      <c r="A1010" s="994"/>
      <c r="B1010" s="351" t="s">
        <v>8</v>
      </c>
      <c r="C1010" s="351" t="s">
        <v>7</v>
      </c>
      <c r="D1010" s="351" t="s">
        <v>9</v>
      </c>
      <c r="E1010" s="351" t="s">
        <v>19</v>
      </c>
      <c r="F1010" s="351" t="s">
        <v>20</v>
      </c>
      <c r="G1010" s="351" t="s">
        <v>8</v>
      </c>
      <c r="H1010" s="351" t="s">
        <v>7</v>
      </c>
      <c r="I1010" s="351" t="s">
        <v>9</v>
      </c>
      <c r="J1010" s="351" t="s">
        <v>19</v>
      </c>
      <c r="K1010" s="351" t="s">
        <v>20</v>
      </c>
      <c r="L1010" s="351" t="s">
        <v>8</v>
      </c>
      <c r="M1010" s="351" t="s">
        <v>7</v>
      </c>
      <c r="N1010" s="351" t="s">
        <v>9</v>
      </c>
      <c r="O1010" s="351" t="s">
        <v>19</v>
      </c>
      <c r="P1010" s="352" t="s">
        <v>20</v>
      </c>
    </row>
    <row r="1011" spans="1:16" ht="15.75" hidden="1" x14ac:dyDescent="0.2">
      <c r="A1011" s="77"/>
      <c r="B1011" s="32" t="s">
        <v>16</v>
      </c>
      <c r="C1011" s="78" t="s">
        <v>11</v>
      </c>
      <c r="D1011" s="27">
        <v>4</v>
      </c>
      <c r="E1011" s="78">
        <f>skilled</f>
        <v>1100</v>
      </c>
      <c r="F1011" s="27">
        <f>D1011*E1011</f>
        <v>4400</v>
      </c>
      <c r="G1011" s="354" t="s">
        <v>24</v>
      </c>
      <c r="H1011" s="74" t="s">
        <v>132</v>
      </c>
      <c r="I1011" s="74">
        <f>5.16/4.13*I983</f>
        <v>2.44</v>
      </c>
      <c r="J1011" s="74">
        <f>cement</f>
        <v>15631</v>
      </c>
      <c r="K1011" s="27">
        <f t="shared" ref="K1011:K1016" si="20">I1011*J1011</f>
        <v>38139.64</v>
      </c>
      <c r="L1011" s="353" t="s">
        <v>163</v>
      </c>
      <c r="M1011" s="74" t="s">
        <v>13</v>
      </c>
      <c r="N1011" s="27">
        <v>6</v>
      </c>
      <c r="O1011" s="78">
        <f>mixermachine</f>
        <v>333</v>
      </c>
      <c r="P1011" s="85">
        <f>N1011*O1011</f>
        <v>1998</v>
      </c>
    </row>
    <row r="1012" spans="1:16" ht="31.5" hidden="1" x14ac:dyDescent="0.2">
      <c r="A1012" s="77"/>
      <c r="B1012" s="75" t="s">
        <v>28</v>
      </c>
      <c r="C1012" s="78" t="s">
        <v>11</v>
      </c>
      <c r="D1012" s="27">
        <v>30</v>
      </c>
      <c r="E1012" s="27">
        <f>unskilled</f>
        <v>780</v>
      </c>
      <c r="F1012" s="27">
        <f>D1012*E1012</f>
        <v>23400</v>
      </c>
      <c r="G1012" s="354" t="s">
        <v>685</v>
      </c>
      <c r="H1012" s="74" t="s">
        <v>250</v>
      </c>
      <c r="I1012" s="74">
        <f>5.4/8.1*I984</f>
        <v>2.67</v>
      </c>
      <c r="J1012" s="74">
        <f>aggregate40mm</f>
        <v>1585.97</v>
      </c>
      <c r="K1012" s="27">
        <f t="shared" si="20"/>
        <v>4234.54</v>
      </c>
      <c r="L1012" s="354" t="s">
        <v>689</v>
      </c>
      <c r="M1012" s="74" t="s">
        <v>13</v>
      </c>
      <c r="N1012" s="27">
        <v>6</v>
      </c>
      <c r="O1012" s="25">
        <f>O998</f>
        <v>220</v>
      </c>
      <c r="P1012" s="85">
        <f>N1012*O1012</f>
        <v>1320</v>
      </c>
    </row>
    <row r="1013" spans="1:16" ht="31.5" hidden="1" x14ac:dyDescent="0.2">
      <c r="A1013" s="77"/>
      <c r="B1013" s="75"/>
      <c r="C1013" s="78"/>
      <c r="D1013" s="27"/>
      <c r="E1013" s="27"/>
      <c r="F1013" s="27"/>
      <c r="G1013" s="354" t="s">
        <v>686</v>
      </c>
      <c r="H1013" s="74" t="s">
        <v>250</v>
      </c>
      <c r="I1013" s="74">
        <f>5.4/4.05*I985</f>
        <v>2.4</v>
      </c>
      <c r="J1013" s="74">
        <f>aggregate20mm</f>
        <v>1580.97</v>
      </c>
      <c r="K1013" s="27">
        <f t="shared" si="20"/>
        <v>3794.33</v>
      </c>
      <c r="L1013" s="354"/>
      <c r="M1013" s="74"/>
      <c r="N1013" s="27"/>
      <c r="O1013" s="27"/>
      <c r="P1013" s="85"/>
    </row>
    <row r="1014" spans="1:16" ht="15.75" hidden="1" x14ac:dyDescent="0.2">
      <c r="A1014" s="77"/>
      <c r="B1014" s="75"/>
      <c r="C1014" s="78"/>
      <c r="D1014" s="27"/>
      <c r="E1014" s="27"/>
      <c r="F1014" s="27"/>
      <c r="G1014" s="354" t="s">
        <v>687</v>
      </c>
      <c r="H1014" s="74" t="s">
        <v>250</v>
      </c>
      <c r="I1014" s="74">
        <f>2.7/1.35*I986</f>
        <v>1.6</v>
      </c>
      <c r="J1014" s="74">
        <f>aggregate10mm</f>
        <v>1420.97</v>
      </c>
      <c r="K1014" s="27">
        <f t="shared" si="20"/>
        <v>2273.5500000000002</v>
      </c>
      <c r="L1014" s="354"/>
      <c r="M1014" s="74"/>
      <c r="N1014" s="27"/>
      <c r="O1014" s="27"/>
      <c r="P1014" s="85"/>
    </row>
    <row r="1015" spans="1:16" ht="15.75" hidden="1" x14ac:dyDescent="0.2">
      <c r="A1015" s="77"/>
      <c r="B1015" s="75"/>
      <c r="C1015" s="78"/>
      <c r="D1015" s="27"/>
      <c r="E1015" s="27"/>
      <c r="F1015" s="27"/>
      <c r="G1015" s="354" t="s">
        <v>22</v>
      </c>
      <c r="H1015" s="74" t="s">
        <v>250</v>
      </c>
      <c r="I1015" s="74">
        <v>3</v>
      </c>
      <c r="J1015" s="74">
        <f>sand</f>
        <v>2001.47</v>
      </c>
      <c r="K1015" s="27">
        <f t="shared" si="20"/>
        <v>6004.41</v>
      </c>
      <c r="L1015" s="354"/>
      <c r="M1015" s="74"/>
      <c r="N1015" s="27"/>
      <c r="O1015" s="27"/>
      <c r="P1015" s="85"/>
    </row>
    <row r="1016" spans="1:16" ht="15.75" hidden="1" x14ac:dyDescent="0.2">
      <c r="A1016" s="77"/>
      <c r="B1016" s="75"/>
      <c r="C1016" s="78"/>
      <c r="D1016" s="27"/>
      <c r="E1016" s="27"/>
      <c r="F1016" s="27"/>
      <c r="G1016" s="354" t="s">
        <v>688</v>
      </c>
      <c r="H1016" s="74" t="s">
        <v>250</v>
      </c>
      <c r="I1016" s="74">
        <v>3.3</v>
      </c>
      <c r="J1016" s="74">
        <f>stone</f>
        <v>1516.22</v>
      </c>
      <c r="K1016" s="27">
        <f t="shared" si="20"/>
        <v>5003.53</v>
      </c>
      <c r="L1016" s="354"/>
      <c r="M1016" s="74"/>
      <c r="N1016" s="27"/>
      <c r="O1016" s="27"/>
      <c r="P1016" s="85"/>
    </row>
    <row r="1017" spans="1:16" ht="15.75" hidden="1" x14ac:dyDescent="0.2">
      <c r="A1017" s="997" t="s">
        <v>95</v>
      </c>
      <c r="B1017" s="998"/>
      <c r="C1017" s="998"/>
      <c r="D1017" s="998"/>
      <c r="E1017" s="998"/>
      <c r="F1017" s="78">
        <f>SUM(F1011:F1013)</f>
        <v>27800</v>
      </c>
      <c r="G1017" s="998" t="s">
        <v>99</v>
      </c>
      <c r="H1017" s="998"/>
      <c r="I1017" s="998"/>
      <c r="J1017" s="998"/>
      <c r="K1017" s="78">
        <f>SUM(K1011:K1016)</f>
        <v>59450</v>
      </c>
      <c r="L1017" s="998" t="s">
        <v>36</v>
      </c>
      <c r="M1017" s="998"/>
      <c r="N1017" s="998"/>
      <c r="O1017" s="998"/>
      <c r="P1017" s="41">
        <f>SUM(P1011:P1014)</f>
        <v>3318</v>
      </c>
    </row>
    <row r="1018" spans="1:16" ht="15.75" hidden="1" x14ac:dyDescent="0.2">
      <c r="A1018" s="997" t="s">
        <v>487</v>
      </c>
      <c r="B1018" s="998"/>
      <c r="C1018" s="998"/>
      <c r="D1018" s="998"/>
      <c r="E1018" s="998"/>
      <c r="F1018" s="28">
        <f>F1017+K1017+P1017</f>
        <v>90568</v>
      </c>
      <c r="G1018" s="356"/>
      <c r="H1018" s="356"/>
      <c r="I1018" s="356"/>
      <c r="J1018" s="356"/>
      <c r="K1018" s="356"/>
      <c r="L1018" s="28"/>
      <c r="M1018" s="356"/>
      <c r="N1018" s="356"/>
      <c r="O1018" s="356"/>
      <c r="P1018" s="29"/>
    </row>
    <row r="1019" spans="1:16" ht="16.5" hidden="1" thickBot="1" x14ac:dyDescent="0.25">
      <c r="A1019" s="308"/>
      <c r="B1019" s="999" t="s">
        <v>110</v>
      </c>
      <c r="C1019" s="999"/>
      <c r="D1019" s="999"/>
      <c r="E1019" s="999"/>
      <c r="F1019" s="17">
        <f>15%*F1018</f>
        <v>13585.2</v>
      </c>
      <c r="G1019" s="83"/>
      <c r="H1019" s="83"/>
      <c r="I1019" s="83"/>
      <c r="J1019" s="83"/>
      <c r="K1019" s="83"/>
      <c r="L1019" s="17"/>
      <c r="M1019" s="276"/>
      <c r="N1019" s="1000" t="s">
        <v>53</v>
      </c>
      <c r="O1019" s="1000"/>
      <c r="P1019" s="18">
        <f>(F1019+F1018)/P1008</f>
        <v>10415.32</v>
      </c>
    </row>
    <row r="1020" spans="1:16" ht="15.75" hidden="1" x14ac:dyDescent="0.2">
      <c r="A1020" s="281"/>
      <c r="B1020" s="281"/>
      <c r="C1020" s="281"/>
      <c r="D1020" s="281"/>
      <c r="E1020" s="281"/>
      <c r="F1020" s="57"/>
      <c r="G1020" s="281"/>
      <c r="H1020" s="281"/>
      <c r="I1020" s="281"/>
      <c r="J1020" s="281"/>
      <c r="K1020" s="281"/>
      <c r="L1020" s="57"/>
      <c r="M1020" s="299"/>
      <c r="N1020" s="299"/>
      <c r="O1020" s="299"/>
      <c r="P1020" s="43"/>
    </row>
    <row r="1021" spans="1:16" ht="16.5" hidden="1" thickBot="1" x14ac:dyDescent="0.25">
      <c r="A1021" s="282" t="s">
        <v>692</v>
      </c>
      <c r="B1021" s="283"/>
      <c r="C1021" s="283"/>
      <c r="D1021" s="283"/>
      <c r="E1021" s="283"/>
      <c r="F1021" s="19"/>
      <c r="G1021" s="283"/>
      <c r="H1021" s="283"/>
      <c r="I1021" s="283"/>
      <c r="J1021" s="283"/>
      <c r="K1021" s="283"/>
      <c r="L1021" s="19"/>
      <c r="M1021" s="306"/>
      <c r="N1021" s="306"/>
      <c r="O1021" s="306"/>
      <c r="P1021" s="30"/>
    </row>
    <row r="1022" spans="1:16" ht="15.75" hidden="1" x14ac:dyDescent="0.2">
      <c r="A1022" s="986" t="s">
        <v>29</v>
      </c>
      <c r="B1022" s="987"/>
      <c r="C1022" s="988" t="s">
        <v>693</v>
      </c>
      <c r="D1022" s="989"/>
      <c r="E1022" s="989"/>
      <c r="F1022" s="989"/>
      <c r="G1022" s="989"/>
      <c r="H1022" s="989"/>
      <c r="I1022" s="989"/>
      <c r="J1022" s="989"/>
      <c r="K1022" s="989"/>
      <c r="L1022" s="989"/>
      <c r="M1022" s="989"/>
      <c r="N1022" s="989"/>
      <c r="O1022" s="989"/>
      <c r="P1022" s="274" t="s">
        <v>434</v>
      </c>
    </row>
    <row r="1023" spans="1:16" ht="31.15" hidden="1" customHeight="1" x14ac:dyDescent="0.2">
      <c r="A1023" s="991" t="s">
        <v>656</v>
      </c>
      <c r="B1023" s="992"/>
      <c r="C1023" s="990"/>
      <c r="D1023" s="990"/>
      <c r="E1023" s="990"/>
      <c r="F1023" s="990"/>
      <c r="G1023" s="990"/>
      <c r="H1023" s="990"/>
      <c r="I1023" s="990"/>
      <c r="J1023" s="990"/>
      <c r="K1023" s="990"/>
      <c r="L1023" s="990"/>
      <c r="M1023" s="990"/>
      <c r="N1023" s="990"/>
      <c r="O1023" s="990"/>
      <c r="P1023" s="275">
        <v>10</v>
      </c>
    </row>
    <row r="1024" spans="1:16" ht="15.75" hidden="1" x14ac:dyDescent="0.2">
      <c r="A1024" s="993" t="s">
        <v>30</v>
      </c>
      <c r="B1024" s="995" t="s">
        <v>31</v>
      </c>
      <c r="C1024" s="995"/>
      <c r="D1024" s="995"/>
      <c r="E1024" s="995"/>
      <c r="F1024" s="995"/>
      <c r="G1024" s="995" t="s">
        <v>32</v>
      </c>
      <c r="H1024" s="995"/>
      <c r="I1024" s="995"/>
      <c r="J1024" s="995"/>
      <c r="K1024" s="995"/>
      <c r="L1024" s="995" t="s">
        <v>33</v>
      </c>
      <c r="M1024" s="995"/>
      <c r="N1024" s="995"/>
      <c r="O1024" s="995"/>
      <c r="P1024" s="996"/>
    </row>
    <row r="1025" spans="1:16" ht="15.75" hidden="1" x14ac:dyDescent="0.2">
      <c r="A1025" s="994"/>
      <c r="B1025" s="351" t="s">
        <v>8</v>
      </c>
      <c r="C1025" s="351" t="s">
        <v>7</v>
      </c>
      <c r="D1025" s="351" t="s">
        <v>9</v>
      </c>
      <c r="E1025" s="351" t="s">
        <v>19</v>
      </c>
      <c r="F1025" s="351" t="s">
        <v>20</v>
      </c>
      <c r="G1025" s="351" t="s">
        <v>8</v>
      </c>
      <c r="H1025" s="351" t="s">
        <v>7</v>
      </c>
      <c r="I1025" s="351" t="s">
        <v>9</v>
      </c>
      <c r="J1025" s="351" t="s">
        <v>19</v>
      </c>
      <c r="K1025" s="351" t="s">
        <v>20</v>
      </c>
      <c r="L1025" s="351" t="s">
        <v>8</v>
      </c>
      <c r="M1025" s="351" t="s">
        <v>7</v>
      </c>
      <c r="N1025" s="351" t="s">
        <v>9</v>
      </c>
      <c r="O1025" s="351" t="s">
        <v>19</v>
      </c>
      <c r="P1025" s="352" t="s">
        <v>20</v>
      </c>
    </row>
    <row r="1026" spans="1:16" ht="31.5" hidden="1" x14ac:dyDescent="0.2">
      <c r="A1026" s="77">
        <v>24.22</v>
      </c>
      <c r="B1026" s="32" t="s">
        <v>16</v>
      </c>
      <c r="C1026" s="78" t="s">
        <v>11</v>
      </c>
      <c r="D1026" s="27">
        <v>1</v>
      </c>
      <c r="E1026" s="78">
        <f>skilled</f>
        <v>1100</v>
      </c>
      <c r="F1026" s="27">
        <f>D1026*E1026</f>
        <v>1100</v>
      </c>
      <c r="G1026" s="354" t="s">
        <v>695</v>
      </c>
      <c r="H1026" s="74" t="s">
        <v>17</v>
      </c>
      <c r="I1026" s="74">
        <v>11</v>
      </c>
      <c r="J1026" s="74">
        <f>HDPEpipe100mm</f>
        <v>445.62</v>
      </c>
      <c r="K1026" s="27">
        <f>I1026*J1026</f>
        <v>4901.82</v>
      </c>
      <c r="L1026" s="353" t="s">
        <v>3</v>
      </c>
      <c r="M1026" s="74" t="s">
        <v>13</v>
      </c>
      <c r="N1026" s="27">
        <v>2.4</v>
      </c>
      <c r="O1026" s="78">
        <f>electricgenerator</f>
        <v>785</v>
      </c>
      <c r="P1026" s="85">
        <f>N1026*O1026</f>
        <v>1884</v>
      </c>
    </row>
    <row r="1027" spans="1:16" ht="15.75" hidden="1" x14ac:dyDescent="0.2">
      <c r="A1027" s="77"/>
      <c r="B1027" s="75" t="s">
        <v>28</v>
      </c>
      <c r="C1027" s="78" t="s">
        <v>11</v>
      </c>
      <c r="D1027" s="27">
        <v>3</v>
      </c>
      <c r="E1027" s="27">
        <f>unskilled</f>
        <v>780</v>
      </c>
      <c r="F1027" s="27">
        <f>D1027*E1027</f>
        <v>2340</v>
      </c>
      <c r="G1027" s="354" t="s">
        <v>694</v>
      </c>
      <c r="H1027" s="74" t="s">
        <v>250</v>
      </c>
      <c r="I1027" s="74">
        <v>2.4</v>
      </c>
      <c r="J1027" s="74">
        <f>stone</f>
        <v>1516.22</v>
      </c>
      <c r="K1027" s="27">
        <f>I1027*J1027</f>
        <v>3638.93</v>
      </c>
      <c r="L1027" s="354" t="s">
        <v>679</v>
      </c>
      <c r="M1027" s="74" t="s">
        <v>13</v>
      </c>
      <c r="N1027" s="27">
        <v>1.8</v>
      </c>
      <c r="O1027" s="27">
        <f>screwjack</f>
        <v>53</v>
      </c>
      <c r="P1027" s="85">
        <f>N1027*O1027</f>
        <v>95.4</v>
      </c>
    </row>
    <row r="1028" spans="1:16" ht="15.75" hidden="1" x14ac:dyDescent="0.2">
      <c r="A1028" s="77"/>
      <c r="B1028" s="75"/>
      <c r="C1028" s="78"/>
      <c r="D1028" s="27"/>
      <c r="E1028" s="27"/>
      <c r="F1028" s="27"/>
      <c r="G1028" s="354"/>
      <c r="H1028" s="74"/>
      <c r="I1028" s="74"/>
      <c r="J1028" s="74"/>
      <c r="K1028" s="27"/>
      <c r="L1028" s="354" t="s">
        <v>680</v>
      </c>
      <c r="M1028" s="74" t="s">
        <v>13</v>
      </c>
      <c r="N1028" s="27">
        <v>1.8</v>
      </c>
      <c r="O1028" s="27">
        <f>heatingplate</f>
        <v>92.5</v>
      </c>
      <c r="P1028" s="85">
        <f>N1028*O1028</f>
        <v>166.5</v>
      </c>
    </row>
    <row r="1029" spans="1:16" ht="15.75" hidden="1" x14ac:dyDescent="0.2">
      <c r="A1029" s="77"/>
      <c r="B1029" s="75"/>
      <c r="C1029" s="78"/>
      <c r="D1029" s="27"/>
      <c r="E1029" s="27"/>
      <c r="F1029" s="27"/>
      <c r="G1029" s="354"/>
      <c r="H1029" s="74"/>
      <c r="I1029" s="74"/>
      <c r="J1029" s="74"/>
      <c r="K1029" s="27"/>
      <c r="L1029" s="354" t="s">
        <v>681</v>
      </c>
      <c r="M1029" s="74" t="s">
        <v>13</v>
      </c>
      <c r="N1029" s="27">
        <v>1.2</v>
      </c>
      <c r="O1029" s="27">
        <f>handdriller</f>
        <v>126.5</v>
      </c>
      <c r="P1029" s="85">
        <f>N1029*O1029</f>
        <v>151.80000000000001</v>
      </c>
    </row>
    <row r="1030" spans="1:16" ht="15.75" hidden="1" x14ac:dyDescent="0.2">
      <c r="A1030" s="997" t="s">
        <v>95</v>
      </c>
      <c r="B1030" s="998"/>
      <c r="C1030" s="998"/>
      <c r="D1030" s="998"/>
      <c r="E1030" s="998"/>
      <c r="F1030" s="78">
        <f>SUM(F1026:F1027)</f>
        <v>3440</v>
      </c>
      <c r="G1030" s="998" t="s">
        <v>99</v>
      </c>
      <c r="H1030" s="998"/>
      <c r="I1030" s="998"/>
      <c r="J1030" s="998"/>
      <c r="K1030" s="78">
        <f>SUM(K1026:K1027)</f>
        <v>8540.75</v>
      </c>
      <c r="L1030" s="998" t="s">
        <v>36</v>
      </c>
      <c r="M1030" s="998"/>
      <c r="N1030" s="998"/>
      <c r="O1030" s="998"/>
      <c r="P1030" s="41">
        <f>SUM(P1026:P1029)</f>
        <v>2297.6999999999998</v>
      </c>
    </row>
    <row r="1031" spans="1:16" ht="15.75" hidden="1" x14ac:dyDescent="0.2">
      <c r="A1031" s="997" t="s">
        <v>487</v>
      </c>
      <c r="B1031" s="998"/>
      <c r="C1031" s="998"/>
      <c r="D1031" s="998"/>
      <c r="E1031" s="998"/>
      <c r="F1031" s="28">
        <f>F1030+K1030+P1030</f>
        <v>14278.45</v>
      </c>
      <c r="G1031" s="356"/>
      <c r="H1031" s="356"/>
      <c r="I1031" s="356"/>
      <c r="J1031" s="356"/>
      <c r="K1031" s="356"/>
      <c r="L1031" s="28"/>
      <c r="M1031" s="356"/>
      <c r="N1031" s="356"/>
      <c r="O1031" s="356"/>
      <c r="P1031" s="29"/>
    </row>
    <row r="1032" spans="1:16" ht="16.5" hidden="1" thickBot="1" x14ac:dyDescent="0.25">
      <c r="A1032" s="308"/>
      <c r="B1032" s="999" t="s">
        <v>110</v>
      </c>
      <c r="C1032" s="999"/>
      <c r="D1032" s="999"/>
      <c r="E1032" s="999"/>
      <c r="F1032" s="17">
        <f>15%*F1031</f>
        <v>2141.77</v>
      </c>
      <c r="G1032" s="83"/>
      <c r="H1032" s="83"/>
      <c r="I1032" s="83"/>
      <c r="J1032" s="83"/>
      <c r="K1032" s="83"/>
      <c r="L1032" s="17"/>
      <c r="M1032" s="276"/>
      <c r="N1032" s="1000" t="s">
        <v>53</v>
      </c>
      <c r="O1032" s="1000"/>
      <c r="P1032" s="18">
        <f>(F1032+F1031)/P1023</f>
        <v>1642.02</v>
      </c>
    </row>
    <row r="1033" spans="1:16" ht="15.75" hidden="1" x14ac:dyDescent="0.2">
      <c r="A1033" s="281"/>
      <c r="B1033" s="281"/>
      <c r="C1033" s="281"/>
      <c r="D1033" s="281"/>
      <c r="E1033" s="281"/>
      <c r="F1033" s="57"/>
      <c r="G1033" s="281"/>
      <c r="H1033" s="281"/>
      <c r="I1033" s="281"/>
      <c r="J1033" s="281"/>
      <c r="K1033" s="281"/>
      <c r="L1033" s="57"/>
      <c r="M1033" s="299"/>
      <c r="N1033" s="299"/>
      <c r="O1033" s="299"/>
      <c r="P1033" s="43"/>
    </row>
    <row r="1034" spans="1:16" ht="15.75" hidden="1" x14ac:dyDescent="0.2">
      <c r="A1034" s="1009" t="s">
        <v>696</v>
      </c>
      <c r="B1034" s="1009"/>
      <c r="C1034" s="1009"/>
      <c r="D1034" s="1009"/>
      <c r="E1034" s="1009"/>
      <c r="F1034" s="1009"/>
      <c r="G1034" s="1009"/>
      <c r="H1034" s="1009"/>
      <c r="I1034" s="1009"/>
      <c r="J1034" s="1009"/>
      <c r="K1034" s="1009"/>
      <c r="L1034" s="1009"/>
      <c r="M1034" s="1009"/>
      <c r="N1034" s="1009"/>
      <c r="O1034" s="1009"/>
      <c r="P1034" s="1009"/>
    </row>
    <row r="1035" spans="1:16" ht="16.5" hidden="1" thickBot="1" x14ac:dyDescent="0.25">
      <c r="A1035" s="1009" t="s">
        <v>697</v>
      </c>
      <c r="B1035" s="1009"/>
      <c r="C1035" s="1009"/>
      <c r="D1035" s="1009"/>
      <c r="E1035" s="1009"/>
      <c r="F1035" s="1009"/>
      <c r="G1035" s="1009"/>
      <c r="H1035" s="1009"/>
      <c r="I1035" s="1009"/>
      <c r="J1035" s="1009"/>
      <c r="K1035" s="1009"/>
      <c r="L1035" s="1009"/>
      <c r="M1035" s="1009"/>
      <c r="N1035" s="1009"/>
      <c r="O1035" s="1009"/>
      <c r="P1035" s="1009"/>
    </row>
    <row r="1036" spans="1:16" ht="15.75" hidden="1" x14ac:dyDescent="0.2">
      <c r="A1036" s="986" t="s">
        <v>29</v>
      </c>
      <c r="B1036" s="987"/>
      <c r="C1036" s="988" t="s">
        <v>699</v>
      </c>
      <c r="D1036" s="989"/>
      <c r="E1036" s="989"/>
      <c r="F1036" s="989"/>
      <c r="G1036" s="989"/>
      <c r="H1036" s="989"/>
      <c r="I1036" s="989"/>
      <c r="J1036" s="989"/>
      <c r="K1036" s="989"/>
      <c r="L1036" s="989"/>
      <c r="M1036" s="989"/>
      <c r="N1036" s="989"/>
      <c r="O1036" s="989"/>
      <c r="P1036" s="274" t="s">
        <v>434</v>
      </c>
    </row>
    <row r="1037" spans="1:16" ht="31.15" hidden="1" customHeight="1" x14ac:dyDescent="0.2">
      <c r="A1037" s="991" t="s">
        <v>698</v>
      </c>
      <c r="B1037" s="992"/>
      <c r="C1037" s="990"/>
      <c r="D1037" s="990"/>
      <c r="E1037" s="990"/>
      <c r="F1037" s="990"/>
      <c r="G1037" s="990"/>
      <c r="H1037" s="990"/>
      <c r="I1037" s="990"/>
      <c r="J1037" s="990"/>
      <c r="K1037" s="990"/>
      <c r="L1037" s="990"/>
      <c r="M1037" s="990"/>
      <c r="N1037" s="990"/>
      <c r="O1037" s="990"/>
      <c r="P1037" s="275">
        <v>30</v>
      </c>
    </row>
    <row r="1038" spans="1:16" ht="15.75" hidden="1" x14ac:dyDescent="0.2">
      <c r="A1038" s="993" t="s">
        <v>30</v>
      </c>
      <c r="B1038" s="995" t="s">
        <v>31</v>
      </c>
      <c r="C1038" s="995"/>
      <c r="D1038" s="995"/>
      <c r="E1038" s="995"/>
      <c r="F1038" s="995"/>
      <c r="G1038" s="995" t="s">
        <v>32</v>
      </c>
      <c r="H1038" s="995"/>
      <c r="I1038" s="995"/>
      <c r="J1038" s="995"/>
      <c r="K1038" s="995"/>
      <c r="L1038" s="995" t="s">
        <v>33</v>
      </c>
      <c r="M1038" s="995"/>
      <c r="N1038" s="995"/>
      <c r="O1038" s="995"/>
      <c r="P1038" s="996"/>
    </row>
    <row r="1039" spans="1:16" ht="15.75" hidden="1" x14ac:dyDescent="0.2">
      <c r="A1039" s="994"/>
      <c r="B1039" s="351" t="s">
        <v>8</v>
      </c>
      <c r="C1039" s="351" t="s">
        <v>7</v>
      </c>
      <c r="D1039" s="351" t="s">
        <v>9</v>
      </c>
      <c r="E1039" s="351" t="s">
        <v>19</v>
      </c>
      <c r="F1039" s="351" t="s">
        <v>20</v>
      </c>
      <c r="G1039" s="351" t="s">
        <v>8</v>
      </c>
      <c r="H1039" s="351" t="s">
        <v>7</v>
      </c>
      <c r="I1039" s="351" t="s">
        <v>9</v>
      </c>
      <c r="J1039" s="351" t="s">
        <v>19</v>
      </c>
      <c r="K1039" s="351" t="s">
        <v>20</v>
      </c>
      <c r="L1039" s="351" t="s">
        <v>8</v>
      </c>
      <c r="M1039" s="351" t="s">
        <v>7</v>
      </c>
      <c r="N1039" s="351" t="s">
        <v>9</v>
      </c>
      <c r="O1039" s="351" t="s">
        <v>19</v>
      </c>
      <c r="P1039" s="352" t="s">
        <v>20</v>
      </c>
    </row>
    <row r="1040" spans="1:16" ht="31.5" hidden="1" x14ac:dyDescent="0.2">
      <c r="A1040" s="77">
        <v>25.5</v>
      </c>
      <c r="B1040" s="32" t="s">
        <v>16</v>
      </c>
      <c r="C1040" s="78" t="s">
        <v>11</v>
      </c>
      <c r="D1040" s="27">
        <v>1</v>
      </c>
      <c r="E1040" s="78">
        <f>skilled</f>
        <v>1100</v>
      </c>
      <c r="F1040" s="27">
        <f>D1040*E1040</f>
        <v>1100</v>
      </c>
      <c r="G1040" s="354" t="s">
        <v>695</v>
      </c>
      <c r="H1040" s="74" t="s">
        <v>17</v>
      </c>
      <c r="I1040" s="74">
        <v>31.5</v>
      </c>
      <c r="J1040" s="74">
        <f>HDPEpipe100mm</f>
        <v>445.62</v>
      </c>
      <c r="K1040" s="27">
        <f>I1040*J1040</f>
        <v>14037.03</v>
      </c>
      <c r="L1040" s="353"/>
      <c r="M1040" s="74"/>
      <c r="N1040" s="27"/>
      <c r="O1040" s="78"/>
      <c r="P1040" s="85"/>
    </row>
    <row r="1041" spans="1:16" ht="15.75" hidden="1" x14ac:dyDescent="0.2">
      <c r="A1041" s="77"/>
      <c r="B1041" s="75" t="s">
        <v>28</v>
      </c>
      <c r="C1041" s="78" t="s">
        <v>11</v>
      </c>
      <c r="D1041" s="27">
        <v>1</v>
      </c>
      <c r="E1041" s="27">
        <f>unskilled</f>
        <v>780</v>
      </c>
      <c r="F1041" s="27">
        <f>D1041*E1041</f>
        <v>780</v>
      </c>
      <c r="G1041" s="354"/>
      <c r="H1041" s="74"/>
      <c r="I1041" s="74"/>
      <c r="J1041" s="74"/>
      <c r="K1041" s="27"/>
      <c r="L1041" s="354"/>
      <c r="M1041" s="74"/>
      <c r="N1041" s="27"/>
      <c r="O1041" s="27"/>
      <c r="P1041" s="85"/>
    </row>
    <row r="1042" spans="1:16" ht="15.75" hidden="1" x14ac:dyDescent="0.2">
      <c r="A1042" s="997" t="s">
        <v>95</v>
      </c>
      <c r="B1042" s="998"/>
      <c r="C1042" s="998"/>
      <c r="D1042" s="998"/>
      <c r="E1042" s="998"/>
      <c r="F1042" s="78">
        <f>SUM(F1040:F1041)</f>
        <v>1880</v>
      </c>
      <c r="G1042" s="998" t="s">
        <v>99</v>
      </c>
      <c r="H1042" s="998"/>
      <c r="I1042" s="998"/>
      <c r="J1042" s="998"/>
      <c r="K1042" s="78">
        <f>SUM(K1040:K1041)</f>
        <v>14037.03</v>
      </c>
      <c r="L1042" s="998" t="s">
        <v>36</v>
      </c>
      <c r="M1042" s="998"/>
      <c r="N1042" s="998"/>
      <c r="O1042" s="998"/>
      <c r="P1042" s="41">
        <f>SUM(P1040:P1041)</f>
        <v>0</v>
      </c>
    </row>
    <row r="1043" spans="1:16" ht="15.75" hidden="1" x14ac:dyDescent="0.2">
      <c r="A1043" s="997" t="s">
        <v>487</v>
      </c>
      <c r="B1043" s="998"/>
      <c r="C1043" s="998"/>
      <c r="D1043" s="998"/>
      <c r="E1043" s="998"/>
      <c r="F1043" s="28">
        <f>F1042+K1042+P1042</f>
        <v>15917.03</v>
      </c>
      <c r="G1043" s="356"/>
      <c r="H1043" s="356"/>
      <c r="I1043" s="356"/>
      <c r="J1043" s="356"/>
      <c r="K1043" s="356"/>
      <c r="L1043" s="28"/>
      <c r="M1043" s="356"/>
      <c r="N1043" s="356"/>
      <c r="O1043" s="356"/>
      <c r="P1043" s="29"/>
    </row>
    <row r="1044" spans="1:16" ht="16.5" hidden="1" thickBot="1" x14ac:dyDescent="0.25">
      <c r="A1044" s="308"/>
      <c r="B1044" s="999" t="s">
        <v>110</v>
      </c>
      <c r="C1044" s="999"/>
      <c r="D1044" s="999"/>
      <c r="E1044" s="999"/>
      <c r="F1044" s="17">
        <f>15%*F1043</f>
        <v>2387.5500000000002</v>
      </c>
      <c r="G1044" s="83"/>
      <c r="H1044" s="83"/>
      <c r="I1044" s="83"/>
      <c r="J1044" s="83"/>
      <c r="K1044" s="83"/>
      <c r="L1044" s="17"/>
      <c r="M1044" s="276"/>
      <c r="N1044" s="1000" t="s">
        <v>53</v>
      </c>
      <c r="O1044" s="1000"/>
      <c r="P1044" s="18">
        <f>(F1044+F1043)/P1037</f>
        <v>610.15</v>
      </c>
    </row>
    <row r="1045" spans="1:16" ht="15.75" hidden="1" x14ac:dyDescent="0.2">
      <c r="A1045" s="281"/>
      <c r="B1045" s="281"/>
      <c r="C1045" s="281"/>
      <c r="D1045" s="281"/>
      <c r="E1045" s="281"/>
      <c r="F1045" s="57"/>
      <c r="G1045" s="281"/>
      <c r="H1045" s="281"/>
      <c r="I1045" s="281"/>
      <c r="J1045" s="281"/>
      <c r="K1045" s="281"/>
      <c r="L1045" s="57"/>
      <c r="M1045" s="299"/>
      <c r="N1045" s="299"/>
      <c r="O1045" s="299"/>
      <c r="P1045" s="43"/>
    </row>
    <row r="1046" spans="1:16" ht="15.75" x14ac:dyDescent="0.2">
      <c r="A1046" s="1009" t="s">
        <v>700</v>
      </c>
      <c r="B1046" s="1009"/>
      <c r="C1046" s="1009"/>
      <c r="D1046" s="1009"/>
      <c r="E1046" s="1009"/>
      <c r="F1046" s="1009"/>
      <c r="G1046" s="1009"/>
      <c r="H1046" s="1009"/>
      <c r="I1046" s="1009"/>
      <c r="J1046" s="1009"/>
      <c r="K1046" s="1009"/>
      <c r="L1046" s="1009"/>
      <c r="M1046" s="1009"/>
      <c r="N1046" s="1009"/>
      <c r="O1046" s="1009"/>
      <c r="P1046" s="1009"/>
    </row>
    <row r="1047" spans="1:16" ht="15.75" x14ac:dyDescent="0.2">
      <c r="A1047" s="1009" t="s">
        <v>701</v>
      </c>
      <c r="B1047" s="1009"/>
      <c r="C1047" s="1009"/>
      <c r="D1047" s="1009"/>
      <c r="E1047" s="1009"/>
      <c r="F1047" s="1009"/>
      <c r="G1047" s="1009"/>
      <c r="H1047" s="1009"/>
      <c r="I1047" s="1009"/>
      <c r="J1047" s="1009"/>
      <c r="K1047" s="1009"/>
      <c r="L1047" s="1009"/>
      <c r="M1047" s="1009"/>
      <c r="N1047" s="1009"/>
      <c r="O1047" s="1009"/>
      <c r="P1047" s="1009"/>
    </row>
    <row r="1048" spans="1:16" ht="15.75" hidden="1" x14ac:dyDescent="0.2">
      <c r="A1048" s="986" t="s">
        <v>29</v>
      </c>
      <c r="B1048" s="987"/>
      <c r="C1048" s="988" t="s">
        <v>703</v>
      </c>
      <c r="D1048" s="989"/>
      <c r="E1048" s="989"/>
      <c r="F1048" s="989"/>
      <c r="G1048" s="989"/>
      <c r="H1048" s="989"/>
      <c r="I1048" s="989"/>
      <c r="J1048" s="989"/>
      <c r="K1048" s="989"/>
      <c r="L1048" s="989"/>
      <c r="M1048" s="989"/>
      <c r="N1048" s="989"/>
      <c r="O1048" s="989"/>
      <c r="P1048" s="274" t="s">
        <v>433</v>
      </c>
    </row>
    <row r="1049" spans="1:16" ht="31.15" hidden="1" customHeight="1" x14ac:dyDescent="0.2">
      <c r="A1049" s="1011" t="s">
        <v>702</v>
      </c>
      <c r="B1049" s="1012"/>
      <c r="C1049" s="990"/>
      <c r="D1049" s="990"/>
      <c r="E1049" s="990"/>
      <c r="F1049" s="990"/>
      <c r="G1049" s="990"/>
      <c r="H1049" s="990"/>
      <c r="I1049" s="990"/>
      <c r="J1049" s="990"/>
      <c r="K1049" s="990"/>
      <c r="L1049" s="990"/>
      <c r="M1049" s="990"/>
      <c r="N1049" s="990"/>
      <c r="O1049" s="990"/>
      <c r="P1049" s="275">
        <v>5</v>
      </c>
    </row>
    <row r="1050" spans="1:16" ht="15.75" hidden="1" x14ac:dyDescent="0.2">
      <c r="A1050" s="993" t="s">
        <v>30</v>
      </c>
      <c r="B1050" s="995" t="s">
        <v>31</v>
      </c>
      <c r="C1050" s="995"/>
      <c r="D1050" s="995"/>
      <c r="E1050" s="995"/>
      <c r="F1050" s="995"/>
      <c r="G1050" s="995" t="s">
        <v>32</v>
      </c>
      <c r="H1050" s="995"/>
      <c r="I1050" s="995"/>
      <c r="J1050" s="995"/>
      <c r="K1050" s="995"/>
      <c r="L1050" s="995" t="s">
        <v>33</v>
      </c>
      <c r="M1050" s="995"/>
      <c r="N1050" s="995"/>
      <c r="O1050" s="995"/>
      <c r="P1050" s="996"/>
    </row>
    <row r="1051" spans="1:16" ht="15.75" hidden="1" x14ac:dyDescent="0.2">
      <c r="A1051" s="994"/>
      <c r="B1051" s="351" t="s">
        <v>8</v>
      </c>
      <c r="C1051" s="351" t="s">
        <v>7</v>
      </c>
      <c r="D1051" s="351" t="s">
        <v>9</v>
      </c>
      <c r="E1051" s="351" t="s">
        <v>19</v>
      </c>
      <c r="F1051" s="351" t="s">
        <v>20</v>
      </c>
      <c r="G1051" s="351" t="s">
        <v>8</v>
      </c>
      <c r="H1051" s="351" t="s">
        <v>7</v>
      </c>
      <c r="I1051" s="351" t="s">
        <v>9</v>
      </c>
      <c r="J1051" s="351" t="s">
        <v>19</v>
      </c>
      <c r="K1051" s="351" t="s">
        <v>20</v>
      </c>
      <c r="L1051" s="351" t="s">
        <v>8</v>
      </c>
      <c r="M1051" s="351" t="s">
        <v>7</v>
      </c>
      <c r="N1051" s="351" t="s">
        <v>9</v>
      </c>
      <c r="O1051" s="351" t="s">
        <v>19</v>
      </c>
      <c r="P1051" s="352" t="s">
        <v>20</v>
      </c>
    </row>
    <row r="1052" spans="1:16" ht="15.75" hidden="1" x14ac:dyDescent="0.2">
      <c r="A1052" s="77">
        <v>26.1</v>
      </c>
      <c r="B1052" s="32" t="s">
        <v>16</v>
      </c>
      <c r="C1052" s="78" t="s">
        <v>11</v>
      </c>
      <c r="D1052" s="27">
        <v>4</v>
      </c>
      <c r="E1052" s="78">
        <f>skilled</f>
        <v>1100</v>
      </c>
      <c r="F1052" s="27">
        <f>D1052*E1052</f>
        <v>4400</v>
      </c>
      <c r="G1052" s="354" t="s">
        <v>60</v>
      </c>
      <c r="H1052" s="74" t="s">
        <v>250</v>
      </c>
      <c r="I1052" s="74">
        <v>5.75</v>
      </c>
      <c r="J1052" s="74">
        <f>stone</f>
        <v>1516.22</v>
      </c>
      <c r="K1052" s="27">
        <f>I1052*J1052</f>
        <v>8718.27</v>
      </c>
      <c r="L1052" s="353"/>
      <c r="M1052" s="74"/>
      <c r="N1052" s="27"/>
      <c r="O1052" s="78"/>
      <c r="P1052" s="85"/>
    </row>
    <row r="1053" spans="1:16" ht="15.75" hidden="1" x14ac:dyDescent="0.2">
      <c r="A1053" s="77"/>
      <c r="B1053" s="75" t="s">
        <v>28</v>
      </c>
      <c r="C1053" s="78" t="s">
        <v>11</v>
      </c>
      <c r="D1053" s="27">
        <v>8</v>
      </c>
      <c r="E1053" s="27">
        <f>unskilled</f>
        <v>780</v>
      </c>
      <c r="F1053" s="27">
        <f>D1053*E1053</f>
        <v>6240</v>
      </c>
      <c r="G1053" s="354"/>
      <c r="H1053" s="74"/>
      <c r="I1053" s="74"/>
      <c r="J1053" s="74"/>
      <c r="K1053" s="27"/>
      <c r="L1053" s="354"/>
      <c r="M1053" s="74"/>
      <c r="N1053" s="27"/>
      <c r="O1053" s="27"/>
      <c r="P1053" s="85"/>
    </row>
    <row r="1054" spans="1:16" ht="15.75" hidden="1" x14ac:dyDescent="0.2">
      <c r="A1054" s="997" t="s">
        <v>95</v>
      </c>
      <c r="B1054" s="998"/>
      <c r="C1054" s="998"/>
      <c r="D1054" s="998"/>
      <c r="E1054" s="998"/>
      <c r="F1054" s="78">
        <f>SUM(F1052:F1053)</f>
        <v>10640</v>
      </c>
      <c r="G1054" s="998" t="s">
        <v>99</v>
      </c>
      <c r="H1054" s="998"/>
      <c r="I1054" s="998"/>
      <c r="J1054" s="998"/>
      <c r="K1054" s="78">
        <f>SUM(K1052:K1053)</f>
        <v>8718.27</v>
      </c>
      <c r="L1054" s="998" t="s">
        <v>36</v>
      </c>
      <c r="M1054" s="998"/>
      <c r="N1054" s="998"/>
      <c r="O1054" s="998"/>
      <c r="P1054" s="41">
        <f>SUM(P1052:P1053)</f>
        <v>0</v>
      </c>
    </row>
    <row r="1055" spans="1:16" ht="15.75" hidden="1" x14ac:dyDescent="0.2">
      <c r="A1055" s="997" t="s">
        <v>487</v>
      </c>
      <c r="B1055" s="998"/>
      <c r="C1055" s="998"/>
      <c r="D1055" s="998"/>
      <c r="E1055" s="998"/>
      <c r="F1055" s="28">
        <f>F1054+K1054+P1054</f>
        <v>19358.27</v>
      </c>
      <c r="G1055" s="356"/>
      <c r="H1055" s="356"/>
      <c r="I1055" s="356"/>
      <c r="J1055" s="356"/>
      <c r="K1055" s="356"/>
      <c r="L1055" s="28"/>
      <c r="M1055" s="356"/>
      <c r="N1055" s="356"/>
      <c r="O1055" s="356"/>
      <c r="P1055" s="29"/>
    </row>
    <row r="1056" spans="1:16" ht="16.5" hidden="1" thickBot="1" x14ac:dyDescent="0.25">
      <c r="A1056" s="308"/>
      <c r="B1056" s="999" t="s">
        <v>110</v>
      </c>
      <c r="C1056" s="999"/>
      <c r="D1056" s="999"/>
      <c r="E1056" s="999"/>
      <c r="F1056" s="17">
        <f>15%*F1055</f>
        <v>2903.74</v>
      </c>
      <c r="G1056" s="83"/>
      <c r="H1056" s="83"/>
      <c r="I1056" s="83"/>
      <c r="J1056" s="83"/>
      <c r="K1056" s="83"/>
      <c r="L1056" s="17"/>
      <c r="M1056" s="276"/>
      <c r="N1056" s="1000" t="s">
        <v>53</v>
      </c>
      <c r="O1056" s="1000"/>
      <c r="P1056" s="18">
        <f>(F1056+F1055)/P1049</f>
        <v>4452.3999999999996</v>
      </c>
    </row>
    <row r="1057" spans="1:16" ht="15.75" hidden="1" x14ac:dyDescent="0.2">
      <c r="A1057" s="312"/>
      <c r="B1057" s="301"/>
      <c r="C1057" s="301"/>
      <c r="D1057" s="301"/>
      <c r="E1057" s="301"/>
      <c r="F1057" s="51"/>
      <c r="G1057" s="301"/>
      <c r="H1057" s="301"/>
      <c r="I1057" s="301"/>
      <c r="J1057" s="301"/>
      <c r="K1057" s="301"/>
      <c r="L1057" s="51"/>
      <c r="M1057" s="280"/>
      <c r="N1057" s="303"/>
      <c r="O1057" s="303"/>
      <c r="P1057" s="52"/>
    </row>
    <row r="1058" spans="1:16" ht="16.5" hidden="1" thickBot="1" x14ac:dyDescent="0.25">
      <c r="A1058" s="282" t="s">
        <v>709</v>
      </c>
      <c r="B1058" s="283"/>
      <c r="C1058" s="283"/>
      <c r="D1058" s="283"/>
      <c r="E1058" s="283"/>
      <c r="F1058" s="19"/>
      <c r="G1058" s="283"/>
      <c r="H1058" s="283"/>
      <c r="I1058" s="283"/>
      <c r="J1058" s="283"/>
      <c r="K1058" s="283"/>
      <c r="L1058" s="19"/>
      <c r="M1058" s="306"/>
      <c r="N1058" s="306"/>
      <c r="O1058" s="306"/>
      <c r="P1058" s="30"/>
    </row>
    <row r="1059" spans="1:16" ht="15.75" hidden="1" x14ac:dyDescent="0.2">
      <c r="A1059" s="986" t="s">
        <v>29</v>
      </c>
      <c r="B1059" s="987"/>
      <c r="C1059" s="988" t="s">
        <v>706</v>
      </c>
      <c r="D1059" s="989"/>
      <c r="E1059" s="989"/>
      <c r="F1059" s="989"/>
      <c r="G1059" s="989"/>
      <c r="H1059" s="989"/>
      <c r="I1059" s="989"/>
      <c r="J1059" s="989"/>
      <c r="K1059" s="989"/>
      <c r="L1059" s="989"/>
      <c r="M1059" s="989"/>
      <c r="N1059" s="989"/>
      <c r="O1059" s="989"/>
      <c r="P1059" s="274" t="s">
        <v>433</v>
      </c>
    </row>
    <row r="1060" spans="1:16" ht="31.15" hidden="1" customHeight="1" x14ac:dyDescent="0.2">
      <c r="A1060" s="1011" t="s">
        <v>704</v>
      </c>
      <c r="B1060" s="1012"/>
      <c r="C1060" s="990"/>
      <c r="D1060" s="990"/>
      <c r="E1060" s="990"/>
      <c r="F1060" s="990"/>
      <c r="G1060" s="990"/>
      <c r="H1060" s="990"/>
      <c r="I1060" s="990"/>
      <c r="J1060" s="990"/>
      <c r="K1060" s="990"/>
      <c r="L1060" s="990"/>
      <c r="M1060" s="990"/>
      <c r="N1060" s="990"/>
      <c r="O1060" s="990"/>
      <c r="P1060" s="275">
        <v>5</v>
      </c>
    </row>
    <row r="1061" spans="1:16" ht="15.75" hidden="1" x14ac:dyDescent="0.2">
      <c r="A1061" s="993" t="s">
        <v>30</v>
      </c>
      <c r="B1061" s="995" t="s">
        <v>31</v>
      </c>
      <c r="C1061" s="995"/>
      <c r="D1061" s="995"/>
      <c r="E1061" s="995"/>
      <c r="F1061" s="995"/>
      <c r="G1061" s="995" t="s">
        <v>32</v>
      </c>
      <c r="H1061" s="995"/>
      <c r="I1061" s="995"/>
      <c r="J1061" s="995"/>
      <c r="K1061" s="995"/>
      <c r="L1061" s="995" t="s">
        <v>33</v>
      </c>
      <c r="M1061" s="995"/>
      <c r="N1061" s="995"/>
      <c r="O1061" s="995"/>
      <c r="P1061" s="996"/>
    </row>
    <row r="1062" spans="1:16" ht="15.75" hidden="1" x14ac:dyDescent="0.2">
      <c r="A1062" s="994"/>
      <c r="B1062" s="351" t="s">
        <v>8</v>
      </c>
      <c r="C1062" s="351" t="s">
        <v>7</v>
      </c>
      <c r="D1062" s="351" t="s">
        <v>9</v>
      </c>
      <c r="E1062" s="351" t="s">
        <v>19</v>
      </c>
      <c r="F1062" s="351" t="s">
        <v>20</v>
      </c>
      <c r="G1062" s="351" t="s">
        <v>8</v>
      </c>
      <c r="H1062" s="351" t="s">
        <v>7</v>
      </c>
      <c r="I1062" s="351" t="s">
        <v>9</v>
      </c>
      <c r="J1062" s="351" t="s">
        <v>19</v>
      </c>
      <c r="K1062" s="351" t="s">
        <v>20</v>
      </c>
      <c r="L1062" s="351" t="s">
        <v>8</v>
      </c>
      <c r="M1062" s="351" t="s">
        <v>7</v>
      </c>
      <c r="N1062" s="351" t="s">
        <v>9</v>
      </c>
      <c r="O1062" s="351" t="s">
        <v>19</v>
      </c>
      <c r="P1062" s="352" t="s">
        <v>20</v>
      </c>
    </row>
    <row r="1063" spans="1:16" ht="31.5" hidden="1" x14ac:dyDescent="0.2">
      <c r="A1063" s="77" t="s">
        <v>705</v>
      </c>
      <c r="B1063" s="32" t="s">
        <v>16</v>
      </c>
      <c r="C1063" s="78" t="s">
        <v>11</v>
      </c>
      <c r="D1063" s="27">
        <v>7</v>
      </c>
      <c r="E1063" s="78">
        <f>skilled</f>
        <v>1100</v>
      </c>
      <c r="F1063" s="27">
        <f>D1063*E1063</f>
        <v>7700</v>
      </c>
      <c r="G1063" s="354" t="s">
        <v>60</v>
      </c>
      <c r="H1063" s="74" t="s">
        <v>250</v>
      </c>
      <c r="I1063" s="74">
        <v>5.75</v>
      </c>
      <c r="J1063" s="74">
        <f>stone</f>
        <v>1516.22</v>
      </c>
      <c r="K1063" s="27">
        <f>I1063*J1063</f>
        <v>8718.27</v>
      </c>
      <c r="L1063" s="354" t="s">
        <v>707</v>
      </c>
      <c r="M1063" s="1013" t="s">
        <v>708</v>
      </c>
      <c r="N1063" s="1014"/>
      <c r="O1063" s="1015"/>
      <c r="P1063" s="85">
        <f>5%*F1067</f>
        <v>931</v>
      </c>
    </row>
    <row r="1064" spans="1:16" ht="15.75" hidden="1" x14ac:dyDescent="0.2">
      <c r="A1064" s="77"/>
      <c r="B1064" s="75" t="s">
        <v>28</v>
      </c>
      <c r="C1064" s="78" t="s">
        <v>11</v>
      </c>
      <c r="D1064" s="27">
        <v>14</v>
      </c>
      <c r="E1064" s="27">
        <f>unskilled</f>
        <v>780</v>
      </c>
      <c r="F1064" s="27">
        <f>D1064*E1064</f>
        <v>10920</v>
      </c>
      <c r="G1064" s="354" t="s">
        <v>24</v>
      </c>
      <c r="H1064" s="74" t="s">
        <v>132</v>
      </c>
      <c r="I1064" s="74">
        <v>0.79</v>
      </c>
      <c r="J1064" s="74">
        <f>cement</f>
        <v>15631</v>
      </c>
      <c r="K1064" s="27">
        <f>I1064*J1064</f>
        <v>12348.49</v>
      </c>
      <c r="L1064" s="354"/>
      <c r="M1064" s="74"/>
      <c r="N1064" s="27"/>
      <c r="O1064" s="27"/>
      <c r="P1064" s="85"/>
    </row>
    <row r="1065" spans="1:16" ht="15.75" hidden="1" x14ac:dyDescent="0.2">
      <c r="A1065" s="77"/>
      <c r="B1065" s="75"/>
      <c r="C1065" s="78"/>
      <c r="D1065" s="27"/>
      <c r="E1065" s="27"/>
      <c r="F1065" s="27"/>
      <c r="G1065" s="354" t="s">
        <v>22</v>
      </c>
      <c r="H1065" s="74" t="s">
        <v>250</v>
      </c>
      <c r="I1065" s="74">
        <v>1.63</v>
      </c>
      <c r="J1065" s="74">
        <f>sand</f>
        <v>2001.47</v>
      </c>
      <c r="K1065" s="27">
        <f>I1065*J1065</f>
        <v>3262.4</v>
      </c>
      <c r="L1065" s="354"/>
      <c r="M1065" s="74"/>
      <c r="N1065" s="27"/>
      <c r="O1065" s="27"/>
      <c r="P1065" s="85"/>
    </row>
    <row r="1066" spans="1:16" ht="15.75" hidden="1" x14ac:dyDescent="0.2">
      <c r="A1066" s="77"/>
      <c r="B1066" s="75"/>
      <c r="C1066" s="78"/>
      <c r="D1066" s="27"/>
      <c r="E1066" s="27"/>
      <c r="F1066" s="27"/>
      <c r="G1066" s="354" t="s">
        <v>26</v>
      </c>
      <c r="H1066" s="74" t="s">
        <v>474</v>
      </c>
      <c r="I1066" s="74">
        <v>1</v>
      </c>
      <c r="J1066" s="74">
        <f>water*1000</f>
        <v>410</v>
      </c>
      <c r="K1066" s="27">
        <f>I1066*J1066</f>
        <v>410</v>
      </c>
      <c r="L1066" s="354"/>
      <c r="M1066" s="74"/>
      <c r="N1066" s="27"/>
      <c r="O1066" s="27"/>
      <c r="P1066" s="85"/>
    </row>
    <row r="1067" spans="1:16" ht="15.75" hidden="1" x14ac:dyDescent="0.2">
      <c r="A1067" s="997" t="s">
        <v>95</v>
      </c>
      <c r="B1067" s="998"/>
      <c r="C1067" s="998"/>
      <c r="D1067" s="998"/>
      <c r="E1067" s="998"/>
      <c r="F1067" s="78">
        <f>SUM(F1063:F1064)</f>
        <v>18620</v>
      </c>
      <c r="G1067" s="998" t="s">
        <v>99</v>
      </c>
      <c r="H1067" s="998"/>
      <c r="I1067" s="998"/>
      <c r="J1067" s="998"/>
      <c r="K1067" s="78">
        <f>SUM(K1063:K1066)</f>
        <v>24739.16</v>
      </c>
      <c r="L1067" s="998" t="s">
        <v>36</v>
      </c>
      <c r="M1067" s="998"/>
      <c r="N1067" s="998"/>
      <c r="O1067" s="998"/>
      <c r="P1067" s="41">
        <f>SUM(P1063:P1064)</f>
        <v>931</v>
      </c>
    </row>
    <row r="1068" spans="1:16" ht="15.75" hidden="1" x14ac:dyDescent="0.2">
      <c r="A1068" s="997" t="s">
        <v>487</v>
      </c>
      <c r="B1068" s="998"/>
      <c r="C1068" s="998"/>
      <c r="D1068" s="998"/>
      <c r="E1068" s="998"/>
      <c r="F1068" s="28">
        <f>F1067+K1067+P1067</f>
        <v>44290.16</v>
      </c>
      <c r="G1068" s="356"/>
      <c r="H1068" s="356"/>
      <c r="I1068" s="356"/>
      <c r="J1068" s="356"/>
      <c r="K1068" s="356"/>
      <c r="L1068" s="28"/>
      <c r="M1068" s="356"/>
      <c r="N1068" s="356"/>
      <c r="O1068" s="356"/>
      <c r="P1068" s="29"/>
    </row>
    <row r="1069" spans="1:16" ht="16.5" hidden="1" thickBot="1" x14ac:dyDescent="0.25">
      <c r="A1069" s="308"/>
      <c r="B1069" s="999" t="s">
        <v>110</v>
      </c>
      <c r="C1069" s="999"/>
      <c r="D1069" s="999"/>
      <c r="E1069" s="999"/>
      <c r="F1069" s="17">
        <f>15%*F1068</f>
        <v>6643.52</v>
      </c>
      <c r="G1069" s="83"/>
      <c r="H1069" s="83"/>
      <c r="I1069" s="83"/>
      <c r="J1069" s="83"/>
      <c r="K1069" s="83"/>
      <c r="L1069" s="17"/>
      <c r="M1069" s="276"/>
      <c r="N1069" s="1000" t="s">
        <v>53</v>
      </c>
      <c r="O1069" s="1000"/>
      <c r="P1069" s="18">
        <f>(F1069+F1068)/P1060</f>
        <v>10186.74</v>
      </c>
    </row>
    <row r="1070" spans="1:16" ht="16.5" hidden="1" thickBot="1" x14ac:dyDescent="0.25">
      <c r="A1070" s="281"/>
      <c r="B1070" s="281"/>
      <c r="C1070" s="281"/>
      <c r="D1070" s="281"/>
      <c r="E1070" s="281"/>
      <c r="F1070" s="57"/>
      <c r="G1070" s="281"/>
      <c r="H1070" s="281"/>
      <c r="I1070" s="281"/>
      <c r="J1070" s="281"/>
      <c r="K1070" s="281"/>
      <c r="L1070" s="57"/>
      <c r="M1070" s="299"/>
      <c r="N1070" s="299"/>
      <c r="O1070" s="299"/>
      <c r="P1070" s="43"/>
    </row>
    <row r="1071" spans="1:16" ht="15.75" hidden="1" x14ac:dyDescent="0.2">
      <c r="A1071" s="986" t="s">
        <v>29</v>
      </c>
      <c r="B1071" s="987"/>
      <c r="C1071" s="988" t="s">
        <v>710</v>
      </c>
      <c r="D1071" s="989"/>
      <c r="E1071" s="989"/>
      <c r="F1071" s="989"/>
      <c r="G1071" s="989"/>
      <c r="H1071" s="989"/>
      <c r="I1071" s="989"/>
      <c r="J1071" s="989"/>
      <c r="K1071" s="989"/>
      <c r="L1071" s="989"/>
      <c r="M1071" s="989"/>
      <c r="N1071" s="989"/>
      <c r="O1071" s="989"/>
      <c r="P1071" s="274" t="s">
        <v>433</v>
      </c>
    </row>
    <row r="1072" spans="1:16" ht="31.15" hidden="1" customHeight="1" x14ac:dyDescent="0.2">
      <c r="A1072" s="1011" t="s">
        <v>704</v>
      </c>
      <c r="B1072" s="1012"/>
      <c r="C1072" s="990"/>
      <c r="D1072" s="990"/>
      <c r="E1072" s="990"/>
      <c r="F1072" s="990"/>
      <c r="G1072" s="990"/>
      <c r="H1072" s="990"/>
      <c r="I1072" s="990"/>
      <c r="J1072" s="990"/>
      <c r="K1072" s="990"/>
      <c r="L1072" s="990"/>
      <c r="M1072" s="990"/>
      <c r="N1072" s="990"/>
      <c r="O1072" s="990"/>
      <c r="P1072" s="275">
        <v>5</v>
      </c>
    </row>
    <row r="1073" spans="1:16" ht="15.75" hidden="1" x14ac:dyDescent="0.2">
      <c r="A1073" s="993" t="s">
        <v>30</v>
      </c>
      <c r="B1073" s="995" t="s">
        <v>31</v>
      </c>
      <c r="C1073" s="995"/>
      <c r="D1073" s="995"/>
      <c r="E1073" s="995"/>
      <c r="F1073" s="995"/>
      <c r="G1073" s="995" t="s">
        <v>32</v>
      </c>
      <c r="H1073" s="995"/>
      <c r="I1073" s="995"/>
      <c r="J1073" s="995"/>
      <c r="K1073" s="995"/>
      <c r="L1073" s="995" t="s">
        <v>33</v>
      </c>
      <c r="M1073" s="995"/>
      <c r="N1073" s="995"/>
      <c r="O1073" s="995"/>
      <c r="P1073" s="996"/>
    </row>
    <row r="1074" spans="1:16" ht="15.75" hidden="1" x14ac:dyDescent="0.2">
      <c r="A1074" s="994"/>
      <c r="B1074" s="351" t="s">
        <v>8</v>
      </c>
      <c r="C1074" s="351" t="s">
        <v>7</v>
      </c>
      <c r="D1074" s="351" t="s">
        <v>9</v>
      </c>
      <c r="E1074" s="351" t="s">
        <v>19</v>
      </c>
      <c r="F1074" s="351" t="s">
        <v>20</v>
      </c>
      <c r="G1074" s="351" t="s">
        <v>8</v>
      </c>
      <c r="H1074" s="351" t="s">
        <v>7</v>
      </c>
      <c r="I1074" s="351" t="s">
        <v>9</v>
      </c>
      <c r="J1074" s="351" t="s">
        <v>19</v>
      </c>
      <c r="K1074" s="351" t="s">
        <v>20</v>
      </c>
      <c r="L1074" s="351" t="s">
        <v>8</v>
      </c>
      <c r="M1074" s="351" t="s">
        <v>7</v>
      </c>
      <c r="N1074" s="351" t="s">
        <v>9</v>
      </c>
      <c r="O1074" s="351" t="s">
        <v>19</v>
      </c>
      <c r="P1074" s="352" t="s">
        <v>20</v>
      </c>
    </row>
    <row r="1075" spans="1:16" ht="31.5" hidden="1" x14ac:dyDescent="0.2">
      <c r="A1075" s="77" t="s">
        <v>711</v>
      </c>
      <c r="B1075" s="32" t="s">
        <v>16</v>
      </c>
      <c r="C1075" s="78" t="s">
        <v>11</v>
      </c>
      <c r="D1075" s="27">
        <v>7</v>
      </c>
      <c r="E1075" s="78">
        <f>skilled</f>
        <v>1100</v>
      </c>
      <c r="F1075" s="27">
        <f>D1075*E1075</f>
        <v>7700</v>
      </c>
      <c r="G1075" s="354" t="s">
        <v>60</v>
      </c>
      <c r="H1075" s="74" t="s">
        <v>250</v>
      </c>
      <c r="I1075" s="74">
        <v>5.75</v>
      </c>
      <c r="J1075" s="74">
        <f>stone</f>
        <v>1516.22</v>
      </c>
      <c r="K1075" s="27">
        <f>I1075*J1075</f>
        <v>8718.27</v>
      </c>
      <c r="L1075" s="354" t="s">
        <v>707</v>
      </c>
      <c r="M1075" s="1013" t="s">
        <v>708</v>
      </c>
      <c r="N1075" s="1014"/>
      <c r="O1075" s="1015"/>
      <c r="P1075" s="85">
        <f>5%*F1079</f>
        <v>931</v>
      </c>
    </row>
    <row r="1076" spans="1:16" ht="15.75" hidden="1" x14ac:dyDescent="0.2">
      <c r="A1076" s="77"/>
      <c r="B1076" s="75" t="s">
        <v>28</v>
      </c>
      <c r="C1076" s="78" t="s">
        <v>11</v>
      </c>
      <c r="D1076" s="27">
        <v>14</v>
      </c>
      <c r="E1076" s="27">
        <f>unskilled</f>
        <v>780</v>
      </c>
      <c r="F1076" s="27">
        <f>D1076*E1076</f>
        <v>10920</v>
      </c>
      <c r="G1076" s="354" t="s">
        <v>24</v>
      </c>
      <c r="H1076" s="74" t="s">
        <v>132</v>
      </c>
      <c r="I1076" s="74">
        <v>0.62</v>
      </c>
      <c r="J1076" s="74">
        <f>cement</f>
        <v>15631</v>
      </c>
      <c r="K1076" s="27">
        <f>I1076*J1076</f>
        <v>9691.2199999999993</v>
      </c>
      <c r="L1076" s="354"/>
      <c r="M1076" s="74"/>
      <c r="N1076" s="27"/>
      <c r="O1076" s="27"/>
      <c r="P1076" s="85"/>
    </row>
    <row r="1077" spans="1:16" ht="15.75" hidden="1" x14ac:dyDescent="0.2">
      <c r="A1077" s="77"/>
      <c r="B1077" s="75"/>
      <c r="C1077" s="78"/>
      <c r="D1077" s="27"/>
      <c r="E1077" s="27"/>
      <c r="F1077" s="27"/>
      <c r="G1077" s="354" t="s">
        <v>22</v>
      </c>
      <c r="H1077" s="74" t="s">
        <v>250</v>
      </c>
      <c r="I1077" s="74">
        <v>1.74</v>
      </c>
      <c r="J1077" s="74">
        <f>sand</f>
        <v>2001.47</v>
      </c>
      <c r="K1077" s="27">
        <f>I1077*J1077</f>
        <v>3482.56</v>
      </c>
      <c r="L1077" s="354"/>
      <c r="M1077" s="74"/>
      <c r="N1077" s="27"/>
      <c r="O1077" s="27"/>
      <c r="P1077" s="85"/>
    </row>
    <row r="1078" spans="1:16" ht="15.75" hidden="1" x14ac:dyDescent="0.2">
      <c r="A1078" s="77"/>
      <c r="B1078" s="75"/>
      <c r="C1078" s="78"/>
      <c r="D1078" s="27"/>
      <c r="E1078" s="27"/>
      <c r="F1078" s="27"/>
      <c r="G1078" s="354" t="s">
        <v>26</v>
      </c>
      <c r="H1078" s="74" t="s">
        <v>474</v>
      </c>
      <c r="I1078" s="74">
        <v>1</v>
      </c>
      <c r="J1078" s="74">
        <f>water*1000</f>
        <v>410</v>
      </c>
      <c r="K1078" s="27">
        <f>I1078*J1078</f>
        <v>410</v>
      </c>
      <c r="L1078" s="354"/>
      <c r="M1078" s="74"/>
      <c r="N1078" s="27"/>
      <c r="O1078" s="27"/>
      <c r="P1078" s="85"/>
    </row>
    <row r="1079" spans="1:16" ht="15.75" hidden="1" x14ac:dyDescent="0.2">
      <c r="A1079" s="997" t="s">
        <v>95</v>
      </c>
      <c r="B1079" s="998"/>
      <c r="C1079" s="998"/>
      <c r="D1079" s="998"/>
      <c r="E1079" s="998"/>
      <c r="F1079" s="78">
        <f>SUM(F1075:F1076)</f>
        <v>18620</v>
      </c>
      <c r="G1079" s="998" t="s">
        <v>99</v>
      </c>
      <c r="H1079" s="998"/>
      <c r="I1079" s="998"/>
      <c r="J1079" s="998"/>
      <c r="K1079" s="78">
        <f>SUM(K1075:K1078)</f>
        <v>22302.05</v>
      </c>
      <c r="L1079" s="998" t="s">
        <v>36</v>
      </c>
      <c r="M1079" s="998"/>
      <c r="N1079" s="998"/>
      <c r="O1079" s="998"/>
      <c r="P1079" s="41">
        <f>SUM(P1075:P1076)</f>
        <v>931</v>
      </c>
    </row>
    <row r="1080" spans="1:16" ht="15.75" hidden="1" x14ac:dyDescent="0.2">
      <c r="A1080" s="997" t="s">
        <v>487</v>
      </c>
      <c r="B1080" s="998"/>
      <c r="C1080" s="998"/>
      <c r="D1080" s="998"/>
      <c r="E1080" s="998"/>
      <c r="F1080" s="28">
        <f>F1079+K1079+P1079</f>
        <v>41853.050000000003</v>
      </c>
      <c r="G1080" s="356"/>
      <c r="H1080" s="356"/>
      <c r="I1080" s="356"/>
      <c r="J1080" s="356"/>
      <c r="K1080" s="356"/>
      <c r="L1080" s="28"/>
      <c r="M1080" s="356"/>
      <c r="N1080" s="356"/>
      <c r="O1080" s="356"/>
      <c r="P1080" s="29"/>
    </row>
    <row r="1081" spans="1:16" ht="16.5" hidden="1" thickBot="1" x14ac:dyDescent="0.25">
      <c r="A1081" s="308"/>
      <c r="B1081" s="999" t="s">
        <v>110</v>
      </c>
      <c r="C1081" s="999"/>
      <c r="D1081" s="999"/>
      <c r="E1081" s="999"/>
      <c r="F1081" s="17">
        <f>15%*F1080</f>
        <v>6277.96</v>
      </c>
      <c r="G1081" s="83"/>
      <c r="H1081" s="83"/>
      <c r="I1081" s="83"/>
      <c r="J1081" s="83"/>
      <c r="K1081" s="83"/>
      <c r="L1081" s="17"/>
      <c r="M1081" s="276"/>
      <c r="N1081" s="1000" t="s">
        <v>53</v>
      </c>
      <c r="O1081" s="1000"/>
      <c r="P1081" s="18">
        <f>(F1081+F1080)/P1072</f>
        <v>9626.2000000000007</v>
      </c>
    </row>
    <row r="1082" spans="1:16" ht="16.5" hidden="1" thickBot="1" x14ac:dyDescent="0.25">
      <c r="A1082" s="281"/>
      <c r="B1082" s="281"/>
      <c r="C1082" s="281"/>
      <c r="D1082" s="281"/>
      <c r="E1082" s="281"/>
      <c r="F1082" s="57"/>
      <c r="G1082" s="281"/>
      <c r="H1082" s="281"/>
      <c r="I1082" s="281"/>
      <c r="J1082" s="281"/>
      <c r="K1082" s="281"/>
      <c r="L1082" s="57"/>
      <c r="M1082" s="299"/>
      <c r="N1082" s="299"/>
      <c r="O1082" s="299"/>
      <c r="P1082" s="43"/>
    </row>
    <row r="1083" spans="1:16" ht="15.75" hidden="1" x14ac:dyDescent="0.2">
      <c r="A1083" s="986" t="s">
        <v>29</v>
      </c>
      <c r="B1083" s="987"/>
      <c r="C1083" s="988" t="s">
        <v>713</v>
      </c>
      <c r="D1083" s="989"/>
      <c r="E1083" s="989"/>
      <c r="F1083" s="989"/>
      <c r="G1083" s="989"/>
      <c r="H1083" s="989"/>
      <c r="I1083" s="989"/>
      <c r="J1083" s="989"/>
      <c r="K1083" s="989"/>
      <c r="L1083" s="989"/>
      <c r="M1083" s="989"/>
      <c r="N1083" s="989"/>
      <c r="O1083" s="989"/>
      <c r="P1083" s="274" t="s">
        <v>433</v>
      </c>
    </row>
    <row r="1084" spans="1:16" ht="31.15" hidden="1" customHeight="1" x14ac:dyDescent="0.2">
      <c r="A1084" s="1011" t="s">
        <v>704</v>
      </c>
      <c r="B1084" s="1012"/>
      <c r="C1084" s="990"/>
      <c r="D1084" s="990"/>
      <c r="E1084" s="990"/>
      <c r="F1084" s="990"/>
      <c r="G1084" s="990"/>
      <c r="H1084" s="990"/>
      <c r="I1084" s="990"/>
      <c r="J1084" s="990"/>
      <c r="K1084" s="990"/>
      <c r="L1084" s="990"/>
      <c r="M1084" s="990"/>
      <c r="N1084" s="990"/>
      <c r="O1084" s="990"/>
      <c r="P1084" s="275">
        <v>5</v>
      </c>
    </row>
    <row r="1085" spans="1:16" ht="15.75" hidden="1" x14ac:dyDescent="0.2">
      <c r="A1085" s="993" t="s">
        <v>30</v>
      </c>
      <c r="B1085" s="995" t="s">
        <v>31</v>
      </c>
      <c r="C1085" s="995"/>
      <c r="D1085" s="995"/>
      <c r="E1085" s="995"/>
      <c r="F1085" s="995"/>
      <c r="G1085" s="995" t="s">
        <v>32</v>
      </c>
      <c r="H1085" s="995"/>
      <c r="I1085" s="995"/>
      <c r="J1085" s="995"/>
      <c r="K1085" s="995"/>
      <c r="L1085" s="995" t="s">
        <v>33</v>
      </c>
      <c r="M1085" s="995"/>
      <c r="N1085" s="995"/>
      <c r="O1085" s="995"/>
      <c r="P1085" s="996"/>
    </row>
    <row r="1086" spans="1:16" ht="15.75" hidden="1" x14ac:dyDescent="0.2">
      <c r="A1086" s="994"/>
      <c r="B1086" s="351" t="s">
        <v>8</v>
      </c>
      <c r="C1086" s="351" t="s">
        <v>7</v>
      </c>
      <c r="D1086" s="351" t="s">
        <v>9</v>
      </c>
      <c r="E1086" s="351" t="s">
        <v>19</v>
      </c>
      <c r="F1086" s="351" t="s">
        <v>20</v>
      </c>
      <c r="G1086" s="351" t="s">
        <v>8</v>
      </c>
      <c r="H1086" s="351" t="s">
        <v>7</v>
      </c>
      <c r="I1086" s="351" t="s">
        <v>9</v>
      </c>
      <c r="J1086" s="351" t="s">
        <v>19</v>
      </c>
      <c r="K1086" s="351" t="s">
        <v>20</v>
      </c>
      <c r="L1086" s="351" t="s">
        <v>8</v>
      </c>
      <c r="M1086" s="351" t="s">
        <v>7</v>
      </c>
      <c r="N1086" s="351" t="s">
        <v>9</v>
      </c>
      <c r="O1086" s="351" t="s">
        <v>19</v>
      </c>
      <c r="P1086" s="352" t="s">
        <v>20</v>
      </c>
    </row>
    <row r="1087" spans="1:16" ht="31.5" hidden="1" x14ac:dyDescent="0.2">
      <c r="A1087" s="77" t="s">
        <v>712</v>
      </c>
      <c r="B1087" s="32" t="s">
        <v>16</v>
      </c>
      <c r="C1087" s="78" t="s">
        <v>11</v>
      </c>
      <c r="D1087" s="27">
        <v>7</v>
      </c>
      <c r="E1087" s="78">
        <f>skilled</f>
        <v>1100</v>
      </c>
      <c r="F1087" s="27">
        <f>D1087*E1087</f>
        <v>7700</v>
      </c>
      <c r="G1087" s="354" t="s">
        <v>60</v>
      </c>
      <c r="H1087" s="74" t="s">
        <v>250</v>
      </c>
      <c r="I1087" s="74">
        <v>5.75</v>
      </c>
      <c r="J1087" s="74">
        <f>stone</f>
        <v>1516.22</v>
      </c>
      <c r="K1087" s="27">
        <f>I1087*J1087</f>
        <v>8718.27</v>
      </c>
      <c r="L1087" s="354" t="s">
        <v>707</v>
      </c>
      <c r="M1087" s="1013" t="s">
        <v>708</v>
      </c>
      <c r="N1087" s="1014"/>
      <c r="O1087" s="1015"/>
      <c r="P1087" s="85">
        <f>5%*F1091</f>
        <v>931</v>
      </c>
    </row>
    <row r="1088" spans="1:16" ht="15.75" hidden="1" x14ac:dyDescent="0.2">
      <c r="A1088" s="77"/>
      <c r="B1088" s="75" t="s">
        <v>28</v>
      </c>
      <c r="C1088" s="78" t="s">
        <v>11</v>
      </c>
      <c r="D1088" s="27">
        <v>14</v>
      </c>
      <c r="E1088" s="27">
        <f>unskilled</f>
        <v>780</v>
      </c>
      <c r="F1088" s="27">
        <f>D1088*E1088</f>
        <v>10920</v>
      </c>
      <c r="G1088" s="354" t="s">
        <v>24</v>
      </c>
      <c r="H1088" s="74" t="s">
        <v>132</v>
      </c>
      <c r="I1088" s="74">
        <v>0.45</v>
      </c>
      <c r="J1088" s="74">
        <f>cement</f>
        <v>15631</v>
      </c>
      <c r="K1088" s="27">
        <f>I1088*J1088</f>
        <v>7033.95</v>
      </c>
      <c r="L1088" s="354"/>
      <c r="M1088" s="74"/>
      <c r="N1088" s="27"/>
      <c r="O1088" s="27"/>
      <c r="P1088" s="85"/>
    </row>
    <row r="1089" spans="1:16" ht="15.75" hidden="1" x14ac:dyDescent="0.2">
      <c r="A1089" s="77"/>
      <c r="B1089" s="75"/>
      <c r="C1089" s="78"/>
      <c r="D1089" s="27"/>
      <c r="E1089" s="27"/>
      <c r="F1089" s="27"/>
      <c r="G1089" s="354" t="s">
        <v>22</v>
      </c>
      <c r="H1089" s="74" t="s">
        <v>250</v>
      </c>
      <c r="I1089" s="74">
        <v>2.08</v>
      </c>
      <c r="J1089" s="74">
        <f>sand</f>
        <v>2001.47</v>
      </c>
      <c r="K1089" s="27">
        <f>I1089*J1089</f>
        <v>4163.0600000000004</v>
      </c>
      <c r="L1089" s="354"/>
      <c r="M1089" s="74"/>
      <c r="N1089" s="27"/>
      <c r="O1089" s="27"/>
      <c r="P1089" s="85"/>
    </row>
    <row r="1090" spans="1:16" ht="15.75" hidden="1" x14ac:dyDescent="0.2">
      <c r="A1090" s="77"/>
      <c r="B1090" s="75"/>
      <c r="C1090" s="78"/>
      <c r="D1090" s="27"/>
      <c r="E1090" s="27"/>
      <c r="F1090" s="27"/>
      <c r="G1090" s="354" t="s">
        <v>26</v>
      </c>
      <c r="H1090" s="74" t="s">
        <v>474</v>
      </c>
      <c r="I1090" s="74">
        <v>1</v>
      </c>
      <c r="J1090" s="74">
        <f>water*1000</f>
        <v>410</v>
      </c>
      <c r="K1090" s="27">
        <f>I1090*J1090</f>
        <v>410</v>
      </c>
      <c r="L1090" s="354"/>
      <c r="M1090" s="74"/>
      <c r="N1090" s="27"/>
      <c r="O1090" s="27"/>
      <c r="P1090" s="85"/>
    </row>
    <row r="1091" spans="1:16" ht="15.75" hidden="1" x14ac:dyDescent="0.2">
      <c r="A1091" s="997" t="s">
        <v>95</v>
      </c>
      <c r="B1091" s="998"/>
      <c r="C1091" s="998"/>
      <c r="D1091" s="998"/>
      <c r="E1091" s="998"/>
      <c r="F1091" s="78">
        <f>SUM(F1087:F1088)</f>
        <v>18620</v>
      </c>
      <c r="G1091" s="998" t="s">
        <v>99</v>
      </c>
      <c r="H1091" s="998"/>
      <c r="I1091" s="998"/>
      <c r="J1091" s="998"/>
      <c r="K1091" s="78">
        <f>SUM(K1087:K1090)</f>
        <v>20325.28</v>
      </c>
      <c r="L1091" s="998" t="s">
        <v>36</v>
      </c>
      <c r="M1091" s="998"/>
      <c r="N1091" s="998"/>
      <c r="O1091" s="998"/>
      <c r="P1091" s="41">
        <f>SUM(P1087:P1088)</f>
        <v>931</v>
      </c>
    </row>
    <row r="1092" spans="1:16" ht="15.75" hidden="1" x14ac:dyDescent="0.2">
      <c r="A1092" s="997" t="s">
        <v>487</v>
      </c>
      <c r="B1092" s="998"/>
      <c r="C1092" s="998"/>
      <c r="D1092" s="998"/>
      <c r="E1092" s="998"/>
      <c r="F1092" s="28">
        <f>F1091+K1091+P1091</f>
        <v>39876.28</v>
      </c>
      <c r="G1092" s="356"/>
      <c r="H1092" s="356"/>
      <c r="I1092" s="356"/>
      <c r="J1092" s="356"/>
      <c r="K1092" s="356"/>
      <c r="L1092" s="28"/>
      <c r="M1092" s="356"/>
      <c r="N1092" s="356"/>
      <c r="O1092" s="356"/>
      <c r="P1092" s="29"/>
    </row>
    <row r="1093" spans="1:16" ht="16.5" hidden="1" thickBot="1" x14ac:dyDescent="0.25">
      <c r="A1093" s="308"/>
      <c r="B1093" s="999" t="s">
        <v>110</v>
      </c>
      <c r="C1093" s="999"/>
      <c r="D1093" s="999"/>
      <c r="E1093" s="999"/>
      <c r="F1093" s="17">
        <f>15%*F1092</f>
        <v>5981.44</v>
      </c>
      <c r="G1093" s="83"/>
      <c r="H1093" s="83"/>
      <c r="I1093" s="83"/>
      <c r="J1093" s="83"/>
      <c r="K1093" s="83"/>
      <c r="L1093" s="17"/>
      <c r="M1093" s="276"/>
      <c r="N1093" s="1000" t="s">
        <v>53</v>
      </c>
      <c r="O1093" s="1000"/>
      <c r="P1093" s="18">
        <f>(F1093+F1092)/P1084</f>
        <v>9171.5400000000009</v>
      </c>
    </row>
    <row r="1094" spans="1:16" ht="15.75" hidden="1" x14ac:dyDescent="0.2">
      <c r="A1094" s="281"/>
      <c r="B1094" s="281"/>
      <c r="C1094" s="281"/>
      <c r="D1094" s="281"/>
      <c r="E1094" s="281"/>
      <c r="F1094" s="57"/>
      <c r="G1094" s="281"/>
      <c r="H1094" s="281"/>
      <c r="I1094" s="281"/>
      <c r="J1094" s="281"/>
      <c r="K1094" s="281"/>
      <c r="L1094" s="57"/>
      <c r="M1094" s="299"/>
      <c r="N1094" s="299"/>
      <c r="O1094" s="299"/>
      <c r="P1094" s="43"/>
    </row>
    <row r="1095" spans="1:16" ht="16.5" thickBot="1" x14ac:dyDescent="0.25">
      <c r="A1095" s="282" t="s">
        <v>714</v>
      </c>
      <c r="B1095" s="283"/>
      <c r="C1095" s="283"/>
      <c r="D1095" s="283"/>
      <c r="E1095" s="283"/>
      <c r="F1095" s="19"/>
      <c r="G1095" s="283"/>
      <c r="H1095" s="283"/>
      <c r="I1095" s="283"/>
      <c r="J1095" s="283"/>
      <c r="K1095" s="283"/>
      <c r="L1095" s="19"/>
      <c r="M1095" s="306"/>
      <c r="N1095" s="306"/>
      <c r="O1095" s="306"/>
      <c r="P1095" s="30"/>
    </row>
    <row r="1096" spans="1:16" ht="15.75" hidden="1" x14ac:dyDescent="0.2">
      <c r="A1096" s="986" t="s">
        <v>29</v>
      </c>
      <c r="B1096" s="987"/>
      <c r="C1096" s="988" t="s">
        <v>717</v>
      </c>
      <c r="D1096" s="989"/>
      <c r="E1096" s="989"/>
      <c r="F1096" s="989"/>
      <c r="G1096" s="989"/>
      <c r="H1096" s="989"/>
      <c r="I1096" s="989"/>
      <c r="J1096" s="989"/>
      <c r="K1096" s="989"/>
      <c r="L1096" s="989"/>
      <c r="M1096" s="989"/>
      <c r="N1096" s="989"/>
      <c r="O1096" s="989"/>
      <c r="P1096" s="274" t="s">
        <v>433</v>
      </c>
    </row>
    <row r="1097" spans="1:16" ht="31.15" hidden="1" customHeight="1" x14ac:dyDescent="0.2">
      <c r="A1097" s="1011" t="s">
        <v>715</v>
      </c>
      <c r="B1097" s="1012"/>
      <c r="C1097" s="990"/>
      <c r="D1097" s="990"/>
      <c r="E1097" s="990"/>
      <c r="F1097" s="990"/>
      <c r="G1097" s="990"/>
      <c r="H1097" s="990"/>
      <c r="I1097" s="990"/>
      <c r="J1097" s="990"/>
      <c r="K1097" s="990"/>
      <c r="L1097" s="990"/>
      <c r="M1097" s="990"/>
      <c r="N1097" s="990"/>
      <c r="O1097" s="990"/>
      <c r="P1097" s="275">
        <v>5</v>
      </c>
    </row>
    <row r="1098" spans="1:16" ht="15.75" hidden="1" x14ac:dyDescent="0.2">
      <c r="A1098" s="993" t="s">
        <v>30</v>
      </c>
      <c r="B1098" s="995" t="s">
        <v>31</v>
      </c>
      <c r="C1098" s="995"/>
      <c r="D1098" s="995"/>
      <c r="E1098" s="995"/>
      <c r="F1098" s="995"/>
      <c r="G1098" s="995" t="s">
        <v>32</v>
      </c>
      <c r="H1098" s="995"/>
      <c r="I1098" s="995"/>
      <c r="J1098" s="995"/>
      <c r="K1098" s="995"/>
      <c r="L1098" s="995" t="s">
        <v>33</v>
      </c>
      <c r="M1098" s="995"/>
      <c r="N1098" s="995"/>
      <c r="O1098" s="995"/>
      <c r="P1098" s="996"/>
    </row>
    <row r="1099" spans="1:16" ht="15.75" hidden="1" x14ac:dyDescent="0.2">
      <c r="A1099" s="994"/>
      <c r="B1099" s="351" t="s">
        <v>8</v>
      </c>
      <c r="C1099" s="351" t="s">
        <v>7</v>
      </c>
      <c r="D1099" s="351" t="s">
        <v>9</v>
      </c>
      <c r="E1099" s="351" t="s">
        <v>19</v>
      </c>
      <c r="F1099" s="351" t="s">
        <v>20</v>
      </c>
      <c r="G1099" s="351" t="s">
        <v>8</v>
      </c>
      <c r="H1099" s="351" t="s">
        <v>7</v>
      </c>
      <c r="I1099" s="351" t="s">
        <v>9</v>
      </c>
      <c r="J1099" s="351" t="s">
        <v>19</v>
      </c>
      <c r="K1099" s="351" t="s">
        <v>20</v>
      </c>
      <c r="L1099" s="351" t="s">
        <v>8</v>
      </c>
      <c r="M1099" s="351" t="s">
        <v>7</v>
      </c>
      <c r="N1099" s="351" t="s">
        <v>9</v>
      </c>
      <c r="O1099" s="351" t="s">
        <v>19</v>
      </c>
      <c r="P1099" s="352" t="s">
        <v>20</v>
      </c>
    </row>
    <row r="1100" spans="1:16" ht="15.75" hidden="1" x14ac:dyDescent="0.2">
      <c r="A1100" s="77" t="s">
        <v>716</v>
      </c>
      <c r="B1100" s="32" t="s">
        <v>16</v>
      </c>
      <c r="C1100" s="78" t="s">
        <v>11</v>
      </c>
      <c r="D1100" s="27">
        <v>7</v>
      </c>
      <c r="E1100" s="78">
        <f>skilled</f>
        <v>1100</v>
      </c>
      <c r="F1100" s="27">
        <f>D1100*E1100</f>
        <v>7700</v>
      </c>
      <c r="G1100" s="354" t="s">
        <v>60</v>
      </c>
      <c r="H1100" s="74" t="s">
        <v>250</v>
      </c>
      <c r="I1100" s="74">
        <v>5.75</v>
      </c>
      <c r="J1100" s="74">
        <f>stone</f>
        <v>1516.22</v>
      </c>
      <c r="K1100" s="27">
        <f>I1100*J1100</f>
        <v>8718.27</v>
      </c>
      <c r="L1100" s="354" t="s">
        <v>718</v>
      </c>
      <c r="M1100" s="1013" t="s">
        <v>708</v>
      </c>
      <c r="N1100" s="1014"/>
      <c r="O1100" s="1015"/>
      <c r="P1100" s="85">
        <f>5%*F1104</f>
        <v>1165</v>
      </c>
    </row>
    <row r="1101" spans="1:16" ht="15.75" hidden="1" x14ac:dyDescent="0.2">
      <c r="A1101" s="77"/>
      <c r="B1101" s="75" t="s">
        <v>28</v>
      </c>
      <c r="C1101" s="78" t="s">
        <v>11</v>
      </c>
      <c r="D1101" s="27">
        <v>20</v>
      </c>
      <c r="E1101" s="27">
        <f>unskilled</f>
        <v>780</v>
      </c>
      <c r="F1101" s="27">
        <f>D1101*E1101</f>
        <v>15600</v>
      </c>
      <c r="G1101" s="354" t="s">
        <v>24</v>
      </c>
      <c r="H1101" s="74" t="s">
        <v>132</v>
      </c>
      <c r="I1101" s="74">
        <v>0.84</v>
      </c>
      <c r="J1101" s="74">
        <f>cement</f>
        <v>15631</v>
      </c>
      <c r="K1101" s="27">
        <f>I1101*J1101</f>
        <v>13130.04</v>
      </c>
      <c r="L1101" s="354"/>
      <c r="M1101" s="1013"/>
      <c r="N1101" s="1014"/>
      <c r="O1101" s="1015"/>
      <c r="P1101" s="85">
        <f>5%*F1104</f>
        <v>1165</v>
      </c>
    </row>
    <row r="1102" spans="1:16" ht="15.75" hidden="1" x14ac:dyDescent="0.2">
      <c r="A1102" s="77"/>
      <c r="B1102" s="75"/>
      <c r="C1102" s="78"/>
      <c r="D1102" s="27"/>
      <c r="E1102" s="27"/>
      <c r="F1102" s="27"/>
      <c r="G1102" s="354" t="s">
        <v>22</v>
      </c>
      <c r="H1102" s="74" t="s">
        <v>250</v>
      </c>
      <c r="I1102" s="74">
        <v>1.73</v>
      </c>
      <c r="J1102" s="74">
        <f>sand</f>
        <v>2001.47</v>
      </c>
      <c r="K1102" s="27">
        <f>I1102*J1102</f>
        <v>3462.54</v>
      </c>
      <c r="L1102" s="354"/>
      <c r="M1102" s="74"/>
      <c r="N1102" s="27"/>
      <c r="O1102" s="27"/>
      <c r="P1102" s="85"/>
    </row>
    <row r="1103" spans="1:16" ht="15.75" hidden="1" x14ac:dyDescent="0.2">
      <c r="A1103" s="77"/>
      <c r="B1103" s="75"/>
      <c r="C1103" s="78"/>
      <c r="D1103" s="27"/>
      <c r="E1103" s="27"/>
      <c r="F1103" s="27"/>
      <c r="G1103" s="354" t="s">
        <v>26</v>
      </c>
      <c r="H1103" s="74" t="s">
        <v>474</v>
      </c>
      <c r="I1103" s="74">
        <v>1</v>
      </c>
      <c r="J1103" s="74">
        <f>water*1000</f>
        <v>410</v>
      </c>
      <c r="K1103" s="27">
        <f>I1103*J1103</f>
        <v>410</v>
      </c>
      <c r="L1103" s="354"/>
      <c r="M1103" s="74"/>
      <c r="N1103" s="27"/>
      <c r="O1103" s="27"/>
      <c r="P1103" s="85"/>
    </row>
    <row r="1104" spans="1:16" ht="15.75" hidden="1" x14ac:dyDescent="0.2">
      <c r="A1104" s="997" t="s">
        <v>95</v>
      </c>
      <c r="B1104" s="998"/>
      <c r="C1104" s="998"/>
      <c r="D1104" s="998"/>
      <c r="E1104" s="998"/>
      <c r="F1104" s="78">
        <f>SUM(F1100:F1101)</f>
        <v>23300</v>
      </c>
      <c r="G1104" s="998" t="s">
        <v>99</v>
      </c>
      <c r="H1104" s="998"/>
      <c r="I1104" s="998"/>
      <c r="J1104" s="998"/>
      <c r="K1104" s="78">
        <f>SUM(K1100:K1103)</f>
        <v>25720.85</v>
      </c>
      <c r="L1104" s="998" t="s">
        <v>36</v>
      </c>
      <c r="M1104" s="998"/>
      <c r="N1104" s="998"/>
      <c r="O1104" s="998"/>
      <c r="P1104" s="41">
        <f>SUM(P1100:P1101)</f>
        <v>2330</v>
      </c>
    </row>
    <row r="1105" spans="1:16" ht="15.75" hidden="1" x14ac:dyDescent="0.2">
      <c r="A1105" s="997" t="s">
        <v>487</v>
      </c>
      <c r="B1105" s="998"/>
      <c r="C1105" s="998"/>
      <c r="D1105" s="998"/>
      <c r="E1105" s="998"/>
      <c r="F1105" s="28">
        <f>F1104+K1104+P1104</f>
        <v>51350.85</v>
      </c>
      <c r="G1105" s="356"/>
      <c r="H1105" s="356"/>
      <c r="I1105" s="356"/>
      <c r="J1105" s="356"/>
      <c r="K1105" s="356"/>
      <c r="L1105" s="28"/>
      <c r="M1105" s="356"/>
      <c r="N1105" s="356"/>
      <c r="O1105" s="356"/>
      <c r="P1105" s="29"/>
    </row>
    <row r="1106" spans="1:16" ht="16.5" hidden="1" thickBot="1" x14ac:dyDescent="0.25">
      <c r="A1106" s="308"/>
      <c r="B1106" s="999" t="s">
        <v>110</v>
      </c>
      <c r="C1106" s="999"/>
      <c r="D1106" s="999"/>
      <c r="E1106" s="999"/>
      <c r="F1106" s="17">
        <f>15%*F1105</f>
        <v>7702.63</v>
      </c>
      <c r="G1106" s="83"/>
      <c r="H1106" s="83"/>
      <c r="I1106" s="83"/>
      <c r="J1106" s="83"/>
      <c r="K1106" s="83"/>
      <c r="L1106" s="17"/>
      <c r="M1106" s="276"/>
      <c r="N1106" s="1000" t="s">
        <v>53</v>
      </c>
      <c r="O1106" s="1000"/>
      <c r="P1106" s="18">
        <f>(F1106+F1105)/P1097</f>
        <v>11810.7</v>
      </c>
    </row>
    <row r="1107" spans="1:16" ht="16.5" hidden="1" thickBot="1" x14ac:dyDescent="0.25">
      <c r="A1107" s="281"/>
      <c r="B1107" s="281"/>
      <c r="C1107" s="281"/>
      <c r="D1107" s="281"/>
      <c r="E1107" s="281"/>
      <c r="F1107" s="57"/>
      <c r="G1107" s="281"/>
      <c r="H1107" s="281"/>
      <c r="I1107" s="281"/>
      <c r="J1107" s="281"/>
      <c r="K1107" s="281"/>
      <c r="L1107" s="57"/>
      <c r="M1107" s="299"/>
      <c r="N1107" s="299"/>
      <c r="O1107" s="299"/>
      <c r="P1107" s="43"/>
    </row>
    <row r="1108" spans="1:16" ht="15.75" x14ac:dyDescent="0.2">
      <c r="A1108" s="986" t="s">
        <v>29</v>
      </c>
      <c r="B1108" s="987"/>
      <c r="C1108" s="988" t="s">
        <v>720</v>
      </c>
      <c r="D1108" s="989"/>
      <c r="E1108" s="989"/>
      <c r="F1108" s="989"/>
      <c r="G1108" s="989"/>
      <c r="H1108" s="989"/>
      <c r="I1108" s="989"/>
      <c r="J1108" s="989"/>
      <c r="K1108" s="989"/>
      <c r="L1108" s="989"/>
      <c r="M1108" s="989"/>
      <c r="N1108" s="989"/>
      <c r="O1108" s="989"/>
      <c r="P1108" s="274" t="s">
        <v>433</v>
      </c>
    </row>
    <row r="1109" spans="1:16" ht="31.15" customHeight="1" x14ac:dyDescent="0.2">
      <c r="A1109" s="1011" t="s">
        <v>715</v>
      </c>
      <c r="B1109" s="1012"/>
      <c r="C1109" s="990"/>
      <c r="D1109" s="990"/>
      <c r="E1109" s="990"/>
      <c r="F1109" s="990"/>
      <c r="G1109" s="990"/>
      <c r="H1109" s="990"/>
      <c r="I1109" s="990"/>
      <c r="J1109" s="990"/>
      <c r="K1109" s="990"/>
      <c r="L1109" s="990"/>
      <c r="M1109" s="990"/>
      <c r="N1109" s="990"/>
      <c r="O1109" s="990"/>
      <c r="P1109" s="275">
        <v>5</v>
      </c>
    </row>
    <row r="1110" spans="1:16" ht="15.75" x14ac:dyDescent="0.2">
      <c r="A1110" s="993" t="s">
        <v>30</v>
      </c>
      <c r="B1110" s="995" t="s">
        <v>31</v>
      </c>
      <c r="C1110" s="995"/>
      <c r="D1110" s="995"/>
      <c r="E1110" s="995"/>
      <c r="F1110" s="995"/>
      <c r="G1110" s="995" t="s">
        <v>32</v>
      </c>
      <c r="H1110" s="995"/>
      <c r="I1110" s="995"/>
      <c r="J1110" s="995"/>
      <c r="K1110" s="995"/>
      <c r="L1110" s="995" t="s">
        <v>33</v>
      </c>
      <c r="M1110" s="995"/>
      <c r="N1110" s="995"/>
      <c r="O1110" s="995"/>
      <c r="P1110" s="996"/>
    </row>
    <row r="1111" spans="1:16" ht="15.75" x14ac:dyDescent="0.2">
      <c r="A1111" s="994"/>
      <c r="B1111" s="351" t="s">
        <v>8</v>
      </c>
      <c r="C1111" s="351" t="s">
        <v>7</v>
      </c>
      <c r="D1111" s="351" t="s">
        <v>9</v>
      </c>
      <c r="E1111" s="351" t="s">
        <v>19</v>
      </c>
      <c r="F1111" s="351" t="s">
        <v>20</v>
      </c>
      <c r="G1111" s="351" t="s">
        <v>8</v>
      </c>
      <c r="H1111" s="351" t="s">
        <v>7</v>
      </c>
      <c r="I1111" s="351" t="s">
        <v>9</v>
      </c>
      <c r="J1111" s="351" t="s">
        <v>19</v>
      </c>
      <c r="K1111" s="351" t="s">
        <v>20</v>
      </c>
      <c r="L1111" s="351" t="s">
        <v>8</v>
      </c>
      <c r="M1111" s="351" t="s">
        <v>7</v>
      </c>
      <c r="N1111" s="351" t="s">
        <v>9</v>
      </c>
      <c r="O1111" s="351" t="s">
        <v>19</v>
      </c>
      <c r="P1111" s="352" t="s">
        <v>20</v>
      </c>
    </row>
    <row r="1112" spans="1:16" ht="15.75" x14ac:dyDescent="0.2">
      <c r="A1112" s="77" t="s">
        <v>719</v>
      </c>
      <c r="B1112" s="32" t="s">
        <v>16</v>
      </c>
      <c r="C1112" s="78" t="s">
        <v>11</v>
      </c>
      <c r="D1112" s="27">
        <v>7</v>
      </c>
      <c r="E1112" s="78">
        <f>skilled</f>
        <v>1100</v>
      </c>
      <c r="F1112" s="27">
        <f>D1112*E1112</f>
        <v>7700</v>
      </c>
      <c r="G1112" s="354" t="s">
        <v>60</v>
      </c>
      <c r="H1112" s="74" t="s">
        <v>250</v>
      </c>
      <c r="I1112" s="74">
        <v>5.75</v>
      </c>
      <c r="J1112" s="74">
        <f>stone</f>
        <v>1516.22</v>
      </c>
      <c r="K1112" s="27">
        <f>I1112*J1112</f>
        <v>8718.27</v>
      </c>
      <c r="L1112" s="354" t="s">
        <v>718</v>
      </c>
      <c r="M1112" s="1013" t="s">
        <v>708</v>
      </c>
      <c r="N1112" s="1014"/>
      <c r="O1112" s="1015"/>
      <c r="P1112" s="85">
        <f>5%*F1116</f>
        <v>1165</v>
      </c>
    </row>
    <row r="1113" spans="1:16" ht="15.75" x14ac:dyDescent="0.2">
      <c r="A1113" s="77"/>
      <c r="B1113" s="75" t="s">
        <v>28</v>
      </c>
      <c r="C1113" s="78" t="s">
        <v>11</v>
      </c>
      <c r="D1113" s="27">
        <v>20</v>
      </c>
      <c r="E1113" s="27">
        <f>unskilled</f>
        <v>780</v>
      </c>
      <c r="F1113" s="27">
        <f>D1113*E1113</f>
        <v>15600</v>
      </c>
      <c r="G1113" s="354" t="s">
        <v>24</v>
      </c>
      <c r="H1113" s="74" t="s">
        <v>132</v>
      </c>
      <c r="I1113" s="74">
        <v>0.66</v>
      </c>
      <c r="J1113" s="74">
        <f>cement</f>
        <v>15631</v>
      </c>
      <c r="K1113" s="27">
        <f>I1113*J1113</f>
        <v>10316.459999999999</v>
      </c>
      <c r="L1113" s="354"/>
      <c r="M1113" s="1013"/>
      <c r="N1113" s="1014"/>
      <c r="O1113" s="1015"/>
      <c r="P1113" s="85"/>
    </row>
    <row r="1114" spans="1:16" ht="15.75" x14ac:dyDescent="0.2">
      <c r="A1114" s="77"/>
      <c r="B1114" s="75"/>
      <c r="C1114" s="78"/>
      <c r="D1114" s="27"/>
      <c r="E1114" s="27"/>
      <c r="F1114" s="27"/>
      <c r="G1114" s="354" t="s">
        <v>22</v>
      </c>
      <c r="H1114" s="74" t="s">
        <v>250</v>
      </c>
      <c r="I1114" s="74">
        <v>1.85</v>
      </c>
      <c r="J1114" s="74">
        <f>sand</f>
        <v>2001.47</v>
      </c>
      <c r="K1114" s="27">
        <f>I1114*J1114</f>
        <v>3702.72</v>
      </c>
      <c r="L1114" s="354"/>
      <c r="M1114" s="74"/>
      <c r="N1114" s="27"/>
      <c r="O1114" s="27"/>
      <c r="P1114" s="85"/>
    </row>
    <row r="1115" spans="1:16" ht="15.75" x14ac:dyDescent="0.2">
      <c r="A1115" s="77"/>
      <c r="B1115" s="75"/>
      <c r="C1115" s="78"/>
      <c r="D1115" s="27"/>
      <c r="E1115" s="27"/>
      <c r="F1115" s="27"/>
      <c r="G1115" s="354" t="s">
        <v>26</v>
      </c>
      <c r="H1115" s="74" t="s">
        <v>474</v>
      </c>
      <c r="I1115" s="74">
        <v>1</v>
      </c>
      <c r="J1115" s="74">
        <f>water*1000</f>
        <v>410</v>
      </c>
      <c r="K1115" s="27">
        <f>I1115*J1115</f>
        <v>410</v>
      </c>
      <c r="L1115" s="354"/>
      <c r="M1115" s="74"/>
      <c r="N1115" s="27"/>
      <c r="O1115" s="27"/>
      <c r="P1115" s="85"/>
    </row>
    <row r="1116" spans="1:16" ht="15.75" x14ac:dyDescent="0.2">
      <c r="A1116" s="997" t="s">
        <v>95</v>
      </c>
      <c r="B1116" s="998"/>
      <c r="C1116" s="998"/>
      <c r="D1116" s="998"/>
      <c r="E1116" s="998"/>
      <c r="F1116" s="78">
        <f>SUM(F1112:F1113)</f>
        <v>23300</v>
      </c>
      <c r="G1116" s="998" t="s">
        <v>99</v>
      </c>
      <c r="H1116" s="998"/>
      <c r="I1116" s="998"/>
      <c r="J1116" s="998"/>
      <c r="K1116" s="78">
        <f>SUM(K1112:K1115)</f>
        <v>23147.45</v>
      </c>
      <c r="L1116" s="998" t="s">
        <v>36</v>
      </c>
      <c r="M1116" s="998"/>
      <c r="N1116" s="998"/>
      <c r="O1116" s="998"/>
      <c r="P1116" s="41">
        <f>SUM(P1112:P1113)</f>
        <v>1165</v>
      </c>
    </row>
    <row r="1117" spans="1:16" ht="15.75" x14ac:dyDescent="0.2">
      <c r="A1117" s="997" t="s">
        <v>487</v>
      </c>
      <c r="B1117" s="998"/>
      <c r="C1117" s="998"/>
      <c r="D1117" s="998"/>
      <c r="E1117" s="998"/>
      <c r="F1117" s="28">
        <f>F1116+K1116+P1116</f>
        <v>47612.45</v>
      </c>
      <c r="G1117" s="356"/>
      <c r="H1117" s="356"/>
      <c r="I1117" s="356"/>
      <c r="J1117" s="356"/>
      <c r="K1117" s="356"/>
      <c r="L1117" s="28"/>
      <c r="M1117" s="356"/>
      <c r="N1117" s="356"/>
      <c r="O1117" s="356"/>
      <c r="P1117" s="29"/>
    </row>
    <row r="1118" spans="1:16" ht="16.5" thickBot="1" x14ac:dyDescent="0.25">
      <c r="A1118" s="308"/>
      <c r="B1118" s="999" t="s">
        <v>110</v>
      </c>
      <c r="C1118" s="999"/>
      <c r="D1118" s="999"/>
      <c r="E1118" s="999"/>
      <c r="F1118" s="17">
        <f>15%*F1117</f>
        <v>7141.87</v>
      </c>
      <c r="G1118" s="83"/>
      <c r="H1118" s="83"/>
      <c r="I1118" s="83"/>
      <c r="J1118" s="83"/>
      <c r="K1118" s="83"/>
      <c r="L1118" s="17"/>
      <c r="M1118" s="276"/>
      <c r="N1118" s="1000" t="s">
        <v>53</v>
      </c>
      <c r="O1118" s="1000"/>
      <c r="P1118" s="18">
        <f>(F1118+F1117)/P1109</f>
        <v>10950.86</v>
      </c>
    </row>
    <row r="1119" spans="1:16" ht="15.75" x14ac:dyDescent="0.2">
      <c r="A1119" s="281"/>
      <c r="B1119" s="281"/>
      <c r="C1119" s="281"/>
      <c r="D1119" s="281"/>
      <c r="E1119" s="281"/>
      <c r="F1119" s="57"/>
      <c r="G1119" s="281"/>
      <c r="H1119" s="281"/>
      <c r="I1119" s="281"/>
      <c r="J1119" s="281"/>
      <c r="K1119" s="281"/>
      <c r="L1119" s="57"/>
      <c r="M1119" s="299"/>
      <c r="N1119" s="299"/>
      <c r="O1119" s="299"/>
      <c r="P1119" s="43"/>
    </row>
    <row r="1120" spans="1:16" ht="15.75" hidden="1" x14ac:dyDescent="0.2">
      <c r="A1120" s="986" t="s">
        <v>29</v>
      </c>
      <c r="B1120" s="987"/>
      <c r="C1120" s="988" t="s">
        <v>721</v>
      </c>
      <c r="D1120" s="989"/>
      <c r="E1120" s="989"/>
      <c r="F1120" s="989"/>
      <c r="G1120" s="989"/>
      <c r="H1120" s="989"/>
      <c r="I1120" s="989"/>
      <c r="J1120" s="989"/>
      <c r="K1120" s="989"/>
      <c r="L1120" s="989"/>
      <c r="M1120" s="989"/>
      <c r="N1120" s="989"/>
      <c r="O1120" s="989"/>
      <c r="P1120" s="274" t="s">
        <v>433</v>
      </c>
    </row>
    <row r="1121" spans="1:16" ht="31.15" hidden="1" customHeight="1" x14ac:dyDescent="0.2">
      <c r="A1121" s="1011" t="s">
        <v>715</v>
      </c>
      <c r="B1121" s="1012"/>
      <c r="C1121" s="990"/>
      <c r="D1121" s="990"/>
      <c r="E1121" s="990"/>
      <c r="F1121" s="990"/>
      <c r="G1121" s="990"/>
      <c r="H1121" s="990"/>
      <c r="I1121" s="990"/>
      <c r="J1121" s="990"/>
      <c r="K1121" s="990"/>
      <c r="L1121" s="990"/>
      <c r="M1121" s="990"/>
      <c r="N1121" s="990"/>
      <c r="O1121" s="990"/>
      <c r="P1121" s="275">
        <v>5</v>
      </c>
    </row>
    <row r="1122" spans="1:16" ht="15.75" hidden="1" x14ac:dyDescent="0.2">
      <c r="A1122" s="993" t="s">
        <v>30</v>
      </c>
      <c r="B1122" s="995" t="s">
        <v>31</v>
      </c>
      <c r="C1122" s="995"/>
      <c r="D1122" s="995"/>
      <c r="E1122" s="995"/>
      <c r="F1122" s="995"/>
      <c r="G1122" s="995" t="s">
        <v>32</v>
      </c>
      <c r="H1122" s="995"/>
      <c r="I1122" s="995"/>
      <c r="J1122" s="995"/>
      <c r="K1122" s="995"/>
      <c r="L1122" s="995" t="s">
        <v>33</v>
      </c>
      <c r="M1122" s="995"/>
      <c r="N1122" s="995"/>
      <c r="O1122" s="995"/>
      <c r="P1122" s="996"/>
    </row>
    <row r="1123" spans="1:16" ht="15.75" hidden="1" x14ac:dyDescent="0.2">
      <c r="A1123" s="994"/>
      <c r="B1123" s="351" t="s">
        <v>8</v>
      </c>
      <c r="C1123" s="351" t="s">
        <v>7</v>
      </c>
      <c r="D1123" s="351" t="s">
        <v>9</v>
      </c>
      <c r="E1123" s="351" t="s">
        <v>19</v>
      </c>
      <c r="F1123" s="351" t="s">
        <v>20</v>
      </c>
      <c r="G1123" s="351" t="s">
        <v>8</v>
      </c>
      <c r="H1123" s="351" t="s">
        <v>7</v>
      </c>
      <c r="I1123" s="351" t="s">
        <v>9</v>
      </c>
      <c r="J1123" s="351" t="s">
        <v>19</v>
      </c>
      <c r="K1123" s="351" t="s">
        <v>20</v>
      </c>
      <c r="L1123" s="351" t="s">
        <v>8</v>
      </c>
      <c r="M1123" s="351" t="s">
        <v>7</v>
      </c>
      <c r="N1123" s="351" t="s">
        <v>9</v>
      </c>
      <c r="O1123" s="351" t="s">
        <v>19</v>
      </c>
      <c r="P1123" s="352" t="s">
        <v>20</v>
      </c>
    </row>
    <row r="1124" spans="1:16" ht="15.75" hidden="1" x14ac:dyDescent="0.2">
      <c r="A1124" s="77" t="s">
        <v>755</v>
      </c>
      <c r="B1124" s="32" t="s">
        <v>16</v>
      </c>
      <c r="C1124" s="78" t="s">
        <v>11</v>
      </c>
      <c r="D1124" s="27">
        <v>7</v>
      </c>
      <c r="E1124" s="78">
        <f>skilled</f>
        <v>1100</v>
      </c>
      <c r="F1124" s="27">
        <f>D1124*E1124</f>
        <v>7700</v>
      </c>
      <c r="G1124" s="354" t="s">
        <v>60</v>
      </c>
      <c r="H1124" s="74" t="s">
        <v>250</v>
      </c>
      <c r="I1124" s="74">
        <v>5.75</v>
      </c>
      <c r="J1124" s="74">
        <f>stone</f>
        <v>1516.22</v>
      </c>
      <c r="K1124" s="27">
        <f>I1124*J1124</f>
        <v>8718.27</v>
      </c>
      <c r="L1124" s="354" t="s">
        <v>718</v>
      </c>
      <c r="M1124" s="1013" t="s">
        <v>708</v>
      </c>
      <c r="N1124" s="1014"/>
      <c r="O1124" s="1015"/>
      <c r="P1124" s="85">
        <f>5%*F1128</f>
        <v>1165</v>
      </c>
    </row>
    <row r="1125" spans="1:16" ht="15.75" hidden="1" x14ac:dyDescent="0.2">
      <c r="A1125" s="77"/>
      <c r="B1125" s="75" t="s">
        <v>28</v>
      </c>
      <c r="C1125" s="78" t="s">
        <v>11</v>
      </c>
      <c r="D1125" s="27">
        <v>20</v>
      </c>
      <c r="E1125" s="27">
        <f>unskilled</f>
        <v>780</v>
      </c>
      <c r="F1125" s="27">
        <f>D1125*E1125</f>
        <v>15600</v>
      </c>
      <c r="G1125" s="354" t="s">
        <v>24</v>
      </c>
      <c r="H1125" s="74" t="s">
        <v>132</v>
      </c>
      <c r="I1125" s="74">
        <v>0.48</v>
      </c>
      <c r="J1125" s="74">
        <f>cement</f>
        <v>15631</v>
      </c>
      <c r="K1125" s="27">
        <f>I1125*J1125</f>
        <v>7502.88</v>
      </c>
      <c r="L1125" s="354"/>
      <c r="M1125" s="1013"/>
      <c r="N1125" s="1014"/>
      <c r="O1125" s="1015"/>
      <c r="P1125" s="85"/>
    </row>
    <row r="1126" spans="1:16" ht="15.75" hidden="1" x14ac:dyDescent="0.2">
      <c r="A1126" s="77"/>
      <c r="B1126" s="75"/>
      <c r="C1126" s="78"/>
      <c r="D1126" s="27"/>
      <c r="E1126" s="27"/>
      <c r="F1126" s="27"/>
      <c r="G1126" s="354" t="s">
        <v>22</v>
      </c>
      <c r="H1126" s="74" t="s">
        <v>250</v>
      </c>
      <c r="I1126" s="74">
        <v>1.98</v>
      </c>
      <c r="J1126" s="74">
        <f>sand</f>
        <v>2001.47</v>
      </c>
      <c r="K1126" s="27">
        <f>I1126*J1126</f>
        <v>3962.91</v>
      </c>
      <c r="L1126" s="354"/>
      <c r="M1126" s="74"/>
      <c r="N1126" s="27"/>
      <c r="O1126" s="27"/>
      <c r="P1126" s="85"/>
    </row>
    <row r="1127" spans="1:16" ht="15.75" hidden="1" x14ac:dyDescent="0.2">
      <c r="A1127" s="77"/>
      <c r="B1127" s="75"/>
      <c r="C1127" s="78"/>
      <c r="D1127" s="27"/>
      <c r="E1127" s="27"/>
      <c r="F1127" s="27"/>
      <c r="G1127" s="354" t="s">
        <v>26</v>
      </c>
      <c r="H1127" s="74" t="s">
        <v>474</v>
      </c>
      <c r="I1127" s="74">
        <v>1</v>
      </c>
      <c r="J1127" s="74">
        <f>water*1000</f>
        <v>410</v>
      </c>
      <c r="K1127" s="27">
        <f>I1127*J1127</f>
        <v>410</v>
      </c>
      <c r="L1127" s="354"/>
      <c r="M1127" s="74"/>
      <c r="N1127" s="27"/>
      <c r="O1127" s="27"/>
      <c r="P1127" s="85"/>
    </row>
    <row r="1128" spans="1:16" ht="15.75" hidden="1" x14ac:dyDescent="0.2">
      <c r="A1128" s="997" t="s">
        <v>95</v>
      </c>
      <c r="B1128" s="998"/>
      <c r="C1128" s="998"/>
      <c r="D1128" s="998"/>
      <c r="E1128" s="998"/>
      <c r="F1128" s="78">
        <f>SUM(F1124:F1125)</f>
        <v>23300</v>
      </c>
      <c r="G1128" s="998" t="s">
        <v>99</v>
      </c>
      <c r="H1128" s="998"/>
      <c r="I1128" s="998"/>
      <c r="J1128" s="998"/>
      <c r="K1128" s="78">
        <f>SUM(K1124:K1127)</f>
        <v>20594.060000000001</v>
      </c>
      <c r="L1128" s="998" t="s">
        <v>36</v>
      </c>
      <c r="M1128" s="998"/>
      <c r="N1128" s="998"/>
      <c r="O1128" s="998"/>
      <c r="P1128" s="41">
        <f>SUM(P1124:P1125)</f>
        <v>1165</v>
      </c>
    </row>
    <row r="1129" spans="1:16" ht="15.75" hidden="1" x14ac:dyDescent="0.2">
      <c r="A1129" s="997" t="s">
        <v>487</v>
      </c>
      <c r="B1129" s="998"/>
      <c r="C1129" s="998"/>
      <c r="D1129" s="998"/>
      <c r="E1129" s="998"/>
      <c r="F1129" s="28">
        <f>F1128+K1128+P1128</f>
        <v>45059.06</v>
      </c>
      <c r="G1129" s="356"/>
      <c r="H1129" s="356"/>
      <c r="I1129" s="356"/>
      <c r="J1129" s="356"/>
      <c r="K1129" s="356"/>
      <c r="L1129" s="28"/>
      <c r="M1129" s="356"/>
      <c r="N1129" s="356"/>
      <c r="O1129" s="356"/>
      <c r="P1129" s="29"/>
    </row>
    <row r="1130" spans="1:16" ht="16.5" hidden="1" thickBot="1" x14ac:dyDescent="0.25">
      <c r="A1130" s="308"/>
      <c r="B1130" s="999" t="s">
        <v>110</v>
      </c>
      <c r="C1130" s="999"/>
      <c r="D1130" s="999"/>
      <c r="E1130" s="999"/>
      <c r="F1130" s="17">
        <f>15%*F1129</f>
        <v>6758.86</v>
      </c>
      <c r="G1130" s="83"/>
      <c r="H1130" s="83"/>
      <c r="I1130" s="83"/>
      <c r="J1130" s="83"/>
      <c r="K1130" s="83"/>
      <c r="L1130" s="17"/>
      <c r="M1130" s="276"/>
      <c r="N1130" s="1000" t="s">
        <v>53</v>
      </c>
      <c r="O1130" s="1000"/>
      <c r="P1130" s="18">
        <f>(F1130+F1129)/P1121</f>
        <v>10363.58</v>
      </c>
    </row>
    <row r="1131" spans="1:16" ht="15.75" hidden="1" x14ac:dyDescent="0.2">
      <c r="A1131" s="281"/>
      <c r="B1131" s="281"/>
      <c r="C1131" s="281"/>
      <c r="D1131" s="281"/>
      <c r="E1131" s="281"/>
      <c r="F1131" s="57"/>
      <c r="G1131" s="281"/>
      <c r="H1131" s="281"/>
      <c r="I1131" s="281"/>
      <c r="J1131" s="281"/>
      <c r="K1131" s="281"/>
      <c r="L1131" s="57"/>
      <c r="M1131" s="299"/>
      <c r="N1131" s="299"/>
      <c r="O1131" s="299"/>
      <c r="P1131" s="43"/>
    </row>
    <row r="1132" spans="1:16" ht="15.75" hidden="1" x14ac:dyDescent="0.2">
      <c r="A1132" s="1009" t="s">
        <v>722</v>
      </c>
      <c r="B1132" s="1009"/>
      <c r="C1132" s="1009"/>
      <c r="D1132" s="1009"/>
      <c r="E1132" s="1009"/>
      <c r="F1132" s="1009"/>
      <c r="G1132" s="1009"/>
      <c r="H1132" s="1009"/>
      <c r="I1132" s="1009"/>
      <c r="J1132" s="1009"/>
      <c r="K1132" s="1009"/>
      <c r="L1132" s="1009"/>
      <c r="M1132" s="1009"/>
      <c r="N1132" s="1009"/>
      <c r="O1132" s="1009"/>
      <c r="P1132" s="1009"/>
    </row>
    <row r="1133" spans="1:16" ht="15.75" hidden="1" x14ac:dyDescent="0.2">
      <c r="A1133" s="1009" t="s">
        <v>723</v>
      </c>
      <c r="B1133" s="1009"/>
      <c r="C1133" s="1009"/>
      <c r="D1133" s="1009"/>
      <c r="E1133" s="1009"/>
      <c r="F1133" s="1009"/>
      <c r="G1133" s="1009"/>
      <c r="H1133" s="1009"/>
      <c r="I1133" s="1009"/>
      <c r="J1133" s="1009"/>
      <c r="K1133" s="1009"/>
      <c r="L1133" s="1009"/>
      <c r="M1133" s="1009"/>
      <c r="N1133" s="1009"/>
      <c r="O1133" s="1009"/>
      <c r="P1133" s="1009"/>
    </row>
    <row r="1134" spans="1:16" ht="15.75" hidden="1" x14ac:dyDescent="0.2">
      <c r="A1134" s="47"/>
      <c r="B1134" s="47"/>
      <c r="C1134" s="47"/>
      <c r="D1134" s="47"/>
      <c r="E1134" s="47"/>
      <c r="F1134" s="47"/>
      <c r="G1134" s="47"/>
      <c r="H1134" s="47"/>
      <c r="I1134" s="47"/>
      <c r="J1134" s="47"/>
      <c r="K1134" s="47"/>
      <c r="L1134" s="47"/>
      <c r="M1134" s="47"/>
      <c r="N1134" s="47"/>
      <c r="O1134" s="47"/>
      <c r="P1134" s="47"/>
    </row>
    <row r="1135" spans="1:16" ht="15.75" hidden="1" x14ac:dyDescent="0.2">
      <c r="A1135" s="1009" t="s">
        <v>724</v>
      </c>
      <c r="B1135" s="1009"/>
      <c r="C1135" s="1009"/>
      <c r="D1135" s="1009"/>
      <c r="E1135" s="1009"/>
      <c r="F1135" s="1009"/>
      <c r="G1135" s="1009"/>
      <c r="H1135" s="1009"/>
      <c r="I1135" s="1009"/>
      <c r="J1135" s="1009"/>
      <c r="K1135" s="1009"/>
      <c r="L1135" s="1009"/>
      <c r="M1135" s="1009"/>
      <c r="N1135" s="1009"/>
      <c r="O1135" s="1009"/>
      <c r="P1135" s="1009"/>
    </row>
    <row r="1136" spans="1:16" ht="15.75" hidden="1" x14ac:dyDescent="0.2">
      <c r="A1136" s="1009" t="s">
        <v>725</v>
      </c>
      <c r="B1136" s="1009"/>
      <c r="C1136" s="1009"/>
      <c r="D1136" s="1009"/>
      <c r="E1136" s="1009"/>
      <c r="F1136" s="1009"/>
      <c r="G1136" s="1009"/>
      <c r="H1136" s="1009"/>
      <c r="I1136" s="1009"/>
      <c r="J1136" s="1009"/>
      <c r="K1136" s="1009"/>
      <c r="L1136" s="1009"/>
      <c r="M1136" s="1009"/>
      <c r="N1136" s="1009"/>
      <c r="O1136" s="1009"/>
      <c r="P1136" s="1009"/>
    </row>
    <row r="1137" spans="1:16" ht="15.75" hidden="1" x14ac:dyDescent="0.2">
      <c r="A1137" s="47"/>
      <c r="B1137" s="47"/>
      <c r="C1137" s="47"/>
      <c r="D1137" s="47"/>
      <c r="E1137" s="47"/>
      <c r="F1137" s="47"/>
      <c r="G1137" s="47"/>
      <c r="H1137" s="47"/>
      <c r="I1137" s="47"/>
      <c r="J1137" s="47"/>
      <c r="K1137" s="47"/>
      <c r="L1137" s="47"/>
      <c r="M1137" s="47"/>
      <c r="N1137" s="47"/>
      <c r="O1137" s="47"/>
      <c r="P1137" s="47"/>
    </row>
    <row r="1138" spans="1:16" ht="15.75" hidden="1" x14ac:dyDescent="0.2">
      <c r="A1138" s="1009" t="s">
        <v>726</v>
      </c>
      <c r="B1138" s="1009"/>
      <c r="C1138" s="1009"/>
      <c r="D1138" s="1009"/>
      <c r="E1138" s="1009"/>
      <c r="F1138" s="1009"/>
      <c r="G1138" s="1009"/>
      <c r="H1138" s="1009"/>
      <c r="I1138" s="1009"/>
      <c r="J1138" s="1009"/>
      <c r="K1138" s="1009"/>
      <c r="L1138" s="1009"/>
      <c r="M1138" s="1009"/>
      <c r="N1138" s="1009"/>
      <c r="O1138" s="1009"/>
      <c r="P1138" s="1009"/>
    </row>
    <row r="1139" spans="1:16" ht="15.75" hidden="1" x14ac:dyDescent="0.2">
      <c r="A1139" s="1009" t="s">
        <v>727</v>
      </c>
      <c r="B1139" s="1009"/>
      <c r="C1139" s="1009"/>
      <c r="D1139" s="1009"/>
      <c r="E1139" s="1009"/>
      <c r="F1139" s="1009"/>
      <c r="G1139" s="1009"/>
      <c r="H1139" s="1009"/>
      <c r="I1139" s="1009"/>
      <c r="J1139" s="1009"/>
      <c r="K1139" s="1009"/>
      <c r="L1139" s="1009"/>
      <c r="M1139" s="1009"/>
      <c r="N1139" s="1009"/>
      <c r="O1139" s="1009"/>
      <c r="P1139" s="1009"/>
    </row>
    <row r="1140" spans="1:16" ht="15.75" hidden="1" x14ac:dyDescent="0.2">
      <c r="A1140" s="47"/>
      <c r="B1140" s="47"/>
      <c r="C1140" s="47"/>
      <c r="D1140" s="47"/>
      <c r="E1140" s="47"/>
      <c r="F1140" s="47"/>
      <c r="G1140" s="47"/>
      <c r="H1140" s="47"/>
      <c r="I1140" s="47"/>
      <c r="J1140" s="47"/>
      <c r="K1140" s="47"/>
      <c r="L1140" s="47"/>
      <c r="M1140" s="47"/>
      <c r="N1140" s="47"/>
      <c r="O1140" s="47"/>
      <c r="P1140" s="47"/>
    </row>
    <row r="1141" spans="1:16" ht="15.75" hidden="1" x14ac:dyDescent="0.2">
      <c r="A1141" s="1009" t="s">
        <v>728</v>
      </c>
      <c r="B1141" s="1009"/>
      <c r="C1141" s="1009"/>
      <c r="D1141" s="1009"/>
      <c r="E1141" s="1009"/>
      <c r="F1141" s="1009"/>
      <c r="G1141" s="1009"/>
      <c r="H1141" s="1009"/>
      <c r="I1141" s="1009"/>
      <c r="J1141" s="1009"/>
      <c r="K1141" s="1009"/>
      <c r="L1141" s="1009"/>
      <c r="M1141" s="1009"/>
      <c r="N1141" s="1009"/>
      <c r="O1141" s="1009"/>
      <c r="P1141" s="1009"/>
    </row>
    <row r="1142" spans="1:16" ht="15.75" hidden="1" x14ac:dyDescent="0.2">
      <c r="A1142" s="1009" t="s">
        <v>729</v>
      </c>
      <c r="B1142" s="1009"/>
      <c r="C1142" s="1009"/>
      <c r="D1142" s="1009"/>
      <c r="E1142" s="1009"/>
      <c r="F1142" s="1009"/>
      <c r="G1142" s="1009"/>
      <c r="H1142" s="1009"/>
      <c r="I1142" s="1009"/>
      <c r="J1142" s="1009"/>
      <c r="K1142" s="1009"/>
      <c r="L1142" s="1009"/>
      <c r="M1142" s="1009"/>
      <c r="N1142" s="1009"/>
      <c r="O1142" s="1009"/>
      <c r="P1142" s="1009"/>
    </row>
    <row r="1143" spans="1:16" ht="15.75" hidden="1" x14ac:dyDescent="0.2">
      <c r="A1143" s="47"/>
      <c r="B1143" s="47"/>
      <c r="C1143" s="47"/>
      <c r="D1143" s="47"/>
      <c r="E1143" s="47"/>
      <c r="F1143" s="47"/>
      <c r="G1143" s="47"/>
      <c r="H1143" s="47"/>
      <c r="I1143" s="47"/>
      <c r="J1143" s="47"/>
      <c r="K1143" s="47"/>
      <c r="L1143" s="47"/>
      <c r="M1143" s="47"/>
      <c r="N1143" s="47"/>
      <c r="O1143" s="47"/>
      <c r="P1143" s="47"/>
    </row>
    <row r="1144" spans="1:16" ht="15.75" x14ac:dyDescent="0.2">
      <c r="A1144" s="1009" t="s">
        <v>730</v>
      </c>
      <c r="B1144" s="1009"/>
      <c r="C1144" s="1009"/>
      <c r="D1144" s="1009"/>
      <c r="E1144" s="1009"/>
      <c r="F1144" s="1009"/>
      <c r="G1144" s="1009"/>
      <c r="H1144" s="1009"/>
      <c r="I1144" s="1009"/>
      <c r="J1144" s="1009"/>
      <c r="K1144" s="1009"/>
      <c r="L1144" s="1009"/>
      <c r="M1144" s="1009"/>
      <c r="N1144" s="1009"/>
      <c r="O1144" s="1009"/>
      <c r="P1144" s="1009"/>
    </row>
    <row r="1145" spans="1:16" ht="16.5" thickBot="1" x14ac:dyDescent="0.25">
      <c r="A1145" s="1009" t="s">
        <v>731</v>
      </c>
      <c r="B1145" s="1009"/>
      <c r="C1145" s="1009"/>
      <c r="D1145" s="1009"/>
      <c r="E1145" s="1009"/>
      <c r="F1145" s="1009"/>
      <c r="G1145" s="1009"/>
      <c r="H1145" s="1009"/>
      <c r="I1145" s="1009"/>
      <c r="J1145" s="1009"/>
      <c r="K1145" s="1009"/>
      <c r="L1145" s="1009"/>
      <c r="M1145" s="1009"/>
      <c r="N1145" s="1009"/>
      <c r="O1145" s="1009"/>
      <c r="P1145" s="1009"/>
    </row>
    <row r="1146" spans="1:16" ht="15.75" x14ac:dyDescent="0.2">
      <c r="A1146" s="986" t="s">
        <v>29</v>
      </c>
      <c r="B1146" s="987"/>
      <c r="C1146" s="988" t="s">
        <v>756</v>
      </c>
      <c r="D1146" s="988"/>
      <c r="E1146" s="988"/>
      <c r="F1146" s="988"/>
      <c r="G1146" s="988"/>
      <c r="H1146" s="988"/>
      <c r="I1146" s="988"/>
      <c r="J1146" s="988"/>
      <c r="K1146" s="988"/>
      <c r="L1146" s="988"/>
      <c r="M1146" s="988"/>
      <c r="N1146" s="988"/>
      <c r="O1146" s="988"/>
      <c r="P1146" s="274" t="s">
        <v>510</v>
      </c>
    </row>
    <row r="1147" spans="1:16" ht="15.75" x14ac:dyDescent="0.2">
      <c r="A1147" s="1011" t="s">
        <v>641</v>
      </c>
      <c r="B1147" s="1012"/>
      <c r="C1147" s="1024"/>
      <c r="D1147" s="1024"/>
      <c r="E1147" s="1024"/>
      <c r="F1147" s="1024"/>
      <c r="G1147" s="1024"/>
      <c r="H1147" s="1024"/>
      <c r="I1147" s="1024"/>
      <c r="J1147" s="1024"/>
      <c r="K1147" s="1024"/>
      <c r="L1147" s="1024"/>
      <c r="M1147" s="1024"/>
      <c r="N1147" s="1024"/>
      <c r="O1147" s="1024"/>
      <c r="P1147" s="275">
        <v>10</v>
      </c>
    </row>
    <row r="1148" spans="1:16" ht="15.75" x14ac:dyDescent="0.2">
      <c r="A1148" s="1001" t="s">
        <v>30</v>
      </c>
      <c r="B1148" s="1003" t="s">
        <v>31</v>
      </c>
      <c r="C1148" s="1003"/>
      <c r="D1148" s="1003"/>
      <c r="E1148" s="1003"/>
      <c r="F1148" s="1003"/>
      <c r="G1148" s="1003" t="s">
        <v>32</v>
      </c>
      <c r="H1148" s="1003"/>
      <c r="I1148" s="1003"/>
      <c r="J1148" s="1003"/>
      <c r="K1148" s="1003"/>
      <c r="L1148" s="1003" t="s">
        <v>33</v>
      </c>
      <c r="M1148" s="1003"/>
      <c r="N1148" s="1003"/>
      <c r="O1148" s="1003"/>
      <c r="P1148" s="1004"/>
    </row>
    <row r="1149" spans="1:16" ht="15.75" x14ac:dyDescent="0.2">
      <c r="A1149" s="1002"/>
      <c r="B1149" s="79" t="s">
        <v>8</v>
      </c>
      <c r="C1149" s="79" t="s">
        <v>7</v>
      </c>
      <c r="D1149" s="79" t="s">
        <v>9</v>
      </c>
      <c r="E1149" s="79" t="s">
        <v>19</v>
      </c>
      <c r="F1149" s="79" t="s">
        <v>20</v>
      </c>
      <c r="G1149" s="79" t="s">
        <v>8</v>
      </c>
      <c r="H1149" s="79" t="s">
        <v>7</v>
      </c>
      <c r="I1149" s="79" t="s">
        <v>9</v>
      </c>
      <c r="J1149" s="79" t="s">
        <v>19</v>
      </c>
      <c r="K1149" s="79" t="s">
        <v>20</v>
      </c>
      <c r="L1149" s="79" t="s">
        <v>8</v>
      </c>
      <c r="M1149" s="79" t="s">
        <v>7</v>
      </c>
      <c r="N1149" s="79" t="s">
        <v>9</v>
      </c>
      <c r="O1149" s="79" t="s">
        <v>19</v>
      </c>
      <c r="P1149" s="24" t="s">
        <v>20</v>
      </c>
    </row>
    <row r="1150" spans="1:16" ht="15.6" customHeight="1" x14ac:dyDescent="0.2">
      <c r="A1150" s="72">
        <v>31.3</v>
      </c>
      <c r="B1150" s="73" t="s">
        <v>16</v>
      </c>
      <c r="C1150" s="73" t="s">
        <v>11</v>
      </c>
      <c r="D1150" s="73">
        <v>1</v>
      </c>
      <c r="E1150" s="73">
        <f>[0]!skilled</f>
        <v>1100</v>
      </c>
      <c r="F1150" s="73">
        <f>D1150*E1150</f>
        <v>1100</v>
      </c>
      <c r="G1150" s="70" t="s">
        <v>622</v>
      </c>
      <c r="H1150" s="73" t="s">
        <v>50</v>
      </c>
      <c r="I1150" s="73">
        <v>40</v>
      </c>
      <c r="J1150" s="73">
        <f>mssteel/1000</f>
        <v>101.54</v>
      </c>
      <c r="K1150" s="73">
        <f>I1150*J1150</f>
        <v>4061.6</v>
      </c>
      <c r="L1150" s="1010" t="s">
        <v>644</v>
      </c>
      <c r="M1150" s="1010"/>
      <c r="N1150" s="1010"/>
      <c r="O1150" s="1010"/>
      <c r="P1150" s="33">
        <f>5%*(F1154+K1154)</f>
        <v>6752.19</v>
      </c>
    </row>
    <row r="1151" spans="1:16" ht="15.75" x14ac:dyDescent="0.2">
      <c r="A1151" s="72"/>
      <c r="B1151" s="73" t="s">
        <v>28</v>
      </c>
      <c r="C1151" s="73" t="s">
        <v>11</v>
      </c>
      <c r="D1151" s="73">
        <v>2</v>
      </c>
      <c r="E1151" s="73">
        <f>[0]!unskilled</f>
        <v>780</v>
      </c>
      <c r="F1151" s="73">
        <f>D1151*E1151</f>
        <v>1560</v>
      </c>
      <c r="G1151" s="70" t="s">
        <v>642</v>
      </c>
      <c r="H1151" s="73" t="s">
        <v>63</v>
      </c>
      <c r="I1151" s="73">
        <v>60</v>
      </c>
      <c r="J1151" s="73">
        <f>GIpipe_100mm</f>
        <v>2050.37</v>
      </c>
      <c r="K1151" s="73">
        <f>I1151*J1151</f>
        <v>123022.2</v>
      </c>
      <c r="L1151" s="73"/>
      <c r="M1151" s="73"/>
      <c r="N1151" s="73"/>
      <c r="O1151" s="73"/>
      <c r="P1151" s="61"/>
    </row>
    <row r="1152" spans="1:16" ht="15.75" x14ac:dyDescent="0.2">
      <c r="A1152" s="72"/>
      <c r="B1152" s="73" t="s">
        <v>16</v>
      </c>
      <c r="C1152" s="73" t="s">
        <v>11</v>
      </c>
      <c r="D1152" s="73">
        <v>1</v>
      </c>
      <c r="E1152" s="73">
        <f>[0]!skilled</f>
        <v>1100</v>
      </c>
      <c r="F1152" s="73">
        <f>D1152*E1152</f>
        <v>1100</v>
      </c>
      <c r="G1152" s="70" t="s">
        <v>643</v>
      </c>
      <c r="H1152" s="73" t="s">
        <v>142</v>
      </c>
      <c r="I1152" s="73">
        <v>60</v>
      </c>
      <c r="J1152" s="73">
        <f>gibolt_10mm</f>
        <v>6.6</v>
      </c>
      <c r="K1152" s="73">
        <f>I1152*J1152</f>
        <v>396</v>
      </c>
      <c r="L1152" s="73"/>
      <c r="M1152" s="73"/>
      <c r="N1152" s="73"/>
      <c r="O1152" s="73"/>
      <c r="P1152" s="61"/>
    </row>
    <row r="1153" spans="1:16" ht="31.5" x14ac:dyDescent="0.2">
      <c r="A1153" s="72"/>
      <c r="B1153" s="73" t="s">
        <v>28</v>
      </c>
      <c r="C1153" s="73" t="s">
        <v>11</v>
      </c>
      <c r="D1153" s="73">
        <v>4</v>
      </c>
      <c r="E1153" s="73">
        <f>[0]!unskilled</f>
        <v>780</v>
      </c>
      <c r="F1153" s="73">
        <f>D1153*E1153</f>
        <v>3120</v>
      </c>
      <c r="G1153" s="70" t="s">
        <v>732</v>
      </c>
      <c r="H1153" s="73" t="s">
        <v>142</v>
      </c>
      <c r="I1153" s="73">
        <v>20</v>
      </c>
      <c r="J1153" s="73">
        <f>flatclamp</f>
        <v>34.200000000000003</v>
      </c>
      <c r="K1153" s="73">
        <f>I1153*J1153</f>
        <v>684</v>
      </c>
      <c r="L1153" s="73"/>
      <c r="M1153" s="73"/>
      <c r="N1153" s="73"/>
      <c r="O1153" s="73"/>
      <c r="P1153" s="61"/>
    </row>
    <row r="1154" spans="1:16" ht="15.75" x14ac:dyDescent="0.2">
      <c r="A1154" s="1005" t="s">
        <v>34</v>
      </c>
      <c r="B1154" s="1006"/>
      <c r="C1154" s="1006"/>
      <c r="D1154" s="1006"/>
      <c r="E1154" s="1006"/>
      <c r="F1154" s="73">
        <f>SUM(F1150:F1153)</f>
        <v>6880</v>
      </c>
      <c r="G1154" s="1006" t="s">
        <v>35</v>
      </c>
      <c r="H1154" s="1006"/>
      <c r="I1154" s="1006"/>
      <c r="J1154" s="1006"/>
      <c r="K1154" s="73">
        <f>SUM(K1150:K1153)</f>
        <v>128163.8</v>
      </c>
      <c r="L1154" s="1006" t="s">
        <v>36</v>
      </c>
      <c r="M1154" s="1006"/>
      <c r="N1154" s="1006"/>
      <c r="O1154" s="1006"/>
      <c r="P1154" s="61">
        <f>SUM(P1150:P1153)</f>
        <v>6752.19</v>
      </c>
    </row>
    <row r="1155" spans="1:16" ht="15.75" x14ac:dyDescent="0.2">
      <c r="A1155" s="1005" t="s">
        <v>487</v>
      </c>
      <c r="B1155" s="1006"/>
      <c r="C1155" s="1006"/>
      <c r="D1155" s="1006"/>
      <c r="E1155" s="1006"/>
      <c r="F1155" s="74">
        <f>SUM(F1154+K1154+P1154+K1155)</f>
        <v>141795.99</v>
      </c>
      <c r="G1155" s="90"/>
      <c r="H1155" s="90"/>
      <c r="I1155" s="90"/>
      <c r="J1155" s="90"/>
      <c r="K1155" s="73"/>
      <c r="L1155" s="150"/>
      <c r="M1155" s="150"/>
      <c r="N1155" s="150"/>
      <c r="O1155" s="150"/>
      <c r="P1155" s="61"/>
    </row>
    <row r="1156" spans="1:16" ht="16.5" thickBot="1" x14ac:dyDescent="0.25">
      <c r="A1156" s="82"/>
      <c r="B1156" s="999" t="s">
        <v>111</v>
      </c>
      <c r="C1156" s="999"/>
      <c r="D1156" s="999"/>
      <c r="E1156" s="999"/>
      <c r="F1156" s="17">
        <f>15%*F1155</f>
        <v>21269.4</v>
      </c>
      <c r="G1156" s="83"/>
      <c r="H1156" s="83"/>
      <c r="I1156" s="83"/>
      <c r="J1156" s="83"/>
      <c r="K1156" s="83"/>
      <c r="L1156" s="17"/>
      <c r="M1156" s="276"/>
      <c r="N1156" s="1000" t="s">
        <v>53</v>
      </c>
      <c r="O1156" s="1000"/>
      <c r="P1156" s="18">
        <f>(F1155+F1156)/P1147</f>
        <v>16306.54</v>
      </c>
    </row>
    <row r="1157" spans="1:16" ht="15.75" x14ac:dyDescent="0.2">
      <c r="A1157" s="301"/>
      <c r="B1157" s="301"/>
      <c r="C1157" s="301"/>
      <c r="D1157" s="301"/>
      <c r="E1157" s="301"/>
      <c r="F1157" s="51"/>
      <c r="G1157" s="301"/>
      <c r="H1157" s="301"/>
      <c r="I1157" s="301"/>
      <c r="J1157" s="301"/>
      <c r="K1157" s="301"/>
      <c r="L1157" s="51"/>
      <c r="M1157" s="280"/>
      <c r="N1157" s="303"/>
      <c r="O1157" s="303"/>
      <c r="P1157" s="52"/>
    </row>
    <row r="1158" spans="1:16" ht="16.5" thickBot="1" x14ac:dyDescent="0.25">
      <c r="A1158" s="1025" t="s">
        <v>102</v>
      </c>
      <c r="B1158" s="1025"/>
      <c r="C1158" s="19"/>
      <c r="D1158" s="19"/>
      <c r="E1158" s="19"/>
      <c r="F1158" s="19"/>
      <c r="G1158" s="19"/>
      <c r="H1158" s="19"/>
      <c r="I1158" s="19"/>
      <c r="J1158" s="19"/>
      <c r="K1158" s="19"/>
      <c r="L1158" s="19"/>
      <c r="M1158" s="19"/>
      <c r="N1158" s="19"/>
      <c r="O1158" s="19"/>
      <c r="P1158" s="19"/>
    </row>
    <row r="1159" spans="1:16" ht="15.75" x14ac:dyDescent="0.2">
      <c r="A1159" s="986" t="s">
        <v>29</v>
      </c>
      <c r="B1159" s="987"/>
      <c r="C1159" s="988" t="s">
        <v>1215</v>
      </c>
      <c r="D1159" s="989"/>
      <c r="E1159" s="989"/>
      <c r="F1159" s="989"/>
      <c r="G1159" s="989"/>
      <c r="H1159" s="989"/>
      <c r="I1159" s="989"/>
      <c r="J1159" s="989"/>
      <c r="K1159" s="989"/>
      <c r="L1159" s="989"/>
      <c r="M1159" s="989"/>
      <c r="N1159" s="989"/>
      <c r="O1159" s="989"/>
      <c r="P1159" s="274" t="s">
        <v>434</v>
      </c>
    </row>
    <row r="1160" spans="1:16" ht="15.75" x14ac:dyDescent="0.2">
      <c r="A1160" s="991" t="s">
        <v>74</v>
      </c>
      <c r="B1160" s="992"/>
      <c r="C1160" s="990"/>
      <c r="D1160" s="990"/>
      <c r="E1160" s="990"/>
      <c r="F1160" s="990"/>
      <c r="G1160" s="990"/>
      <c r="H1160" s="990"/>
      <c r="I1160" s="990"/>
      <c r="J1160" s="990"/>
      <c r="K1160" s="990"/>
      <c r="L1160" s="990"/>
      <c r="M1160" s="990"/>
      <c r="N1160" s="990"/>
      <c r="O1160" s="990"/>
      <c r="P1160" s="275">
        <v>100</v>
      </c>
    </row>
    <row r="1161" spans="1:16" ht="15.75" x14ac:dyDescent="0.2">
      <c r="A1161" s="1001" t="s">
        <v>30</v>
      </c>
      <c r="B1161" s="1003" t="s">
        <v>31</v>
      </c>
      <c r="C1161" s="1003"/>
      <c r="D1161" s="1003"/>
      <c r="E1161" s="1003"/>
      <c r="F1161" s="1003"/>
      <c r="G1161" s="1003" t="s">
        <v>32</v>
      </c>
      <c r="H1161" s="1003"/>
      <c r="I1161" s="1003"/>
      <c r="J1161" s="1003"/>
      <c r="K1161" s="1003"/>
      <c r="L1161" s="1003" t="s">
        <v>33</v>
      </c>
      <c r="M1161" s="1003"/>
      <c r="N1161" s="1003"/>
      <c r="O1161" s="1003"/>
      <c r="P1161" s="1004"/>
    </row>
    <row r="1162" spans="1:16" ht="15.75" x14ac:dyDescent="0.2">
      <c r="A1162" s="1002"/>
      <c r="B1162" s="79" t="s">
        <v>8</v>
      </c>
      <c r="C1162" s="79" t="s">
        <v>7</v>
      </c>
      <c r="D1162" s="79" t="s">
        <v>9</v>
      </c>
      <c r="E1162" s="79" t="s">
        <v>19</v>
      </c>
      <c r="F1162" s="79" t="s">
        <v>20</v>
      </c>
      <c r="G1162" s="79" t="s">
        <v>8</v>
      </c>
      <c r="H1162" s="79" t="s">
        <v>7</v>
      </c>
      <c r="I1162" s="79" t="s">
        <v>9</v>
      </c>
      <c r="J1162" s="79" t="s">
        <v>19</v>
      </c>
      <c r="K1162" s="79" t="s">
        <v>20</v>
      </c>
      <c r="L1162" s="79" t="s">
        <v>8</v>
      </c>
      <c r="M1162" s="79" t="s">
        <v>7</v>
      </c>
      <c r="N1162" s="79" t="s">
        <v>9</v>
      </c>
      <c r="O1162" s="79" t="s">
        <v>19</v>
      </c>
      <c r="P1162" s="24" t="s">
        <v>20</v>
      </c>
    </row>
    <row r="1163" spans="1:16" ht="15.75" x14ac:dyDescent="0.2">
      <c r="A1163" s="72">
        <v>31.7</v>
      </c>
      <c r="B1163" s="32" t="s">
        <v>16</v>
      </c>
      <c r="C1163" s="73" t="s">
        <v>11</v>
      </c>
      <c r="D1163" s="73">
        <f>1/3</f>
        <v>0.33</v>
      </c>
      <c r="E1163" s="73">
        <f>[0]!skilled</f>
        <v>1100</v>
      </c>
      <c r="F1163" s="73">
        <f>D1163*E1163</f>
        <v>363</v>
      </c>
      <c r="G1163" s="32" t="s">
        <v>1216</v>
      </c>
      <c r="H1163" s="73" t="s">
        <v>17</v>
      </c>
      <c r="I1163" s="73">
        <v>100</v>
      </c>
      <c r="J1163" s="73">
        <f>gipipe80mm</f>
        <v>838.4</v>
      </c>
      <c r="K1163" s="73">
        <f>I1163*J1163</f>
        <v>83840</v>
      </c>
      <c r="L1163" s="32" t="s">
        <v>418</v>
      </c>
      <c r="M1163" s="73" t="s">
        <v>13</v>
      </c>
      <c r="N1163" s="73">
        <v>2</v>
      </c>
      <c r="O1163" s="73">
        <f>tractortrolley</f>
        <v>1039</v>
      </c>
      <c r="P1163" s="61">
        <f>N1163*O1163</f>
        <v>2078</v>
      </c>
    </row>
    <row r="1164" spans="1:16" ht="15" customHeight="1" x14ac:dyDescent="0.2">
      <c r="A1164" s="77"/>
      <c r="B1164" s="353" t="s">
        <v>28</v>
      </c>
      <c r="C1164" s="78" t="s">
        <v>11</v>
      </c>
      <c r="D1164" s="78">
        <f>6/3</f>
        <v>2</v>
      </c>
      <c r="E1164" s="78">
        <f>[0]!unskilled</f>
        <v>780</v>
      </c>
      <c r="F1164" s="78">
        <f>D1164*E1164</f>
        <v>1560</v>
      </c>
      <c r="G1164" s="354"/>
      <c r="H1164" s="78"/>
      <c r="I1164" s="78"/>
      <c r="J1164" s="78"/>
      <c r="K1164" s="78"/>
      <c r="L1164" s="78"/>
      <c r="M1164" s="78"/>
      <c r="N1164" s="78"/>
      <c r="O1164" s="359"/>
      <c r="P1164" s="33"/>
    </row>
    <row r="1165" spans="1:16" ht="15.75" x14ac:dyDescent="0.2">
      <c r="A1165" s="1005" t="s">
        <v>34</v>
      </c>
      <c r="B1165" s="1006"/>
      <c r="C1165" s="1006"/>
      <c r="D1165" s="1006"/>
      <c r="E1165" s="1006"/>
      <c r="F1165" s="73">
        <f>SUM(F1163:F1164)</f>
        <v>1923</v>
      </c>
      <c r="G1165" s="1006" t="s">
        <v>35</v>
      </c>
      <c r="H1165" s="1006"/>
      <c r="I1165" s="1006"/>
      <c r="J1165" s="1006"/>
      <c r="K1165" s="73">
        <f>SUM(K1163:K1164)</f>
        <v>83840</v>
      </c>
      <c r="L1165" s="1006" t="s">
        <v>36</v>
      </c>
      <c r="M1165" s="1006"/>
      <c r="N1165" s="1006"/>
      <c r="O1165" s="1006"/>
      <c r="P1165" s="61">
        <f>SUM(P1163:P1164)</f>
        <v>2078</v>
      </c>
    </row>
    <row r="1166" spans="1:16" ht="15.75" x14ac:dyDescent="0.2">
      <c r="A1166" s="1005" t="s">
        <v>487</v>
      </c>
      <c r="B1166" s="1006"/>
      <c r="C1166" s="1006"/>
      <c r="D1166" s="1006"/>
      <c r="E1166" s="1006"/>
      <c r="F1166" s="74">
        <f>SUM(F1165+K1165+P1165)</f>
        <v>87841</v>
      </c>
      <c r="G1166" s="90"/>
      <c r="H1166" s="90"/>
      <c r="I1166" s="90"/>
      <c r="J1166" s="90"/>
      <c r="K1166" s="90"/>
      <c r="L1166" s="74"/>
      <c r="M1166" s="292"/>
      <c r="N1166" s="292"/>
      <c r="O1166" s="292"/>
      <c r="P1166" s="24"/>
    </row>
    <row r="1167" spans="1:16" ht="16.5" thickBot="1" x14ac:dyDescent="0.25">
      <c r="A1167" s="323"/>
      <c r="B1167" s="999" t="s">
        <v>111</v>
      </c>
      <c r="C1167" s="999"/>
      <c r="D1167" s="999"/>
      <c r="E1167" s="999"/>
      <c r="F1167" s="17">
        <f>15%*F1166</f>
        <v>13176.15</v>
      </c>
      <c r="G1167" s="294"/>
      <c r="H1167" s="294"/>
      <c r="I1167" s="294"/>
      <c r="J1167" s="294"/>
      <c r="K1167" s="294"/>
      <c r="L1167" s="17"/>
      <c r="M1167" s="295"/>
      <c r="N1167" s="1000" t="s">
        <v>53</v>
      </c>
      <c r="O1167" s="1000"/>
      <c r="P1167" s="18">
        <f>(F1167+F1166)/P1160</f>
        <v>1010.17</v>
      </c>
    </row>
    <row r="1168" spans="1:16" ht="15.75" x14ac:dyDescent="0.2">
      <c r="A1168" s="51"/>
      <c r="B1168" s="301"/>
      <c r="C1168" s="301"/>
      <c r="D1168" s="301"/>
      <c r="E1168" s="301"/>
      <c r="F1168" s="51"/>
      <c r="G1168" s="302"/>
      <c r="H1168" s="302"/>
      <c r="I1168" s="302"/>
      <c r="J1168" s="302"/>
      <c r="K1168" s="302"/>
      <c r="L1168" s="51"/>
      <c r="M1168" s="303"/>
      <c r="N1168" s="303"/>
      <c r="O1168" s="303"/>
      <c r="P1168" s="52"/>
    </row>
  </sheetData>
  <mergeCells count="2909">
    <mergeCell ref="A862:P862"/>
    <mergeCell ref="A863:P863"/>
    <mergeCell ref="A864:B864"/>
    <mergeCell ref="C864:O865"/>
    <mergeCell ref="A865:B865"/>
    <mergeCell ref="A866:A867"/>
    <mergeCell ref="B866:F866"/>
    <mergeCell ref="G866:K866"/>
    <mergeCell ref="L866:P866"/>
    <mergeCell ref="A870:E870"/>
    <mergeCell ref="G870:J870"/>
    <mergeCell ref="L870:O870"/>
    <mergeCell ref="A871:E871"/>
    <mergeCell ref="B872:E872"/>
    <mergeCell ref="N872:O872"/>
    <mergeCell ref="N873:O873"/>
    <mergeCell ref="C257:O258"/>
    <mergeCell ref="A258:B258"/>
    <mergeCell ref="A259:A260"/>
    <mergeCell ref="B259:F259"/>
    <mergeCell ref="G259:K259"/>
    <mergeCell ref="L259:P259"/>
    <mergeCell ref="A264:E264"/>
    <mergeCell ref="G264:J264"/>
    <mergeCell ref="L264:O264"/>
    <mergeCell ref="A265:E265"/>
    <mergeCell ref="B266:E266"/>
    <mergeCell ref="N266:O266"/>
    <mergeCell ref="A640:E640"/>
    <mergeCell ref="A655:E655"/>
    <mergeCell ref="C394:O395"/>
    <mergeCell ref="A395:B395"/>
    <mergeCell ref="L599:O599"/>
    <mergeCell ref="A589:E589"/>
    <mergeCell ref="G589:J589"/>
    <mergeCell ref="L589:O589"/>
    <mergeCell ref="N508:O508"/>
    <mergeCell ref="L450:O450"/>
    <mergeCell ref="A451:E451"/>
    <mergeCell ref="A452:E452"/>
    <mergeCell ref="A454:B454"/>
    <mergeCell ref="A417:B417"/>
    <mergeCell ref="A418:A419"/>
    <mergeCell ref="B418:F418"/>
    <mergeCell ref="C429:O430"/>
    <mergeCell ref="A436:E436"/>
    <mergeCell ref="N565:O565"/>
    <mergeCell ref="G470:K470"/>
    <mergeCell ref="L470:P470"/>
    <mergeCell ref="A520:E520"/>
    <mergeCell ref="G520:J520"/>
    <mergeCell ref="L520:O520"/>
    <mergeCell ref="C521:E521"/>
    <mergeCell ref="A430:B430"/>
    <mergeCell ref="A435:E435"/>
    <mergeCell ref="G435:J435"/>
    <mergeCell ref="L435:O435"/>
    <mergeCell ref="L477:O477"/>
    <mergeCell ref="N479:O479"/>
    <mergeCell ref="A541:A542"/>
    <mergeCell ref="A540:B540"/>
    <mergeCell ref="B512:F512"/>
    <mergeCell ref="G512:K512"/>
    <mergeCell ref="L512:P512"/>
    <mergeCell ref="A19:B19"/>
    <mergeCell ref="C19:O20"/>
    <mergeCell ref="A20:B20"/>
    <mergeCell ref="A21:A22"/>
    <mergeCell ref="B21:F21"/>
    <mergeCell ref="G21:K21"/>
    <mergeCell ref="L21:P21"/>
    <mergeCell ref="G26:J26"/>
    <mergeCell ref="L26:O26"/>
    <mergeCell ref="B28:E28"/>
    <mergeCell ref="N28:O28"/>
    <mergeCell ref="L491:O491"/>
    <mergeCell ref="B492:E492"/>
    <mergeCell ref="N494:O494"/>
    <mergeCell ref="A496:B496"/>
    <mergeCell ref="C496:O497"/>
    <mergeCell ref="A497:B497"/>
    <mergeCell ref="C416:O417"/>
    <mergeCell ref="A424:E424"/>
    <mergeCell ref="G424:J424"/>
    <mergeCell ref="L424:O424"/>
    <mergeCell ref="A425:E425"/>
    <mergeCell ref="G425:K425"/>
    <mergeCell ref="M425:O425"/>
    <mergeCell ref="B426:E426"/>
    <mergeCell ref="N426:O426"/>
    <mergeCell ref="G423:J423"/>
    <mergeCell ref="A396:A397"/>
    <mergeCell ref="B396:F396"/>
    <mergeCell ref="G396:K396"/>
    <mergeCell ref="L396:P396"/>
    <mergeCell ref="A400:E400"/>
    <mergeCell ref="A4:P4"/>
    <mergeCell ref="A5:P5"/>
    <mergeCell ref="G577:J577"/>
    <mergeCell ref="L577:O577"/>
    <mergeCell ref="C578:E578"/>
    <mergeCell ref="N580:O580"/>
    <mergeCell ref="A593:B593"/>
    <mergeCell ref="C593:O594"/>
    <mergeCell ref="A594:B594"/>
    <mergeCell ref="G456:K456"/>
    <mergeCell ref="A450:E450"/>
    <mergeCell ref="G450:J450"/>
    <mergeCell ref="A498:A499"/>
    <mergeCell ref="B498:F498"/>
    <mergeCell ref="G498:K498"/>
    <mergeCell ref="L498:P498"/>
    <mergeCell ref="A511:B511"/>
    <mergeCell ref="A512:A513"/>
    <mergeCell ref="A481:B481"/>
    <mergeCell ref="C481:O482"/>
    <mergeCell ref="A482:B482"/>
    <mergeCell ref="A483:A484"/>
    <mergeCell ref="B483:F483"/>
    <mergeCell ref="G483:K483"/>
    <mergeCell ref="L483:P483"/>
    <mergeCell ref="A491:E491"/>
    <mergeCell ref="G491:J491"/>
    <mergeCell ref="L456:P456"/>
    <mergeCell ref="A524:B524"/>
    <mergeCell ref="C524:O525"/>
    <mergeCell ref="A525:B525"/>
    <mergeCell ref="A469:B469"/>
    <mergeCell ref="A625:E625"/>
    <mergeCell ref="B601:E601"/>
    <mergeCell ref="N601:O601"/>
    <mergeCell ref="B585:F585"/>
    <mergeCell ref="A439:P439"/>
    <mergeCell ref="A600:E600"/>
    <mergeCell ref="G600:K600"/>
    <mergeCell ref="A470:A471"/>
    <mergeCell ref="B470:F470"/>
    <mergeCell ref="L555:P555"/>
    <mergeCell ref="A595:A596"/>
    <mergeCell ref="B595:F595"/>
    <mergeCell ref="G595:K595"/>
    <mergeCell ref="L595:P595"/>
    <mergeCell ref="A505:E505"/>
    <mergeCell ref="G505:J505"/>
    <mergeCell ref="A567:B567"/>
    <mergeCell ref="C567:O568"/>
    <mergeCell ref="A568:B568"/>
    <mergeCell ref="A553:B553"/>
    <mergeCell ref="C553:O554"/>
    <mergeCell ref="A554:B554"/>
    <mergeCell ref="A555:A556"/>
    <mergeCell ref="B555:F555"/>
    <mergeCell ref="G555:K555"/>
    <mergeCell ref="B444:F444"/>
    <mergeCell ref="G444:K444"/>
    <mergeCell ref="L444:P444"/>
    <mergeCell ref="A455:B455"/>
    <mergeCell ref="A456:A457"/>
    <mergeCell ref="A599:E599"/>
    <mergeCell ref="G599:J599"/>
    <mergeCell ref="A371:E371"/>
    <mergeCell ref="G371:K371"/>
    <mergeCell ref="A365:B365"/>
    <mergeCell ref="G344:K344"/>
    <mergeCell ref="C336:O337"/>
    <mergeCell ref="G400:J400"/>
    <mergeCell ref="B360:E360"/>
    <mergeCell ref="N360:O360"/>
    <mergeCell ref="B372:E372"/>
    <mergeCell ref="B386:F386"/>
    <mergeCell ref="G386:K386"/>
    <mergeCell ref="L386:P386"/>
    <mergeCell ref="A390:E390"/>
    <mergeCell ref="G390:J390"/>
    <mergeCell ref="L390:O390"/>
    <mergeCell ref="A391:E391"/>
    <mergeCell ref="G391:K391"/>
    <mergeCell ref="M391:O391"/>
    <mergeCell ref="B392:E392"/>
    <mergeCell ref="N392:O392"/>
    <mergeCell ref="M371:O371"/>
    <mergeCell ref="L370:O370"/>
    <mergeCell ref="L464:O464"/>
    <mergeCell ref="A465:E465"/>
    <mergeCell ref="A468:B468"/>
    <mergeCell ref="C468:O469"/>
    <mergeCell ref="A477:E477"/>
    <mergeCell ref="A510:B510"/>
    <mergeCell ref="C510:O511"/>
    <mergeCell ref="C564:E564"/>
    <mergeCell ref="A549:E549"/>
    <mergeCell ref="G549:J549"/>
    <mergeCell ref="L505:O505"/>
    <mergeCell ref="B506:E506"/>
    <mergeCell ref="G563:J563"/>
    <mergeCell ref="L563:O563"/>
    <mergeCell ref="B413:E413"/>
    <mergeCell ref="A224:A225"/>
    <mergeCell ref="B224:F224"/>
    <mergeCell ref="A337:B337"/>
    <mergeCell ref="A338:A339"/>
    <mergeCell ref="B338:F338"/>
    <mergeCell ref="G338:K338"/>
    <mergeCell ref="L338:P338"/>
    <mergeCell ref="A363:P363"/>
    <mergeCell ref="N345:O345"/>
    <mergeCell ref="A333:E333"/>
    <mergeCell ref="G333:J333"/>
    <mergeCell ref="A343:E343"/>
    <mergeCell ref="A464:E464"/>
    <mergeCell ref="G464:J464"/>
    <mergeCell ref="G412:K412"/>
    <mergeCell ref="M412:O412"/>
    <mergeCell ref="B456:F456"/>
    <mergeCell ref="C348:O349"/>
    <mergeCell ref="A349:B349"/>
    <mergeCell ref="A350:A351"/>
    <mergeCell ref="B350:F350"/>
    <mergeCell ref="G350:K350"/>
    <mergeCell ref="L350:P350"/>
    <mergeCell ref="A358:E358"/>
    <mergeCell ref="G358:J358"/>
    <mergeCell ref="L358:O358"/>
    <mergeCell ref="A359:E359"/>
    <mergeCell ref="G359:K359"/>
    <mergeCell ref="M359:O359"/>
    <mergeCell ref="A169:E169"/>
    <mergeCell ref="G319:J319"/>
    <mergeCell ref="L319:O319"/>
    <mergeCell ref="G292:J292"/>
    <mergeCell ref="L292:O292"/>
    <mergeCell ref="C286:O287"/>
    <mergeCell ref="N217:O217"/>
    <mergeCell ref="A219:P219"/>
    <mergeCell ref="A272:A273"/>
    <mergeCell ref="L333:O333"/>
    <mergeCell ref="A334:E334"/>
    <mergeCell ref="G334:K334"/>
    <mergeCell ref="M334:O334"/>
    <mergeCell ref="G343:J343"/>
    <mergeCell ref="L343:O343"/>
    <mergeCell ref="M344:O344"/>
    <mergeCell ref="A344:E344"/>
    <mergeCell ref="C312:O313"/>
    <mergeCell ref="A327:B327"/>
    <mergeCell ref="B314:F314"/>
    <mergeCell ref="G314:K314"/>
    <mergeCell ref="L314:P314"/>
    <mergeCell ref="A319:E319"/>
    <mergeCell ref="C364:O365"/>
    <mergeCell ref="B190:F190"/>
    <mergeCell ref="G190:K190"/>
    <mergeCell ref="A328:A329"/>
    <mergeCell ref="B328:F328"/>
    <mergeCell ref="G328:K328"/>
    <mergeCell ref="L328:P328"/>
    <mergeCell ref="G216:K216"/>
    <mergeCell ref="M216:O216"/>
    <mergeCell ref="A238:E238"/>
    <mergeCell ref="G238:J238"/>
    <mergeCell ref="L238:O238"/>
    <mergeCell ref="A239:E239"/>
    <mergeCell ref="A233:B233"/>
    <mergeCell ref="A234:A235"/>
    <mergeCell ref="B234:F234"/>
    <mergeCell ref="G234:K234"/>
    <mergeCell ref="L234:P234"/>
    <mergeCell ref="A229:E229"/>
    <mergeCell ref="G229:K229"/>
    <mergeCell ref="M229:O229"/>
    <mergeCell ref="B230:E230"/>
    <mergeCell ref="C232:O233"/>
    <mergeCell ref="B345:E345"/>
    <mergeCell ref="N335:O335"/>
    <mergeCell ref="A287:B287"/>
    <mergeCell ref="A305:E305"/>
    <mergeCell ref="B207:E207"/>
    <mergeCell ref="B38:E38"/>
    <mergeCell ref="A145:E145"/>
    <mergeCell ref="G140:K140"/>
    <mergeCell ref="L140:P140"/>
    <mergeCell ref="A128:B128"/>
    <mergeCell ref="A129:A130"/>
    <mergeCell ref="B111:E111"/>
    <mergeCell ref="H111:K111"/>
    <mergeCell ref="A116:B116"/>
    <mergeCell ref="C116:O117"/>
    <mergeCell ref="A117:B117"/>
    <mergeCell ref="A109:E109"/>
    <mergeCell ref="G109:J109"/>
    <mergeCell ref="B171:E171"/>
    <mergeCell ref="N171:O171"/>
    <mergeCell ref="A113:P113"/>
    <mergeCell ref="M105:O105"/>
    <mergeCell ref="B147:E147"/>
    <mergeCell ref="B148:E148"/>
    <mergeCell ref="A149:B149"/>
    <mergeCell ref="C149:O150"/>
    <mergeCell ref="A162:A163"/>
    <mergeCell ref="B162:F162"/>
    <mergeCell ref="G162:K162"/>
    <mergeCell ref="L162:P162"/>
    <mergeCell ref="A168:E168"/>
    <mergeCell ref="G168:J168"/>
    <mergeCell ref="L168:O168"/>
    <mergeCell ref="A114:P114"/>
    <mergeCell ref="G45:K45"/>
    <mergeCell ref="N38:O38"/>
    <mergeCell ref="A42:B42"/>
    <mergeCell ref="A12:E12"/>
    <mergeCell ref="G12:J12"/>
    <mergeCell ref="L12:O12"/>
    <mergeCell ref="A13:E13"/>
    <mergeCell ref="G13:J13"/>
    <mergeCell ref="N14:O14"/>
    <mergeCell ref="A16:P16"/>
    <mergeCell ref="A17:P17"/>
    <mergeCell ref="A31:B31"/>
    <mergeCell ref="C31:O32"/>
    <mergeCell ref="A32:B32"/>
    <mergeCell ref="A37:E37"/>
    <mergeCell ref="A73:P73"/>
    <mergeCell ref="A74:P74"/>
    <mergeCell ref="M83:O83"/>
    <mergeCell ref="M93:O93"/>
    <mergeCell ref="C60:O61"/>
    <mergeCell ref="A61:B61"/>
    <mergeCell ref="B71:E71"/>
    <mergeCell ref="G50:J50"/>
    <mergeCell ref="L50:O50"/>
    <mergeCell ref="A27:E27"/>
    <mergeCell ref="A45:A46"/>
    <mergeCell ref="G85:K85"/>
    <mergeCell ref="B86:E86"/>
    <mergeCell ref="A89:B89"/>
    <mergeCell ref="C89:O90"/>
    <mergeCell ref="A90:B90"/>
    <mergeCell ref="L45:P45"/>
    <mergeCell ref="A50:E50"/>
    <mergeCell ref="A33:A34"/>
    <mergeCell ref="A91:A92"/>
    <mergeCell ref="A763:A764"/>
    <mergeCell ref="B763:F763"/>
    <mergeCell ref="A716:A717"/>
    <mergeCell ref="B716:F716"/>
    <mergeCell ref="G716:K716"/>
    <mergeCell ref="L109:O109"/>
    <mergeCell ref="A110:E110"/>
    <mergeCell ref="G110:K110"/>
    <mergeCell ref="G133:J133"/>
    <mergeCell ref="A62:A63"/>
    <mergeCell ref="B62:F62"/>
    <mergeCell ref="G62:K62"/>
    <mergeCell ref="L62:P62"/>
    <mergeCell ref="A69:E69"/>
    <mergeCell ref="G69:J69"/>
    <mergeCell ref="L69:O69"/>
    <mergeCell ref="A70:E70"/>
    <mergeCell ref="G70:K70"/>
    <mergeCell ref="H68:J68"/>
    <mergeCell ref="A160:B160"/>
    <mergeCell ref="C160:O161"/>
    <mergeCell ref="A161:B161"/>
    <mergeCell ref="A313:B313"/>
    <mergeCell ref="C321:E321"/>
    <mergeCell ref="C326:O327"/>
    <mergeCell ref="B172:E172"/>
    <mergeCell ref="C174:O175"/>
    <mergeCell ref="C188:O189"/>
    <mergeCell ref="A189:B189"/>
    <mergeCell ref="L716:P716"/>
    <mergeCell ref="B684:E684"/>
    <mergeCell ref="L683:O683"/>
    <mergeCell ref="L653:O653"/>
    <mergeCell ref="B654:E654"/>
    <mergeCell ref="N686:O686"/>
    <mergeCell ref="A688:B688"/>
    <mergeCell ref="C688:O689"/>
    <mergeCell ref="A689:B689"/>
    <mergeCell ref="A690:A691"/>
    <mergeCell ref="B690:F690"/>
    <mergeCell ref="G690:K690"/>
    <mergeCell ref="L709:O709"/>
    <mergeCell ref="A703:B703"/>
    <mergeCell ref="L190:P190"/>
    <mergeCell ref="A280:E280"/>
    <mergeCell ref="L272:P272"/>
    <mergeCell ref="A252:E252"/>
    <mergeCell ref="G252:J252"/>
    <mergeCell ref="L252:O252"/>
    <mergeCell ref="A253:E253"/>
    <mergeCell ref="C245:O246"/>
    <mergeCell ref="A246:B246"/>
    <mergeCell ref="A247:A248"/>
    <mergeCell ref="B247:F247"/>
    <mergeCell ref="G247:K247"/>
    <mergeCell ref="L247:P247"/>
    <mergeCell ref="A220:P220"/>
    <mergeCell ref="B240:E240"/>
    <mergeCell ref="N240:O240"/>
    <mergeCell ref="A242:P242"/>
    <mergeCell ref="C199:O200"/>
    <mergeCell ref="C209:O210"/>
    <mergeCell ref="N254:O254"/>
    <mergeCell ref="A314:A315"/>
    <mergeCell ref="G638:J638"/>
    <mergeCell ref="L638:O638"/>
    <mergeCell ref="A624:E624"/>
    <mergeCell ref="N626:O626"/>
    <mergeCell ref="G656:J656"/>
    <mergeCell ref="G630:K630"/>
    <mergeCell ref="A673:B673"/>
    <mergeCell ref="C603:O604"/>
    <mergeCell ref="B1167:E1167"/>
    <mergeCell ref="A892:E892"/>
    <mergeCell ref="G892:J892"/>
    <mergeCell ref="L892:O892"/>
    <mergeCell ref="A893:E893"/>
    <mergeCell ref="B894:E894"/>
    <mergeCell ref="A896:B896"/>
    <mergeCell ref="C896:O897"/>
    <mergeCell ref="A897:B897"/>
    <mergeCell ref="A898:A899"/>
    <mergeCell ref="B898:F898"/>
    <mergeCell ref="G898:K898"/>
    <mergeCell ref="L898:P898"/>
    <mergeCell ref="A902:E902"/>
    <mergeCell ref="G902:J902"/>
    <mergeCell ref="L1161:P1161"/>
    <mergeCell ref="A1159:B1159"/>
    <mergeCell ref="C1159:O1160"/>
    <mergeCell ref="A1160:B1160"/>
    <mergeCell ref="A1166:E1166"/>
    <mergeCell ref="G683:J683"/>
    <mergeCell ref="N701:O701"/>
    <mergeCell ref="A653:E653"/>
    <mergeCell ref="G653:J653"/>
    <mergeCell ref="A8:A9"/>
    <mergeCell ref="B8:F8"/>
    <mergeCell ref="G8:K8"/>
    <mergeCell ref="L8:P8"/>
    <mergeCell ref="N741:O741"/>
    <mergeCell ref="B14:E14"/>
    <mergeCell ref="A744:P744"/>
    <mergeCell ref="A750:A752"/>
    <mergeCell ref="G750:J750"/>
    <mergeCell ref="G751:J751"/>
    <mergeCell ref="G752:J752"/>
    <mergeCell ref="A761:B761"/>
    <mergeCell ref="C761:O762"/>
    <mergeCell ref="A762:B762"/>
    <mergeCell ref="A1158:B1158"/>
    <mergeCell ref="A876:B876"/>
    <mergeCell ref="C876:O877"/>
    <mergeCell ref="B878:F878"/>
    <mergeCell ref="G878:K878"/>
    <mergeCell ref="L878:P878"/>
    <mergeCell ref="A882:E882"/>
    <mergeCell ref="G882:J882"/>
    <mergeCell ref="L882:O882"/>
    <mergeCell ref="A840:B840"/>
    <mergeCell ref="C840:O841"/>
    <mergeCell ref="A805:B805"/>
    <mergeCell ref="A806:A807"/>
    <mergeCell ref="B806:F806"/>
    <mergeCell ref="G806:K806"/>
    <mergeCell ref="L806:P806"/>
    <mergeCell ref="L630:P630"/>
    <mergeCell ref="A638:E638"/>
    <mergeCell ref="G1161:K1161"/>
    <mergeCell ref="A860:E860"/>
    <mergeCell ref="B861:E861"/>
    <mergeCell ref="N894:O894"/>
    <mergeCell ref="A877:B877"/>
    <mergeCell ref="A878:A879"/>
    <mergeCell ref="N861:O861"/>
    <mergeCell ref="A855:A856"/>
    <mergeCell ref="A859:E859"/>
    <mergeCell ref="G859:J859"/>
    <mergeCell ref="L859:O859"/>
    <mergeCell ref="B855:F855"/>
    <mergeCell ref="A848:E848"/>
    <mergeCell ref="G848:J848"/>
    <mergeCell ref="L848:O848"/>
    <mergeCell ref="A849:E849"/>
    <mergeCell ref="B850:E850"/>
    <mergeCell ref="A912:E912"/>
    <mergeCell ref="L912:O912"/>
    <mergeCell ref="A887:B887"/>
    <mergeCell ref="A888:A889"/>
    <mergeCell ref="G855:K855"/>
    <mergeCell ref="L855:P855"/>
    <mergeCell ref="H932:J932"/>
    <mergeCell ref="A938:B938"/>
    <mergeCell ref="C938:O939"/>
    <mergeCell ref="A939:B939"/>
    <mergeCell ref="A940:A941"/>
    <mergeCell ref="B940:F940"/>
    <mergeCell ref="G940:K940"/>
    <mergeCell ref="L940:P940"/>
    <mergeCell ref="A916:B916"/>
    <mergeCell ref="A793:B793"/>
    <mergeCell ref="A794:A795"/>
    <mergeCell ref="B794:F794"/>
    <mergeCell ref="G794:K794"/>
    <mergeCell ref="L794:P794"/>
    <mergeCell ref="A788:E788"/>
    <mergeCell ref="A813:E813"/>
    <mergeCell ref="B814:E814"/>
    <mergeCell ref="A800:E800"/>
    <mergeCell ref="G800:J800"/>
    <mergeCell ref="L800:O800"/>
    <mergeCell ref="A801:E801"/>
    <mergeCell ref="B802:E802"/>
    <mergeCell ref="A804:B804"/>
    <mergeCell ref="C804:O805"/>
    <mergeCell ref="N802:O802"/>
    <mergeCell ref="N814:O814"/>
    <mergeCell ref="G788:J788"/>
    <mergeCell ref="L788:O788"/>
    <mergeCell ref="A789:E789"/>
    <mergeCell ref="B790:E790"/>
    <mergeCell ref="A792:B792"/>
    <mergeCell ref="C792:O793"/>
    <mergeCell ref="G830:K830"/>
    <mergeCell ref="L830:P830"/>
    <mergeCell ref="A836:E836"/>
    <mergeCell ref="G836:J836"/>
    <mergeCell ref="L836:O836"/>
    <mergeCell ref="A837:E837"/>
    <mergeCell ref="B838:E838"/>
    <mergeCell ref="N838:O838"/>
    <mergeCell ref="A816:B816"/>
    <mergeCell ref="C816:O817"/>
    <mergeCell ref="A817:B817"/>
    <mergeCell ref="B842:F842"/>
    <mergeCell ref="G842:K842"/>
    <mergeCell ref="L842:P842"/>
    <mergeCell ref="A818:A819"/>
    <mergeCell ref="B818:F818"/>
    <mergeCell ref="G818:K818"/>
    <mergeCell ref="L818:P818"/>
    <mergeCell ref="A824:E824"/>
    <mergeCell ref="G824:J824"/>
    <mergeCell ref="L824:O824"/>
    <mergeCell ref="A828:B828"/>
    <mergeCell ref="C828:O829"/>
    <mergeCell ref="A829:B829"/>
    <mergeCell ref="A841:B841"/>
    <mergeCell ref="A842:A843"/>
    <mergeCell ref="A1165:E1165"/>
    <mergeCell ref="G1165:J1165"/>
    <mergeCell ref="L1165:O1165"/>
    <mergeCell ref="N759:O759"/>
    <mergeCell ref="A780:B780"/>
    <mergeCell ref="C780:O781"/>
    <mergeCell ref="A781:B781"/>
    <mergeCell ref="A782:A783"/>
    <mergeCell ref="B782:F782"/>
    <mergeCell ref="G782:K782"/>
    <mergeCell ref="L782:P782"/>
    <mergeCell ref="A812:E812"/>
    <mergeCell ref="G812:J812"/>
    <mergeCell ref="L812:O812"/>
    <mergeCell ref="A1161:A1162"/>
    <mergeCell ref="B1161:F1161"/>
    <mergeCell ref="B775:E775"/>
    <mergeCell ref="N775:O775"/>
    <mergeCell ref="A777:P777"/>
    <mergeCell ref="A1154:E1154"/>
    <mergeCell ref="G1154:J1154"/>
    <mergeCell ref="L1154:O1154"/>
    <mergeCell ref="A1155:E1155"/>
    <mergeCell ref="B1156:E1156"/>
    <mergeCell ref="N1156:O1156"/>
    <mergeCell ref="A908:A909"/>
    <mergeCell ref="B908:F908"/>
    <mergeCell ref="G908:K908"/>
    <mergeCell ref="L908:P908"/>
    <mergeCell ref="A913:E913"/>
    <mergeCell ref="B914:E914"/>
    <mergeCell ref="N914:O914"/>
    <mergeCell ref="A758:E758"/>
    <mergeCell ref="B759:E759"/>
    <mergeCell ref="A853:B853"/>
    <mergeCell ref="C853:O854"/>
    <mergeCell ref="A854:B854"/>
    <mergeCell ref="A757:E757"/>
    <mergeCell ref="G757:J757"/>
    <mergeCell ref="L757:O757"/>
    <mergeCell ref="A745:B745"/>
    <mergeCell ref="A883:E883"/>
    <mergeCell ref="B884:E884"/>
    <mergeCell ref="N884:O884"/>
    <mergeCell ref="A886:B886"/>
    <mergeCell ref="C886:O887"/>
    <mergeCell ref="L605:P605"/>
    <mergeCell ref="A609:E609"/>
    <mergeCell ref="G609:J609"/>
    <mergeCell ref="L609:O609"/>
    <mergeCell ref="A610:E610"/>
    <mergeCell ref="B611:E611"/>
    <mergeCell ref="N611:O611"/>
    <mergeCell ref="A614:B614"/>
    <mergeCell ref="B639:E639"/>
    <mergeCell ref="G641:J641"/>
    <mergeCell ref="A630:A631"/>
    <mergeCell ref="B630:F630"/>
    <mergeCell ref="N656:O656"/>
    <mergeCell ref="N641:O641"/>
    <mergeCell ref="A705:A706"/>
    <mergeCell ref="B705:F705"/>
    <mergeCell ref="G705:K705"/>
    <mergeCell ref="L705:P705"/>
    <mergeCell ref="G686:J686"/>
    <mergeCell ref="A674:B674"/>
    <mergeCell ref="C673:O674"/>
    <mergeCell ref="A721:E721"/>
    <mergeCell ref="L698:O698"/>
    <mergeCell ref="B699:E699"/>
    <mergeCell ref="G701:J701"/>
    <mergeCell ref="L690:P690"/>
    <mergeCell ref="A584:B584"/>
    <mergeCell ref="A585:A586"/>
    <mergeCell ref="A569:A570"/>
    <mergeCell ref="B569:F569"/>
    <mergeCell ref="C643:O644"/>
    <mergeCell ref="A644:B644"/>
    <mergeCell ref="A645:A646"/>
    <mergeCell ref="B645:F645"/>
    <mergeCell ref="G645:K645"/>
    <mergeCell ref="L645:P645"/>
    <mergeCell ref="N591:O591"/>
    <mergeCell ref="B591:E591"/>
    <mergeCell ref="A643:B643"/>
    <mergeCell ref="G626:J626"/>
    <mergeCell ref="A628:B628"/>
    <mergeCell ref="C628:O629"/>
    <mergeCell ref="A629:B629"/>
    <mergeCell ref="A616:A617"/>
    <mergeCell ref="B616:F616"/>
    <mergeCell ref="G616:K616"/>
    <mergeCell ref="L616:P616"/>
    <mergeCell ref="A623:E623"/>
    <mergeCell ref="C714:O715"/>
    <mergeCell ref="A715:B715"/>
    <mergeCell ref="G698:J698"/>
    <mergeCell ref="B722:E722"/>
    <mergeCell ref="N722:O722"/>
    <mergeCell ref="A724:P724"/>
    <mergeCell ref="A725:P725"/>
    <mergeCell ref="C726:O727"/>
    <mergeCell ref="B728:F728"/>
    <mergeCell ref="G728:K728"/>
    <mergeCell ref="L728:P728"/>
    <mergeCell ref="G734:J734"/>
    <mergeCell ref="A739:E739"/>
    <mergeCell ref="A740:E740"/>
    <mergeCell ref="B741:E741"/>
    <mergeCell ref="G739:J739"/>
    <mergeCell ref="L739:O739"/>
    <mergeCell ref="A743:P743"/>
    <mergeCell ref="C703:O704"/>
    <mergeCell ref="A704:B704"/>
    <mergeCell ref="A710:E710"/>
    <mergeCell ref="G710:K710"/>
    <mergeCell ref="B711:E711"/>
    <mergeCell ref="A714:B714"/>
    <mergeCell ref="A720:E720"/>
    <mergeCell ref="G720:J720"/>
    <mergeCell ref="L720:O720"/>
    <mergeCell ref="A709:E709"/>
    <mergeCell ref="G709:J709"/>
    <mergeCell ref="C405:O406"/>
    <mergeCell ref="A406:B406"/>
    <mergeCell ref="L400:O400"/>
    <mergeCell ref="A401:E401"/>
    <mergeCell ref="G401:K401"/>
    <mergeCell ref="M401:O401"/>
    <mergeCell ref="B402:E402"/>
    <mergeCell ref="N402:O402"/>
    <mergeCell ref="B437:E437"/>
    <mergeCell ref="N437:O437"/>
    <mergeCell ref="G376:K376"/>
    <mergeCell ref="L376:P376"/>
    <mergeCell ref="A380:E380"/>
    <mergeCell ref="G380:J380"/>
    <mergeCell ref="L380:O380"/>
    <mergeCell ref="L411:O411"/>
    <mergeCell ref="A412:E412"/>
    <mergeCell ref="B376:F376"/>
    <mergeCell ref="A407:A408"/>
    <mergeCell ref="A411:E411"/>
    <mergeCell ref="G411:J411"/>
    <mergeCell ref="G477:J477"/>
    <mergeCell ref="B407:F407"/>
    <mergeCell ref="G436:K436"/>
    <mergeCell ref="M436:O436"/>
    <mergeCell ref="G418:K418"/>
    <mergeCell ref="L418:P418"/>
    <mergeCell ref="B478:E478"/>
    <mergeCell ref="N466:O466"/>
    <mergeCell ref="A442:B442"/>
    <mergeCell ref="C442:O443"/>
    <mergeCell ref="A440:P440"/>
    <mergeCell ref="N452:O452"/>
    <mergeCell ref="N413:O413"/>
    <mergeCell ref="ASO280:ASS280"/>
    <mergeCell ref="ATE280:ATI280"/>
    <mergeCell ref="ATU280:ATY280"/>
    <mergeCell ref="BM280:BQ280"/>
    <mergeCell ref="CC280:CG280"/>
    <mergeCell ref="AIC280:AIG280"/>
    <mergeCell ref="AIS280:AIW280"/>
    <mergeCell ref="AJI280:AJM280"/>
    <mergeCell ref="A306:E306"/>
    <mergeCell ref="A298:B298"/>
    <mergeCell ref="A299:A300"/>
    <mergeCell ref="B299:F299"/>
    <mergeCell ref="G299:K299"/>
    <mergeCell ref="L299:P299"/>
    <mergeCell ref="G305:J305"/>
    <mergeCell ref="L305:O305"/>
    <mergeCell ref="A320:O320"/>
    <mergeCell ref="AOG280:AOK280"/>
    <mergeCell ref="AHM280:AHQ280"/>
    <mergeCell ref="G551:J551"/>
    <mergeCell ref="N372:O372"/>
    <mergeCell ref="C374:O375"/>
    <mergeCell ref="A375:B375"/>
    <mergeCell ref="A362:P362"/>
    <mergeCell ref="A381:E381"/>
    <mergeCell ref="G381:K381"/>
    <mergeCell ref="M381:O381"/>
    <mergeCell ref="B382:E382"/>
    <mergeCell ref="N382:O382"/>
    <mergeCell ref="C384:O385"/>
    <mergeCell ref="A385:B385"/>
    <mergeCell ref="A386:A387"/>
    <mergeCell ref="N522:O522"/>
    <mergeCell ref="A526:A527"/>
    <mergeCell ref="C454:O455"/>
    <mergeCell ref="A431:A432"/>
    <mergeCell ref="B431:F431"/>
    <mergeCell ref="G431:K431"/>
    <mergeCell ref="L431:P431"/>
    <mergeCell ref="A443:B443"/>
    <mergeCell ref="A444:A445"/>
    <mergeCell ref="A366:A367"/>
    <mergeCell ref="B366:F366"/>
    <mergeCell ref="G366:K366"/>
    <mergeCell ref="L366:P366"/>
    <mergeCell ref="A370:E370"/>
    <mergeCell ref="G370:J370"/>
    <mergeCell ref="L549:O549"/>
    <mergeCell ref="B550:E550"/>
    <mergeCell ref="A376:A377"/>
    <mergeCell ref="L526:P526"/>
    <mergeCell ref="A534:E534"/>
    <mergeCell ref="G534:J534"/>
    <mergeCell ref="L534:O534"/>
    <mergeCell ref="C535:E535"/>
    <mergeCell ref="N537:O537"/>
    <mergeCell ref="A539:B539"/>
    <mergeCell ref="G407:K407"/>
    <mergeCell ref="L407:P407"/>
    <mergeCell ref="CSW280:CTA280"/>
    <mergeCell ref="CUS280:CUW280"/>
    <mergeCell ref="DKC280:DKG280"/>
    <mergeCell ref="A293:E293"/>
    <mergeCell ref="C297:O298"/>
    <mergeCell ref="A288:A289"/>
    <mergeCell ref="B288:F288"/>
    <mergeCell ref="G288:K288"/>
    <mergeCell ref="L288:P288"/>
    <mergeCell ref="A292:E292"/>
    <mergeCell ref="AVA280:AVE280"/>
    <mergeCell ref="CS280:CW280"/>
    <mergeCell ref="DI280:DM280"/>
    <mergeCell ref="AOW280:APA280"/>
    <mergeCell ref="APM280:APQ280"/>
    <mergeCell ref="AQC280:AQG280"/>
    <mergeCell ref="AQS280:AQW280"/>
    <mergeCell ref="ARI280:ARM280"/>
    <mergeCell ref="ARY280:ASC280"/>
    <mergeCell ref="ALE280:ALI280"/>
    <mergeCell ref="ALU280:ALY280"/>
    <mergeCell ref="AMK280:AMO280"/>
    <mergeCell ref="ANA280:ANE280"/>
    <mergeCell ref="ANQ280:ANU280"/>
    <mergeCell ref="Q280:U280"/>
    <mergeCell ref="SS280:SW280"/>
    <mergeCell ref="TI280:TM280"/>
    <mergeCell ref="AW280:BA280"/>
    <mergeCell ref="AUK280:AUO280"/>
    <mergeCell ref="AG280:AK280"/>
    <mergeCell ref="BOC280:BOG280"/>
    <mergeCell ref="BHI280:BHM280"/>
    <mergeCell ref="BHY280:BIC280"/>
    <mergeCell ref="DSS280:DSW280"/>
    <mergeCell ref="DTI280:DTM280"/>
    <mergeCell ref="CJA280:CJE280"/>
    <mergeCell ref="CJQ280:CJU280"/>
    <mergeCell ref="CKG280:CKK280"/>
    <mergeCell ref="CDM280:CDQ280"/>
    <mergeCell ref="CEC280:CEG280"/>
    <mergeCell ref="CES280:CEW280"/>
    <mergeCell ref="CFI280:CFM280"/>
    <mergeCell ref="CFY280:CGC280"/>
    <mergeCell ref="CGO280:CGS280"/>
    <mergeCell ref="BZU280:BZY280"/>
    <mergeCell ref="CAK280:CAO280"/>
    <mergeCell ref="CBA280:CBE280"/>
    <mergeCell ref="CBQ280:CBU280"/>
    <mergeCell ref="CCG280:CCK280"/>
    <mergeCell ref="CCW280:CDA280"/>
    <mergeCell ref="COO280:COS280"/>
    <mergeCell ref="CPE280:CPI280"/>
    <mergeCell ref="CPU280:CPY280"/>
    <mergeCell ref="DSC280:DSG280"/>
    <mergeCell ref="DFE280:DFI280"/>
    <mergeCell ref="DFU280:DFY280"/>
    <mergeCell ref="BUG280:BUK280"/>
    <mergeCell ref="BWC280:BWG280"/>
    <mergeCell ref="BWS280:BWW280"/>
    <mergeCell ref="AXM280:AXQ280"/>
    <mergeCell ref="AYC280:AYG280"/>
    <mergeCell ref="AYS280:AYW280"/>
    <mergeCell ref="AZI280:AZM280"/>
    <mergeCell ref="CQK280:CQO280"/>
    <mergeCell ref="CRA280:CRE280"/>
    <mergeCell ref="CRQ280:CRU280"/>
    <mergeCell ref="CKW280:CLA280"/>
    <mergeCell ref="CLM280:CLQ280"/>
    <mergeCell ref="CMC280:CMG280"/>
    <mergeCell ref="CMS280:CMW280"/>
    <mergeCell ref="CNI280:CNM280"/>
    <mergeCell ref="CNY280:COC280"/>
    <mergeCell ref="CHE280:CHI280"/>
    <mergeCell ref="CHU280:CHY280"/>
    <mergeCell ref="CIK280:CIO280"/>
    <mergeCell ref="BRE280:BRI280"/>
    <mergeCell ref="BOS280:BOW280"/>
    <mergeCell ref="BPI280:BPM280"/>
    <mergeCell ref="BYO280:BYS280"/>
    <mergeCell ref="BPY280:BQC280"/>
    <mergeCell ref="BQO280:BQS280"/>
    <mergeCell ref="BUW280:BVA280"/>
    <mergeCell ref="BVM280:BVQ280"/>
    <mergeCell ref="BNM280:BNQ280"/>
    <mergeCell ref="BFM280:BFQ280"/>
    <mergeCell ref="BGC280:BGG280"/>
    <mergeCell ref="DTY280:DUC280"/>
    <mergeCell ref="DOK280:DOO280"/>
    <mergeCell ref="DPA280:DPE280"/>
    <mergeCell ref="DPQ280:DPU280"/>
    <mergeCell ref="DQG280:DQK280"/>
    <mergeCell ref="DQW280:DRA280"/>
    <mergeCell ref="DRM280:DRQ280"/>
    <mergeCell ref="DKS280:DKW280"/>
    <mergeCell ref="DLI280:DLM280"/>
    <mergeCell ref="DLY280:DMC280"/>
    <mergeCell ref="DMO280:DMS280"/>
    <mergeCell ref="DNE280:DNI280"/>
    <mergeCell ref="DNU280:DNY280"/>
    <mergeCell ref="DHA280:DHE280"/>
    <mergeCell ref="DHQ280:DHU280"/>
    <mergeCell ref="DIG280:DIK280"/>
    <mergeCell ref="DIW280:DJA280"/>
    <mergeCell ref="DJM280:DJQ280"/>
    <mergeCell ref="CSG279:CSK279"/>
    <mergeCell ref="CSM279:CSP279"/>
    <mergeCell ref="CSR279:CSU279"/>
    <mergeCell ref="CSW279:CTA279"/>
    <mergeCell ref="DGK280:DGO280"/>
    <mergeCell ref="CZQ280:CZU280"/>
    <mergeCell ref="DAG280:DAK280"/>
    <mergeCell ref="DAW280:DBA280"/>
    <mergeCell ref="CZA280:CZE280"/>
    <mergeCell ref="CSG280:CSK280"/>
    <mergeCell ref="BZE280:BZI280"/>
    <mergeCell ref="BSK280:BSO280"/>
    <mergeCell ref="DY280:EC280"/>
    <mergeCell ref="EO280:ES280"/>
    <mergeCell ref="FE280:FI280"/>
    <mergeCell ref="FU280:FY280"/>
    <mergeCell ref="GK280:GO280"/>
    <mergeCell ref="HA280:HE280"/>
    <mergeCell ref="CYK280:CYO280"/>
    <mergeCell ref="ACO280:ACS280"/>
    <mergeCell ref="ADE280:ADI280"/>
    <mergeCell ref="WK280:WO280"/>
    <mergeCell ref="XA280:XE280"/>
    <mergeCell ref="XQ280:XU280"/>
    <mergeCell ref="YG280:YK280"/>
    <mergeCell ref="YW280:ZA280"/>
    <mergeCell ref="ZM280:ZQ280"/>
    <mergeCell ref="BRU280:BRY280"/>
    <mergeCell ref="BLA280:BLE280"/>
    <mergeCell ref="BLQ280:BLU280"/>
    <mergeCell ref="BMG280:BMK280"/>
    <mergeCell ref="BMW280:BNA280"/>
    <mergeCell ref="DHG279:DHJ279"/>
    <mergeCell ref="DHL279:DHO279"/>
    <mergeCell ref="DEO279:DES279"/>
    <mergeCell ref="DEU279:DEX279"/>
    <mergeCell ref="DEZ279:DFC279"/>
    <mergeCell ref="DFE279:DFI279"/>
    <mergeCell ref="DFK279:DFN279"/>
    <mergeCell ref="DFP279:DFS279"/>
    <mergeCell ref="DDI280:DDM280"/>
    <mergeCell ref="DDY280:DEC280"/>
    <mergeCell ref="DEO280:DES280"/>
    <mergeCell ref="CTM280:CTQ280"/>
    <mergeCell ref="DDI279:DDM279"/>
    <mergeCell ref="DDO279:DDR279"/>
    <mergeCell ref="DDT279:DDW279"/>
    <mergeCell ref="DDY279:DEC279"/>
    <mergeCell ref="DEE279:DEH279"/>
    <mergeCell ref="DEJ279:DEM279"/>
    <mergeCell ref="DCC279:DCG279"/>
    <mergeCell ref="DCI279:DCL279"/>
    <mergeCell ref="DCN279:DCQ279"/>
    <mergeCell ref="DCS279:DCW279"/>
    <mergeCell ref="RM280:RQ280"/>
    <mergeCell ref="SC280:SG280"/>
    <mergeCell ref="LI280:LM280"/>
    <mergeCell ref="LY280:MC280"/>
    <mergeCell ref="MO280:MS280"/>
    <mergeCell ref="NE280:NI280"/>
    <mergeCell ref="DBM280:DBQ280"/>
    <mergeCell ref="BCK280:BCO280"/>
    <mergeCell ref="BDA280:BDE280"/>
    <mergeCell ref="AWG280:AWK280"/>
    <mergeCell ref="AWW280:AXA280"/>
    <mergeCell ref="BAO280:BAS280"/>
    <mergeCell ref="BBE280:BBI280"/>
    <mergeCell ref="BBU280:BBY280"/>
    <mergeCell ref="AZY280:BAC280"/>
    <mergeCell ref="BIO280:BIS280"/>
    <mergeCell ref="BJE280:BJI280"/>
    <mergeCell ref="BJU280:BJY280"/>
    <mergeCell ref="NU280:NY280"/>
    <mergeCell ref="OK280:OO280"/>
    <mergeCell ref="BGS280:BGW280"/>
    <mergeCell ref="CUC280:CUG280"/>
    <mergeCell ref="CVI280:CVM280"/>
    <mergeCell ref="CWO280:CWS280"/>
    <mergeCell ref="CXE280:CXI280"/>
    <mergeCell ref="CXU280:CXY280"/>
    <mergeCell ref="AVQ280:AVU280"/>
    <mergeCell ref="BDQ280:BDU280"/>
    <mergeCell ref="BEG280:BEK280"/>
    <mergeCell ref="BEW280:BFA280"/>
    <mergeCell ref="BTA280:BTE280"/>
    <mergeCell ref="BTQ280:BTU280"/>
    <mergeCell ref="DHQ279:DHU279"/>
    <mergeCell ref="DHW279:DHZ279"/>
    <mergeCell ref="DNK279:DNN279"/>
    <mergeCell ref="DNP279:DNS279"/>
    <mergeCell ref="DNU279:DNY279"/>
    <mergeCell ref="DOA279:DOD279"/>
    <mergeCell ref="DOF279:DOI279"/>
    <mergeCell ref="DKC279:DKG279"/>
    <mergeCell ref="DKI279:DKL279"/>
    <mergeCell ref="DKN279:DKQ279"/>
    <mergeCell ref="DIB279:DIE279"/>
    <mergeCell ref="DFU279:DFY279"/>
    <mergeCell ref="DGA279:DGD279"/>
    <mergeCell ref="DGF279:DGI279"/>
    <mergeCell ref="DGK279:DGO279"/>
    <mergeCell ref="DGQ279:DGT279"/>
    <mergeCell ref="DGV279:DGY279"/>
    <mergeCell ref="DLY279:DMC279"/>
    <mergeCell ref="DME279:DMH279"/>
    <mergeCell ref="DIG279:DIK279"/>
    <mergeCell ref="DIM279:DIP279"/>
    <mergeCell ref="DIR279:DIU279"/>
    <mergeCell ref="DIW279:DJA279"/>
    <mergeCell ref="DJC279:DJF279"/>
    <mergeCell ref="DJH279:DJK279"/>
    <mergeCell ref="DHA279:DHE279"/>
    <mergeCell ref="DMJ279:DMM279"/>
    <mergeCell ref="DMO279:DMS279"/>
    <mergeCell ref="DMU279:DMX279"/>
    <mergeCell ref="DMZ279:DNC279"/>
    <mergeCell ref="DKS279:DKW279"/>
    <mergeCell ref="DKY279:DLB279"/>
    <mergeCell ref="HQ280:HU280"/>
    <mergeCell ref="IG280:IK280"/>
    <mergeCell ref="IW280:JA280"/>
    <mergeCell ref="JM280:JQ280"/>
    <mergeCell ref="KC280:KG280"/>
    <mergeCell ref="KS280:KW280"/>
    <mergeCell ref="AFQ280:AFU280"/>
    <mergeCell ref="AGG280:AGK280"/>
    <mergeCell ref="AGW280:AHA280"/>
    <mergeCell ref="AAC280:AAG280"/>
    <mergeCell ref="AAS280:AAW280"/>
    <mergeCell ref="ABI280:ABM280"/>
    <mergeCell ref="ABY280:ACC280"/>
    <mergeCell ref="DCC280:DCG280"/>
    <mergeCell ref="DCS280:DCW280"/>
    <mergeCell ref="CVY280:CWC280"/>
    <mergeCell ref="TY280:UC280"/>
    <mergeCell ref="UO280:US280"/>
    <mergeCell ref="VE280:VI280"/>
    <mergeCell ref="VU280:VY280"/>
    <mergeCell ref="PA280:PE280"/>
    <mergeCell ref="PQ280:PU280"/>
    <mergeCell ref="AJY280:AKC280"/>
    <mergeCell ref="AKO280:AKS280"/>
    <mergeCell ref="ADU280:ADY280"/>
    <mergeCell ref="AEK280:AEO280"/>
    <mergeCell ref="AFA280:AFE280"/>
    <mergeCell ref="BKK280:BKO280"/>
    <mergeCell ref="BXI280:BXM280"/>
    <mergeCell ref="BXY280:BYC280"/>
    <mergeCell ref="QG280:QK280"/>
    <mergeCell ref="QW280:RA280"/>
    <mergeCell ref="DLD279:DLG279"/>
    <mergeCell ref="DLI279:DLM279"/>
    <mergeCell ref="DLO279:DLR279"/>
    <mergeCell ref="DLT279:DLW279"/>
    <mergeCell ref="DJM279:DJQ279"/>
    <mergeCell ref="DJS279:DJV279"/>
    <mergeCell ref="DJX279:DKA279"/>
    <mergeCell ref="DQR279:DQU279"/>
    <mergeCell ref="DOK279:DOO279"/>
    <mergeCell ref="DOQ279:DOT279"/>
    <mergeCell ref="DOV279:DOY279"/>
    <mergeCell ref="DPA279:DPE279"/>
    <mergeCell ref="DPG279:DPJ279"/>
    <mergeCell ref="DPL279:DPO279"/>
    <mergeCell ref="DNE279:DNI279"/>
    <mergeCell ref="DUJ279:DUM279"/>
    <mergeCell ref="DSC279:DSG279"/>
    <mergeCell ref="DSI279:DSL279"/>
    <mergeCell ref="DSN279:DSQ279"/>
    <mergeCell ref="DSS279:DSW279"/>
    <mergeCell ref="DSY279:DTB279"/>
    <mergeCell ref="DTD279:DTG279"/>
    <mergeCell ref="DQW279:DRA279"/>
    <mergeCell ref="DRC279:DRF279"/>
    <mergeCell ref="DRH279:DRK279"/>
    <mergeCell ref="DRM279:DRQ279"/>
    <mergeCell ref="DRS279:DRV279"/>
    <mergeCell ref="DRX279:DSA279"/>
    <mergeCell ref="DPQ279:DPU279"/>
    <mergeCell ref="DPW279:DPZ279"/>
    <mergeCell ref="DQB279:DQE279"/>
    <mergeCell ref="DQG279:DQK279"/>
    <mergeCell ref="DQM279:DQP279"/>
    <mergeCell ref="DTI279:DTM279"/>
    <mergeCell ref="DTO279:DTR279"/>
    <mergeCell ref="DTT279:DTW279"/>
    <mergeCell ref="DTY279:DUC279"/>
    <mergeCell ref="DUE279:DUH279"/>
    <mergeCell ref="DCY279:DDB279"/>
    <mergeCell ref="DDD279:DDG279"/>
    <mergeCell ref="CUS279:CUW279"/>
    <mergeCell ref="CUY279:CVB279"/>
    <mergeCell ref="CVD279:CVG279"/>
    <mergeCell ref="CVI279:CVM279"/>
    <mergeCell ref="CVO279:CVR279"/>
    <mergeCell ref="CVT279:CVW279"/>
    <mergeCell ref="CTM279:CTQ279"/>
    <mergeCell ref="CTS279:CTV279"/>
    <mergeCell ref="CTX279:CUA279"/>
    <mergeCell ref="CUC279:CUG279"/>
    <mergeCell ref="CUI279:CUL279"/>
    <mergeCell ref="CUN279:CUQ279"/>
    <mergeCell ref="DAM279:DAP279"/>
    <mergeCell ref="DAR279:DAU279"/>
    <mergeCell ref="DAW279:DBA279"/>
    <mergeCell ref="DBC279:DBF279"/>
    <mergeCell ref="DBH279:DBK279"/>
    <mergeCell ref="DBM279:DBQ279"/>
    <mergeCell ref="DBS279:DBV279"/>
    <mergeCell ref="DBX279:DCA279"/>
    <mergeCell ref="CZQ279:CZU279"/>
    <mergeCell ref="CZW279:CZZ279"/>
    <mergeCell ref="DAB279:DAE279"/>
    <mergeCell ref="DAG279:DAK279"/>
    <mergeCell ref="CTC279:CTF279"/>
    <mergeCell ref="CTH279:CTK279"/>
    <mergeCell ref="CYK279:CYO279"/>
    <mergeCell ref="CYQ279:CYT279"/>
    <mergeCell ref="CYV279:CYY279"/>
    <mergeCell ref="CZA279:CZE279"/>
    <mergeCell ref="CZG279:CZJ279"/>
    <mergeCell ref="CZL279:CZO279"/>
    <mergeCell ref="CXE279:CXI279"/>
    <mergeCell ref="CXK279:CXN279"/>
    <mergeCell ref="CXP279:CXS279"/>
    <mergeCell ref="CXU279:CXY279"/>
    <mergeCell ref="CYA279:CYD279"/>
    <mergeCell ref="CYF279:CYI279"/>
    <mergeCell ref="CVY279:CWC279"/>
    <mergeCell ref="CWE279:CWH279"/>
    <mergeCell ref="CWJ279:CWM279"/>
    <mergeCell ref="CWO279:CWS279"/>
    <mergeCell ref="CWU279:CWX279"/>
    <mergeCell ref="CWZ279:CXC279"/>
    <mergeCell ref="CNI279:CNM279"/>
    <mergeCell ref="CNO279:CNR279"/>
    <mergeCell ref="CNT279:CNW279"/>
    <mergeCell ref="CNY279:COC279"/>
    <mergeCell ref="COE279:COH279"/>
    <mergeCell ref="COJ279:COM279"/>
    <mergeCell ref="CMC279:CMG279"/>
    <mergeCell ref="CMI279:CML279"/>
    <mergeCell ref="CMN279:CMQ279"/>
    <mergeCell ref="CMS279:CMW279"/>
    <mergeCell ref="CMY279:CNB279"/>
    <mergeCell ref="CND279:CNG279"/>
    <mergeCell ref="CKW279:CLA279"/>
    <mergeCell ref="CLC279:CLF279"/>
    <mergeCell ref="CLH279:CLK279"/>
    <mergeCell ref="CLM279:CLQ279"/>
    <mergeCell ref="CLS279:CLV279"/>
    <mergeCell ref="CLX279:CMA279"/>
    <mergeCell ref="CRA279:CRE279"/>
    <mergeCell ref="CRG279:CRJ279"/>
    <mergeCell ref="CRL279:CRO279"/>
    <mergeCell ref="CRQ279:CRU279"/>
    <mergeCell ref="CRW279:CRZ279"/>
    <mergeCell ref="CSB279:CSE279"/>
    <mergeCell ref="CPU279:CPY279"/>
    <mergeCell ref="CQA279:CQD279"/>
    <mergeCell ref="CQF279:CQI279"/>
    <mergeCell ref="CQK279:CQO279"/>
    <mergeCell ref="CQQ279:CQT279"/>
    <mergeCell ref="CQV279:CQY279"/>
    <mergeCell ref="COO279:COS279"/>
    <mergeCell ref="COU279:COX279"/>
    <mergeCell ref="COZ279:CPC279"/>
    <mergeCell ref="CPE279:CPI279"/>
    <mergeCell ref="CPK279:CPN279"/>
    <mergeCell ref="CPP279:CPS279"/>
    <mergeCell ref="CFY279:CGC279"/>
    <mergeCell ref="CGE279:CGH279"/>
    <mergeCell ref="CGJ279:CGM279"/>
    <mergeCell ref="CGO279:CGS279"/>
    <mergeCell ref="CGU279:CGX279"/>
    <mergeCell ref="CGZ279:CHC279"/>
    <mergeCell ref="CES279:CEW279"/>
    <mergeCell ref="CEY279:CFB279"/>
    <mergeCell ref="CFD279:CFG279"/>
    <mergeCell ref="CFI279:CFM279"/>
    <mergeCell ref="CFO279:CFR279"/>
    <mergeCell ref="CFT279:CFW279"/>
    <mergeCell ref="CDM279:CDQ279"/>
    <mergeCell ref="CDS279:CDV279"/>
    <mergeCell ref="CDX279:CEA279"/>
    <mergeCell ref="CEC279:CEG279"/>
    <mergeCell ref="CEI279:CEL279"/>
    <mergeCell ref="CEN279:CEQ279"/>
    <mergeCell ref="CJQ279:CJU279"/>
    <mergeCell ref="CJW279:CJZ279"/>
    <mergeCell ref="CKB279:CKE279"/>
    <mergeCell ref="CKG279:CKK279"/>
    <mergeCell ref="CKM279:CKP279"/>
    <mergeCell ref="CKR279:CKU279"/>
    <mergeCell ref="CIK279:CIO279"/>
    <mergeCell ref="CIQ279:CIT279"/>
    <mergeCell ref="CIV279:CIY279"/>
    <mergeCell ref="CJA279:CJE279"/>
    <mergeCell ref="CJG279:CJJ279"/>
    <mergeCell ref="CJL279:CJO279"/>
    <mergeCell ref="CHE279:CHI279"/>
    <mergeCell ref="CHK279:CHN279"/>
    <mergeCell ref="CHP279:CHS279"/>
    <mergeCell ref="CHU279:CHY279"/>
    <mergeCell ref="CIA279:CID279"/>
    <mergeCell ref="CIF279:CII279"/>
    <mergeCell ref="BYO279:BYS279"/>
    <mergeCell ref="BYU279:BYX279"/>
    <mergeCell ref="BYZ279:BZC279"/>
    <mergeCell ref="BZE279:BZI279"/>
    <mergeCell ref="BZK279:BZN279"/>
    <mergeCell ref="BZP279:BZS279"/>
    <mergeCell ref="BXI279:BXM279"/>
    <mergeCell ref="BXO279:BXR279"/>
    <mergeCell ref="BXT279:BXW279"/>
    <mergeCell ref="BXY279:BYC279"/>
    <mergeCell ref="BYE279:BYH279"/>
    <mergeCell ref="BYJ279:BYM279"/>
    <mergeCell ref="BWC279:BWG279"/>
    <mergeCell ref="BWI279:BWL279"/>
    <mergeCell ref="BWN279:BWQ279"/>
    <mergeCell ref="BWS279:BWW279"/>
    <mergeCell ref="BWY279:BXB279"/>
    <mergeCell ref="BXD279:BXG279"/>
    <mergeCell ref="CCG279:CCK279"/>
    <mergeCell ref="CCM279:CCP279"/>
    <mergeCell ref="CCR279:CCU279"/>
    <mergeCell ref="CCW279:CDA279"/>
    <mergeCell ref="CDC279:CDF279"/>
    <mergeCell ref="CDH279:CDK279"/>
    <mergeCell ref="CBA279:CBE279"/>
    <mergeCell ref="CBG279:CBJ279"/>
    <mergeCell ref="CBL279:CBO279"/>
    <mergeCell ref="CBQ279:CBU279"/>
    <mergeCell ref="CBW279:CBZ279"/>
    <mergeCell ref="CCB279:CCE279"/>
    <mergeCell ref="BZU279:BZY279"/>
    <mergeCell ref="CAA279:CAD279"/>
    <mergeCell ref="CAF279:CAI279"/>
    <mergeCell ref="CAK279:CAO279"/>
    <mergeCell ref="CAQ279:CAT279"/>
    <mergeCell ref="CAV279:CAY279"/>
    <mergeCell ref="BRE279:BRI279"/>
    <mergeCell ref="BRK279:BRN279"/>
    <mergeCell ref="BRP279:BRS279"/>
    <mergeCell ref="BRU279:BRY279"/>
    <mergeCell ref="BSA279:BSD279"/>
    <mergeCell ref="BSF279:BSI279"/>
    <mergeCell ref="BPY279:BQC279"/>
    <mergeCell ref="BQE279:BQH279"/>
    <mergeCell ref="BQJ279:BQM279"/>
    <mergeCell ref="BQO279:BQS279"/>
    <mergeCell ref="BQU279:BQX279"/>
    <mergeCell ref="BQZ279:BRC279"/>
    <mergeCell ref="BOS279:BOW279"/>
    <mergeCell ref="BOY279:BPB279"/>
    <mergeCell ref="BPD279:BPG279"/>
    <mergeCell ref="BPI279:BPM279"/>
    <mergeCell ref="BPO279:BPR279"/>
    <mergeCell ref="BPT279:BPW279"/>
    <mergeCell ref="BUW279:BVA279"/>
    <mergeCell ref="BVC279:BVF279"/>
    <mergeCell ref="BVH279:BVK279"/>
    <mergeCell ref="BVM279:BVQ279"/>
    <mergeCell ref="BVS279:BVV279"/>
    <mergeCell ref="BVX279:BWA279"/>
    <mergeCell ref="BTQ279:BTU279"/>
    <mergeCell ref="BTW279:BTZ279"/>
    <mergeCell ref="BUB279:BUE279"/>
    <mergeCell ref="BUG279:BUK279"/>
    <mergeCell ref="BUM279:BUP279"/>
    <mergeCell ref="BUR279:BUU279"/>
    <mergeCell ref="BSK279:BSO279"/>
    <mergeCell ref="BSQ279:BST279"/>
    <mergeCell ref="BSV279:BSY279"/>
    <mergeCell ref="BTA279:BTE279"/>
    <mergeCell ref="BTG279:BTJ279"/>
    <mergeCell ref="BTL279:BTO279"/>
    <mergeCell ref="BJU279:BJY279"/>
    <mergeCell ref="BKA279:BKD279"/>
    <mergeCell ref="BKF279:BKI279"/>
    <mergeCell ref="BKK279:BKO279"/>
    <mergeCell ref="BKQ279:BKT279"/>
    <mergeCell ref="BKV279:BKY279"/>
    <mergeCell ref="BIO279:BIS279"/>
    <mergeCell ref="BIU279:BIX279"/>
    <mergeCell ref="BIZ279:BJC279"/>
    <mergeCell ref="BJE279:BJI279"/>
    <mergeCell ref="BJK279:BJN279"/>
    <mergeCell ref="BJP279:BJS279"/>
    <mergeCell ref="BHI279:BHM279"/>
    <mergeCell ref="BHO279:BHR279"/>
    <mergeCell ref="BHT279:BHW279"/>
    <mergeCell ref="BHY279:BIC279"/>
    <mergeCell ref="BIE279:BIH279"/>
    <mergeCell ref="BIJ279:BIM279"/>
    <mergeCell ref="BNM279:BNQ279"/>
    <mergeCell ref="BNS279:BNV279"/>
    <mergeCell ref="BNX279:BOA279"/>
    <mergeCell ref="BOC279:BOG279"/>
    <mergeCell ref="BOI279:BOL279"/>
    <mergeCell ref="BON279:BOQ279"/>
    <mergeCell ref="BMG279:BMK279"/>
    <mergeCell ref="BMM279:BMP279"/>
    <mergeCell ref="BMR279:BMU279"/>
    <mergeCell ref="BMW279:BNA279"/>
    <mergeCell ref="BNC279:BNF279"/>
    <mergeCell ref="BNH279:BNK279"/>
    <mergeCell ref="BLA279:BLE279"/>
    <mergeCell ref="BLG279:BLJ279"/>
    <mergeCell ref="BLL279:BLO279"/>
    <mergeCell ref="BLQ279:BLU279"/>
    <mergeCell ref="BLW279:BLZ279"/>
    <mergeCell ref="BMB279:BME279"/>
    <mergeCell ref="BCK279:BCO279"/>
    <mergeCell ref="BCQ279:BCT279"/>
    <mergeCell ref="BCV279:BCY279"/>
    <mergeCell ref="BDA279:BDE279"/>
    <mergeCell ref="BDG279:BDJ279"/>
    <mergeCell ref="BDL279:BDO279"/>
    <mergeCell ref="BBE279:BBI279"/>
    <mergeCell ref="BBK279:BBN279"/>
    <mergeCell ref="BBP279:BBS279"/>
    <mergeCell ref="BBU279:BBY279"/>
    <mergeCell ref="BCA279:BCD279"/>
    <mergeCell ref="BCF279:BCI279"/>
    <mergeCell ref="AZY279:BAC279"/>
    <mergeCell ref="BAE279:BAH279"/>
    <mergeCell ref="BAJ279:BAM279"/>
    <mergeCell ref="BAO279:BAS279"/>
    <mergeCell ref="BAU279:BAX279"/>
    <mergeCell ref="BAZ279:BBC279"/>
    <mergeCell ref="BGC279:BGG279"/>
    <mergeCell ref="BGI279:BGL279"/>
    <mergeCell ref="BGN279:BGQ279"/>
    <mergeCell ref="BGS279:BGW279"/>
    <mergeCell ref="BGY279:BHB279"/>
    <mergeCell ref="BHD279:BHG279"/>
    <mergeCell ref="BEW279:BFA279"/>
    <mergeCell ref="BFC279:BFF279"/>
    <mergeCell ref="BFH279:BFK279"/>
    <mergeCell ref="BFM279:BFQ279"/>
    <mergeCell ref="BFS279:BFV279"/>
    <mergeCell ref="BFX279:BGA279"/>
    <mergeCell ref="BDQ279:BDU279"/>
    <mergeCell ref="BDW279:BDZ279"/>
    <mergeCell ref="BEB279:BEE279"/>
    <mergeCell ref="BEG279:BEK279"/>
    <mergeCell ref="BEM279:BEP279"/>
    <mergeCell ref="BER279:BEU279"/>
    <mergeCell ref="AVA279:AVE279"/>
    <mergeCell ref="AVG279:AVJ279"/>
    <mergeCell ref="AVL279:AVO279"/>
    <mergeCell ref="AVQ279:AVU279"/>
    <mergeCell ref="AVW279:AVZ279"/>
    <mergeCell ref="AWB279:AWE279"/>
    <mergeCell ref="ATU279:ATY279"/>
    <mergeCell ref="AUA279:AUD279"/>
    <mergeCell ref="AUF279:AUI279"/>
    <mergeCell ref="AUK279:AUO279"/>
    <mergeCell ref="AUQ279:AUT279"/>
    <mergeCell ref="AUV279:AUY279"/>
    <mergeCell ref="ASO279:ASS279"/>
    <mergeCell ref="ASU279:ASX279"/>
    <mergeCell ref="ASZ279:ATC279"/>
    <mergeCell ref="ATE279:ATI279"/>
    <mergeCell ref="ATK279:ATN279"/>
    <mergeCell ref="ATP279:ATS279"/>
    <mergeCell ref="AYS279:AYW279"/>
    <mergeCell ref="AYY279:AZB279"/>
    <mergeCell ref="AZD279:AZG279"/>
    <mergeCell ref="AZI279:AZM279"/>
    <mergeCell ref="AZO279:AZR279"/>
    <mergeCell ref="AZT279:AZW279"/>
    <mergeCell ref="AXM279:AXQ279"/>
    <mergeCell ref="AXS279:AXV279"/>
    <mergeCell ref="AXX279:AYA279"/>
    <mergeCell ref="AYC279:AYG279"/>
    <mergeCell ref="AYI279:AYL279"/>
    <mergeCell ref="AYN279:AYQ279"/>
    <mergeCell ref="AWG279:AWK279"/>
    <mergeCell ref="AWM279:AWP279"/>
    <mergeCell ref="AWR279:AWU279"/>
    <mergeCell ref="AWW279:AXA279"/>
    <mergeCell ref="AXC279:AXF279"/>
    <mergeCell ref="AXH279:AXK279"/>
    <mergeCell ref="ANQ279:ANU279"/>
    <mergeCell ref="ANW279:ANZ279"/>
    <mergeCell ref="AOB279:AOE279"/>
    <mergeCell ref="AOG279:AOK279"/>
    <mergeCell ref="AOM279:AOP279"/>
    <mergeCell ref="AOR279:AOU279"/>
    <mergeCell ref="AMK279:AMO279"/>
    <mergeCell ref="AMQ279:AMT279"/>
    <mergeCell ref="AMV279:AMY279"/>
    <mergeCell ref="ANA279:ANE279"/>
    <mergeCell ref="ANG279:ANJ279"/>
    <mergeCell ref="ANL279:ANO279"/>
    <mergeCell ref="ALE279:ALI279"/>
    <mergeCell ref="ALK279:ALN279"/>
    <mergeCell ref="ALP279:ALS279"/>
    <mergeCell ref="ALU279:ALY279"/>
    <mergeCell ref="AMA279:AMD279"/>
    <mergeCell ref="AMF279:AMI279"/>
    <mergeCell ref="ARI279:ARM279"/>
    <mergeCell ref="ARO279:ARR279"/>
    <mergeCell ref="ART279:ARW279"/>
    <mergeCell ref="ARY279:ASC279"/>
    <mergeCell ref="ASE279:ASH279"/>
    <mergeCell ref="ASJ279:ASM279"/>
    <mergeCell ref="AQC279:AQG279"/>
    <mergeCell ref="AQI279:AQL279"/>
    <mergeCell ref="AQN279:AQQ279"/>
    <mergeCell ref="AQS279:AQW279"/>
    <mergeCell ref="AQY279:ARB279"/>
    <mergeCell ref="ARD279:ARG279"/>
    <mergeCell ref="AOW279:APA279"/>
    <mergeCell ref="APC279:APF279"/>
    <mergeCell ref="APH279:APK279"/>
    <mergeCell ref="APM279:APQ279"/>
    <mergeCell ref="APS279:APV279"/>
    <mergeCell ref="APX279:AQA279"/>
    <mergeCell ref="AGG279:AGK279"/>
    <mergeCell ref="AGM279:AGP279"/>
    <mergeCell ref="AGR279:AGU279"/>
    <mergeCell ref="AGW279:AHA279"/>
    <mergeCell ref="AHC279:AHF279"/>
    <mergeCell ref="AHH279:AHK279"/>
    <mergeCell ref="AFA279:AFE279"/>
    <mergeCell ref="AFG279:AFJ279"/>
    <mergeCell ref="AFL279:AFO279"/>
    <mergeCell ref="AFQ279:AFU279"/>
    <mergeCell ref="AFW279:AFZ279"/>
    <mergeCell ref="AGB279:AGE279"/>
    <mergeCell ref="ADU279:ADY279"/>
    <mergeCell ref="AEA279:AED279"/>
    <mergeCell ref="AEF279:AEI279"/>
    <mergeCell ref="AEK279:AEO279"/>
    <mergeCell ref="AEQ279:AET279"/>
    <mergeCell ref="AEV279:AEY279"/>
    <mergeCell ref="AJY279:AKC279"/>
    <mergeCell ref="AKE279:AKH279"/>
    <mergeCell ref="AKJ279:AKM279"/>
    <mergeCell ref="AKO279:AKS279"/>
    <mergeCell ref="AKU279:AKX279"/>
    <mergeCell ref="AKZ279:ALC279"/>
    <mergeCell ref="AIS279:AIW279"/>
    <mergeCell ref="AIY279:AJB279"/>
    <mergeCell ref="AJD279:AJG279"/>
    <mergeCell ref="AJI279:AJM279"/>
    <mergeCell ref="AJO279:AJR279"/>
    <mergeCell ref="AJT279:AJW279"/>
    <mergeCell ref="AHM279:AHQ279"/>
    <mergeCell ref="AHS279:AHV279"/>
    <mergeCell ref="AHX279:AIA279"/>
    <mergeCell ref="AIC279:AIG279"/>
    <mergeCell ref="AII279:AIL279"/>
    <mergeCell ref="AIN279:AIQ279"/>
    <mergeCell ref="ADP279:ADS279"/>
    <mergeCell ref="ABI279:ABM279"/>
    <mergeCell ref="ABO279:ABR279"/>
    <mergeCell ref="ABT279:ABW279"/>
    <mergeCell ref="ABY279:ACC279"/>
    <mergeCell ref="ACE279:ACH279"/>
    <mergeCell ref="ACJ279:ACM279"/>
    <mergeCell ref="AAC279:AAG279"/>
    <mergeCell ref="AAI279:AAL279"/>
    <mergeCell ref="AAN279:AAQ279"/>
    <mergeCell ref="AAS279:AAW279"/>
    <mergeCell ref="AAY279:ABB279"/>
    <mergeCell ref="ABD279:ABG279"/>
    <mergeCell ref="YW279:ZA279"/>
    <mergeCell ref="ZC279:ZF279"/>
    <mergeCell ref="ZH279:ZK279"/>
    <mergeCell ref="ZM279:ZQ279"/>
    <mergeCell ref="ZS279:ZV279"/>
    <mergeCell ref="ZX279:AAA279"/>
    <mergeCell ref="ACO279:ACS279"/>
    <mergeCell ref="ACU279:ACX279"/>
    <mergeCell ref="XQ279:XU279"/>
    <mergeCell ref="XW279:XZ279"/>
    <mergeCell ref="YB279:YE279"/>
    <mergeCell ref="YG279:YK279"/>
    <mergeCell ref="YM279:YP279"/>
    <mergeCell ref="YR279:YU279"/>
    <mergeCell ref="WK279:WO279"/>
    <mergeCell ref="WQ279:WT279"/>
    <mergeCell ref="WV279:WY279"/>
    <mergeCell ref="XA279:XE279"/>
    <mergeCell ref="XG279:XJ279"/>
    <mergeCell ref="XL279:XO279"/>
    <mergeCell ref="ACZ279:ADC279"/>
    <mergeCell ref="ADE279:ADI279"/>
    <mergeCell ref="ADK279:ADN279"/>
    <mergeCell ref="RM279:RQ279"/>
    <mergeCell ref="RS279:RV279"/>
    <mergeCell ref="RX279:SA279"/>
    <mergeCell ref="SC279:SG279"/>
    <mergeCell ref="SI279:SL279"/>
    <mergeCell ref="SN279:SQ279"/>
    <mergeCell ref="WF279:WI279"/>
    <mergeCell ref="QG279:QK279"/>
    <mergeCell ref="QM279:QP279"/>
    <mergeCell ref="QR279:QU279"/>
    <mergeCell ref="QW279:RA279"/>
    <mergeCell ref="RC279:RF279"/>
    <mergeCell ref="RH279:RK279"/>
    <mergeCell ref="PA279:PE279"/>
    <mergeCell ref="PG279:PJ279"/>
    <mergeCell ref="PL279:PO279"/>
    <mergeCell ref="PQ279:PU279"/>
    <mergeCell ref="PW279:PZ279"/>
    <mergeCell ref="QB279:QE279"/>
    <mergeCell ref="VE279:VI279"/>
    <mergeCell ref="VK279:VN279"/>
    <mergeCell ref="VP279:VS279"/>
    <mergeCell ref="VU279:VY279"/>
    <mergeCell ref="WA279:WD279"/>
    <mergeCell ref="TY279:UC279"/>
    <mergeCell ref="UE279:UH279"/>
    <mergeCell ref="UJ279:UM279"/>
    <mergeCell ref="UO279:US279"/>
    <mergeCell ref="UU279:UX279"/>
    <mergeCell ref="UZ279:VC279"/>
    <mergeCell ref="SS279:SW279"/>
    <mergeCell ref="SY279:TB279"/>
    <mergeCell ref="TD279:TG279"/>
    <mergeCell ref="TI279:TM279"/>
    <mergeCell ref="TO279:TR279"/>
    <mergeCell ref="TT279:TW279"/>
    <mergeCell ref="KC279:KG279"/>
    <mergeCell ref="KI279:KL279"/>
    <mergeCell ref="KN279:KQ279"/>
    <mergeCell ref="KS279:KW279"/>
    <mergeCell ref="KY279:LB279"/>
    <mergeCell ref="LD279:LG279"/>
    <mergeCell ref="IW279:JA279"/>
    <mergeCell ref="JC279:JF279"/>
    <mergeCell ref="JH279:JK279"/>
    <mergeCell ref="JM279:JQ279"/>
    <mergeCell ref="JS279:JV279"/>
    <mergeCell ref="JX279:KA279"/>
    <mergeCell ref="HQ279:HU279"/>
    <mergeCell ref="HW279:HZ279"/>
    <mergeCell ref="IB279:IE279"/>
    <mergeCell ref="IG279:IK279"/>
    <mergeCell ref="IM279:IP279"/>
    <mergeCell ref="IR279:IU279"/>
    <mergeCell ref="NU279:NY279"/>
    <mergeCell ref="OA279:OD279"/>
    <mergeCell ref="OF279:OI279"/>
    <mergeCell ref="OK279:OO279"/>
    <mergeCell ref="OQ279:OT279"/>
    <mergeCell ref="OV279:OY279"/>
    <mergeCell ref="MO279:MS279"/>
    <mergeCell ref="MU279:MX279"/>
    <mergeCell ref="MZ279:NC279"/>
    <mergeCell ref="NE279:NI279"/>
    <mergeCell ref="NK279:NN279"/>
    <mergeCell ref="NP279:NS279"/>
    <mergeCell ref="LI279:LM279"/>
    <mergeCell ref="LO279:LR279"/>
    <mergeCell ref="LT279:LW279"/>
    <mergeCell ref="LY279:MC279"/>
    <mergeCell ref="ME279:MH279"/>
    <mergeCell ref="MJ279:MM279"/>
    <mergeCell ref="EZ279:FC279"/>
    <mergeCell ref="CS279:CW279"/>
    <mergeCell ref="CY279:DB279"/>
    <mergeCell ref="DD279:DG279"/>
    <mergeCell ref="DI279:DM279"/>
    <mergeCell ref="DO279:DR279"/>
    <mergeCell ref="DT279:DW279"/>
    <mergeCell ref="BM279:BQ279"/>
    <mergeCell ref="BS279:BV279"/>
    <mergeCell ref="BX279:CA279"/>
    <mergeCell ref="CC279:CG279"/>
    <mergeCell ref="CI279:CL279"/>
    <mergeCell ref="CN279:CQ279"/>
    <mergeCell ref="AG279:AK279"/>
    <mergeCell ref="AM279:AP279"/>
    <mergeCell ref="AR279:AU279"/>
    <mergeCell ref="AW279:BA279"/>
    <mergeCell ref="BC279:BF279"/>
    <mergeCell ref="BH279:BK279"/>
    <mergeCell ref="DOA272:DOE272"/>
    <mergeCell ref="DOF272:DOJ272"/>
    <mergeCell ref="DOK272:DOK273"/>
    <mergeCell ref="DOL272:DOP272"/>
    <mergeCell ref="DOQ272:DOU272"/>
    <mergeCell ref="DOV272:DOZ272"/>
    <mergeCell ref="DNE272:DNE273"/>
    <mergeCell ref="DNF272:DNJ272"/>
    <mergeCell ref="DNK272:DNO272"/>
    <mergeCell ref="DNP272:DNT272"/>
    <mergeCell ref="DNU272:DNU273"/>
    <mergeCell ref="DNV272:DNZ272"/>
    <mergeCell ref="Q279:U279"/>
    <mergeCell ref="W279:Z279"/>
    <mergeCell ref="AB279:AE279"/>
    <mergeCell ref="GK279:GO279"/>
    <mergeCell ref="GQ279:GT279"/>
    <mergeCell ref="GV279:GY279"/>
    <mergeCell ref="HA279:HE279"/>
    <mergeCell ref="HG279:HJ279"/>
    <mergeCell ref="HL279:HO279"/>
    <mergeCell ref="FE279:FI279"/>
    <mergeCell ref="FK279:FN279"/>
    <mergeCell ref="FP279:FS279"/>
    <mergeCell ref="FU279:FY279"/>
    <mergeCell ref="GA279:GD279"/>
    <mergeCell ref="GF279:GI279"/>
    <mergeCell ref="DY279:EC279"/>
    <mergeCell ref="EE279:EH279"/>
    <mergeCell ref="EJ279:EM279"/>
    <mergeCell ref="EO279:ES279"/>
    <mergeCell ref="EU279:EX279"/>
    <mergeCell ref="DQW272:DQW273"/>
    <mergeCell ref="DQX272:DRB272"/>
    <mergeCell ref="DRC272:DRG272"/>
    <mergeCell ref="DRH272:DRL272"/>
    <mergeCell ref="DRM272:DRM273"/>
    <mergeCell ref="DRN272:DRR272"/>
    <mergeCell ref="DPW272:DQA272"/>
    <mergeCell ref="DQB272:DQF272"/>
    <mergeCell ref="DQG272:DQG273"/>
    <mergeCell ref="DQH272:DQL272"/>
    <mergeCell ref="DQM272:DQQ272"/>
    <mergeCell ref="DQR272:DQV272"/>
    <mergeCell ref="DPA272:DPA273"/>
    <mergeCell ref="DPB272:DPF272"/>
    <mergeCell ref="DPG272:DPK272"/>
    <mergeCell ref="DPL272:DPP272"/>
    <mergeCell ref="DPQ272:DPQ273"/>
    <mergeCell ref="DPR272:DPV272"/>
    <mergeCell ref="DTO272:DTS272"/>
    <mergeCell ref="DTT272:DTX272"/>
    <mergeCell ref="DTY272:DTY273"/>
    <mergeCell ref="DTZ272:DUD272"/>
    <mergeCell ref="DUE272:DUI272"/>
    <mergeCell ref="DUJ272:DUN272"/>
    <mergeCell ref="DSS272:DSS273"/>
    <mergeCell ref="DST272:DSX272"/>
    <mergeCell ref="DSY272:DTC272"/>
    <mergeCell ref="DTD272:DTH272"/>
    <mergeCell ref="DTI272:DTI273"/>
    <mergeCell ref="DTJ272:DTN272"/>
    <mergeCell ref="DRS272:DRW272"/>
    <mergeCell ref="DRX272:DSB272"/>
    <mergeCell ref="DSC272:DSC273"/>
    <mergeCell ref="DSD272:DSH272"/>
    <mergeCell ref="DSI272:DSM272"/>
    <mergeCell ref="DSN272:DSR272"/>
    <mergeCell ref="DJM272:DJM273"/>
    <mergeCell ref="DJN272:DJR272"/>
    <mergeCell ref="DJS272:DJW272"/>
    <mergeCell ref="DJX272:DKB272"/>
    <mergeCell ref="DKC272:DKC273"/>
    <mergeCell ref="DKD272:DKH272"/>
    <mergeCell ref="DIM272:DIQ272"/>
    <mergeCell ref="DIR272:DIV272"/>
    <mergeCell ref="DIW272:DIW273"/>
    <mergeCell ref="DIX272:DJB272"/>
    <mergeCell ref="DJC272:DJG272"/>
    <mergeCell ref="DJH272:DJL272"/>
    <mergeCell ref="DHQ272:DHQ273"/>
    <mergeCell ref="DHR272:DHV272"/>
    <mergeCell ref="DHW272:DIA272"/>
    <mergeCell ref="DIB272:DIF272"/>
    <mergeCell ref="DIG272:DIG273"/>
    <mergeCell ref="DIH272:DIL272"/>
    <mergeCell ref="DMJ272:DMN272"/>
    <mergeCell ref="DMO272:DMO273"/>
    <mergeCell ref="DMP272:DMT272"/>
    <mergeCell ref="DMU272:DMY272"/>
    <mergeCell ref="DMZ272:DND272"/>
    <mergeCell ref="DLI272:DLI273"/>
    <mergeCell ref="DLJ272:DLN272"/>
    <mergeCell ref="DLO272:DLS272"/>
    <mergeCell ref="DLT272:DLX272"/>
    <mergeCell ref="DLY272:DLY273"/>
    <mergeCell ref="DLZ272:DMD272"/>
    <mergeCell ref="DKI272:DKM272"/>
    <mergeCell ref="DKN272:DKR272"/>
    <mergeCell ref="DKS272:DKS273"/>
    <mergeCell ref="DKT272:DKX272"/>
    <mergeCell ref="DKY272:DLC272"/>
    <mergeCell ref="DLD272:DLH272"/>
    <mergeCell ref="DME272:DMI272"/>
    <mergeCell ref="DDY272:DDY273"/>
    <mergeCell ref="DDZ272:DED272"/>
    <mergeCell ref="DEE272:DEI272"/>
    <mergeCell ref="DEJ272:DEN272"/>
    <mergeCell ref="DEO272:DEO273"/>
    <mergeCell ref="DEP272:DET272"/>
    <mergeCell ref="DCY272:DDC272"/>
    <mergeCell ref="DDD272:DDH272"/>
    <mergeCell ref="DDI272:DDI273"/>
    <mergeCell ref="DDJ272:DDN272"/>
    <mergeCell ref="DDO272:DDS272"/>
    <mergeCell ref="DDT272:DDX272"/>
    <mergeCell ref="DCC272:DCC273"/>
    <mergeCell ref="DCD272:DCH272"/>
    <mergeCell ref="DCI272:DCM272"/>
    <mergeCell ref="DCN272:DCR272"/>
    <mergeCell ref="DCS272:DCS273"/>
    <mergeCell ref="DCT272:DCX272"/>
    <mergeCell ref="DGQ272:DGU272"/>
    <mergeCell ref="DGV272:DGZ272"/>
    <mergeCell ref="DHA272:DHA273"/>
    <mergeCell ref="DHB272:DHF272"/>
    <mergeCell ref="DHG272:DHK272"/>
    <mergeCell ref="DHL272:DHP272"/>
    <mergeCell ref="DFU272:DFU273"/>
    <mergeCell ref="DFV272:DFZ272"/>
    <mergeCell ref="DGA272:DGE272"/>
    <mergeCell ref="DGF272:DGJ272"/>
    <mergeCell ref="DGK272:DGK273"/>
    <mergeCell ref="DGL272:DGP272"/>
    <mergeCell ref="DEU272:DEY272"/>
    <mergeCell ref="DEZ272:DFD272"/>
    <mergeCell ref="DFE272:DFE273"/>
    <mergeCell ref="DFF272:DFJ272"/>
    <mergeCell ref="DFK272:DFO272"/>
    <mergeCell ref="DFP272:DFT272"/>
    <mergeCell ref="CYK272:CYK273"/>
    <mergeCell ref="CYL272:CYP272"/>
    <mergeCell ref="CYQ272:CYU272"/>
    <mergeCell ref="CYV272:CYZ272"/>
    <mergeCell ref="CZA272:CZA273"/>
    <mergeCell ref="CZB272:CZF272"/>
    <mergeCell ref="CXK272:CXO272"/>
    <mergeCell ref="CXP272:CXT272"/>
    <mergeCell ref="CXU272:CXU273"/>
    <mergeCell ref="CXV272:CXZ272"/>
    <mergeCell ref="CYA272:CYE272"/>
    <mergeCell ref="CYF272:CYJ272"/>
    <mergeCell ref="CWO272:CWO273"/>
    <mergeCell ref="CWP272:CWT272"/>
    <mergeCell ref="CWU272:CWY272"/>
    <mergeCell ref="CWZ272:CXD272"/>
    <mergeCell ref="CXE272:CXE273"/>
    <mergeCell ref="CXF272:CXJ272"/>
    <mergeCell ref="DBC272:DBG272"/>
    <mergeCell ref="DBH272:DBL272"/>
    <mergeCell ref="DBM272:DBM273"/>
    <mergeCell ref="DBN272:DBR272"/>
    <mergeCell ref="DBS272:DBW272"/>
    <mergeCell ref="DBX272:DCB272"/>
    <mergeCell ref="DAG272:DAG273"/>
    <mergeCell ref="DAH272:DAL272"/>
    <mergeCell ref="DAM272:DAQ272"/>
    <mergeCell ref="DAR272:DAV272"/>
    <mergeCell ref="DAW272:DAW273"/>
    <mergeCell ref="DAX272:DBB272"/>
    <mergeCell ref="CZG272:CZK272"/>
    <mergeCell ref="CZL272:CZP272"/>
    <mergeCell ref="CZQ272:CZQ273"/>
    <mergeCell ref="CZR272:CZV272"/>
    <mergeCell ref="CZW272:DAA272"/>
    <mergeCell ref="DAB272:DAF272"/>
    <mergeCell ref="CSW272:CSW273"/>
    <mergeCell ref="CSX272:CTB272"/>
    <mergeCell ref="CTC272:CTG272"/>
    <mergeCell ref="CTH272:CTL272"/>
    <mergeCell ref="CTM272:CTM273"/>
    <mergeCell ref="CTN272:CTR272"/>
    <mergeCell ref="CRW272:CSA272"/>
    <mergeCell ref="CSB272:CSF272"/>
    <mergeCell ref="CSG272:CSG273"/>
    <mergeCell ref="CSH272:CSL272"/>
    <mergeCell ref="CSM272:CSQ272"/>
    <mergeCell ref="CSR272:CSV272"/>
    <mergeCell ref="CRA272:CRA273"/>
    <mergeCell ref="CRB272:CRF272"/>
    <mergeCell ref="CRG272:CRK272"/>
    <mergeCell ref="CRL272:CRP272"/>
    <mergeCell ref="CRQ272:CRQ273"/>
    <mergeCell ref="CRR272:CRV272"/>
    <mergeCell ref="CVO272:CVS272"/>
    <mergeCell ref="CVT272:CVX272"/>
    <mergeCell ref="CVY272:CVY273"/>
    <mergeCell ref="CVZ272:CWD272"/>
    <mergeCell ref="CWE272:CWI272"/>
    <mergeCell ref="CWJ272:CWN272"/>
    <mergeCell ref="CUS272:CUS273"/>
    <mergeCell ref="CUT272:CUX272"/>
    <mergeCell ref="CUY272:CVC272"/>
    <mergeCell ref="CVD272:CVH272"/>
    <mergeCell ref="CVI272:CVI273"/>
    <mergeCell ref="CVJ272:CVN272"/>
    <mergeCell ref="CTS272:CTW272"/>
    <mergeCell ref="CTX272:CUB272"/>
    <mergeCell ref="CUC272:CUC273"/>
    <mergeCell ref="CUD272:CUH272"/>
    <mergeCell ref="CUI272:CUM272"/>
    <mergeCell ref="CUN272:CUR272"/>
    <mergeCell ref="CNI272:CNI273"/>
    <mergeCell ref="CNJ272:CNN272"/>
    <mergeCell ref="CNO272:CNS272"/>
    <mergeCell ref="CNT272:CNX272"/>
    <mergeCell ref="CNY272:CNY273"/>
    <mergeCell ref="CNZ272:COD272"/>
    <mergeCell ref="CMI272:CMM272"/>
    <mergeCell ref="CMN272:CMR272"/>
    <mergeCell ref="CMS272:CMS273"/>
    <mergeCell ref="CMT272:CMX272"/>
    <mergeCell ref="CMY272:CNC272"/>
    <mergeCell ref="CND272:CNH272"/>
    <mergeCell ref="CLM272:CLM273"/>
    <mergeCell ref="CLN272:CLR272"/>
    <mergeCell ref="CLS272:CLW272"/>
    <mergeCell ref="CLX272:CMB272"/>
    <mergeCell ref="CMC272:CMC273"/>
    <mergeCell ref="CMD272:CMH272"/>
    <mergeCell ref="CQA272:CQE272"/>
    <mergeCell ref="CQF272:CQJ272"/>
    <mergeCell ref="CQK272:CQK273"/>
    <mergeCell ref="CQL272:CQP272"/>
    <mergeCell ref="CQQ272:CQU272"/>
    <mergeCell ref="CQV272:CQZ272"/>
    <mergeCell ref="CPE272:CPE273"/>
    <mergeCell ref="CPF272:CPJ272"/>
    <mergeCell ref="CPK272:CPO272"/>
    <mergeCell ref="CPP272:CPT272"/>
    <mergeCell ref="CPU272:CPU273"/>
    <mergeCell ref="CPV272:CPZ272"/>
    <mergeCell ref="COE272:COI272"/>
    <mergeCell ref="COJ272:CON272"/>
    <mergeCell ref="COO272:COO273"/>
    <mergeCell ref="COP272:COT272"/>
    <mergeCell ref="COU272:COY272"/>
    <mergeCell ref="COZ272:CPD272"/>
    <mergeCell ref="CHU272:CHU273"/>
    <mergeCell ref="CHV272:CHZ272"/>
    <mergeCell ref="CIA272:CIE272"/>
    <mergeCell ref="CIF272:CIJ272"/>
    <mergeCell ref="CIK272:CIK273"/>
    <mergeCell ref="CIL272:CIP272"/>
    <mergeCell ref="CGU272:CGY272"/>
    <mergeCell ref="CGZ272:CHD272"/>
    <mergeCell ref="CHE272:CHE273"/>
    <mergeCell ref="CHF272:CHJ272"/>
    <mergeCell ref="CHK272:CHO272"/>
    <mergeCell ref="CHP272:CHT272"/>
    <mergeCell ref="CFY272:CFY273"/>
    <mergeCell ref="CFZ272:CGD272"/>
    <mergeCell ref="CGE272:CGI272"/>
    <mergeCell ref="CGJ272:CGN272"/>
    <mergeCell ref="CGO272:CGO273"/>
    <mergeCell ref="CGP272:CGT272"/>
    <mergeCell ref="CKM272:CKQ272"/>
    <mergeCell ref="CKR272:CKV272"/>
    <mergeCell ref="CKW272:CKW273"/>
    <mergeCell ref="CKX272:CLB272"/>
    <mergeCell ref="CLC272:CLG272"/>
    <mergeCell ref="CLH272:CLL272"/>
    <mergeCell ref="CJQ272:CJQ273"/>
    <mergeCell ref="CJR272:CJV272"/>
    <mergeCell ref="CJW272:CKA272"/>
    <mergeCell ref="CKB272:CKF272"/>
    <mergeCell ref="CKG272:CKG273"/>
    <mergeCell ref="CKH272:CKL272"/>
    <mergeCell ref="CIQ272:CIU272"/>
    <mergeCell ref="CIV272:CIZ272"/>
    <mergeCell ref="CJA272:CJA273"/>
    <mergeCell ref="CJB272:CJF272"/>
    <mergeCell ref="CJG272:CJK272"/>
    <mergeCell ref="CJL272:CJP272"/>
    <mergeCell ref="CCG272:CCG273"/>
    <mergeCell ref="CCH272:CCL272"/>
    <mergeCell ref="CCM272:CCQ272"/>
    <mergeCell ref="CCR272:CCV272"/>
    <mergeCell ref="CCW272:CCW273"/>
    <mergeCell ref="CCX272:CDB272"/>
    <mergeCell ref="CBG272:CBK272"/>
    <mergeCell ref="CBL272:CBP272"/>
    <mergeCell ref="CBQ272:CBQ273"/>
    <mergeCell ref="CBR272:CBV272"/>
    <mergeCell ref="CBW272:CCA272"/>
    <mergeCell ref="CCB272:CCF272"/>
    <mergeCell ref="CAK272:CAK273"/>
    <mergeCell ref="CAL272:CAP272"/>
    <mergeCell ref="CAQ272:CAU272"/>
    <mergeCell ref="CAV272:CAZ272"/>
    <mergeCell ref="CBA272:CBA273"/>
    <mergeCell ref="CBB272:CBF272"/>
    <mergeCell ref="CEY272:CFC272"/>
    <mergeCell ref="CFD272:CFH272"/>
    <mergeCell ref="CFI272:CFI273"/>
    <mergeCell ref="CFJ272:CFN272"/>
    <mergeCell ref="CFO272:CFS272"/>
    <mergeCell ref="CFT272:CFX272"/>
    <mergeCell ref="CEC272:CEC273"/>
    <mergeCell ref="CED272:CEH272"/>
    <mergeCell ref="CEI272:CEM272"/>
    <mergeCell ref="CEN272:CER272"/>
    <mergeCell ref="CES272:CES273"/>
    <mergeCell ref="CET272:CEX272"/>
    <mergeCell ref="CDC272:CDG272"/>
    <mergeCell ref="CDH272:CDL272"/>
    <mergeCell ref="CDM272:CDM273"/>
    <mergeCell ref="CDN272:CDR272"/>
    <mergeCell ref="CDS272:CDW272"/>
    <mergeCell ref="CDX272:CEB272"/>
    <mergeCell ref="BWS272:BWS273"/>
    <mergeCell ref="BWT272:BWX272"/>
    <mergeCell ref="BWY272:BXC272"/>
    <mergeCell ref="BXD272:BXH272"/>
    <mergeCell ref="BXI272:BXI273"/>
    <mergeCell ref="BXJ272:BXN272"/>
    <mergeCell ref="BVS272:BVW272"/>
    <mergeCell ref="BVX272:BWB272"/>
    <mergeCell ref="BWC272:BWC273"/>
    <mergeCell ref="BWD272:BWH272"/>
    <mergeCell ref="BWI272:BWM272"/>
    <mergeCell ref="BWN272:BWR272"/>
    <mergeCell ref="BUW272:BUW273"/>
    <mergeCell ref="BUX272:BVB272"/>
    <mergeCell ref="BVC272:BVG272"/>
    <mergeCell ref="BVH272:BVL272"/>
    <mergeCell ref="BVM272:BVM273"/>
    <mergeCell ref="BVN272:BVR272"/>
    <mergeCell ref="BZK272:BZO272"/>
    <mergeCell ref="BZP272:BZT272"/>
    <mergeCell ref="BZU272:BZU273"/>
    <mergeCell ref="BZV272:BZZ272"/>
    <mergeCell ref="CAA272:CAE272"/>
    <mergeCell ref="CAF272:CAJ272"/>
    <mergeCell ref="BYO272:BYO273"/>
    <mergeCell ref="BYP272:BYT272"/>
    <mergeCell ref="BYU272:BYY272"/>
    <mergeCell ref="BYZ272:BZD272"/>
    <mergeCell ref="BZE272:BZE273"/>
    <mergeCell ref="BZF272:BZJ272"/>
    <mergeCell ref="BXO272:BXS272"/>
    <mergeCell ref="BXT272:BXX272"/>
    <mergeCell ref="BXY272:BXY273"/>
    <mergeCell ref="BXZ272:BYD272"/>
    <mergeCell ref="BYE272:BYI272"/>
    <mergeCell ref="BYJ272:BYN272"/>
    <mergeCell ref="BRE272:BRE273"/>
    <mergeCell ref="BRF272:BRJ272"/>
    <mergeCell ref="BRK272:BRO272"/>
    <mergeCell ref="BRP272:BRT272"/>
    <mergeCell ref="BRU272:BRU273"/>
    <mergeCell ref="BRV272:BRZ272"/>
    <mergeCell ref="BQE272:BQI272"/>
    <mergeCell ref="BQJ272:BQN272"/>
    <mergeCell ref="BQO272:BQO273"/>
    <mergeCell ref="BQP272:BQT272"/>
    <mergeCell ref="BQU272:BQY272"/>
    <mergeCell ref="BQZ272:BRD272"/>
    <mergeCell ref="BPI272:BPI273"/>
    <mergeCell ref="BPJ272:BPN272"/>
    <mergeCell ref="BPO272:BPS272"/>
    <mergeCell ref="BPT272:BPX272"/>
    <mergeCell ref="BPY272:BPY273"/>
    <mergeCell ref="BPZ272:BQD272"/>
    <mergeCell ref="BTW272:BUA272"/>
    <mergeCell ref="BUB272:BUF272"/>
    <mergeCell ref="BUG272:BUG273"/>
    <mergeCell ref="BUH272:BUL272"/>
    <mergeCell ref="BUM272:BUQ272"/>
    <mergeCell ref="BUR272:BUV272"/>
    <mergeCell ref="BTA272:BTA273"/>
    <mergeCell ref="BTB272:BTF272"/>
    <mergeCell ref="BTG272:BTK272"/>
    <mergeCell ref="BTL272:BTP272"/>
    <mergeCell ref="BTQ272:BTQ273"/>
    <mergeCell ref="BTR272:BTV272"/>
    <mergeCell ref="BSA272:BSE272"/>
    <mergeCell ref="BSF272:BSJ272"/>
    <mergeCell ref="BSK272:BSK273"/>
    <mergeCell ref="BSL272:BSP272"/>
    <mergeCell ref="BSQ272:BSU272"/>
    <mergeCell ref="BSV272:BSZ272"/>
    <mergeCell ref="BLQ272:BLQ273"/>
    <mergeCell ref="BLR272:BLV272"/>
    <mergeCell ref="BLW272:BMA272"/>
    <mergeCell ref="BMB272:BMF272"/>
    <mergeCell ref="BMG272:BMG273"/>
    <mergeCell ref="BMH272:BML272"/>
    <mergeCell ref="BKQ272:BKU272"/>
    <mergeCell ref="BKV272:BKZ272"/>
    <mergeCell ref="BLA272:BLA273"/>
    <mergeCell ref="BLB272:BLF272"/>
    <mergeCell ref="BLG272:BLK272"/>
    <mergeCell ref="BLL272:BLP272"/>
    <mergeCell ref="BJU272:BJU273"/>
    <mergeCell ref="BJV272:BJZ272"/>
    <mergeCell ref="BKA272:BKE272"/>
    <mergeCell ref="BKF272:BKJ272"/>
    <mergeCell ref="BKK272:BKK273"/>
    <mergeCell ref="BKL272:BKP272"/>
    <mergeCell ref="BOI272:BOM272"/>
    <mergeCell ref="BON272:BOR272"/>
    <mergeCell ref="BOS272:BOS273"/>
    <mergeCell ref="BOT272:BOX272"/>
    <mergeCell ref="BOY272:BPC272"/>
    <mergeCell ref="BPD272:BPH272"/>
    <mergeCell ref="BNM272:BNM273"/>
    <mergeCell ref="BNN272:BNR272"/>
    <mergeCell ref="BNS272:BNW272"/>
    <mergeCell ref="BNX272:BOB272"/>
    <mergeCell ref="BOC272:BOC273"/>
    <mergeCell ref="BOD272:BOH272"/>
    <mergeCell ref="BMM272:BMQ272"/>
    <mergeCell ref="BMR272:BMV272"/>
    <mergeCell ref="BMW272:BMW273"/>
    <mergeCell ref="BMX272:BNB272"/>
    <mergeCell ref="BNC272:BNG272"/>
    <mergeCell ref="BNH272:BNL272"/>
    <mergeCell ref="BGC272:BGC273"/>
    <mergeCell ref="BGD272:BGH272"/>
    <mergeCell ref="BGI272:BGM272"/>
    <mergeCell ref="BGN272:BGR272"/>
    <mergeCell ref="BGS272:BGS273"/>
    <mergeCell ref="BGT272:BGX272"/>
    <mergeCell ref="BFC272:BFG272"/>
    <mergeCell ref="BFH272:BFL272"/>
    <mergeCell ref="BFM272:BFM273"/>
    <mergeCell ref="BFN272:BFR272"/>
    <mergeCell ref="BFS272:BFW272"/>
    <mergeCell ref="BFX272:BGB272"/>
    <mergeCell ref="BEG272:BEG273"/>
    <mergeCell ref="BEH272:BEL272"/>
    <mergeCell ref="BEM272:BEQ272"/>
    <mergeCell ref="BER272:BEV272"/>
    <mergeCell ref="BEW272:BEW273"/>
    <mergeCell ref="BEX272:BFB272"/>
    <mergeCell ref="BIU272:BIY272"/>
    <mergeCell ref="BIZ272:BJD272"/>
    <mergeCell ref="BJE272:BJE273"/>
    <mergeCell ref="BJF272:BJJ272"/>
    <mergeCell ref="BJK272:BJO272"/>
    <mergeCell ref="BJP272:BJT272"/>
    <mergeCell ref="BHY272:BHY273"/>
    <mergeCell ref="BHZ272:BID272"/>
    <mergeCell ref="BIE272:BII272"/>
    <mergeCell ref="BIJ272:BIN272"/>
    <mergeCell ref="BIO272:BIO273"/>
    <mergeCell ref="BIP272:BIT272"/>
    <mergeCell ref="BGY272:BHC272"/>
    <mergeCell ref="BHD272:BHH272"/>
    <mergeCell ref="BHI272:BHI273"/>
    <mergeCell ref="BHJ272:BHN272"/>
    <mergeCell ref="BHO272:BHS272"/>
    <mergeCell ref="BHT272:BHX272"/>
    <mergeCell ref="BAO272:BAO273"/>
    <mergeCell ref="BAP272:BAT272"/>
    <mergeCell ref="BAU272:BAY272"/>
    <mergeCell ref="BAZ272:BBD272"/>
    <mergeCell ref="BBE272:BBE273"/>
    <mergeCell ref="BBF272:BBJ272"/>
    <mergeCell ref="AZO272:AZS272"/>
    <mergeCell ref="AZT272:AZX272"/>
    <mergeCell ref="AZY272:AZY273"/>
    <mergeCell ref="AZZ272:BAD272"/>
    <mergeCell ref="BAE272:BAI272"/>
    <mergeCell ref="BAJ272:BAN272"/>
    <mergeCell ref="AYS272:AYS273"/>
    <mergeCell ref="AYT272:AYX272"/>
    <mergeCell ref="AYY272:AZC272"/>
    <mergeCell ref="AZD272:AZH272"/>
    <mergeCell ref="AZI272:AZI273"/>
    <mergeCell ref="AZJ272:AZN272"/>
    <mergeCell ref="BDG272:BDK272"/>
    <mergeCell ref="BDL272:BDP272"/>
    <mergeCell ref="BDQ272:BDQ273"/>
    <mergeCell ref="BDR272:BDV272"/>
    <mergeCell ref="BDW272:BEA272"/>
    <mergeCell ref="BEB272:BEF272"/>
    <mergeCell ref="BCK272:BCK273"/>
    <mergeCell ref="BCL272:BCP272"/>
    <mergeCell ref="BCQ272:BCU272"/>
    <mergeCell ref="BCV272:BCZ272"/>
    <mergeCell ref="BDA272:BDA273"/>
    <mergeCell ref="BDB272:BDF272"/>
    <mergeCell ref="BBK272:BBO272"/>
    <mergeCell ref="BBP272:BBT272"/>
    <mergeCell ref="BBU272:BBU273"/>
    <mergeCell ref="BBV272:BBZ272"/>
    <mergeCell ref="BCA272:BCE272"/>
    <mergeCell ref="BCF272:BCJ272"/>
    <mergeCell ref="AVA272:AVA273"/>
    <mergeCell ref="AVB272:AVF272"/>
    <mergeCell ref="AVG272:AVK272"/>
    <mergeCell ref="AVL272:AVP272"/>
    <mergeCell ref="AVQ272:AVQ273"/>
    <mergeCell ref="AVR272:AVV272"/>
    <mergeCell ref="AUA272:AUE272"/>
    <mergeCell ref="AUF272:AUJ272"/>
    <mergeCell ref="AUK272:AUK273"/>
    <mergeCell ref="AUL272:AUP272"/>
    <mergeCell ref="AUQ272:AUU272"/>
    <mergeCell ref="AUV272:AUZ272"/>
    <mergeCell ref="ATE272:ATE273"/>
    <mergeCell ref="ATF272:ATJ272"/>
    <mergeCell ref="ATK272:ATO272"/>
    <mergeCell ref="ATP272:ATT272"/>
    <mergeCell ref="ATU272:ATU273"/>
    <mergeCell ref="ATV272:ATZ272"/>
    <mergeCell ref="AXS272:AXW272"/>
    <mergeCell ref="AXX272:AYB272"/>
    <mergeCell ref="AYC272:AYC273"/>
    <mergeCell ref="AYD272:AYH272"/>
    <mergeCell ref="AYI272:AYM272"/>
    <mergeCell ref="AYN272:AYR272"/>
    <mergeCell ref="AWW272:AWW273"/>
    <mergeCell ref="AWX272:AXB272"/>
    <mergeCell ref="AXC272:AXG272"/>
    <mergeCell ref="AXH272:AXL272"/>
    <mergeCell ref="AXM272:AXM273"/>
    <mergeCell ref="AXN272:AXR272"/>
    <mergeCell ref="AVW272:AWA272"/>
    <mergeCell ref="AWB272:AWF272"/>
    <mergeCell ref="AWG272:AWG273"/>
    <mergeCell ref="AWH272:AWL272"/>
    <mergeCell ref="AWM272:AWQ272"/>
    <mergeCell ref="AWR272:AWV272"/>
    <mergeCell ref="APM272:APM273"/>
    <mergeCell ref="APN272:APR272"/>
    <mergeCell ref="APS272:APW272"/>
    <mergeCell ref="APX272:AQB272"/>
    <mergeCell ref="AQC272:AQC273"/>
    <mergeCell ref="AQD272:AQH272"/>
    <mergeCell ref="AOM272:AOQ272"/>
    <mergeCell ref="AOR272:AOV272"/>
    <mergeCell ref="AOW272:AOW273"/>
    <mergeCell ref="AOX272:APB272"/>
    <mergeCell ref="APC272:APG272"/>
    <mergeCell ref="APH272:APL272"/>
    <mergeCell ref="ANQ272:ANQ273"/>
    <mergeCell ref="ANR272:ANV272"/>
    <mergeCell ref="ANW272:AOA272"/>
    <mergeCell ref="AOB272:AOF272"/>
    <mergeCell ref="AOG272:AOG273"/>
    <mergeCell ref="AOH272:AOL272"/>
    <mergeCell ref="ASE272:ASI272"/>
    <mergeCell ref="ASJ272:ASN272"/>
    <mergeCell ref="ASO272:ASO273"/>
    <mergeCell ref="ASP272:AST272"/>
    <mergeCell ref="ASU272:ASY272"/>
    <mergeCell ref="ASZ272:ATD272"/>
    <mergeCell ref="ARI272:ARI273"/>
    <mergeCell ref="ARJ272:ARN272"/>
    <mergeCell ref="ARO272:ARS272"/>
    <mergeCell ref="ART272:ARX272"/>
    <mergeCell ref="ARY272:ARY273"/>
    <mergeCell ref="ARZ272:ASD272"/>
    <mergeCell ref="AQI272:AQM272"/>
    <mergeCell ref="AQN272:AQR272"/>
    <mergeCell ref="AQS272:AQS273"/>
    <mergeCell ref="AQT272:AQX272"/>
    <mergeCell ref="AQY272:ARC272"/>
    <mergeCell ref="ARD272:ARH272"/>
    <mergeCell ref="AJY272:AJY273"/>
    <mergeCell ref="AJZ272:AKD272"/>
    <mergeCell ref="AKE272:AKI272"/>
    <mergeCell ref="AKJ272:AKN272"/>
    <mergeCell ref="AKO272:AKO273"/>
    <mergeCell ref="AKP272:AKT272"/>
    <mergeCell ref="AIY272:AJC272"/>
    <mergeCell ref="AJD272:AJH272"/>
    <mergeCell ref="AJI272:AJI273"/>
    <mergeCell ref="AJJ272:AJN272"/>
    <mergeCell ref="AJO272:AJS272"/>
    <mergeCell ref="AJT272:AJX272"/>
    <mergeCell ref="AIC272:AIC273"/>
    <mergeCell ref="AID272:AIH272"/>
    <mergeCell ref="AII272:AIM272"/>
    <mergeCell ref="AIN272:AIR272"/>
    <mergeCell ref="AIS272:AIS273"/>
    <mergeCell ref="AIT272:AIX272"/>
    <mergeCell ref="AMQ272:AMU272"/>
    <mergeCell ref="AMV272:AMZ272"/>
    <mergeCell ref="ANA272:ANA273"/>
    <mergeCell ref="ANB272:ANF272"/>
    <mergeCell ref="ANG272:ANK272"/>
    <mergeCell ref="ANL272:ANP272"/>
    <mergeCell ref="ALU272:ALU273"/>
    <mergeCell ref="ALV272:ALZ272"/>
    <mergeCell ref="AMA272:AME272"/>
    <mergeCell ref="AMF272:AMJ272"/>
    <mergeCell ref="AMK272:AMK273"/>
    <mergeCell ref="AML272:AMP272"/>
    <mergeCell ref="AKU272:AKY272"/>
    <mergeCell ref="AKZ272:ALD272"/>
    <mergeCell ref="ALE272:ALE273"/>
    <mergeCell ref="ALF272:ALJ272"/>
    <mergeCell ref="ALK272:ALO272"/>
    <mergeCell ref="ALP272:ALT272"/>
    <mergeCell ref="AEK272:AEK273"/>
    <mergeCell ref="AEL272:AEP272"/>
    <mergeCell ref="AEQ272:AEU272"/>
    <mergeCell ref="AEV272:AEZ272"/>
    <mergeCell ref="AFA272:AFA273"/>
    <mergeCell ref="AFB272:AFF272"/>
    <mergeCell ref="ADK272:ADO272"/>
    <mergeCell ref="ADP272:ADT272"/>
    <mergeCell ref="ADU272:ADU273"/>
    <mergeCell ref="ADV272:ADZ272"/>
    <mergeCell ref="AEA272:AEE272"/>
    <mergeCell ref="AEF272:AEJ272"/>
    <mergeCell ref="ACO272:ACO273"/>
    <mergeCell ref="ACP272:ACT272"/>
    <mergeCell ref="ACU272:ACY272"/>
    <mergeCell ref="ACZ272:ADD272"/>
    <mergeCell ref="ADE272:ADE273"/>
    <mergeCell ref="ADF272:ADJ272"/>
    <mergeCell ref="AHC272:AHG272"/>
    <mergeCell ref="AHH272:AHL272"/>
    <mergeCell ref="AHM272:AHM273"/>
    <mergeCell ref="AHN272:AHR272"/>
    <mergeCell ref="AHS272:AHW272"/>
    <mergeCell ref="AHX272:AIB272"/>
    <mergeCell ref="AGG272:AGG273"/>
    <mergeCell ref="AGH272:AGL272"/>
    <mergeCell ref="AGM272:AGQ272"/>
    <mergeCell ref="AGR272:AGV272"/>
    <mergeCell ref="AGW272:AGW273"/>
    <mergeCell ref="AGX272:AHB272"/>
    <mergeCell ref="AFG272:AFK272"/>
    <mergeCell ref="AFL272:AFP272"/>
    <mergeCell ref="AFQ272:AFQ273"/>
    <mergeCell ref="AFR272:AFV272"/>
    <mergeCell ref="AFW272:AGA272"/>
    <mergeCell ref="AGB272:AGF272"/>
    <mergeCell ref="YW272:YW273"/>
    <mergeCell ref="YX272:ZB272"/>
    <mergeCell ref="ZC272:ZG272"/>
    <mergeCell ref="ZH272:ZL272"/>
    <mergeCell ref="ZM272:ZM273"/>
    <mergeCell ref="ZN272:ZR272"/>
    <mergeCell ref="XW272:YA272"/>
    <mergeCell ref="YB272:YF272"/>
    <mergeCell ref="YG272:YG273"/>
    <mergeCell ref="YH272:YL272"/>
    <mergeCell ref="YM272:YQ272"/>
    <mergeCell ref="YR272:YV272"/>
    <mergeCell ref="XA272:XA273"/>
    <mergeCell ref="XB272:XF272"/>
    <mergeCell ref="XG272:XK272"/>
    <mergeCell ref="XL272:XP272"/>
    <mergeCell ref="XQ272:XQ273"/>
    <mergeCell ref="XR272:XV272"/>
    <mergeCell ref="ABO272:ABS272"/>
    <mergeCell ref="ABT272:ABX272"/>
    <mergeCell ref="ABY272:ABY273"/>
    <mergeCell ref="ABZ272:ACD272"/>
    <mergeCell ref="ACE272:ACI272"/>
    <mergeCell ref="ACJ272:ACN272"/>
    <mergeCell ref="AAS272:AAS273"/>
    <mergeCell ref="AAT272:AAX272"/>
    <mergeCell ref="AAY272:ABC272"/>
    <mergeCell ref="ABD272:ABH272"/>
    <mergeCell ref="ABI272:ABI273"/>
    <mergeCell ref="ABJ272:ABN272"/>
    <mergeCell ref="ZS272:ZW272"/>
    <mergeCell ref="ZX272:AAB272"/>
    <mergeCell ref="AAC272:AAC273"/>
    <mergeCell ref="AAD272:AAH272"/>
    <mergeCell ref="AAI272:AAM272"/>
    <mergeCell ref="AAN272:AAR272"/>
    <mergeCell ref="TI272:TI273"/>
    <mergeCell ref="TJ272:TN272"/>
    <mergeCell ref="TO272:TS272"/>
    <mergeCell ref="TT272:TX272"/>
    <mergeCell ref="TY272:TY273"/>
    <mergeCell ref="TZ272:UD272"/>
    <mergeCell ref="SI272:SM272"/>
    <mergeCell ref="SN272:SR272"/>
    <mergeCell ref="SS272:SS273"/>
    <mergeCell ref="ST272:SX272"/>
    <mergeCell ref="SY272:TC272"/>
    <mergeCell ref="TD272:TH272"/>
    <mergeCell ref="RM272:RM273"/>
    <mergeCell ref="RN272:RR272"/>
    <mergeCell ref="RS272:RW272"/>
    <mergeCell ref="RX272:SB272"/>
    <mergeCell ref="SC272:SC273"/>
    <mergeCell ref="SD272:SH272"/>
    <mergeCell ref="WA272:WE272"/>
    <mergeCell ref="WF272:WJ272"/>
    <mergeCell ref="WK272:WK273"/>
    <mergeCell ref="WL272:WP272"/>
    <mergeCell ref="WQ272:WU272"/>
    <mergeCell ref="WV272:WZ272"/>
    <mergeCell ref="VE272:VE273"/>
    <mergeCell ref="VF272:VJ272"/>
    <mergeCell ref="VK272:VO272"/>
    <mergeCell ref="VP272:VT272"/>
    <mergeCell ref="VU272:VU273"/>
    <mergeCell ref="VV272:VZ272"/>
    <mergeCell ref="UE272:UI272"/>
    <mergeCell ref="UJ272:UN272"/>
    <mergeCell ref="UO272:UO273"/>
    <mergeCell ref="UP272:UT272"/>
    <mergeCell ref="UU272:UY272"/>
    <mergeCell ref="UZ272:VD272"/>
    <mergeCell ref="NU272:NU273"/>
    <mergeCell ref="NV272:NZ272"/>
    <mergeCell ref="OA272:OE272"/>
    <mergeCell ref="OF272:OJ272"/>
    <mergeCell ref="OK272:OK273"/>
    <mergeCell ref="OL272:OP272"/>
    <mergeCell ref="MU272:MY272"/>
    <mergeCell ref="MZ272:ND272"/>
    <mergeCell ref="NE272:NE273"/>
    <mergeCell ref="NF272:NJ272"/>
    <mergeCell ref="NK272:NO272"/>
    <mergeCell ref="NP272:NT272"/>
    <mergeCell ref="LY272:LY273"/>
    <mergeCell ref="LZ272:MD272"/>
    <mergeCell ref="ME272:MI272"/>
    <mergeCell ref="MJ272:MN272"/>
    <mergeCell ref="MO272:MO273"/>
    <mergeCell ref="MP272:MT272"/>
    <mergeCell ref="QM272:QQ272"/>
    <mergeCell ref="QR272:QV272"/>
    <mergeCell ref="QW272:QW273"/>
    <mergeCell ref="QX272:RB272"/>
    <mergeCell ref="RC272:RG272"/>
    <mergeCell ref="RH272:RL272"/>
    <mergeCell ref="PQ272:PQ273"/>
    <mergeCell ref="PR272:PV272"/>
    <mergeCell ref="PW272:QA272"/>
    <mergeCell ref="QB272:QF272"/>
    <mergeCell ref="QG272:QG273"/>
    <mergeCell ref="QH272:QL272"/>
    <mergeCell ref="OQ272:OU272"/>
    <mergeCell ref="OV272:OZ272"/>
    <mergeCell ref="PA272:PA273"/>
    <mergeCell ref="PB272:PF272"/>
    <mergeCell ref="PG272:PK272"/>
    <mergeCell ref="PL272:PP272"/>
    <mergeCell ref="LT272:LX272"/>
    <mergeCell ref="KC272:KC273"/>
    <mergeCell ref="KD272:KH272"/>
    <mergeCell ref="KI272:KM272"/>
    <mergeCell ref="KN272:KR272"/>
    <mergeCell ref="KS272:KS273"/>
    <mergeCell ref="KT272:KX272"/>
    <mergeCell ref="JC272:JG272"/>
    <mergeCell ref="JH272:JL272"/>
    <mergeCell ref="JM272:JM273"/>
    <mergeCell ref="JN272:JR272"/>
    <mergeCell ref="JS272:JW272"/>
    <mergeCell ref="JX272:KB272"/>
    <mergeCell ref="IG272:IG273"/>
    <mergeCell ref="IH272:IL272"/>
    <mergeCell ref="IM272:IQ272"/>
    <mergeCell ref="IR272:IV272"/>
    <mergeCell ref="IW272:IW273"/>
    <mergeCell ref="IX272:JB272"/>
    <mergeCell ref="KY272:LC272"/>
    <mergeCell ref="LD272:LH272"/>
    <mergeCell ref="LI272:LI273"/>
    <mergeCell ref="HG272:HK272"/>
    <mergeCell ref="HL272:HP272"/>
    <mergeCell ref="HQ272:HQ273"/>
    <mergeCell ref="HR272:HV272"/>
    <mergeCell ref="HW272:IA272"/>
    <mergeCell ref="IB272:IF272"/>
    <mergeCell ref="GK272:GK273"/>
    <mergeCell ref="GL272:GP272"/>
    <mergeCell ref="GQ272:GU272"/>
    <mergeCell ref="GV272:GZ272"/>
    <mergeCell ref="HA272:HA273"/>
    <mergeCell ref="HB272:HF272"/>
    <mergeCell ref="LJ272:LN272"/>
    <mergeCell ref="LO272:LS272"/>
    <mergeCell ref="CS272:CS273"/>
    <mergeCell ref="CT272:CX272"/>
    <mergeCell ref="CY272:DC272"/>
    <mergeCell ref="DD272:DH272"/>
    <mergeCell ref="DI272:DI273"/>
    <mergeCell ref="DJ272:DN272"/>
    <mergeCell ref="GF272:GJ272"/>
    <mergeCell ref="BS272:BW272"/>
    <mergeCell ref="BX272:CB272"/>
    <mergeCell ref="CC272:CC273"/>
    <mergeCell ref="CD272:CH272"/>
    <mergeCell ref="CI272:CM272"/>
    <mergeCell ref="CN272:CR272"/>
    <mergeCell ref="AW272:AW273"/>
    <mergeCell ref="AX272:BB272"/>
    <mergeCell ref="BC272:BG272"/>
    <mergeCell ref="BH272:BL272"/>
    <mergeCell ref="BM272:BM273"/>
    <mergeCell ref="BN272:BR272"/>
    <mergeCell ref="FK272:FO272"/>
    <mergeCell ref="FP272:FT272"/>
    <mergeCell ref="FU272:FU273"/>
    <mergeCell ref="FV272:FZ272"/>
    <mergeCell ref="GA272:GE272"/>
    <mergeCell ref="EO272:EO273"/>
    <mergeCell ref="EP272:ET272"/>
    <mergeCell ref="EU272:EY272"/>
    <mergeCell ref="EZ272:FD272"/>
    <mergeCell ref="FE272:FE273"/>
    <mergeCell ref="FF272:FJ272"/>
    <mergeCell ref="DO272:DS272"/>
    <mergeCell ref="DT272:DX272"/>
    <mergeCell ref="DY272:DY273"/>
    <mergeCell ref="DZ272:ED272"/>
    <mergeCell ref="EE272:EI272"/>
    <mergeCell ref="EJ272:EN272"/>
    <mergeCell ref="W272:AA272"/>
    <mergeCell ref="AB272:AF272"/>
    <mergeCell ref="AG272:AG273"/>
    <mergeCell ref="AH272:AL272"/>
    <mergeCell ref="AM272:AQ272"/>
    <mergeCell ref="AR272:AV272"/>
    <mergeCell ref="Q272:Q273"/>
    <mergeCell ref="R272:V272"/>
    <mergeCell ref="A51:E51"/>
    <mergeCell ref="B52:E52"/>
    <mergeCell ref="A243:P243"/>
    <mergeCell ref="B254:E254"/>
    <mergeCell ref="A267:P267"/>
    <mergeCell ref="A268:P268"/>
    <mergeCell ref="A195:E195"/>
    <mergeCell ref="G195:J195"/>
    <mergeCell ref="L195:O195"/>
    <mergeCell ref="A196:E196"/>
    <mergeCell ref="G196:K196"/>
    <mergeCell ref="M196:O196"/>
    <mergeCell ref="B197:E197"/>
    <mergeCell ref="N197:O197"/>
    <mergeCell ref="C222:O223"/>
    <mergeCell ref="G206:K206"/>
    <mergeCell ref="M206:O206"/>
    <mergeCell ref="A201:A202"/>
    <mergeCell ref="B201:F201"/>
    <mergeCell ref="N185:O185"/>
    <mergeCell ref="A123:E123"/>
    <mergeCell ref="G84:J84"/>
    <mergeCell ref="G155:J155"/>
    <mergeCell ref="L155:O155"/>
    <mergeCell ref="A1:P1"/>
    <mergeCell ref="A76:B76"/>
    <mergeCell ref="C76:O77"/>
    <mergeCell ref="A77:B77"/>
    <mergeCell ref="A78:A79"/>
    <mergeCell ref="B78:F78"/>
    <mergeCell ref="G78:K78"/>
    <mergeCell ref="L78:P78"/>
    <mergeCell ref="A101:B101"/>
    <mergeCell ref="C101:O102"/>
    <mergeCell ref="A102:B102"/>
    <mergeCell ref="A103:A104"/>
    <mergeCell ref="B103:F103"/>
    <mergeCell ref="G103:K103"/>
    <mergeCell ref="L103:P103"/>
    <mergeCell ref="A97:E97"/>
    <mergeCell ref="G97:K97"/>
    <mergeCell ref="B98:E98"/>
    <mergeCell ref="H98:K98"/>
    <mergeCell ref="A99:G99"/>
    <mergeCell ref="A96:E96"/>
    <mergeCell ref="B33:F33"/>
    <mergeCell ref="G33:K33"/>
    <mergeCell ref="L33:P33"/>
    <mergeCell ref="A36:E36"/>
    <mergeCell ref="G36:J36"/>
    <mergeCell ref="L36:O36"/>
    <mergeCell ref="A54:P54"/>
    <mergeCell ref="A55:P55"/>
    <mergeCell ref="A58:P58"/>
    <mergeCell ref="A60:B60"/>
    <mergeCell ref="A7:B7"/>
    <mergeCell ref="B45:F45"/>
    <mergeCell ref="C41:O42"/>
    <mergeCell ref="B140:F140"/>
    <mergeCell ref="A41:B41"/>
    <mergeCell ref="G118:K118"/>
    <mergeCell ref="L118:P118"/>
    <mergeCell ref="A122:E122"/>
    <mergeCell ref="L91:P91"/>
    <mergeCell ref="A84:E84"/>
    <mergeCell ref="G122:J122"/>
    <mergeCell ref="L122:O122"/>
    <mergeCell ref="A127:B127"/>
    <mergeCell ref="C127:O128"/>
    <mergeCell ref="A138:B138"/>
    <mergeCell ref="C138:O139"/>
    <mergeCell ref="G123:K123"/>
    <mergeCell ref="G96:J96"/>
    <mergeCell ref="L96:O96"/>
    <mergeCell ref="A57:P57"/>
    <mergeCell ref="L84:O84"/>
    <mergeCell ref="A85:E85"/>
    <mergeCell ref="G91:K91"/>
    <mergeCell ref="B91:F91"/>
    <mergeCell ref="N71:O71"/>
    <mergeCell ref="N86:O86"/>
    <mergeCell ref="N98:O98"/>
    <mergeCell ref="N111:O111"/>
    <mergeCell ref="N124:O124"/>
    <mergeCell ref="N135:O135"/>
    <mergeCell ref="N52:O52"/>
    <mergeCell ref="N147:O147"/>
    <mergeCell ref="L205:O205"/>
    <mergeCell ref="A206:E206"/>
    <mergeCell ref="G224:K224"/>
    <mergeCell ref="L224:P224"/>
    <mergeCell ref="A228:E228"/>
    <mergeCell ref="G134:K134"/>
    <mergeCell ref="M134:O134"/>
    <mergeCell ref="B124:E124"/>
    <mergeCell ref="H124:K124"/>
    <mergeCell ref="A118:A119"/>
    <mergeCell ref="B118:F118"/>
    <mergeCell ref="B186:E186"/>
    <mergeCell ref="A176:A177"/>
    <mergeCell ref="B176:F176"/>
    <mergeCell ref="G176:K176"/>
    <mergeCell ref="L176:P176"/>
    <mergeCell ref="A183:E183"/>
    <mergeCell ref="A170:E170"/>
    <mergeCell ref="A174:B174"/>
    <mergeCell ref="G184:K184"/>
    <mergeCell ref="M184:O184"/>
    <mergeCell ref="B185:E185"/>
    <mergeCell ref="G183:J183"/>
    <mergeCell ref="L183:O183"/>
    <mergeCell ref="B217:E217"/>
    <mergeCell ref="L133:O133"/>
    <mergeCell ref="A134:E134"/>
    <mergeCell ref="A190:A191"/>
    <mergeCell ref="A133:E133"/>
    <mergeCell ref="A150:B150"/>
    <mergeCell ref="A151:A152"/>
    <mergeCell ref="G201:K201"/>
    <mergeCell ref="L201:P201"/>
    <mergeCell ref="G211:K211"/>
    <mergeCell ref="L211:P211"/>
    <mergeCell ref="A215:E215"/>
    <mergeCell ref="G215:J215"/>
    <mergeCell ref="L215:O215"/>
    <mergeCell ref="A216:E216"/>
    <mergeCell ref="N207:O207"/>
    <mergeCell ref="N230:O230"/>
    <mergeCell ref="G170:K170"/>
    <mergeCell ref="A184:E184"/>
    <mergeCell ref="A156:E156"/>
    <mergeCell ref="A157:E157"/>
    <mergeCell ref="G157:K157"/>
    <mergeCell ref="M157:O157"/>
    <mergeCell ref="B158:E158"/>
    <mergeCell ref="N158:O158"/>
    <mergeCell ref="M170:O170"/>
    <mergeCell ref="B159:E159"/>
    <mergeCell ref="A211:A212"/>
    <mergeCell ref="B211:F211"/>
    <mergeCell ref="G228:J228"/>
    <mergeCell ref="L228:O228"/>
    <mergeCell ref="A188:B188"/>
    <mergeCell ref="A200:B200"/>
    <mergeCell ref="B151:F151"/>
    <mergeCell ref="G151:K151"/>
    <mergeCell ref="L151:P151"/>
    <mergeCell ref="A155:E155"/>
    <mergeCell ref="B675:F675"/>
    <mergeCell ref="A675:A676"/>
    <mergeCell ref="B129:F129"/>
    <mergeCell ref="G129:K129"/>
    <mergeCell ref="L129:P129"/>
    <mergeCell ref="A175:B175"/>
    <mergeCell ref="A144:E144"/>
    <mergeCell ref="G144:J144"/>
    <mergeCell ref="B272:F272"/>
    <mergeCell ref="G272:K272"/>
    <mergeCell ref="G146:K146"/>
    <mergeCell ref="M146:O146"/>
    <mergeCell ref="B135:E135"/>
    <mergeCell ref="A139:B139"/>
    <mergeCell ref="A140:A141"/>
    <mergeCell ref="A324:P324"/>
    <mergeCell ref="A325:P325"/>
    <mergeCell ref="B335:E335"/>
    <mergeCell ref="A279:E279"/>
    <mergeCell ref="L541:P541"/>
    <mergeCell ref="A563:E563"/>
    <mergeCell ref="A310:P310"/>
    <mergeCell ref="B322:E322"/>
    <mergeCell ref="N322:O322"/>
    <mergeCell ref="C539:O540"/>
    <mergeCell ref="C270:O271"/>
    <mergeCell ref="A271:B271"/>
    <mergeCell ref="A210:B210"/>
    <mergeCell ref="N1167:O1167"/>
    <mergeCell ref="A590:E590"/>
    <mergeCell ref="G590:K590"/>
    <mergeCell ref="A698:E698"/>
    <mergeCell ref="N790:O790"/>
    <mergeCell ref="N850:O850"/>
    <mergeCell ref="G569:K569"/>
    <mergeCell ref="L569:P569"/>
    <mergeCell ref="A577:E577"/>
    <mergeCell ref="G721:K721"/>
    <mergeCell ref="A683:E683"/>
    <mergeCell ref="L675:P675"/>
    <mergeCell ref="G623:J623"/>
    <mergeCell ref="L623:O623"/>
    <mergeCell ref="C614:O615"/>
    <mergeCell ref="A615:B615"/>
    <mergeCell ref="A603:B603"/>
    <mergeCell ref="A604:B604"/>
    <mergeCell ref="B605:F605"/>
    <mergeCell ref="G605:K605"/>
    <mergeCell ref="C745:O746"/>
    <mergeCell ref="A746:B746"/>
    <mergeCell ref="A747:A748"/>
    <mergeCell ref="B747:F747"/>
    <mergeCell ref="G747:K747"/>
    <mergeCell ref="L747:P747"/>
    <mergeCell ref="N711:O711"/>
    <mergeCell ref="L888:P888"/>
    <mergeCell ref="L1148:P1148"/>
    <mergeCell ref="A906:B906"/>
    <mergeCell ref="C906:O907"/>
    <mergeCell ref="A907:B907"/>
    <mergeCell ref="A6:B6"/>
    <mergeCell ref="C6:O7"/>
    <mergeCell ref="A1146:B1146"/>
    <mergeCell ref="C1146:O1147"/>
    <mergeCell ref="A1147:B1147"/>
    <mergeCell ref="L918:P918"/>
    <mergeCell ref="A923:E923"/>
    <mergeCell ref="G923:J923"/>
    <mergeCell ref="L923:O923"/>
    <mergeCell ref="A924:E924"/>
    <mergeCell ref="B925:E925"/>
    <mergeCell ref="N925:O925"/>
    <mergeCell ref="A927:B927"/>
    <mergeCell ref="C927:O928"/>
    <mergeCell ref="A928:B928"/>
    <mergeCell ref="A929:A930"/>
    <mergeCell ref="B929:F929"/>
    <mergeCell ref="G929:K929"/>
    <mergeCell ref="L929:P929"/>
    <mergeCell ref="B526:F526"/>
    <mergeCell ref="G526:K526"/>
    <mergeCell ref="G279:J279"/>
    <mergeCell ref="L279:O279"/>
    <mergeCell ref="B541:F541"/>
    <mergeCell ref="G541:K541"/>
    <mergeCell ref="G585:K585"/>
    <mergeCell ref="L585:P585"/>
    <mergeCell ref="A582:C582"/>
    <mergeCell ref="A583:B583"/>
    <mergeCell ref="C583:O584"/>
    <mergeCell ref="N551:O551"/>
    <mergeCell ref="A778:P778"/>
    <mergeCell ref="G763:K763"/>
    <mergeCell ref="A605:A606"/>
    <mergeCell ref="L763:P763"/>
    <mergeCell ref="B951:E951"/>
    <mergeCell ref="N951:O951"/>
    <mergeCell ref="L949:O949"/>
    <mergeCell ref="G949:J949"/>
    <mergeCell ref="A949:E949"/>
    <mergeCell ref="H942:J942"/>
    <mergeCell ref="M945:O945"/>
    <mergeCell ref="L144:O144"/>
    <mergeCell ref="A146:E146"/>
    <mergeCell ref="B281:E281"/>
    <mergeCell ref="N281:O281"/>
    <mergeCell ref="A283:P283"/>
    <mergeCell ref="A284:P284"/>
    <mergeCell ref="B294:E294"/>
    <mergeCell ref="N294:O294"/>
    <mergeCell ref="B307:E307"/>
    <mergeCell ref="N307:O307"/>
    <mergeCell ref="A309:P309"/>
    <mergeCell ref="A825:E825"/>
    <mergeCell ref="B826:E826"/>
    <mergeCell ref="N826:O826"/>
    <mergeCell ref="L902:O902"/>
    <mergeCell ref="A903:E903"/>
    <mergeCell ref="B904:E904"/>
    <mergeCell ref="N904:O904"/>
    <mergeCell ref="A223:B223"/>
    <mergeCell ref="A205:E205"/>
    <mergeCell ref="G205:J205"/>
    <mergeCell ref="G675:K675"/>
    <mergeCell ref="A953:B953"/>
    <mergeCell ref="C953:O954"/>
    <mergeCell ref="A954:B954"/>
    <mergeCell ref="A955:A956"/>
    <mergeCell ref="B955:F955"/>
    <mergeCell ref="G955:K955"/>
    <mergeCell ref="L955:P955"/>
    <mergeCell ref="A933:E933"/>
    <mergeCell ref="G933:J933"/>
    <mergeCell ref="L933:O933"/>
    <mergeCell ref="A934:E934"/>
    <mergeCell ref="B935:E935"/>
    <mergeCell ref="N935:O935"/>
    <mergeCell ref="H936:J936"/>
    <mergeCell ref="A950:E950"/>
    <mergeCell ref="G766:J766"/>
    <mergeCell ref="G767:J767"/>
    <mergeCell ref="G768:J768"/>
    <mergeCell ref="A773:E773"/>
    <mergeCell ref="G773:J773"/>
    <mergeCell ref="L773:O773"/>
    <mergeCell ref="A774:E774"/>
    <mergeCell ref="B888:F888"/>
    <mergeCell ref="G888:K888"/>
    <mergeCell ref="G912:J912"/>
    <mergeCell ref="C916:O917"/>
    <mergeCell ref="A917:B917"/>
    <mergeCell ref="A918:A919"/>
    <mergeCell ref="B918:F918"/>
    <mergeCell ref="G918:K918"/>
    <mergeCell ref="A830:A831"/>
    <mergeCell ref="B830:F830"/>
    <mergeCell ref="A961:E961"/>
    <mergeCell ref="G961:J961"/>
    <mergeCell ref="L961:O961"/>
    <mergeCell ref="A962:E962"/>
    <mergeCell ref="B963:E963"/>
    <mergeCell ref="N963:O963"/>
    <mergeCell ref="A965:B965"/>
    <mergeCell ref="C965:O966"/>
    <mergeCell ref="A966:B966"/>
    <mergeCell ref="A967:A968"/>
    <mergeCell ref="B967:F967"/>
    <mergeCell ref="G967:K967"/>
    <mergeCell ref="L967:P967"/>
    <mergeCell ref="A975:E975"/>
    <mergeCell ref="G975:J975"/>
    <mergeCell ref="L975:O975"/>
    <mergeCell ref="A976:E976"/>
    <mergeCell ref="A981:A982"/>
    <mergeCell ref="B981:F981"/>
    <mergeCell ref="G981:K981"/>
    <mergeCell ref="L981:P981"/>
    <mergeCell ref="A989:E989"/>
    <mergeCell ref="G989:J989"/>
    <mergeCell ref="L989:O989"/>
    <mergeCell ref="A990:E990"/>
    <mergeCell ref="B991:E991"/>
    <mergeCell ref="N991:O991"/>
    <mergeCell ref="A1022:B1022"/>
    <mergeCell ref="C1022:O1023"/>
    <mergeCell ref="A1023:B1023"/>
    <mergeCell ref="A1007:B1007"/>
    <mergeCell ref="C1007:O1008"/>
    <mergeCell ref="A1008:B1008"/>
    <mergeCell ref="A1009:A1010"/>
    <mergeCell ref="B1009:F1009"/>
    <mergeCell ref="G1009:K1009"/>
    <mergeCell ref="L1009:P1009"/>
    <mergeCell ref="A1017:E1017"/>
    <mergeCell ref="G1017:J1017"/>
    <mergeCell ref="L1017:O1017"/>
    <mergeCell ref="A1018:E1018"/>
    <mergeCell ref="B1019:E1019"/>
    <mergeCell ref="N1019:O1019"/>
    <mergeCell ref="A1024:A1025"/>
    <mergeCell ref="B1024:F1024"/>
    <mergeCell ref="G1024:K1024"/>
    <mergeCell ref="L1024:P1024"/>
    <mergeCell ref="A1030:E1030"/>
    <mergeCell ref="G1030:J1030"/>
    <mergeCell ref="L1030:O1030"/>
    <mergeCell ref="A1031:E1031"/>
    <mergeCell ref="B1032:E1032"/>
    <mergeCell ref="N1032:O1032"/>
    <mergeCell ref="A1034:P1034"/>
    <mergeCell ref="A1035:P1035"/>
    <mergeCell ref="A1036:B1036"/>
    <mergeCell ref="C1036:O1037"/>
    <mergeCell ref="A1037:B1037"/>
    <mergeCell ref="A1038:A1039"/>
    <mergeCell ref="B1038:F1038"/>
    <mergeCell ref="G1038:K1038"/>
    <mergeCell ref="L1038:P1038"/>
    <mergeCell ref="A1042:E1042"/>
    <mergeCell ref="G1042:J1042"/>
    <mergeCell ref="L1042:O1042"/>
    <mergeCell ref="A1043:E1043"/>
    <mergeCell ref="B1044:E1044"/>
    <mergeCell ref="N1044:O1044"/>
    <mergeCell ref="A1046:P1046"/>
    <mergeCell ref="A1047:P1047"/>
    <mergeCell ref="A1048:B1048"/>
    <mergeCell ref="C1048:O1049"/>
    <mergeCell ref="A1049:B1049"/>
    <mergeCell ref="A1050:A1051"/>
    <mergeCell ref="B1050:F1050"/>
    <mergeCell ref="G1050:K1050"/>
    <mergeCell ref="L1050:P1050"/>
    <mergeCell ref="A1054:E1054"/>
    <mergeCell ref="G1054:J1054"/>
    <mergeCell ref="L1054:O1054"/>
    <mergeCell ref="A1055:E1055"/>
    <mergeCell ref="B1056:E1056"/>
    <mergeCell ref="N1056:O1056"/>
    <mergeCell ref="A1059:B1059"/>
    <mergeCell ref="C1059:O1060"/>
    <mergeCell ref="A1060:B1060"/>
    <mergeCell ref="A1061:A1062"/>
    <mergeCell ref="B1061:F1061"/>
    <mergeCell ref="G1061:K1061"/>
    <mergeCell ref="L1061:P1061"/>
    <mergeCell ref="A1067:E1067"/>
    <mergeCell ref="G1067:J1067"/>
    <mergeCell ref="L1067:O1067"/>
    <mergeCell ref="A1068:E1068"/>
    <mergeCell ref="B1069:E1069"/>
    <mergeCell ref="N1069:O1069"/>
    <mergeCell ref="M1063:O1063"/>
    <mergeCell ref="A1071:B1071"/>
    <mergeCell ref="C1071:O1072"/>
    <mergeCell ref="A1072:B1072"/>
    <mergeCell ref="A1073:A1074"/>
    <mergeCell ref="B1073:F1073"/>
    <mergeCell ref="G1073:K1073"/>
    <mergeCell ref="L1073:P1073"/>
    <mergeCell ref="M1075:O1075"/>
    <mergeCell ref="A1079:E1079"/>
    <mergeCell ref="G1079:J1079"/>
    <mergeCell ref="L1079:O1079"/>
    <mergeCell ref="A1080:E1080"/>
    <mergeCell ref="B1081:E1081"/>
    <mergeCell ref="N1081:O1081"/>
    <mergeCell ref="A1083:B1083"/>
    <mergeCell ref="C1083:O1084"/>
    <mergeCell ref="A1084:B1084"/>
    <mergeCell ref="A1085:A1086"/>
    <mergeCell ref="B1085:F1085"/>
    <mergeCell ref="G1085:K1085"/>
    <mergeCell ref="L1085:P1085"/>
    <mergeCell ref="M1087:O1087"/>
    <mergeCell ref="A1091:E1091"/>
    <mergeCell ref="G1091:J1091"/>
    <mergeCell ref="L1091:O1091"/>
    <mergeCell ref="A1092:E1092"/>
    <mergeCell ref="B1093:E1093"/>
    <mergeCell ref="N1093:O1093"/>
    <mergeCell ref="A1096:B1096"/>
    <mergeCell ref="C1096:O1097"/>
    <mergeCell ref="A1097:B1097"/>
    <mergeCell ref="A1098:A1099"/>
    <mergeCell ref="B1098:F1098"/>
    <mergeCell ref="G1098:K1098"/>
    <mergeCell ref="L1098:P1098"/>
    <mergeCell ref="B1148:F1148"/>
    <mergeCell ref="G1148:K1148"/>
    <mergeCell ref="M1100:O1100"/>
    <mergeCell ref="A1104:E1104"/>
    <mergeCell ref="G1104:J1104"/>
    <mergeCell ref="L1104:O1104"/>
    <mergeCell ref="A1105:E1105"/>
    <mergeCell ref="B1106:E1106"/>
    <mergeCell ref="N1106:O1106"/>
    <mergeCell ref="A1108:B1108"/>
    <mergeCell ref="C1108:O1109"/>
    <mergeCell ref="A1109:B1109"/>
    <mergeCell ref="A1110:A1111"/>
    <mergeCell ref="B1110:F1110"/>
    <mergeCell ref="G1110:K1110"/>
    <mergeCell ref="L1110:P1110"/>
    <mergeCell ref="M1112:O1112"/>
    <mergeCell ref="A1116:E1116"/>
    <mergeCell ref="G1116:J1116"/>
    <mergeCell ref="L1116:O1116"/>
    <mergeCell ref="M1101:O1101"/>
    <mergeCell ref="M1113:O1113"/>
    <mergeCell ref="C979:O980"/>
    <mergeCell ref="A980:B980"/>
    <mergeCell ref="A1132:P1132"/>
    <mergeCell ref="A1133:P1133"/>
    <mergeCell ref="A1135:P1135"/>
    <mergeCell ref="A1136:P1136"/>
    <mergeCell ref="A1138:P1138"/>
    <mergeCell ref="A1139:P1139"/>
    <mergeCell ref="A1141:P1141"/>
    <mergeCell ref="A1142:P1142"/>
    <mergeCell ref="A1144:P1144"/>
    <mergeCell ref="A1145:P1145"/>
    <mergeCell ref="L1150:O1150"/>
    <mergeCell ref="A1117:E1117"/>
    <mergeCell ref="B1118:E1118"/>
    <mergeCell ref="N1118:O1118"/>
    <mergeCell ref="A1120:B1120"/>
    <mergeCell ref="C1120:O1121"/>
    <mergeCell ref="A1121:B1121"/>
    <mergeCell ref="A1122:A1123"/>
    <mergeCell ref="B1122:F1122"/>
    <mergeCell ref="G1122:K1122"/>
    <mergeCell ref="L1122:P1122"/>
    <mergeCell ref="M1124:O1124"/>
    <mergeCell ref="A1128:E1128"/>
    <mergeCell ref="G1128:J1128"/>
    <mergeCell ref="L1128:O1128"/>
    <mergeCell ref="A1129:E1129"/>
    <mergeCell ref="B1130:E1130"/>
    <mergeCell ref="N1130:O1130"/>
    <mergeCell ref="M1125:O1125"/>
    <mergeCell ref="A1148:A1149"/>
    <mergeCell ref="A873:K873"/>
    <mergeCell ref="L873:M873"/>
    <mergeCell ref="A26:E26"/>
    <mergeCell ref="A993:B993"/>
    <mergeCell ref="C993:O994"/>
    <mergeCell ref="A994:B994"/>
    <mergeCell ref="A995:A996"/>
    <mergeCell ref="B995:F995"/>
    <mergeCell ref="G995:K995"/>
    <mergeCell ref="L995:P995"/>
    <mergeCell ref="A1003:E1003"/>
    <mergeCell ref="G1003:J1003"/>
    <mergeCell ref="L1003:O1003"/>
    <mergeCell ref="A1004:E1004"/>
    <mergeCell ref="B1005:E1005"/>
    <mergeCell ref="N1005:O1005"/>
    <mergeCell ref="A658:B658"/>
    <mergeCell ref="C658:O659"/>
    <mergeCell ref="A659:B659"/>
    <mergeCell ref="A660:A661"/>
    <mergeCell ref="B660:F660"/>
    <mergeCell ref="G660:K660"/>
    <mergeCell ref="L660:P660"/>
    <mergeCell ref="A668:E668"/>
    <mergeCell ref="G668:J668"/>
    <mergeCell ref="L668:O668"/>
    <mergeCell ref="B669:E669"/>
    <mergeCell ref="G671:J671"/>
    <mergeCell ref="N671:O671"/>
    <mergeCell ref="B977:E977"/>
    <mergeCell ref="N977:O977"/>
    <mergeCell ref="A979:B979"/>
  </mergeCells>
  <printOptions horizontalCentered="1"/>
  <pageMargins left="0" right="0" top="0.44" bottom="0.4" header="0.44" footer="0.22"/>
  <pageSetup paperSize="9" scale="76" orientation="landscape" r:id="rId1"/>
  <headerFooter alignWithMargins="0"/>
  <rowBreaks count="14" manualBreakCount="14">
    <brk id="112" max="15" man="1"/>
    <brk id="148" max="15" man="1"/>
    <brk id="218" max="15" man="1"/>
    <brk id="266" max="15" man="1"/>
    <brk id="335" max="15" man="1"/>
    <brk id="393" max="15" man="1"/>
    <brk id="437" max="15" man="1"/>
    <brk id="565" max="15" man="1"/>
    <brk id="612" max="15" man="1"/>
    <brk id="723" max="15" man="1"/>
    <brk id="791" max="15" man="1"/>
    <brk id="827" max="15" man="1"/>
    <brk id="861" max="15" man="1"/>
    <brk id="1045" max="15" man="1"/>
  </rowBreaks>
  <ignoredErrors>
    <ignoredError sqref="E115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70"/>
  <sheetViews>
    <sheetView workbookViewId="0">
      <selection activeCell="F31" sqref="F31"/>
    </sheetView>
  </sheetViews>
  <sheetFormatPr defaultColWidth="9.140625" defaultRowHeight="12.75" x14ac:dyDescent="0.2"/>
  <cols>
    <col min="1" max="1" width="29.5703125" style="8" customWidth="1"/>
    <col min="2" max="2" width="6" style="8" customWidth="1"/>
    <col min="3" max="3" width="9.42578125" style="8" bestFit="1" customWidth="1"/>
    <col min="4" max="4" width="9.7109375" style="40" bestFit="1" customWidth="1"/>
    <col min="5" max="5" width="8.42578125" style="40" bestFit="1" customWidth="1"/>
    <col min="6" max="6" width="9.140625" style="8" customWidth="1"/>
    <col min="7" max="7" width="9.42578125" style="40" bestFit="1" customWidth="1"/>
    <col min="8" max="8" width="10.7109375" style="8" customWidth="1"/>
    <col min="9" max="9" width="7.7109375" style="8" customWidth="1"/>
    <col min="10" max="16384" width="9.140625" style="8"/>
  </cols>
  <sheetData>
    <row r="1" spans="1:9" s="3" customFormat="1" ht="15.75" x14ac:dyDescent="0.2">
      <c r="A1" s="4" t="str">
        <f>Summary!A7</f>
        <v>Project: Bheri Khola Bridge</v>
      </c>
      <c r="B1" s="4"/>
      <c r="C1" s="4"/>
      <c r="D1" s="4"/>
      <c r="E1" s="4"/>
      <c r="F1" s="4"/>
      <c r="G1" s="4"/>
    </row>
    <row r="2" spans="1:9" s="3" customFormat="1" ht="15.75" x14ac:dyDescent="0.2">
      <c r="A2" s="4" t="str">
        <f>Summary!A8</f>
        <v xml:space="preserve">Location: Salyan and Surkhet
</v>
      </c>
      <c r="B2" s="4"/>
      <c r="C2" s="4"/>
      <c r="D2" s="4"/>
      <c r="E2" s="4"/>
      <c r="F2" s="4"/>
      <c r="G2" s="4"/>
    </row>
    <row r="3" spans="1:9" ht="21" customHeight="1" thickBot="1" x14ac:dyDescent="0.25">
      <c r="A3" s="1110" t="s">
        <v>888</v>
      </c>
      <c r="B3" s="1110"/>
      <c r="C3" s="1110"/>
      <c r="D3" s="1110"/>
      <c r="E3" s="1110"/>
      <c r="F3" s="1110"/>
      <c r="G3" s="1110"/>
      <c r="H3" s="1110"/>
      <c r="I3" s="119"/>
    </row>
    <row r="4" spans="1:9" ht="39" thickBot="1" x14ac:dyDescent="0.25">
      <c r="A4" s="605" t="s">
        <v>27</v>
      </c>
      <c r="B4" s="606" t="s">
        <v>7</v>
      </c>
      <c r="C4" s="607" t="s">
        <v>47</v>
      </c>
      <c r="D4" s="607" t="s">
        <v>46</v>
      </c>
      <c r="E4" s="607" t="s">
        <v>45</v>
      </c>
      <c r="F4" s="607" t="s">
        <v>48</v>
      </c>
      <c r="G4" s="607" t="s">
        <v>216</v>
      </c>
      <c r="H4" s="608" t="s">
        <v>73</v>
      </c>
    </row>
    <row r="5" spans="1:9" x14ac:dyDescent="0.2">
      <c r="A5" s="609" t="str">
        <f>'District Rate'!A17</f>
        <v>Admixture</v>
      </c>
      <c r="B5" s="603" t="str">
        <f>'District Rate'!B17</f>
        <v>kg</v>
      </c>
      <c r="C5" s="604">
        <f>'District Rate'!C17</f>
        <v>355</v>
      </c>
      <c r="D5" s="602"/>
      <c r="E5" s="602"/>
      <c r="F5" s="604">
        <f>transportation!R26/1000</f>
        <v>1.63</v>
      </c>
      <c r="G5" s="604">
        <f>MIN(C5,D5)+E5+F5</f>
        <v>356.63</v>
      </c>
      <c r="H5" s="610"/>
    </row>
    <row r="6" spans="1:9" hidden="1" x14ac:dyDescent="0.2">
      <c r="A6" s="584" t="str">
        <f>'District Rate'!A18</f>
        <v>Anchor plate with hexagonal nut</v>
      </c>
      <c r="B6" s="557" t="str">
        <f>'District Rate'!B18</f>
        <v>no</v>
      </c>
      <c r="C6" s="597">
        <f>'District Rate'!C18</f>
        <v>120</v>
      </c>
      <c r="D6" s="558"/>
      <c r="E6" s="437"/>
      <c r="F6" s="597">
        <v>0</v>
      </c>
      <c r="G6" s="597">
        <f>MIN(C6,D6)+E6+F6</f>
        <v>120</v>
      </c>
      <c r="H6" s="611"/>
    </row>
    <row r="7" spans="1:9" x14ac:dyDescent="0.2">
      <c r="A7" s="584" t="str">
        <f>'District Rate'!A19</f>
        <v>Barbed wire (12 gauge)</v>
      </c>
      <c r="B7" s="557" t="str">
        <f>'District Rate'!B19</f>
        <v>kg</v>
      </c>
      <c r="C7" s="597">
        <f>'District Rate'!C19</f>
        <v>92</v>
      </c>
      <c r="D7" s="558"/>
      <c r="E7" s="437"/>
      <c r="F7" s="597">
        <f>transportation!R27/1000</f>
        <v>1.63</v>
      </c>
      <c r="G7" s="597">
        <f>MIN(C7,D7)+E7+F7</f>
        <v>93.63</v>
      </c>
      <c r="H7" s="611"/>
    </row>
    <row r="8" spans="1:9" hidden="1" x14ac:dyDescent="0.2">
      <c r="A8" s="584" t="str">
        <f>'District Rate'!A20</f>
        <v>Bentonite</v>
      </c>
      <c r="B8" s="557" t="str">
        <f>'District Rate'!B20</f>
        <v>kg</v>
      </c>
      <c r="C8" s="597">
        <f>'District Rate'!C20</f>
        <v>33</v>
      </c>
      <c r="D8" s="558"/>
      <c r="E8" s="437"/>
      <c r="F8" s="597">
        <v>0</v>
      </c>
      <c r="G8" s="597">
        <f>MIN(C8,D8)+E8+F8</f>
        <v>33</v>
      </c>
      <c r="H8" s="611"/>
    </row>
    <row r="9" spans="1:9" x14ac:dyDescent="0.2">
      <c r="A9" s="584" t="str">
        <f>'District Rate'!A21</f>
        <v>Binding wire Black</v>
      </c>
      <c r="B9" s="557" t="str">
        <f>'District Rate'!B21</f>
        <v>kg</v>
      </c>
      <c r="C9" s="597">
        <f>'District Rate'!C21</f>
        <v>110</v>
      </c>
      <c r="D9" s="598"/>
      <c r="E9" s="598"/>
      <c r="F9" s="597">
        <f>transportation!R27/1000</f>
        <v>1.63</v>
      </c>
      <c r="G9" s="597">
        <f t="shared" ref="G9:G17" si="0">MIN(C9,D9)+E9+F9</f>
        <v>111.63</v>
      </c>
      <c r="H9" s="611"/>
    </row>
    <row r="10" spans="1:9" x14ac:dyDescent="0.2">
      <c r="A10" s="584" t="str">
        <f>'District Rate'!A22</f>
        <v>Binding wire White</v>
      </c>
      <c r="B10" s="557" t="str">
        <f>'District Rate'!B22</f>
        <v>kg</v>
      </c>
      <c r="C10" s="597">
        <f>'District Rate'!C22</f>
        <v>120</v>
      </c>
      <c r="D10" s="598"/>
      <c r="E10" s="598"/>
      <c r="F10" s="597">
        <f>transportation!R27/1000</f>
        <v>1.63</v>
      </c>
      <c r="G10" s="597">
        <f t="shared" si="0"/>
        <v>121.63</v>
      </c>
      <c r="H10" s="611"/>
    </row>
    <row r="11" spans="1:9" x14ac:dyDescent="0.2">
      <c r="A11" s="584" t="str">
        <f>'District Rate'!A23</f>
        <v>Bitumen VG 10</v>
      </c>
      <c r="B11" s="557" t="str">
        <f>'District Rate'!B23</f>
        <v>kg</v>
      </c>
      <c r="C11" s="597">
        <f>'District Rate'!C23</f>
        <v>110</v>
      </c>
      <c r="D11" s="599"/>
      <c r="E11" s="598"/>
      <c r="F11" s="597">
        <f>transportation!R28/1000</f>
        <v>1.64</v>
      </c>
      <c r="G11" s="597">
        <f t="shared" si="0"/>
        <v>111.64</v>
      </c>
      <c r="H11" s="612"/>
    </row>
    <row r="12" spans="1:9" x14ac:dyDescent="0.2">
      <c r="A12" s="584" t="str">
        <f>'District Rate'!A24</f>
        <v>Borrow pit material</v>
      </c>
      <c r="B12" s="557" t="str">
        <f>'District Rate'!B24</f>
        <v>m³</v>
      </c>
      <c r="C12" s="597">
        <f>'District Rate'!C24</f>
        <v>300</v>
      </c>
      <c r="D12" s="599"/>
      <c r="E12" s="598"/>
      <c r="F12" s="597">
        <f>transportation!R15</f>
        <v>371.97</v>
      </c>
      <c r="G12" s="597">
        <f t="shared" si="0"/>
        <v>671.97</v>
      </c>
      <c r="H12" s="612"/>
    </row>
    <row r="13" spans="1:9" hidden="1" x14ac:dyDescent="0.2">
      <c r="A13" s="584" t="s">
        <v>933</v>
      </c>
      <c r="B13" s="557" t="str">
        <f>'District Rate'!B25</f>
        <v>m³</v>
      </c>
      <c r="C13" s="597">
        <f>'District Rate'!C25</f>
        <v>1638</v>
      </c>
      <c r="D13" s="599"/>
      <c r="E13" s="598"/>
      <c r="F13" s="597">
        <f>transportation!$R$22</f>
        <v>416.22</v>
      </c>
      <c r="G13" s="597">
        <f>MIN(C13,D13)+E13+F13</f>
        <v>2054.2199999999998</v>
      </c>
      <c r="H13" s="612"/>
    </row>
    <row r="14" spans="1:9" x14ac:dyDescent="0.2">
      <c r="A14" s="584" t="str">
        <f>'District Rate'!A26</f>
        <v>Cement</v>
      </c>
      <c r="B14" s="557" t="str">
        <f>'District Rate'!B26</f>
        <v>MT</v>
      </c>
      <c r="C14" s="597">
        <f>'District Rate'!C26</f>
        <v>14000</v>
      </c>
      <c r="D14" s="598"/>
      <c r="E14" s="598"/>
      <c r="F14" s="597">
        <f>transportation!R26</f>
        <v>1631</v>
      </c>
      <c r="G14" s="597">
        <f t="shared" si="0"/>
        <v>15631</v>
      </c>
      <c r="H14" s="611"/>
    </row>
    <row r="15" spans="1:9" x14ac:dyDescent="0.2">
      <c r="A15" s="584" t="str">
        <f>'District Rate'!A27</f>
        <v>Clamps</v>
      </c>
      <c r="B15" s="557" t="str">
        <f>'District Rate'!B27</f>
        <v>no</v>
      </c>
      <c r="C15" s="597">
        <f>'District Rate'!C27</f>
        <v>500</v>
      </c>
      <c r="D15" s="437"/>
      <c r="E15" s="437"/>
      <c r="F15" s="597">
        <f>transportation!R32/1000*0.6</f>
        <v>1</v>
      </c>
      <c r="G15" s="597">
        <f t="shared" si="0"/>
        <v>501</v>
      </c>
      <c r="H15" s="611"/>
    </row>
    <row r="16" spans="1:9" hidden="1" x14ac:dyDescent="0.2">
      <c r="A16" s="584" t="str">
        <f>'District Rate'!A28</f>
        <v>Compressive seal</v>
      </c>
      <c r="B16" s="557" t="str">
        <f>'District Rate'!B28</f>
        <v>rm</v>
      </c>
      <c r="C16" s="597">
        <f>'District Rate'!C28</f>
        <v>18000</v>
      </c>
      <c r="D16" s="437"/>
      <c r="E16" s="437"/>
      <c r="F16" s="597">
        <v>0</v>
      </c>
      <c r="G16" s="597">
        <f t="shared" si="0"/>
        <v>18000</v>
      </c>
      <c r="H16" s="611"/>
    </row>
    <row r="17" spans="1:8" x14ac:dyDescent="0.2">
      <c r="A17" s="613" t="str">
        <f>'District Rate'!A29</f>
        <v>Corrugated HDPE sheathing pipe</v>
      </c>
      <c r="B17" s="557" t="str">
        <f>'District Rate'!B29</f>
        <v>rm</v>
      </c>
      <c r="C17" s="597">
        <f>'District Rate'!C29</f>
        <v>275</v>
      </c>
      <c r="D17" s="558"/>
      <c r="E17" s="437"/>
      <c r="F17" s="597">
        <v>0</v>
      </c>
      <c r="G17" s="597">
        <f t="shared" si="0"/>
        <v>275</v>
      </c>
      <c r="H17" s="611"/>
    </row>
    <row r="18" spans="1:8" x14ac:dyDescent="0.2">
      <c r="A18" s="584" t="str">
        <f>'District Rate'!A30</f>
        <v>Crushed Aggregate</v>
      </c>
      <c r="B18" s="557"/>
      <c r="C18" s="597"/>
      <c r="D18" s="598"/>
      <c r="E18" s="598"/>
      <c r="F18" s="597"/>
      <c r="G18" s="597"/>
      <c r="H18" s="611"/>
    </row>
    <row r="19" spans="1:8" x14ac:dyDescent="0.2">
      <c r="A19" s="614" t="str">
        <f>'District Rate'!A31</f>
        <v>10 mm (Small)</v>
      </c>
      <c r="B19" s="557" t="str">
        <f>'District Rate'!B31</f>
        <v>m³</v>
      </c>
      <c r="C19" s="597">
        <f>'District Rate'!C31</f>
        <v>990</v>
      </c>
      <c r="D19" s="597">
        <f>Collection!T26</f>
        <v>4820.3999999999996</v>
      </c>
      <c r="E19" s="598"/>
      <c r="F19" s="597">
        <f>transportation!R21</f>
        <v>430.97</v>
      </c>
      <c r="G19" s="597">
        <f>MIN(C19,D19)+E19+F19</f>
        <v>1420.97</v>
      </c>
      <c r="H19" s="615"/>
    </row>
    <row r="20" spans="1:8" x14ac:dyDescent="0.2">
      <c r="A20" s="614" t="str">
        <f>'District Rate'!A32</f>
        <v>20 mm (Intermediate)</v>
      </c>
      <c r="B20" s="557" t="str">
        <f>'District Rate'!B32</f>
        <v>m³</v>
      </c>
      <c r="C20" s="597">
        <f>'District Rate'!C32</f>
        <v>1150</v>
      </c>
      <c r="D20" s="597">
        <f>Collection!T25</f>
        <v>3213.6</v>
      </c>
      <c r="E20" s="598"/>
      <c r="F20" s="597">
        <f>transportation!R21</f>
        <v>430.97</v>
      </c>
      <c r="G20" s="597">
        <f t="shared" ref="G19:G33" si="1">MIN(C20,D20)+E20+F20</f>
        <v>1580.97</v>
      </c>
      <c r="H20" s="612"/>
    </row>
    <row r="21" spans="1:8" x14ac:dyDescent="0.2">
      <c r="A21" s="614" t="str">
        <f>'District Rate'!A33</f>
        <v>40 mm (Large)</v>
      </c>
      <c r="B21" s="557" t="str">
        <f>'District Rate'!B33</f>
        <v>m³</v>
      </c>
      <c r="C21" s="597">
        <f>'District Rate'!C33</f>
        <v>1155</v>
      </c>
      <c r="D21" s="597">
        <f>Collection!T24</f>
        <v>2410.1999999999998</v>
      </c>
      <c r="E21" s="598"/>
      <c r="F21" s="597">
        <f>transportation!R21</f>
        <v>430.97</v>
      </c>
      <c r="G21" s="597">
        <f t="shared" si="1"/>
        <v>1585.97</v>
      </c>
      <c r="H21" s="611"/>
    </row>
    <row r="22" spans="1:8" hidden="1" x14ac:dyDescent="0.2">
      <c r="A22" s="584" t="str">
        <f>'District Rate'!A34</f>
        <v>Detonator</v>
      </c>
      <c r="B22" s="557" t="str">
        <f>'District Rate'!B34</f>
        <v>no</v>
      </c>
      <c r="C22" s="597">
        <f>'District Rate'!C34</f>
        <v>7.7</v>
      </c>
      <c r="D22" s="558"/>
      <c r="E22" s="437"/>
      <c r="F22" s="597">
        <v>0</v>
      </c>
      <c r="G22" s="597">
        <f t="shared" si="1"/>
        <v>7.7</v>
      </c>
      <c r="H22" s="611"/>
    </row>
    <row r="23" spans="1:8" x14ac:dyDescent="0.2">
      <c r="A23" s="616" t="s">
        <v>37</v>
      </c>
      <c r="B23" s="390" t="s">
        <v>43</v>
      </c>
      <c r="C23" s="597">
        <f>'District Rate'!C12</f>
        <v>150</v>
      </c>
      <c r="D23" s="390"/>
      <c r="E23" s="437"/>
      <c r="F23" s="597">
        <f>transportation!R42/1000</f>
        <v>1.1499999999999999</v>
      </c>
      <c r="G23" s="597">
        <f t="shared" si="1"/>
        <v>151.15</v>
      </c>
      <c r="H23" s="611"/>
    </row>
    <row r="24" spans="1:8" hidden="1" x14ac:dyDescent="0.2">
      <c r="A24" s="584" t="str">
        <f>'District Rate'!A35</f>
        <v>Elastomeric  bearing</v>
      </c>
      <c r="B24" s="557" t="str">
        <f>'District Rate'!B35</f>
        <v>no.</v>
      </c>
      <c r="C24" s="597">
        <f>'District Rate'!C35</f>
        <v>31820</v>
      </c>
      <c r="D24" s="599"/>
      <c r="E24" s="598"/>
      <c r="F24" s="597">
        <v>0</v>
      </c>
      <c r="G24" s="597">
        <f t="shared" si="1"/>
        <v>31820</v>
      </c>
      <c r="H24" s="612"/>
    </row>
    <row r="25" spans="1:8" ht="15.75" hidden="1" customHeight="1" x14ac:dyDescent="0.2">
      <c r="A25" s="584" t="str">
        <f>'District Rate'!A36</f>
        <v>Slab sill expansion joint</v>
      </c>
      <c r="B25" s="557" t="str">
        <f>'District Rate'!B36</f>
        <v>rm</v>
      </c>
      <c r="C25" s="597">
        <f>'District Rate'!C36</f>
        <v>36000</v>
      </c>
      <c r="D25" s="599"/>
      <c r="E25" s="598"/>
      <c r="F25" s="597">
        <v>0</v>
      </c>
      <c r="G25" s="597">
        <f t="shared" si="1"/>
        <v>36000</v>
      </c>
      <c r="H25" s="612"/>
    </row>
    <row r="26" spans="1:8" hidden="1" x14ac:dyDescent="0.2">
      <c r="A26" s="584" t="str">
        <f>'District Rate'!A37</f>
        <v>Fuse wire</v>
      </c>
      <c r="B26" s="557" t="str">
        <f>'District Rate'!B37</f>
        <v>rm</v>
      </c>
      <c r="C26" s="597">
        <f>'District Rate'!C37</f>
        <v>6.6</v>
      </c>
      <c r="D26" s="558"/>
      <c r="E26" s="437"/>
      <c r="F26" s="597">
        <v>0</v>
      </c>
      <c r="G26" s="597">
        <f t="shared" si="1"/>
        <v>6.6</v>
      </c>
      <c r="H26" s="611"/>
    </row>
    <row r="27" spans="1:8" x14ac:dyDescent="0.2">
      <c r="A27" s="584" t="str">
        <f>'District Rate'!A38</f>
        <v>MS angle section (100x100x12)</v>
      </c>
      <c r="B27" s="557" t="str">
        <f>'District Rate'!B38</f>
        <v>kg</v>
      </c>
      <c r="C27" s="597">
        <f>'District Rate'!C38</f>
        <v>115</v>
      </c>
      <c r="D27" s="437"/>
      <c r="E27" s="437"/>
      <c r="F27" s="597">
        <f>transportation!R32/1000</f>
        <v>1.67</v>
      </c>
      <c r="G27" s="597">
        <f t="shared" si="1"/>
        <v>116.67</v>
      </c>
      <c r="H27" s="611"/>
    </row>
    <row r="28" spans="1:8" x14ac:dyDescent="0.2">
      <c r="A28" s="584" t="str">
        <f>'District Rate'!A39</f>
        <v>Galvanised MS flat clamp</v>
      </c>
      <c r="B28" s="557" t="str">
        <f>'District Rate'!B39</f>
        <v>no</v>
      </c>
      <c r="C28" s="597">
        <f>'District Rate'!C39</f>
        <v>34.200000000000003</v>
      </c>
      <c r="D28" s="558"/>
      <c r="E28" s="437"/>
      <c r="F28" s="597">
        <v>0</v>
      </c>
      <c r="G28" s="597">
        <f t="shared" si="1"/>
        <v>34.200000000000003</v>
      </c>
      <c r="H28" s="611"/>
    </row>
    <row r="29" spans="1:8" hidden="1" x14ac:dyDescent="0.2">
      <c r="A29" s="584" t="str">
        <f>'District Rate'!A40</f>
        <v>Gelatin</v>
      </c>
      <c r="B29" s="557" t="str">
        <f>'District Rate'!B40</f>
        <v>kg</v>
      </c>
      <c r="C29" s="597">
        <f>'District Rate'!C40</f>
        <v>204</v>
      </c>
      <c r="D29" s="558"/>
      <c r="E29" s="437"/>
      <c r="F29" s="597">
        <v>0</v>
      </c>
      <c r="G29" s="597">
        <f t="shared" si="1"/>
        <v>204</v>
      </c>
      <c r="H29" s="611"/>
    </row>
    <row r="30" spans="1:8" s="40" customFormat="1" x14ac:dyDescent="0.2">
      <c r="A30" s="584" t="str">
        <f>'District Rate'!A41</f>
        <v>Geo - Textile (150 gsm)</v>
      </c>
      <c r="B30" s="557" t="str">
        <f>'District Rate'!B41</f>
        <v>Sqm</v>
      </c>
      <c r="C30" s="597">
        <f>'District Rate'!C41</f>
        <v>120</v>
      </c>
      <c r="D30" s="598"/>
      <c r="E30" s="598"/>
      <c r="F30" s="597">
        <f>transportation!R26/1000*0.3</f>
        <v>0.49</v>
      </c>
      <c r="G30" s="597">
        <f t="shared" si="1"/>
        <v>120.49</v>
      </c>
      <c r="H30" s="612"/>
    </row>
    <row r="31" spans="1:8" x14ac:dyDescent="0.2">
      <c r="A31" s="584" t="str">
        <f>'District Rate'!A42</f>
        <v>GI bolt 10 mm dia</v>
      </c>
      <c r="B31" s="557" t="str">
        <f>'District Rate'!B42</f>
        <v>no</v>
      </c>
      <c r="C31" s="597">
        <f>'District Rate'!C42</f>
        <v>6.6</v>
      </c>
      <c r="D31" s="558"/>
      <c r="E31" s="437"/>
      <c r="F31" s="597">
        <v>0</v>
      </c>
      <c r="G31" s="597">
        <f t="shared" si="1"/>
        <v>6.6</v>
      </c>
      <c r="H31" s="611"/>
    </row>
    <row r="32" spans="1:8" x14ac:dyDescent="0.2">
      <c r="A32" s="584" t="str">
        <f>'District Rate'!A43</f>
        <v>GI Pipe 50 mm heavy duty</v>
      </c>
      <c r="B32" s="557" t="str">
        <f>'District Rate'!B43</f>
        <v>rm</v>
      </c>
      <c r="C32" s="597">
        <f>'District Rate'!C43</f>
        <v>830</v>
      </c>
      <c r="D32" s="598"/>
      <c r="E32" s="598"/>
      <c r="F32" s="597">
        <f>transportation!R29/1000*5.03</f>
        <v>8.4</v>
      </c>
      <c r="G32" s="597">
        <f t="shared" si="1"/>
        <v>838.4</v>
      </c>
      <c r="H32" s="612"/>
    </row>
    <row r="33" spans="1:8" hidden="1" x14ac:dyDescent="0.2">
      <c r="A33" s="584" t="str">
        <f>'District Rate'!A44</f>
        <v>GI pipe 100 mm medium class</v>
      </c>
      <c r="B33" s="557" t="str">
        <f>'District Rate'!B44</f>
        <v>rm</v>
      </c>
      <c r="C33" s="597">
        <f>'District Rate'!C44</f>
        <v>2030</v>
      </c>
      <c r="D33" s="558"/>
      <c r="E33" s="437"/>
      <c r="F33" s="597">
        <f>transportation!R29/1000*12.2</f>
        <v>20.37</v>
      </c>
      <c r="G33" s="597">
        <f t="shared" si="1"/>
        <v>2050.37</v>
      </c>
      <c r="H33" s="611"/>
    </row>
    <row r="34" spans="1:8" x14ac:dyDescent="0.2">
      <c r="A34" s="584" t="str">
        <f>'District Rate'!A45</f>
        <v>G.I Wire heavy coated</v>
      </c>
      <c r="B34" s="557"/>
      <c r="C34" s="597"/>
      <c r="D34" s="598"/>
      <c r="E34" s="598"/>
      <c r="F34" s="597"/>
      <c r="G34" s="597"/>
      <c r="H34" s="612"/>
    </row>
    <row r="35" spans="1:8" x14ac:dyDescent="0.2">
      <c r="A35" s="614" t="str">
        <f>'District Rate'!A46</f>
        <v>8 gauge</v>
      </c>
      <c r="B35" s="557" t="str">
        <f>'District Rate'!B46</f>
        <v>kg</v>
      </c>
      <c r="C35" s="597">
        <f>'District Rate'!C46</f>
        <v>130</v>
      </c>
      <c r="D35" s="598"/>
      <c r="E35" s="598"/>
      <c r="F35" s="597">
        <f>transportation!R26/1000</f>
        <v>1.63</v>
      </c>
      <c r="G35" s="597">
        <f t="shared" ref="G35:G65" si="2">MIN(C35,D35)+E35+F35</f>
        <v>131.63</v>
      </c>
      <c r="H35" s="612"/>
    </row>
    <row r="36" spans="1:8" x14ac:dyDescent="0.2">
      <c r="A36" s="614" t="str">
        <f>'District Rate'!A47</f>
        <v xml:space="preserve">10 gauge </v>
      </c>
      <c r="B36" s="557" t="str">
        <f>'District Rate'!B47</f>
        <v>kg</v>
      </c>
      <c r="C36" s="597">
        <f>'District Rate'!C47</f>
        <v>130</v>
      </c>
      <c r="D36" s="598"/>
      <c r="E36" s="598"/>
      <c r="F36" s="597">
        <f>transportation!R27/1000</f>
        <v>1.63</v>
      </c>
      <c r="G36" s="597">
        <f t="shared" si="2"/>
        <v>131.63</v>
      </c>
      <c r="H36" s="612"/>
    </row>
    <row r="37" spans="1:8" x14ac:dyDescent="0.2">
      <c r="A37" s="614" t="str">
        <f>'District Rate'!A48</f>
        <v>12 gauge</v>
      </c>
      <c r="B37" s="557" t="str">
        <f>'District Rate'!B48</f>
        <v>kg</v>
      </c>
      <c r="C37" s="597">
        <f>'District Rate'!C48</f>
        <v>130</v>
      </c>
      <c r="D37" s="598"/>
      <c r="E37" s="598"/>
      <c r="F37" s="597">
        <f>transportation!R26/1000</f>
        <v>1.63</v>
      </c>
      <c r="G37" s="597">
        <f t="shared" si="2"/>
        <v>131.63</v>
      </c>
      <c r="H37" s="612"/>
    </row>
    <row r="38" spans="1:8" hidden="1" x14ac:dyDescent="0.2">
      <c r="A38" s="584" t="str">
        <f>'District Rate'!A49</f>
        <v>Graded filter material</v>
      </c>
      <c r="B38" s="557" t="str">
        <f>'District Rate'!B49</f>
        <v>m³</v>
      </c>
      <c r="C38" s="597">
        <f>'District Rate'!C49</f>
        <v>1830</v>
      </c>
      <c r="D38" s="599"/>
      <c r="E38" s="598"/>
      <c r="F38" s="597">
        <f>transportation!R19</f>
        <v>416.22</v>
      </c>
      <c r="G38" s="597">
        <f t="shared" si="2"/>
        <v>2246.2199999999998</v>
      </c>
      <c r="H38" s="612"/>
    </row>
    <row r="39" spans="1:8" x14ac:dyDescent="0.2">
      <c r="A39" s="584" t="str">
        <f>'District Rate'!A50</f>
        <v>Granular material</v>
      </c>
      <c r="B39" s="557" t="str">
        <f>'District Rate'!B50</f>
        <v>m³</v>
      </c>
      <c r="C39" s="597">
        <f>'District Rate'!C50</f>
        <v>1430</v>
      </c>
      <c r="D39" s="435">
        <f>Collection!T7</f>
        <v>1606.8</v>
      </c>
      <c r="E39" s="437"/>
      <c r="F39" s="597">
        <f>transportation!R19</f>
        <v>416.22</v>
      </c>
      <c r="G39" s="597">
        <f>MIN(C39,D39)+E39+F39</f>
        <v>1846.22</v>
      </c>
      <c r="H39" s="611"/>
    </row>
    <row r="40" spans="1:8" x14ac:dyDescent="0.2">
      <c r="A40" s="584" t="str">
        <f>'District Rate'!A51</f>
        <v>HDPE pipe 75mm dia</v>
      </c>
      <c r="B40" s="557" t="str">
        <f>'District Rate'!B51</f>
        <v>rm</v>
      </c>
      <c r="C40" s="597">
        <f>'District Rate'!C51</f>
        <v>219.96</v>
      </c>
      <c r="D40" s="437"/>
      <c r="E40" s="437"/>
      <c r="F40" s="597">
        <f>transportation!R29/1000*1.703</f>
        <v>2.84</v>
      </c>
      <c r="G40" s="597">
        <f t="shared" ref="G40" si="3">MIN(C40,D40)+E40+F40</f>
        <v>222.8</v>
      </c>
      <c r="H40" s="611"/>
    </row>
    <row r="41" spans="1:8" x14ac:dyDescent="0.2">
      <c r="A41" s="584" t="str">
        <f>'District Rate'!A52</f>
        <v>HDPE pipe 110mm dia</v>
      </c>
      <c r="B41" s="557" t="str">
        <f>'District Rate'!B52</f>
        <v>rm</v>
      </c>
      <c r="C41" s="597">
        <f>'District Rate'!C52</f>
        <v>442.78</v>
      </c>
      <c r="D41" s="437"/>
      <c r="E41" s="437"/>
      <c r="F41" s="597">
        <f>transportation!R29/1000*1.703</f>
        <v>2.84</v>
      </c>
      <c r="G41" s="597">
        <f t="shared" si="2"/>
        <v>445.62</v>
      </c>
      <c r="H41" s="611"/>
    </row>
    <row r="42" spans="1:8" x14ac:dyDescent="0.2">
      <c r="A42" s="584" t="str">
        <f>'District Rate'!A53</f>
        <v>HDPE pipe 250mm dia, series II</v>
      </c>
      <c r="B42" s="557" t="str">
        <f>'District Rate'!B53</f>
        <v>rm</v>
      </c>
      <c r="C42" s="597">
        <f>'District Rate'!C53</f>
        <v>1563.1</v>
      </c>
      <c r="D42" s="558"/>
      <c r="E42" s="437"/>
      <c r="F42" s="597">
        <f>transportation!R29/1000*8.834</f>
        <v>14.75</v>
      </c>
      <c r="G42" s="597">
        <f t="shared" si="2"/>
        <v>1577.85</v>
      </c>
      <c r="H42" s="611"/>
    </row>
    <row r="43" spans="1:8" x14ac:dyDescent="0.2">
      <c r="A43" s="584" t="str">
        <f>'District Rate'!A54</f>
        <v>Hexagonal anchor coupling</v>
      </c>
      <c r="B43" s="557" t="str">
        <f>'District Rate'!B54</f>
        <v>no</v>
      </c>
      <c r="C43" s="597">
        <f>'District Rate'!C54</f>
        <v>110</v>
      </c>
      <c r="D43" s="558"/>
      <c r="E43" s="437"/>
      <c r="F43" s="597">
        <v>0</v>
      </c>
      <c r="G43" s="597">
        <f t="shared" si="2"/>
        <v>110</v>
      </c>
      <c r="H43" s="611"/>
    </row>
    <row r="44" spans="1:8" x14ac:dyDescent="0.2">
      <c r="A44" s="584" t="str">
        <f>'District Rate'!A55</f>
        <v>High Tension strand</v>
      </c>
      <c r="B44" s="557" t="str">
        <f>'District Rate'!B55</f>
        <v>MT</v>
      </c>
      <c r="C44" s="597">
        <f>'District Rate'!C55</f>
        <v>127325</v>
      </c>
      <c r="D44" s="558"/>
      <c r="E44" s="437"/>
      <c r="F44" s="597">
        <f>transportation!R32</f>
        <v>1670</v>
      </c>
      <c r="G44" s="597">
        <f t="shared" si="2"/>
        <v>128995</v>
      </c>
      <c r="H44" s="611"/>
    </row>
    <row r="45" spans="1:8" hidden="1" x14ac:dyDescent="0.2">
      <c r="A45" s="584" t="str">
        <f>'District Rate'!A56</f>
        <v>Hume pipe - 900 mm diameter (NP3)</v>
      </c>
      <c r="B45" s="557" t="str">
        <f>'District Rate'!B56</f>
        <v>rm</v>
      </c>
      <c r="C45" s="597">
        <f>'District Rate'!C56</f>
        <v>12947</v>
      </c>
      <c r="D45" s="598"/>
      <c r="E45" s="598"/>
      <c r="F45" s="597">
        <f>transportation!R36</f>
        <v>1179.25</v>
      </c>
      <c r="G45" s="597">
        <f t="shared" si="2"/>
        <v>14126.25</v>
      </c>
      <c r="H45" s="611"/>
    </row>
    <row r="46" spans="1:8" hidden="1" x14ac:dyDescent="0.2">
      <c r="A46" s="584" t="str">
        <f>'District Rate'!A57</f>
        <v>Jute</v>
      </c>
      <c r="B46" s="557" t="str">
        <f>'District Rate'!B57</f>
        <v>kg</v>
      </c>
      <c r="C46" s="597">
        <f>'District Rate'!C57</f>
        <v>115</v>
      </c>
      <c r="D46" s="598"/>
      <c r="E46" s="598"/>
      <c r="F46" s="597"/>
      <c r="G46" s="597">
        <f t="shared" si="2"/>
        <v>115</v>
      </c>
      <c r="H46" s="612"/>
    </row>
    <row r="47" spans="1:8" x14ac:dyDescent="0.2">
      <c r="A47" s="584" t="str">
        <f>'District Rate'!A58</f>
        <v>MS pipe 40mm</v>
      </c>
      <c r="B47" s="557" t="str">
        <f>'District Rate'!B58</f>
        <v>rm</v>
      </c>
      <c r="C47" s="597">
        <f>'District Rate'!C58</f>
        <v>1331.1</v>
      </c>
      <c r="D47" s="437"/>
      <c r="E47" s="437"/>
      <c r="F47" s="597">
        <f>transportation!R29/1000*9.86</f>
        <v>16.47</v>
      </c>
      <c r="G47" s="597">
        <f t="shared" si="2"/>
        <v>1347.57</v>
      </c>
      <c r="H47" s="611"/>
    </row>
    <row r="48" spans="1:8" x14ac:dyDescent="0.2">
      <c r="A48" s="584" t="str">
        <f>'District Rate'!A59</f>
        <v>MS steel</v>
      </c>
      <c r="B48" s="557" t="str">
        <f>'District Rate'!B59</f>
        <v>MT</v>
      </c>
      <c r="C48" s="597">
        <f>'District Rate'!C59</f>
        <v>99870</v>
      </c>
      <c r="D48" s="598"/>
      <c r="E48" s="598"/>
      <c r="F48" s="597">
        <f>transportation!R32</f>
        <v>1670</v>
      </c>
      <c r="G48" s="597">
        <f t="shared" si="2"/>
        <v>101540</v>
      </c>
      <c r="H48" s="612"/>
    </row>
    <row r="49" spans="1:8" x14ac:dyDescent="0.2">
      <c r="A49" s="584" t="str">
        <f>'District Rate'!A60</f>
        <v xml:space="preserve">Nails, spikes etc.. </v>
      </c>
      <c r="B49" s="557" t="str">
        <f>'District Rate'!B60</f>
        <v>kg</v>
      </c>
      <c r="C49" s="597">
        <f>'District Rate'!C60</f>
        <v>115.5</v>
      </c>
      <c r="D49" s="599"/>
      <c r="E49" s="598"/>
      <c r="F49" s="597">
        <f>transportation!R27/1000</f>
        <v>1.63</v>
      </c>
      <c r="G49" s="597">
        <f t="shared" si="2"/>
        <v>117.13</v>
      </c>
      <c r="H49" s="612"/>
    </row>
    <row r="50" spans="1:8" x14ac:dyDescent="0.2">
      <c r="A50" s="584" t="str">
        <f>'District Rate'!A61</f>
        <v>Nuts &amp; bolts (4")</v>
      </c>
      <c r="B50" s="557" t="str">
        <f>'District Rate'!B61</f>
        <v>kg</v>
      </c>
      <c r="C50" s="597">
        <f>'District Rate'!C61</f>
        <v>199.5</v>
      </c>
      <c r="D50" s="598"/>
      <c r="E50" s="598"/>
      <c r="F50" s="597">
        <f>transportation!R27/1000</f>
        <v>1.63</v>
      </c>
      <c r="G50" s="597">
        <f t="shared" si="2"/>
        <v>201.13</v>
      </c>
      <c r="H50" s="612"/>
    </row>
    <row r="51" spans="1:8" x14ac:dyDescent="0.2">
      <c r="A51" s="584" t="str">
        <f>'District Rate'!A62</f>
        <v>Nut and bolts 6mm dia</v>
      </c>
      <c r="B51" s="557" t="str">
        <f>'District Rate'!B62</f>
        <v>kg</v>
      </c>
      <c r="C51" s="597">
        <f>'District Rate'!C62</f>
        <v>199.5</v>
      </c>
      <c r="D51" s="437"/>
      <c r="E51" s="437"/>
      <c r="F51" s="597">
        <f>transportation!R27/1000</f>
        <v>1.63</v>
      </c>
      <c r="G51" s="597">
        <f t="shared" si="2"/>
        <v>201.13</v>
      </c>
      <c r="H51" s="611"/>
    </row>
    <row r="52" spans="1:8" x14ac:dyDescent="0.2">
      <c r="A52" s="617" t="s">
        <v>51</v>
      </c>
      <c r="B52" s="564" t="s">
        <v>43</v>
      </c>
      <c r="C52" s="600">
        <f>'District Rate'!C13</f>
        <v>162</v>
      </c>
      <c r="D52" s="601"/>
      <c r="E52" s="437"/>
      <c r="F52" s="597">
        <f>transportation!R42/1000</f>
        <v>1.1499999999999999</v>
      </c>
      <c r="G52" s="597">
        <f t="shared" si="2"/>
        <v>163.15</v>
      </c>
      <c r="H52" s="611"/>
    </row>
    <row r="53" spans="1:8" hidden="1" x14ac:dyDescent="0.2">
      <c r="A53" s="584" t="str">
        <f>'District Rate'!A63</f>
        <v>Planks 38mm thick.</v>
      </c>
      <c r="B53" s="557" t="str">
        <f>'District Rate'!B63</f>
        <v>m³</v>
      </c>
      <c r="C53" s="597">
        <f>'District Rate'!C63</f>
        <v>50884.65</v>
      </c>
      <c r="D53" s="599"/>
      <c r="E53" s="598"/>
      <c r="F53" s="597">
        <f>transportation!R30</f>
        <v>1875.67</v>
      </c>
      <c r="G53" s="597">
        <f t="shared" si="2"/>
        <v>52760.32</v>
      </c>
      <c r="H53" s="612"/>
    </row>
    <row r="54" spans="1:8" x14ac:dyDescent="0.2">
      <c r="A54" s="584" t="str">
        <f>'District Rate'!A64</f>
        <v>Pot bearing (fixed)</v>
      </c>
      <c r="B54" s="557" t="str">
        <f>'District Rate'!B64</f>
        <v>no</v>
      </c>
      <c r="C54" s="597">
        <f>'District Rate'!C64</f>
        <v>130380.8</v>
      </c>
      <c r="D54" s="558"/>
      <c r="E54" s="437"/>
      <c r="F54" s="597">
        <f>transportation!R43</f>
        <v>3685.5</v>
      </c>
      <c r="G54" s="597">
        <f t="shared" si="2"/>
        <v>134066.29999999999</v>
      </c>
      <c r="H54" s="611"/>
    </row>
    <row r="55" spans="1:8" x14ac:dyDescent="0.2">
      <c r="A55" s="584" t="str">
        <f>'District Rate'!A65</f>
        <v>Pot bearing (LG bearing)</v>
      </c>
      <c r="B55" s="557" t="str">
        <f>'District Rate'!B65</f>
        <v>no</v>
      </c>
      <c r="C55" s="597">
        <f>'District Rate'!C65</f>
        <v>140566.79999999999</v>
      </c>
      <c r="D55" s="558"/>
      <c r="E55" s="437"/>
      <c r="F55" s="597">
        <v>0</v>
      </c>
      <c r="G55" s="597">
        <f t="shared" ref="G55" si="4">MIN(C55,D55)+E55+F55</f>
        <v>140566.79999999999</v>
      </c>
      <c r="H55" s="611"/>
    </row>
    <row r="56" spans="1:8" hidden="1" x14ac:dyDescent="0.2">
      <c r="A56" s="613" t="str">
        <f>'District Rate'!A66</f>
        <v>PTFE sliding plate bearing assembly</v>
      </c>
      <c r="B56" s="557" t="str">
        <f>'District Rate'!B66</f>
        <v>no</v>
      </c>
      <c r="C56" s="597">
        <f>'District Rate'!C66</f>
        <v>80000</v>
      </c>
      <c r="D56" s="558"/>
      <c r="E56" s="437"/>
      <c r="F56" s="597">
        <v>0</v>
      </c>
      <c r="G56" s="597">
        <f t="shared" si="2"/>
        <v>80000</v>
      </c>
      <c r="H56" s="611"/>
    </row>
    <row r="57" spans="1:8" hidden="1" x14ac:dyDescent="0.2">
      <c r="A57" s="584" t="str">
        <f>'District Rate'!A67</f>
        <v>RCC collar</v>
      </c>
      <c r="B57" s="557" t="str">
        <f>'District Rate'!B67</f>
        <v>no</v>
      </c>
      <c r="C57" s="597">
        <f>'District Rate'!C67</f>
        <v>6473.5</v>
      </c>
      <c r="D57" s="558"/>
      <c r="E57" s="437"/>
      <c r="F57" s="597">
        <f>transportation!R36/5</f>
        <v>235.85</v>
      </c>
      <c r="G57" s="597">
        <f t="shared" si="2"/>
        <v>6709.35</v>
      </c>
      <c r="H57" s="611"/>
    </row>
    <row r="58" spans="1:8" x14ac:dyDescent="0.2">
      <c r="A58" s="584" t="str">
        <f>'District Rate'!A68</f>
        <v>Reinforcement</v>
      </c>
      <c r="B58" s="557" t="str">
        <f>'District Rate'!B68</f>
        <v>MT</v>
      </c>
      <c r="C58" s="597">
        <f>'District Rate'!C68</f>
        <v>99870</v>
      </c>
      <c r="D58" s="598"/>
      <c r="E58" s="598"/>
      <c r="F58" s="597">
        <f>transportation!R27</f>
        <v>1631</v>
      </c>
      <c r="G58" s="597">
        <f t="shared" si="2"/>
        <v>101501</v>
      </c>
      <c r="H58" s="611"/>
    </row>
    <row r="59" spans="1:8" x14ac:dyDescent="0.2">
      <c r="A59" s="584" t="str">
        <f>'District Rate'!A69</f>
        <v>Sand</v>
      </c>
      <c r="B59" s="557" t="str">
        <f>'District Rate'!B69</f>
        <v>m³</v>
      </c>
      <c r="C59" s="597">
        <f>'District Rate'!C69</f>
        <v>1600</v>
      </c>
      <c r="D59" s="597">
        <f>Collection!T19+Collection!T18</f>
        <v>1606.8</v>
      </c>
      <c r="E59" s="598"/>
      <c r="F59" s="597">
        <f>transportation!R17</f>
        <v>401.47</v>
      </c>
      <c r="G59" s="597">
        <f t="shared" si="2"/>
        <v>2001.47</v>
      </c>
      <c r="H59" s="611"/>
    </row>
    <row r="60" spans="1:8" hidden="1" x14ac:dyDescent="0.2">
      <c r="A60" s="584" t="str">
        <f>'District Rate'!A70</f>
        <v>Slab seal expansion joint</v>
      </c>
      <c r="B60" s="557" t="str">
        <f>'District Rate'!B70</f>
        <v>rm</v>
      </c>
      <c r="C60" s="597">
        <f>'District Rate'!C70</f>
        <v>36000</v>
      </c>
      <c r="D60" s="558"/>
      <c r="E60" s="437"/>
      <c r="F60" s="597">
        <v>0</v>
      </c>
      <c r="G60" s="597">
        <f t="shared" si="2"/>
        <v>36000</v>
      </c>
      <c r="H60" s="611"/>
    </row>
    <row r="61" spans="1:8" x14ac:dyDescent="0.2">
      <c r="A61" s="584" t="str">
        <f>'District Rate'!A71</f>
        <v>Stone</v>
      </c>
      <c r="B61" s="557" t="str">
        <f>'District Rate'!B71</f>
        <v>m³</v>
      </c>
      <c r="C61" s="597">
        <f>'District Rate'!C71</f>
        <v>1100</v>
      </c>
      <c r="D61" s="597">
        <f>Collection!T13</f>
        <v>1124.76</v>
      </c>
      <c r="E61" s="598"/>
      <c r="F61" s="597">
        <f>transportation!$R$22</f>
        <v>416.22</v>
      </c>
      <c r="G61" s="597">
        <f t="shared" si="2"/>
        <v>1516.22</v>
      </c>
      <c r="H61" s="611"/>
    </row>
    <row r="62" spans="1:8" x14ac:dyDescent="0.2">
      <c r="A62" s="584" t="str">
        <f>'District Rate'!A72</f>
        <v>Strip seal expansion joint</v>
      </c>
      <c r="B62" s="557" t="str">
        <f>'District Rate'!B72</f>
        <v>rm</v>
      </c>
      <c r="C62" s="597">
        <f>'District Rate'!C72</f>
        <v>15788.3</v>
      </c>
      <c r="D62" s="558"/>
      <c r="E62" s="437"/>
      <c r="F62" s="597">
        <v>0</v>
      </c>
      <c r="G62" s="597">
        <f t="shared" si="2"/>
        <v>15788.3</v>
      </c>
      <c r="H62" s="611"/>
    </row>
    <row r="63" spans="1:8" ht="12.75" customHeight="1" x14ac:dyDescent="0.2">
      <c r="A63" s="584" t="str">
        <f>'District Rate'!A73</f>
        <v xml:space="preserve">Struts, ballies, etc. </v>
      </c>
      <c r="B63" s="557" t="str">
        <f>'District Rate'!B73</f>
        <v>m³</v>
      </c>
      <c r="C63" s="597">
        <f>'District Rate'!C73</f>
        <v>50884.65</v>
      </c>
      <c r="D63" s="599"/>
      <c r="E63" s="598"/>
      <c r="F63" s="597">
        <f>transportation!R30</f>
        <v>1875.67</v>
      </c>
      <c r="G63" s="597">
        <f t="shared" si="2"/>
        <v>52760.32</v>
      </c>
      <c r="H63" s="612"/>
    </row>
    <row r="64" spans="1:8" x14ac:dyDescent="0.2">
      <c r="A64" s="584" t="str">
        <f>'District Rate'!A74</f>
        <v>Sub-base aggregate</v>
      </c>
      <c r="B64" s="557" t="str">
        <f>'District Rate'!B74</f>
        <v>m³</v>
      </c>
      <c r="C64" s="597">
        <f>'District Rate'!C74</f>
        <v>1283.33</v>
      </c>
      <c r="D64" s="599"/>
      <c r="E64" s="598"/>
      <c r="F64" s="597">
        <f>transportation!R21</f>
        <v>430.97</v>
      </c>
      <c r="G64" s="597">
        <f t="shared" si="2"/>
        <v>1714.3</v>
      </c>
      <c r="H64" s="618"/>
    </row>
    <row r="65" spans="1:8" x14ac:dyDescent="0.2">
      <c r="A65" s="584" t="str">
        <f>'District Rate'!A75</f>
        <v>Synthetic enamel</v>
      </c>
      <c r="B65" s="557" t="str">
        <f>'District Rate'!B75</f>
        <v>ltr</v>
      </c>
      <c r="C65" s="597">
        <f>'District Rate'!C75</f>
        <v>570</v>
      </c>
      <c r="D65" s="598"/>
      <c r="E65" s="598"/>
      <c r="F65" s="597">
        <f>transportation!R26/1000*1.3</f>
        <v>2.12</v>
      </c>
      <c r="G65" s="597">
        <f t="shared" si="2"/>
        <v>572.12</v>
      </c>
      <c r="H65" s="612"/>
    </row>
    <row r="66" spans="1:8" hidden="1" x14ac:dyDescent="0.2">
      <c r="A66" s="584" t="str">
        <f>'District Rate'!A76</f>
        <v>Timber</v>
      </c>
      <c r="B66" s="557" t="str">
        <f>'District Rate'!B76</f>
        <v>m³</v>
      </c>
      <c r="C66" s="597">
        <f>'District Rate'!C76</f>
        <v>50884.65</v>
      </c>
      <c r="D66" s="599"/>
      <c r="E66" s="598"/>
      <c r="F66" s="597">
        <f>transportation!R30</f>
        <v>1875.67</v>
      </c>
      <c r="G66" s="597">
        <f>MIN(C66,D66)+E66+F66</f>
        <v>52760.32</v>
      </c>
      <c r="H66" s="612"/>
    </row>
    <row r="67" spans="1:8" ht="38.25" x14ac:dyDescent="0.2">
      <c r="A67" s="613" t="str">
        <f>'District Rate'!A77</f>
        <v>Tube anchorage set complete with bearing plate, permanent wedges etc.</v>
      </c>
      <c r="B67" s="557" t="str">
        <f>'District Rate'!B77</f>
        <v>no</v>
      </c>
      <c r="C67" s="597">
        <f>'District Rate'!C77</f>
        <v>2546.5</v>
      </c>
      <c r="D67" s="558"/>
      <c r="E67" s="437"/>
      <c r="F67" s="597">
        <v>0</v>
      </c>
      <c r="G67" s="597">
        <f>MIN(C67,D67)+E67+F67</f>
        <v>2546.5</v>
      </c>
      <c r="H67" s="611"/>
    </row>
    <row r="68" spans="1:8" x14ac:dyDescent="0.2">
      <c r="A68" s="584" t="str">
        <f>'District Rate'!A78</f>
        <v>Water</v>
      </c>
      <c r="B68" s="557" t="str">
        <f>'District Rate'!B78</f>
        <v>lit.</v>
      </c>
      <c r="C68" s="597">
        <f>'District Rate'!C78</f>
        <v>0.19</v>
      </c>
      <c r="D68" s="598"/>
      <c r="E68" s="598"/>
      <c r="F68" s="597">
        <f>transportation!R41/1000</f>
        <v>0.22</v>
      </c>
      <c r="G68" s="597">
        <f>MIN(C68,D68)+E68+F68</f>
        <v>0.41</v>
      </c>
      <c r="H68" s="611"/>
    </row>
    <row r="69" spans="1:8" ht="13.5" thickBot="1" x14ac:dyDescent="0.25">
      <c r="A69" s="619" t="str">
        <f>'District Rate'!A79</f>
        <v>Waterproof Plywood 12mm thick</v>
      </c>
      <c r="B69" s="620" t="str">
        <f>'District Rate'!B79</f>
        <v>sqm</v>
      </c>
      <c r="C69" s="621">
        <f>'District Rate'!C79</f>
        <v>952.75</v>
      </c>
      <c r="D69" s="622"/>
      <c r="E69" s="622"/>
      <c r="F69" s="621">
        <f>transportation!R30*0.012</f>
        <v>22.51</v>
      </c>
      <c r="G69" s="621">
        <f>MIN(C69,D69)+E69+F69</f>
        <v>975.26</v>
      </c>
      <c r="H69" s="623"/>
    </row>
    <row r="70" spans="1:8" x14ac:dyDescent="0.2">
      <c r="A70" s="40"/>
      <c r="B70" s="91"/>
      <c r="C70" s="92"/>
      <c r="D70" s="39"/>
      <c r="G70" s="39"/>
      <c r="H70" s="39"/>
    </row>
  </sheetData>
  <mergeCells count="1">
    <mergeCell ref="A3:H3"/>
  </mergeCells>
  <printOptions horizontalCentered="1"/>
  <pageMargins left="0.7" right="0.7" top="0.75" bottom="0.75" header="0.3" footer="0.3"/>
  <pageSetup paperSize="9" scale="96" orientation="portrait" r:id="rId1"/>
  <headerFooter alignWithMargins="0"/>
  <ignoredErrors>
    <ignoredError sqref="F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212"/>
  <sheetViews>
    <sheetView workbookViewId="0">
      <selection activeCell="D9" sqref="D9"/>
    </sheetView>
  </sheetViews>
  <sheetFormatPr defaultColWidth="9.140625" defaultRowHeight="12.75" x14ac:dyDescent="0.2"/>
  <cols>
    <col min="1" max="1" width="4" style="8" bestFit="1" customWidth="1"/>
    <col min="2" max="2" width="29" style="8" customWidth="1"/>
    <col min="3" max="3" width="4.28515625" style="8" customWidth="1"/>
    <col min="4" max="4" width="7.140625" style="8" customWidth="1"/>
    <col min="5" max="5" width="8.140625" style="8" bestFit="1" customWidth="1"/>
    <col min="6" max="7" width="4.28515625" style="8" bestFit="1" customWidth="1"/>
    <col min="8" max="8" width="6.5703125" style="8" bestFit="1" customWidth="1"/>
    <col min="9" max="9" width="8.5703125" style="8" customWidth="1"/>
    <col min="10" max="10" width="8.85546875" style="8" customWidth="1"/>
    <col min="11" max="11" width="4.42578125" style="8" bestFit="1" customWidth="1"/>
    <col min="12" max="12" width="4.28515625" style="8" bestFit="1" customWidth="1"/>
    <col min="13" max="13" width="6.5703125" style="8" bestFit="1" customWidth="1"/>
    <col min="14" max="14" width="7.28515625" style="8" bestFit="1" customWidth="1"/>
    <col min="15" max="15" width="8.5703125" style="8" customWidth="1"/>
    <col min="16" max="16" width="4.28515625" style="8" bestFit="1" customWidth="1"/>
    <col min="17" max="17" width="3.85546875" style="8" bestFit="1" customWidth="1"/>
    <col min="18" max="18" width="7.85546875" style="8" customWidth="1"/>
    <col min="19" max="19" width="8.5703125" style="8" customWidth="1"/>
    <col min="20" max="20" width="9.7109375" style="8" customWidth="1"/>
    <col min="21" max="21" width="8.42578125" style="8" customWidth="1"/>
    <col min="22" max="16384" width="9.140625" style="8"/>
  </cols>
  <sheetData>
    <row r="1" spans="1:21" x14ac:dyDescent="0.2">
      <c r="A1" s="100"/>
      <c r="B1" s="100"/>
      <c r="C1" s="100"/>
      <c r="D1" s="100"/>
      <c r="E1" s="100"/>
      <c r="F1" s="100"/>
      <c r="G1" s="100"/>
      <c r="H1" s="100"/>
      <c r="I1" s="100"/>
      <c r="J1" s="100"/>
      <c r="K1" s="100"/>
      <c r="L1" s="100"/>
      <c r="M1" s="100"/>
      <c r="N1" s="100"/>
      <c r="O1" s="100"/>
      <c r="P1" s="100"/>
      <c r="Q1" s="100"/>
      <c r="R1" s="100"/>
      <c r="S1" s="100"/>
      <c r="T1" s="100"/>
      <c r="U1" s="100"/>
    </row>
    <row r="2" spans="1:21" ht="22.5" x14ac:dyDescent="0.2">
      <c r="A2" s="1115" t="s">
        <v>837</v>
      </c>
      <c r="B2" s="1115"/>
      <c r="C2" s="1115"/>
      <c r="D2" s="1115"/>
      <c r="E2" s="1115"/>
      <c r="F2" s="1115"/>
      <c r="G2" s="1115"/>
      <c r="H2" s="1115"/>
      <c r="I2" s="1115"/>
      <c r="J2" s="1115"/>
      <c r="K2" s="1115"/>
      <c r="L2" s="1115"/>
      <c r="M2" s="1115"/>
      <c r="N2" s="1115"/>
      <c r="O2" s="1115"/>
      <c r="P2" s="1115"/>
      <c r="Q2" s="1115"/>
      <c r="R2" s="1115"/>
      <c r="S2" s="1115"/>
      <c r="T2" s="1115"/>
      <c r="U2" s="1115"/>
    </row>
    <row r="3" spans="1:21" ht="14.25" customHeight="1" thickBot="1" x14ac:dyDescent="0.25">
      <c r="A3" s="400"/>
      <c r="B3" s="400"/>
      <c r="C3" s="400"/>
      <c r="D3" s="400"/>
      <c r="E3" s="400"/>
      <c r="F3" s="400"/>
      <c r="G3" s="400"/>
      <c r="H3" s="400"/>
      <c r="I3" s="400"/>
      <c r="J3" s="400"/>
      <c r="K3" s="400"/>
      <c r="L3" s="400"/>
      <c r="M3" s="400"/>
      <c r="N3" s="400"/>
      <c r="O3" s="400"/>
      <c r="P3" s="400"/>
      <c r="Q3" s="400"/>
      <c r="R3" s="400"/>
      <c r="S3" s="400"/>
      <c r="T3" s="400"/>
    </row>
    <row r="4" spans="1:21" ht="14.25" customHeight="1" x14ac:dyDescent="0.2">
      <c r="A4" s="1116" t="s">
        <v>44</v>
      </c>
      <c r="B4" s="1118" t="s">
        <v>27</v>
      </c>
      <c r="C4" s="1118" t="s">
        <v>7</v>
      </c>
      <c r="D4" s="1118" t="s">
        <v>838</v>
      </c>
      <c r="E4" s="1120" t="s">
        <v>839</v>
      </c>
      <c r="F4" s="1120"/>
      <c r="G4" s="1120"/>
      <c r="H4" s="1120"/>
      <c r="I4" s="1120"/>
      <c r="J4" s="1120" t="s">
        <v>840</v>
      </c>
      <c r="K4" s="1120"/>
      <c r="L4" s="1120"/>
      <c r="M4" s="1120"/>
      <c r="N4" s="1120"/>
      <c r="O4" s="1120" t="s">
        <v>841</v>
      </c>
      <c r="P4" s="1120"/>
      <c r="Q4" s="1120"/>
      <c r="R4" s="1120"/>
      <c r="S4" s="1120"/>
      <c r="T4" s="1118" t="s">
        <v>842</v>
      </c>
      <c r="U4" s="1121" t="s">
        <v>6</v>
      </c>
    </row>
    <row r="5" spans="1:21" ht="13.5" thickBot="1" x14ac:dyDescent="0.25">
      <c r="A5" s="1117"/>
      <c r="B5" s="1119"/>
      <c r="C5" s="1119"/>
      <c r="D5" s="1119"/>
      <c r="E5" s="625" t="s">
        <v>8</v>
      </c>
      <c r="F5" s="625" t="s">
        <v>7</v>
      </c>
      <c r="G5" s="625" t="s">
        <v>9</v>
      </c>
      <c r="H5" s="625" t="s">
        <v>19</v>
      </c>
      <c r="I5" s="625" t="s">
        <v>20</v>
      </c>
      <c r="J5" s="625" t="s">
        <v>8</v>
      </c>
      <c r="K5" s="625" t="s">
        <v>7</v>
      </c>
      <c r="L5" s="625" t="s">
        <v>9</v>
      </c>
      <c r="M5" s="625" t="s">
        <v>19</v>
      </c>
      <c r="N5" s="625" t="s">
        <v>20</v>
      </c>
      <c r="O5" s="625" t="s">
        <v>8</v>
      </c>
      <c r="P5" s="625" t="s">
        <v>7</v>
      </c>
      <c r="Q5" s="625" t="s">
        <v>843</v>
      </c>
      <c r="R5" s="625" t="s">
        <v>19</v>
      </c>
      <c r="S5" s="625" t="s">
        <v>20</v>
      </c>
      <c r="T5" s="1119"/>
      <c r="U5" s="1122"/>
    </row>
    <row r="6" spans="1:21" ht="38.25" x14ac:dyDescent="0.2">
      <c r="A6" s="635">
        <v>1</v>
      </c>
      <c r="B6" s="624" t="s">
        <v>218</v>
      </c>
      <c r="C6" s="603"/>
      <c r="D6" s="603">
        <v>8.1</v>
      </c>
      <c r="E6" s="603"/>
      <c r="F6" s="603"/>
      <c r="G6" s="603"/>
      <c r="H6" s="603"/>
      <c r="I6" s="603"/>
      <c r="J6" s="603"/>
      <c r="K6" s="603"/>
      <c r="L6" s="603"/>
      <c r="M6" s="603"/>
      <c r="N6" s="603"/>
      <c r="O6" s="603"/>
      <c r="P6" s="603"/>
      <c r="Q6" s="603"/>
      <c r="R6" s="603"/>
      <c r="S6" s="603"/>
      <c r="T6" s="603"/>
      <c r="U6" s="636"/>
    </row>
    <row r="7" spans="1:21" x14ac:dyDescent="0.2">
      <c r="A7" s="628" t="s">
        <v>796</v>
      </c>
      <c r="B7" s="441" t="s">
        <v>219</v>
      </c>
      <c r="C7" s="557" t="s">
        <v>250</v>
      </c>
      <c r="D7" s="557" t="s">
        <v>844</v>
      </c>
      <c r="E7" s="557" t="s">
        <v>28</v>
      </c>
      <c r="F7" s="557" t="s">
        <v>11</v>
      </c>
      <c r="G7" s="101">
        <v>2</v>
      </c>
      <c r="H7" s="388">
        <f t="shared" ref="H7:H13" si="0">unskilled</f>
        <v>780</v>
      </c>
      <c r="I7" s="388">
        <f t="shared" ref="I7:I13" si="1">G7*H7</f>
        <v>1560</v>
      </c>
      <c r="J7" s="557"/>
      <c r="K7" s="557"/>
      <c r="L7" s="557"/>
      <c r="M7" s="557"/>
      <c r="N7" s="557"/>
      <c r="O7" s="1114" t="s">
        <v>845</v>
      </c>
      <c r="P7" s="1114"/>
      <c r="Q7" s="1114"/>
      <c r="R7" s="1114"/>
      <c r="S7" s="388">
        <f t="shared" ref="S7:S13" si="2">0.03*I7</f>
        <v>46.8</v>
      </c>
      <c r="T7" s="389">
        <f t="shared" ref="T7:T13" si="3">I7+S7</f>
        <v>1606.8</v>
      </c>
      <c r="U7" s="627"/>
    </row>
    <row r="8" spans="1:21" x14ac:dyDescent="0.2">
      <c r="A8" s="628" t="s">
        <v>798</v>
      </c>
      <c r="B8" s="441" t="s">
        <v>846</v>
      </c>
      <c r="C8" s="557" t="s">
        <v>250</v>
      </c>
      <c r="D8" s="557" t="s">
        <v>847</v>
      </c>
      <c r="E8" s="557" t="s">
        <v>28</v>
      </c>
      <c r="F8" s="557" t="s">
        <v>11</v>
      </c>
      <c r="G8" s="101">
        <v>3</v>
      </c>
      <c r="H8" s="388">
        <f t="shared" si="0"/>
        <v>780</v>
      </c>
      <c r="I8" s="388">
        <f t="shared" si="1"/>
        <v>2340</v>
      </c>
      <c r="J8" s="557"/>
      <c r="K8" s="557"/>
      <c r="L8" s="557"/>
      <c r="M8" s="557"/>
      <c r="N8" s="557"/>
      <c r="O8" s="1114" t="s">
        <v>845</v>
      </c>
      <c r="P8" s="1114"/>
      <c r="Q8" s="1114"/>
      <c r="R8" s="1114"/>
      <c r="S8" s="388">
        <f t="shared" si="2"/>
        <v>70.2</v>
      </c>
      <c r="T8" s="389">
        <f t="shared" si="3"/>
        <v>2410.1999999999998</v>
      </c>
      <c r="U8" s="627"/>
    </row>
    <row r="9" spans="1:21" x14ac:dyDescent="0.2">
      <c r="A9" s="628" t="s">
        <v>803</v>
      </c>
      <c r="B9" s="441" t="s">
        <v>848</v>
      </c>
      <c r="C9" s="557" t="s">
        <v>250</v>
      </c>
      <c r="D9" s="557" t="s">
        <v>849</v>
      </c>
      <c r="E9" s="557" t="s">
        <v>28</v>
      </c>
      <c r="F9" s="557" t="s">
        <v>11</v>
      </c>
      <c r="G9" s="101">
        <v>4</v>
      </c>
      <c r="H9" s="388">
        <f t="shared" si="0"/>
        <v>780</v>
      </c>
      <c r="I9" s="388">
        <f t="shared" si="1"/>
        <v>3120</v>
      </c>
      <c r="J9" s="557"/>
      <c r="K9" s="557"/>
      <c r="L9" s="557"/>
      <c r="M9" s="557"/>
      <c r="N9" s="557"/>
      <c r="O9" s="1114" t="s">
        <v>845</v>
      </c>
      <c r="P9" s="1114"/>
      <c r="Q9" s="1114"/>
      <c r="R9" s="1114"/>
      <c r="S9" s="388">
        <f t="shared" si="2"/>
        <v>93.6</v>
      </c>
      <c r="T9" s="389">
        <f t="shared" si="3"/>
        <v>3213.6</v>
      </c>
      <c r="U9" s="627"/>
    </row>
    <row r="10" spans="1:21" x14ac:dyDescent="0.2">
      <c r="A10" s="628" t="s">
        <v>824</v>
      </c>
      <c r="B10" s="441" t="s">
        <v>850</v>
      </c>
      <c r="C10" s="557" t="s">
        <v>250</v>
      </c>
      <c r="D10" s="557" t="s">
        <v>851</v>
      </c>
      <c r="E10" s="557" t="s">
        <v>28</v>
      </c>
      <c r="F10" s="557" t="s">
        <v>11</v>
      </c>
      <c r="G10" s="101">
        <v>6</v>
      </c>
      <c r="H10" s="388">
        <f t="shared" si="0"/>
        <v>780</v>
      </c>
      <c r="I10" s="388">
        <f t="shared" si="1"/>
        <v>4680</v>
      </c>
      <c r="J10" s="557"/>
      <c r="K10" s="557"/>
      <c r="L10" s="557"/>
      <c r="M10" s="557"/>
      <c r="N10" s="557"/>
      <c r="O10" s="1114" t="s">
        <v>845</v>
      </c>
      <c r="P10" s="1114"/>
      <c r="Q10" s="1114"/>
      <c r="R10" s="1114"/>
      <c r="S10" s="388">
        <f t="shared" si="2"/>
        <v>140.4</v>
      </c>
      <c r="T10" s="389">
        <f t="shared" si="3"/>
        <v>4820.3999999999996</v>
      </c>
      <c r="U10" s="627"/>
    </row>
    <row r="11" spans="1:21" x14ac:dyDescent="0.2">
      <c r="A11" s="628" t="s">
        <v>827</v>
      </c>
      <c r="B11" s="441" t="s">
        <v>227</v>
      </c>
      <c r="C11" s="557" t="s">
        <v>250</v>
      </c>
      <c r="D11" s="557" t="s">
        <v>852</v>
      </c>
      <c r="E11" s="557" t="s">
        <v>28</v>
      </c>
      <c r="F11" s="557" t="s">
        <v>11</v>
      </c>
      <c r="G11" s="101">
        <v>4</v>
      </c>
      <c r="H11" s="388">
        <f t="shared" si="0"/>
        <v>780</v>
      </c>
      <c r="I11" s="388">
        <f t="shared" si="1"/>
        <v>3120</v>
      </c>
      <c r="J11" s="557"/>
      <c r="K11" s="557"/>
      <c r="L11" s="557"/>
      <c r="M11" s="557"/>
      <c r="N11" s="557"/>
      <c r="O11" s="1114" t="s">
        <v>845</v>
      </c>
      <c r="P11" s="1114"/>
      <c r="Q11" s="1114"/>
      <c r="R11" s="1114"/>
      <c r="S11" s="388">
        <f t="shared" si="2"/>
        <v>93.6</v>
      </c>
      <c r="T11" s="389">
        <f t="shared" si="3"/>
        <v>3213.6</v>
      </c>
      <c r="U11" s="627"/>
    </row>
    <row r="12" spans="1:21" x14ac:dyDescent="0.2">
      <c r="A12" s="628" t="s">
        <v>853</v>
      </c>
      <c r="B12" s="441" t="s">
        <v>226</v>
      </c>
      <c r="C12" s="557" t="s">
        <v>250</v>
      </c>
      <c r="D12" s="557" t="s">
        <v>854</v>
      </c>
      <c r="E12" s="557" t="s">
        <v>28</v>
      </c>
      <c r="F12" s="557" t="s">
        <v>11</v>
      </c>
      <c r="G12" s="101">
        <v>3</v>
      </c>
      <c r="H12" s="388">
        <f t="shared" si="0"/>
        <v>780</v>
      </c>
      <c r="I12" s="388">
        <f t="shared" si="1"/>
        <v>2340</v>
      </c>
      <c r="J12" s="557"/>
      <c r="K12" s="557"/>
      <c r="L12" s="557"/>
      <c r="M12" s="557"/>
      <c r="N12" s="557"/>
      <c r="O12" s="1114" t="s">
        <v>845</v>
      </c>
      <c r="P12" s="1114"/>
      <c r="Q12" s="1114"/>
      <c r="R12" s="1114"/>
      <c r="S12" s="388">
        <f t="shared" si="2"/>
        <v>70.2</v>
      </c>
      <c r="T12" s="389">
        <f t="shared" si="3"/>
        <v>2410.1999999999998</v>
      </c>
      <c r="U12" s="627"/>
    </row>
    <row r="13" spans="1:21" ht="25.5" x14ac:dyDescent="0.2">
      <c r="A13" s="626">
        <v>2</v>
      </c>
      <c r="B13" s="440" t="s">
        <v>38</v>
      </c>
      <c r="C13" s="557" t="s">
        <v>250</v>
      </c>
      <c r="D13" s="557">
        <v>8.1999999999999993</v>
      </c>
      <c r="E13" s="557" t="s">
        <v>28</v>
      </c>
      <c r="F13" s="557" t="s">
        <v>11</v>
      </c>
      <c r="G13" s="101">
        <v>1.4</v>
      </c>
      <c r="H13" s="388">
        <f t="shared" si="0"/>
        <v>780</v>
      </c>
      <c r="I13" s="388">
        <f t="shared" si="1"/>
        <v>1092</v>
      </c>
      <c r="J13" s="557"/>
      <c r="K13" s="557"/>
      <c r="L13" s="557"/>
      <c r="M13" s="557"/>
      <c r="N13" s="557"/>
      <c r="O13" s="1114" t="s">
        <v>845</v>
      </c>
      <c r="P13" s="1114"/>
      <c r="Q13" s="1114"/>
      <c r="R13" s="1114"/>
      <c r="S13" s="388">
        <f t="shared" si="2"/>
        <v>32.76</v>
      </c>
      <c r="T13" s="389">
        <f t="shared" si="3"/>
        <v>1124.76</v>
      </c>
      <c r="U13" s="627"/>
    </row>
    <row r="14" spans="1:21" ht="25.5" x14ac:dyDescent="0.2">
      <c r="A14" s="626">
        <v>3</v>
      </c>
      <c r="B14" s="440" t="s">
        <v>220</v>
      </c>
      <c r="C14" s="557"/>
      <c r="D14" s="557"/>
      <c r="E14" s="557"/>
      <c r="F14" s="557"/>
      <c r="G14" s="101"/>
      <c r="H14" s="557"/>
      <c r="I14" s="557"/>
      <c r="J14" s="557"/>
      <c r="K14" s="557"/>
      <c r="L14" s="557"/>
      <c r="M14" s="557"/>
      <c r="N14" s="557"/>
      <c r="O14" s="1113"/>
      <c r="P14" s="1113"/>
      <c r="Q14" s="1113"/>
      <c r="R14" s="1113"/>
      <c r="S14" s="388"/>
      <c r="T14" s="389"/>
      <c r="U14" s="627"/>
    </row>
    <row r="15" spans="1:21" x14ac:dyDescent="0.2">
      <c r="A15" s="628" t="s">
        <v>796</v>
      </c>
      <c r="B15" s="441" t="s">
        <v>221</v>
      </c>
      <c r="C15" s="557" t="s">
        <v>250</v>
      </c>
      <c r="D15" s="557" t="s">
        <v>855</v>
      </c>
      <c r="E15" s="557" t="s">
        <v>28</v>
      </c>
      <c r="F15" s="557" t="s">
        <v>11</v>
      </c>
      <c r="G15" s="101">
        <v>4</v>
      </c>
      <c r="H15" s="388">
        <f t="shared" ref="H15:H20" si="4">unskilled</f>
        <v>780</v>
      </c>
      <c r="I15" s="388">
        <f t="shared" ref="I15:I20" si="5">G15*H15</f>
        <v>3120</v>
      </c>
      <c r="J15" s="557"/>
      <c r="K15" s="557"/>
      <c r="L15" s="557"/>
      <c r="M15" s="557"/>
      <c r="N15" s="557"/>
      <c r="O15" s="1114" t="s">
        <v>845</v>
      </c>
      <c r="P15" s="1114"/>
      <c r="Q15" s="1114"/>
      <c r="R15" s="1114"/>
      <c r="S15" s="388">
        <f t="shared" ref="S15:S20" si="6">0.03*I15</f>
        <v>93.6</v>
      </c>
      <c r="T15" s="389">
        <f t="shared" ref="T15:T20" si="7">I15+S15</f>
        <v>3213.6</v>
      </c>
      <c r="U15" s="627"/>
    </row>
    <row r="16" spans="1:21" x14ac:dyDescent="0.2">
      <c r="A16" s="628" t="s">
        <v>798</v>
      </c>
      <c r="B16" s="441" t="s">
        <v>222</v>
      </c>
      <c r="C16" s="557" t="s">
        <v>250</v>
      </c>
      <c r="D16" s="557" t="s">
        <v>856</v>
      </c>
      <c r="E16" s="557" t="s">
        <v>28</v>
      </c>
      <c r="F16" s="557" t="s">
        <v>11</v>
      </c>
      <c r="G16" s="101">
        <v>3</v>
      </c>
      <c r="H16" s="388">
        <f t="shared" si="4"/>
        <v>780</v>
      </c>
      <c r="I16" s="388">
        <f t="shared" si="5"/>
        <v>2340</v>
      </c>
      <c r="J16" s="557"/>
      <c r="K16" s="557"/>
      <c r="L16" s="557"/>
      <c r="M16" s="557"/>
      <c r="N16" s="557"/>
      <c r="O16" s="1114" t="s">
        <v>845</v>
      </c>
      <c r="P16" s="1114"/>
      <c r="Q16" s="1114"/>
      <c r="R16" s="1114"/>
      <c r="S16" s="388">
        <f t="shared" si="6"/>
        <v>70.2</v>
      </c>
      <c r="T16" s="389">
        <f t="shared" si="7"/>
        <v>2410.1999999999998</v>
      </c>
      <c r="U16" s="627"/>
    </row>
    <row r="17" spans="1:21" x14ac:dyDescent="0.2">
      <c r="A17" s="628" t="s">
        <v>803</v>
      </c>
      <c r="B17" s="441" t="s">
        <v>223</v>
      </c>
      <c r="C17" s="557" t="s">
        <v>250</v>
      </c>
      <c r="D17" s="557" t="s">
        <v>857</v>
      </c>
      <c r="E17" s="557" t="s">
        <v>28</v>
      </c>
      <c r="F17" s="557" t="s">
        <v>11</v>
      </c>
      <c r="G17" s="101">
        <v>1.5</v>
      </c>
      <c r="H17" s="388">
        <f t="shared" si="4"/>
        <v>780</v>
      </c>
      <c r="I17" s="388">
        <f t="shared" si="5"/>
        <v>1170</v>
      </c>
      <c r="J17" s="557"/>
      <c r="K17" s="557"/>
      <c r="L17" s="557"/>
      <c r="M17" s="557"/>
      <c r="N17" s="557"/>
      <c r="O17" s="1114" t="s">
        <v>845</v>
      </c>
      <c r="P17" s="1114"/>
      <c r="Q17" s="1114"/>
      <c r="R17" s="1114"/>
      <c r="S17" s="388">
        <f t="shared" si="6"/>
        <v>35.1</v>
      </c>
      <c r="T17" s="389">
        <f t="shared" si="7"/>
        <v>1205.0999999999999</v>
      </c>
      <c r="U17" s="627"/>
    </row>
    <row r="18" spans="1:21" x14ac:dyDescent="0.2">
      <c r="A18" s="628" t="s">
        <v>824</v>
      </c>
      <c r="B18" s="441" t="s">
        <v>858</v>
      </c>
      <c r="C18" s="557" t="s">
        <v>250</v>
      </c>
      <c r="D18" s="557" t="s">
        <v>859</v>
      </c>
      <c r="E18" s="557" t="s">
        <v>28</v>
      </c>
      <c r="F18" s="557" t="s">
        <v>11</v>
      </c>
      <c r="G18" s="101">
        <v>1.5</v>
      </c>
      <c r="H18" s="388">
        <f t="shared" si="4"/>
        <v>780</v>
      </c>
      <c r="I18" s="388">
        <f t="shared" si="5"/>
        <v>1170</v>
      </c>
      <c r="J18" s="557"/>
      <c r="K18" s="557"/>
      <c r="L18" s="557"/>
      <c r="M18" s="557"/>
      <c r="N18" s="557"/>
      <c r="O18" s="1114" t="s">
        <v>845</v>
      </c>
      <c r="P18" s="1114"/>
      <c r="Q18" s="1114"/>
      <c r="R18" s="1114"/>
      <c r="S18" s="388">
        <f t="shared" si="6"/>
        <v>35.1</v>
      </c>
      <c r="T18" s="389">
        <f t="shared" si="7"/>
        <v>1205.0999999999999</v>
      </c>
      <c r="U18" s="627"/>
    </row>
    <row r="19" spans="1:21" ht="25.5" x14ac:dyDescent="0.2">
      <c r="A19" s="626">
        <v>4</v>
      </c>
      <c r="B19" s="440" t="s">
        <v>224</v>
      </c>
      <c r="C19" s="557" t="s">
        <v>250</v>
      </c>
      <c r="D19" s="557" t="s">
        <v>860</v>
      </c>
      <c r="E19" s="557" t="s">
        <v>28</v>
      </c>
      <c r="F19" s="557" t="s">
        <v>11</v>
      </c>
      <c r="G19" s="101">
        <v>0.5</v>
      </c>
      <c r="H19" s="388">
        <f t="shared" si="4"/>
        <v>780</v>
      </c>
      <c r="I19" s="388">
        <f t="shared" si="5"/>
        <v>390</v>
      </c>
      <c r="J19" s="557"/>
      <c r="K19" s="557"/>
      <c r="L19" s="557"/>
      <c r="M19" s="557"/>
      <c r="N19" s="557"/>
      <c r="O19" s="1114" t="s">
        <v>845</v>
      </c>
      <c r="P19" s="1114"/>
      <c r="Q19" s="1114"/>
      <c r="R19" s="1114"/>
      <c r="S19" s="388">
        <f t="shared" si="6"/>
        <v>11.7</v>
      </c>
      <c r="T19" s="389">
        <f t="shared" si="7"/>
        <v>401.7</v>
      </c>
      <c r="U19" s="627"/>
    </row>
    <row r="20" spans="1:21" x14ac:dyDescent="0.2">
      <c r="A20" s="626">
        <v>5</v>
      </c>
      <c r="B20" s="440" t="s">
        <v>225</v>
      </c>
      <c r="C20" s="557" t="s">
        <v>250</v>
      </c>
      <c r="D20" s="557" t="s">
        <v>861</v>
      </c>
      <c r="E20" s="557" t="s">
        <v>28</v>
      </c>
      <c r="F20" s="557" t="s">
        <v>11</v>
      </c>
      <c r="G20" s="101">
        <v>0.2</v>
      </c>
      <c r="H20" s="388">
        <f t="shared" si="4"/>
        <v>780</v>
      </c>
      <c r="I20" s="388">
        <f t="shared" si="5"/>
        <v>156</v>
      </c>
      <c r="J20" s="557"/>
      <c r="K20" s="557"/>
      <c r="L20" s="557"/>
      <c r="M20" s="557"/>
      <c r="N20" s="557"/>
      <c r="O20" s="1114" t="s">
        <v>845</v>
      </c>
      <c r="P20" s="1114"/>
      <c r="Q20" s="1114"/>
      <c r="R20" s="1114"/>
      <c r="S20" s="388">
        <f t="shared" si="6"/>
        <v>4.68</v>
      </c>
      <c r="T20" s="389">
        <f t="shared" si="7"/>
        <v>160.68</v>
      </c>
      <c r="U20" s="627"/>
    </row>
    <row r="21" spans="1:21" ht="38.25" x14ac:dyDescent="0.2">
      <c r="A21" s="626">
        <v>6</v>
      </c>
      <c r="B21" s="440" t="s">
        <v>862</v>
      </c>
      <c r="C21" s="557"/>
      <c r="D21" s="557">
        <v>8.5</v>
      </c>
      <c r="E21" s="557"/>
      <c r="F21" s="557"/>
      <c r="G21" s="557"/>
      <c r="H21" s="557"/>
      <c r="I21" s="557"/>
      <c r="J21" s="557"/>
      <c r="K21" s="557"/>
      <c r="L21" s="557"/>
      <c r="M21" s="557"/>
      <c r="N21" s="557"/>
      <c r="O21" s="557"/>
      <c r="P21" s="557"/>
      <c r="Q21" s="557"/>
      <c r="R21" s="557"/>
      <c r="S21" s="388"/>
      <c r="T21" s="389"/>
      <c r="U21" s="627"/>
    </row>
    <row r="22" spans="1:21" ht="25.5" x14ac:dyDescent="0.2">
      <c r="A22" s="628" t="s">
        <v>796</v>
      </c>
      <c r="B22" s="441" t="s">
        <v>226</v>
      </c>
      <c r="C22" s="557" t="s">
        <v>250</v>
      </c>
      <c r="D22" s="557" t="s">
        <v>863</v>
      </c>
      <c r="E22" s="557" t="s">
        <v>28</v>
      </c>
      <c r="F22" s="557" t="s">
        <v>11</v>
      </c>
      <c r="G22" s="101">
        <v>1.5</v>
      </c>
      <c r="H22" s="388">
        <f>unskilled</f>
        <v>780</v>
      </c>
      <c r="I22" s="388">
        <f>G22*H22</f>
        <v>1170</v>
      </c>
      <c r="J22" s="557"/>
      <c r="K22" s="557"/>
      <c r="L22" s="557"/>
      <c r="M22" s="557"/>
      <c r="N22" s="557"/>
      <c r="O22" s="559" t="s">
        <v>845</v>
      </c>
      <c r="P22" s="559"/>
      <c r="Q22" s="559"/>
      <c r="R22" s="559"/>
      <c r="S22" s="388">
        <f>0.03*I22</f>
        <v>35.1</v>
      </c>
      <c r="T22" s="389">
        <f>I22+S22</f>
        <v>1205.0999999999999</v>
      </c>
      <c r="U22" s="627"/>
    </row>
    <row r="23" spans="1:21" ht="25.5" x14ac:dyDescent="0.2">
      <c r="A23" s="628" t="s">
        <v>798</v>
      </c>
      <c r="B23" s="441" t="s">
        <v>227</v>
      </c>
      <c r="C23" s="557" t="s">
        <v>250</v>
      </c>
      <c r="D23" s="557" t="s">
        <v>864</v>
      </c>
      <c r="E23" s="557" t="s">
        <v>28</v>
      </c>
      <c r="F23" s="557" t="s">
        <v>11</v>
      </c>
      <c r="G23" s="101">
        <v>2</v>
      </c>
      <c r="H23" s="388">
        <f>unskilled</f>
        <v>780</v>
      </c>
      <c r="I23" s="388">
        <f>G23*H23</f>
        <v>1560</v>
      </c>
      <c r="J23" s="557"/>
      <c r="K23" s="557"/>
      <c r="L23" s="557"/>
      <c r="M23" s="557"/>
      <c r="N23" s="557"/>
      <c r="O23" s="559" t="s">
        <v>845</v>
      </c>
      <c r="P23" s="559"/>
      <c r="Q23" s="559"/>
      <c r="R23" s="559"/>
      <c r="S23" s="388">
        <f>0.03*I23</f>
        <v>46.8</v>
      </c>
      <c r="T23" s="389">
        <f>I23+S23</f>
        <v>1606.8</v>
      </c>
      <c r="U23" s="627"/>
    </row>
    <row r="24" spans="1:21" ht="25.5" x14ac:dyDescent="0.2">
      <c r="A24" s="628" t="s">
        <v>803</v>
      </c>
      <c r="B24" s="441" t="s">
        <v>228</v>
      </c>
      <c r="C24" s="557" t="s">
        <v>250</v>
      </c>
      <c r="D24" s="557" t="s">
        <v>865</v>
      </c>
      <c r="E24" s="557" t="s">
        <v>28</v>
      </c>
      <c r="F24" s="557" t="s">
        <v>11</v>
      </c>
      <c r="G24" s="101">
        <v>3</v>
      </c>
      <c r="H24" s="388">
        <f>unskilled</f>
        <v>780</v>
      </c>
      <c r="I24" s="388">
        <f>G24*H24</f>
        <v>2340</v>
      </c>
      <c r="J24" s="557"/>
      <c r="K24" s="557"/>
      <c r="L24" s="557"/>
      <c r="M24" s="557"/>
      <c r="N24" s="557"/>
      <c r="O24" s="559" t="s">
        <v>845</v>
      </c>
      <c r="P24" s="559"/>
      <c r="Q24" s="559"/>
      <c r="R24" s="559"/>
      <c r="S24" s="388">
        <f>0.03*I24</f>
        <v>70.2</v>
      </c>
      <c r="T24" s="389">
        <f>I24+S24</f>
        <v>2410.1999999999998</v>
      </c>
      <c r="U24" s="627"/>
    </row>
    <row r="25" spans="1:21" ht="25.5" x14ac:dyDescent="0.2">
      <c r="A25" s="628" t="s">
        <v>824</v>
      </c>
      <c r="B25" s="441" t="s">
        <v>229</v>
      </c>
      <c r="C25" s="557" t="s">
        <v>250</v>
      </c>
      <c r="D25" s="557" t="s">
        <v>866</v>
      </c>
      <c r="E25" s="557" t="s">
        <v>28</v>
      </c>
      <c r="F25" s="557" t="s">
        <v>11</v>
      </c>
      <c r="G25" s="101">
        <v>4</v>
      </c>
      <c r="H25" s="388">
        <f>unskilled</f>
        <v>780</v>
      </c>
      <c r="I25" s="388">
        <f>G25*H25</f>
        <v>3120</v>
      </c>
      <c r="J25" s="557"/>
      <c r="K25" s="557"/>
      <c r="L25" s="557"/>
      <c r="M25" s="557"/>
      <c r="N25" s="557"/>
      <c r="O25" s="559" t="s">
        <v>845</v>
      </c>
      <c r="P25" s="559"/>
      <c r="Q25" s="559"/>
      <c r="R25" s="559"/>
      <c r="S25" s="388">
        <f>0.03*I25</f>
        <v>93.6</v>
      </c>
      <c r="T25" s="389">
        <f>I25+S25</f>
        <v>3213.6</v>
      </c>
      <c r="U25" s="627"/>
    </row>
    <row r="26" spans="1:21" ht="25.5" x14ac:dyDescent="0.2">
      <c r="A26" s="628" t="s">
        <v>827</v>
      </c>
      <c r="B26" s="441" t="s">
        <v>867</v>
      </c>
      <c r="C26" s="557" t="s">
        <v>250</v>
      </c>
      <c r="D26" s="557">
        <v>0</v>
      </c>
      <c r="E26" s="557" t="s">
        <v>28</v>
      </c>
      <c r="F26" s="557" t="s">
        <v>11</v>
      </c>
      <c r="G26" s="101">
        <v>6</v>
      </c>
      <c r="H26" s="388">
        <f>unskilled</f>
        <v>780</v>
      </c>
      <c r="I26" s="388">
        <f>G26*H26</f>
        <v>4680</v>
      </c>
      <c r="J26" s="557"/>
      <c r="K26" s="557"/>
      <c r="L26" s="557"/>
      <c r="M26" s="557"/>
      <c r="N26" s="557"/>
      <c r="O26" s="559" t="s">
        <v>845</v>
      </c>
      <c r="P26" s="559"/>
      <c r="Q26" s="559"/>
      <c r="R26" s="559"/>
      <c r="S26" s="388">
        <f>0.03*I26</f>
        <v>140.4</v>
      </c>
      <c r="T26" s="389">
        <f>I26+S26</f>
        <v>4820.3999999999996</v>
      </c>
      <c r="U26" s="627"/>
    </row>
    <row r="27" spans="1:21" ht="25.5" x14ac:dyDescent="0.2">
      <c r="A27" s="628">
        <v>7</v>
      </c>
      <c r="B27" s="441" t="s">
        <v>868</v>
      </c>
      <c r="C27" s="557"/>
      <c r="D27" s="557"/>
      <c r="E27" s="557"/>
      <c r="F27" s="557"/>
      <c r="G27" s="557"/>
      <c r="H27" s="557"/>
      <c r="I27" s="557"/>
      <c r="J27" s="557"/>
      <c r="K27" s="557"/>
      <c r="L27" s="557"/>
      <c r="M27" s="557"/>
      <c r="N27" s="557"/>
      <c r="O27" s="559"/>
      <c r="P27" s="559"/>
      <c r="Q27" s="559"/>
      <c r="R27" s="559"/>
      <c r="S27" s="388"/>
      <c r="T27" s="389"/>
      <c r="U27" s="627"/>
    </row>
    <row r="28" spans="1:21" ht="63.75" x14ac:dyDescent="0.2">
      <c r="A28" s="628" t="s">
        <v>796</v>
      </c>
      <c r="B28" s="441" t="s">
        <v>869</v>
      </c>
      <c r="C28" s="557" t="s">
        <v>250</v>
      </c>
      <c r="D28" s="557" t="s">
        <v>870</v>
      </c>
      <c r="E28" s="557" t="s">
        <v>16</v>
      </c>
      <c r="F28" s="557" t="s">
        <v>11</v>
      </c>
      <c r="G28" s="101">
        <v>2</v>
      </c>
      <c r="H28" s="388">
        <f>skilled</f>
        <v>1100</v>
      </c>
      <c r="I28" s="388">
        <f>G28*H28</f>
        <v>2200</v>
      </c>
      <c r="J28" s="557" t="s">
        <v>871</v>
      </c>
      <c r="K28" s="557" t="s">
        <v>872</v>
      </c>
      <c r="L28" s="557">
        <v>800</v>
      </c>
      <c r="M28" s="557">
        <f>stone</f>
        <v>1516.22</v>
      </c>
      <c r="N28" s="557">
        <f>L28*M28</f>
        <v>1212976</v>
      </c>
      <c r="O28" s="559" t="s">
        <v>873</v>
      </c>
      <c r="P28" s="559" t="s">
        <v>13</v>
      </c>
      <c r="Q28" s="557">
        <v>12</v>
      </c>
      <c r="R28" s="557">
        <f>crusher</f>
        <v>1986.5</v>
      </c>
      <c r="S28" s="388">
        <f>Q28*R28</f>
        <v>23838</v>
      </c>
      <c r="T28" s="442"/>
      <c r="U28" s="627" t="s">
        <v>887</v>
      </c>
    </row>
    <row r="29" spans="1:21" x14ac:dyDescent="0.2">
      <c r="A29" s="628"/>
      <c r="B29" s="441"/>
      <c r="C29" s="557"/>
      <c r="D29" s="557"/>
      <c r="E29" s="557" t="s">
        <v>28</v>
      </c>
      <c r="F29" s="557" t="s">
        <v>11</v>
      </c>
      <c r="G29" s="101">
        <v>18</v>
      </c>
      <c r="H29" s="388">
        <f>unskilled</f>
        <v>780</v>
      </c>
      <c r="I29" s="388">
        <f>G29*H29</f>
        <v>14040</v>
      </c>
      <c r="J29" s="557"/>
      <c r="K29" s="557"/>
      <c r="L29" s="557"/>
      <c r="M29" s="557"/>
      <c r="N29" s="557"/>
      <c r="O29" s="559" t="s">
        <v>39</v>
      </c>
      <c r="P29" s="559" t="s">
        <v>13</v>
      </c>
      <c r="Q29" s="557">
        <v>18</v>
      </c>
      <c r="R29" s="557">
        <f>loader</f>
        <v>2512</v>
      </c>
      <c r="S29" s="388">
        <f>Q29*R29</f>
        <v>45216</v>
      </c>
      <c r="T29" s="442"/>
      <c r="U29" s="627"/>
    </row>
    <row r="30" spans="1:21" x14ac:dyDescent="0.2">
      <c r="A30" s="628"/>
      <c r="B30" s="441"/>
      <c r="C30" s="557"/>
      <c r="D30" s="557"/>
      <c r="E30" s="557"/>
      <c r="F30" s="557"/>
      <c r="G30" s="557"/>
      <c r="H30" s="557"/>
      <c r="I30" s="557"/>
      <c r="J30" s="557"/>
      <c r="K30" s="557"/>
      <c r="L30" s="557"/>
      <c r="M30" s="557"/>
      <c r="N30" s="557"/>
      <c r="O30" s="559" t="s">
        <v>874</v>
      </c>
      <c r="P30" s="559" t="s">
        <v>13</v>
      </c>
      <c r="Q30" s="557">
        <v>18</v>
      </c>
      <c r="R30" s="557">
        <f>tipper</f>
        <v>1475</v>
      </c>
      <c r="S30" s="388">
        <f>Q30*R30</f>
        <v>26550</v>
      </c>
      <c r="T30" s="442"/>
      <c r="U30" s="627"/>
    </row>
    <row r="31" spans="1:21" x14ac:dyDescent="0.2">
      <c r="A31" s="628"/>
      <c r="B31" s="441"/>
      <c r="C31" s="557"/>
      <c r="D31" s="557"/>
      <c r="E31" s="1113"/>
      <c r="F31" s="1113"/>
      <c r="G31" s="1113"/>
      <c r="H31" s="1113"/>
      <c r="I31" s="388">
        <f>SUM(I28:I29)</f>
        <v>16240</v>
      </c>
      <c r="J31" s="1113" t="s">
        <v>875</v>
      </c>
      <c r="K31" s="1113"/>
      <c r="L31" s="1113"/>
      <c r="M31" s="1113"/>
      <c r="N31" s="557">
        <f>N28</f>
        <v>1212976</v>
      </c>
      <c r="O31" s="1114" t="s">
        <v>876</v>
      </c>
      <c r="P31" s="1114"/>
      <c r="Q31" s="1114"/>
      <c r="R31" s="1114"/>
      <c r="S31" s="388">
        <f>SUM(S28:S30)</f>
        <v>95604</v>
      </c>
      <c r="T31" s="389">
        <f>(I31+N31+S31)/600</f>
        <v>2208.0300000000002</v>
      </c>
      <c r="U31" s="627"/>
    </row>
    <row r="32" spans="1:21" ht="63.75" x14ac:dyDescent="0.2">
      <c r="A32" s="628" t="s">
        <v>798</v>
      </c>
      <c r="B32" s="441" t="s">
        <v>877</v>
      </c>
      <c r="C32" s="557" t="s">
        <v>250</v>
      </c>
      <c r="D32" s="557" t="s">
        <v>878</v>
      </c>
      <c r="E32" s="557" t="s">
        <v>16</v>
      </c>
      <c r="F32" s="557" t="s">
        <v>11</v>
      </c>
      <c r="G32" s="101">
        <v>2</v>
      </c>
      <c r="H32" s="388">
        <f>skilled</f>
        <v>1100</v>
      </c>
      <c r="I32" s="388">
        <f>G32*H32</f>
        <v>2200</v>
      </c>
      <c r="J32" s="557" t="s">
        <v>871</v>
      </c>
      <c r="K32" s="557" t="s">
        <v>872</v>
      </c>
      <c r="L32" s="557">
        <v>800</v>
      </c>
      <c r="M32" s="557">
        <f>stone</f>
        <v>1516.22</v>
      </c>
      <c r="N32" s="557">
        <f>L32*M32</f>
        <v>1212976</v>
      </c>
      <c r="O32" s="559" t="s">
        <v>873</v>
      </c>
      <c r="P32" s="559" t="s">
        <v>13</v>
      </c>
      <c r="Q32" s="557">
        <v>18</v>
      </c>
      <c r="R32" s="557">
        <f>crusher</f>
        <v>1986.5</v>
      </c>
      <c r="S32" s="388">
        <f>Q32*R32</f>
        <v>35757</v>
      </c>
      <c r="T32" s="442"/>
      <c r="U32" s="627" t="s">
        <v>887</v>
      </c>
    </row>
    <row r="33" spans="1:21" x14ac:dyDescent="0.2">
      <c r="A33" s="628"/>
      <c r="B33" s="441"/>
      <c r="C33" s="557"/>
      <c r="D33" s="557"/>
      <c r="E33" s="557" t="s">
        <v>28</v>
      </c>
      <c r="F33" s="557" t="s">
        <v>11</v>
      </c>
      <c r="G33" s="101">
        <v>18</v>
      </c>
      <c r="H33" s="388">
        <f>unskilled</f>
        <v>780</v>
      </c>
      <c r="I33" s="388">
        <f>G33*H33</f>
        <v>14040</v>
      </c>
      <c r="J33" s="557"/>
      <c r="K33" s="557"/>
      <c r="L33" s="557"/>
      <c r="M33" s="557"/>
      <c r="N33" s="557"/>
      <c r="O33" s="559" t="s">
        <v>39</v>
      </c>
      <c r="P33" s="559" t="s">
        <v>13</v>
      </c>
      <c r="Q33" s="557">
        <v>18</v>
      </c>
      <c r="R33" s="557">
        <f>loader</f>
        <v>2512</v>
      </c>
      <c r="S33" s="388">
        <f>Q33*R33</f>
        <v>45216</v>
      </c>
      <c r="T33" s="442"/>
      <c r="U33" s="627"/>
    </row>
    <row r="34" spans="1:21" x14ac:dyDescent="0.2">
      <c r="A34" s="628"/>
      <c r="B34" s="441"/>
      <c r="C34" s="557"/>
      <c r="D34" s="557"/>
      <c r="E34" s="557"/>
      <c r="F34" s="557"/>
      <c r="G34" s="557"/>
      <c r="H34" s="557"/>
      <c r="I34" s="388"/>
      <c r="J34" s="557"/>
      <c r="K34" s="557"/>
      <c r="L34" s="557"/>
      <c r="M34" s="557"/>
      <c r="N34" s="557"/>
      <c r="O34" s="559" t="s">
        <v>874</v>
      </c>
      <c r="P34" s="559" t="s">
        <v>13</v>
      </c>
      <c r="Q34" s="557">
        <v>18</v>
      </c>
      <c r="R34" s="557">
        <f>tipper</f>
        <v>1475</v>
      </c>
      <c r="S34" s="388">
        <f>Q34*R34</f>
        <v>26550</v>
      </c>
      <c r="T34" s="442"/>
      <c r="U34" s="627"/>
    </row>
    <row r="35" spans="1:21" x14ac:dyDescent="0.2">
      <c r="A35" s="628"/>
      <c r="B35" s="441"/>
      <c r="C35" s="557"/>
      <c r="D35" s="557"/>
      <c r="E35" s="1113" t="s">
        <v>879</v>
      </c>
      <c r="F35" s="1113"/>
      <c r="G35" s="1113"/>
      <c r="H35" s="1113"/>
      <c r="I35" s="388">
        <f>SUM(I32:I33)</f>
        <v>16240</v>
      </c>
      <c r="J35" s="1113" t="s">
        <v>875</v>
      </c>
      <c r="K35" s="1113"/>
      <c r="L35" s="1113"/>
      <c r="M35" s="1113"/>
      <c r="N35" s="557">
        <f>N32</f>
        <v>1212976</v>
      </c>
      <c r="O35" s="1114" t="s">
        <v>876</v>
      </c>
      <c r="P35" s="1114"/>
      <c r="Q35" s="1114"/>
      <c r="R35" s="1114"/>
      <c r="S35" s="388">
        <f>SUM(S32:S34)</f>
        <v>107523</v>
      </c>
      <c r="T35" s="389">
        <f>(I35+N35+S35)/670</f>
        <v>1995.13</v>
      </c>
      <c r="U35" s="627"/>
    </row>
    <row r="36" spans="1:21" ht="63.75" x14ac:dyDescent="0.2">
      <c r="A36" s="628" t="s">
        <v>803</v>
      </c>
      <c r="B36" s="441" t="s">
        <v>880</v>
      </c>
      <c r="C36" s="557" t="s">
        <v>250</v>
      </c>
      <c r="D36" s="557" t="s">
        <v>881</v>
      </c>
      <c r="E36" s="557" t="s">
        <v>16</v>
      </c>
      <c r="F36" s="557" t="s">
        <v>11</v>
      </c>
      <c r="G36" s="101">
        <v>2</v>
      </c>
      <c r="H36" s="388">
        <f>skilled</f>
        <v>1100</v>
      </c>
      <c r="I36" s="388">
        <f>G36*H36</f>
        <v>2200</v>
      </c>
      <c r="J36" s="557" t="s">
        <v>871</v>
      </c>
      <c r="K36" s="557" t="s">
        <v>872</v>
      </c>
      <c r="L36" s="557">
        <v>800</v>
      </c>
      <c r="M36" s="557">
        <f>stone</f>
        <v>1516.22</v>
      </c>
      <c r="N36" s="557">
        <f>L36*M36</f>
        <v>1212976</v>
      </c>
      <c r="O36" s="559" t="s">
        <v>873</v>
      </c>
      <c r="P36" s="559" t="s">
        <v>13</v>
      </c>
      <c r="Q36" s="557">
        <v>6</v>
      </c>
      <c r="R36" s="557">
        <f>crusher</f>
        <v>1986.5</v>
      </c>
      <c r="S36" s="388">
        <f>Q36*R36</f>
        <v>11919</v>
      </c>
      <c r="T36" s="442"/>
      <c r="U36" s="627" t="s">
        <v>887</v>
      </c>
    </row>
    <row r="37" spans="1:21" x14ac:dyDescent="0.2">
      <c r="A37" s="628"/>
      <c r="B37" s="441"/>
      <c r="C37" s="557"/>
      <c r="D37" s="557"/>
      <c r="E37" s="557" t="s">
        <v>28</v>
      </c>
      <c r="F37" s="557" t="s">
        <v>11</v>
      </c>
      <c r="G37" s="101">
        <v>17</v>
      </c>
      <c r="H37" s="388">
        <f>unskilled</f>
        <v>780</v>
      </c>
      <c r="I37" s="388">
        <f>G37*H37</f>
        <v>13260</v>
      </c>
      <c r="J37" s="557"/>
      <c r="K37" s="557"/>
      <c r="L37" s="557"/>
      <c r="M37" s="557"/>
      <c r="N37" s="557"/>
      <c r="O37" s="559" t="s">
        <v>39</v>
      </c>
      <c r="P37" s="559" t="s">
        <v>13</v>
      </c>
      <c r="Q37" s="557">
        <v>20</v>
      </c>
      <c r="R37" s="557">
        <f>loader</f>
        <v>2512</v>
      </c>
      <c r="S37" s="388">
        <f>Q37*R37</f>
        <v>50240</v>
      </c>
      <c r="T37" s="442"/>
      <c r="U37" s="627"/>
    </row>
    <row r="38" spans="1:21" x14ac:dyDescent="0.2">
      <c r="A38" s="628"/>
      <c r="B38" s="441"/>
      <c r="C38" s="557"/>
      <c r="D38" s="557"/>
      <c r="E38" s="557"/>
      <c r="F38" s="557"/>
      <c r="G38" s="557"/>
      <c r="H38" s="557"/>
      <c r="I38" s="388"/>
      <c r="J38" s="557"/>
      <c r="K38" s="557"/>
      <c r="L38" s="557"/>
      <c r="M38" s="557"/>
      <c r="N38" s="557"/>
      <c r="O38" s="559" t="s">
        <v>874</v>
      </c>
      <c r="P38" s="559" t="s">
        <v>13</v>
      </c>
      <c r="Q38" s="557">
        <v>20</v>
      </c>
      <c r="R38" s="557">
        <f>tipper</f>
        <v>1475</v>
      </c>
      <c r="S38" s="388">
        <f>Q38*R38</f>
        <v>29500</v>
      </c>
      <c r="T38" s="442"/>
      <c r="U38" s="627"/>
    </row>
    <row r="39" spans="1:21" x14ac:dyDescent="0.2">
      <c r="A39" s="628"/>
      <c r="B39" s="441"/>
      <c r="C39" s="557"/>
      <c r="D39" s="557"/>
      <c r="E39" s="1113" t="s">
        <v>879</v>
      </c>
      <c r="F39" s="1113"/>
      <c r="G39" s="1113"/>
      <c r="H39" s="1113"/>
      <c r="I39" s="388">
        <f>SUM(I36:I37)</f>
        <v>15460</v>
      </c>
      <c r="J39" s="1113" t="s">
        <v>875</v>
      </c>
      <c r="K39" s="1113"/>
      <c r="L39" s="1113"/>
      <c r="M39" s="1113"/>
      <c r="N39" s="557">
        <f>N36</f>
        <v>1212976</v>
      </c>
      <c r="O39" s="1114" t="s">
        <v>876</v>
      </c>
      <c r="P39" s="1114"/>
      <c r="Q39" s="1114"/>
      <c r="R39" s="1114"/>
      <c r="S39" s="388">
        <f>SUM(S36:S38)</f>
        <v>91659</v>
      </c>
      <c r="T39" s="389">
        <f>(I39+N39+S39)/750</f>
        <v>1760.13</v>
      </c>
      <c r="U39" s="627"/>
    </row>
    <row r="40" spans="1:21" ht="25.5" customHeight="1" x14ac:dyDescent="0.2">
      <c r="A40" s="626">
        <v>8</v>
      </c>
      <c r="B40" s="440" t="s">
        <v>882</v>
      </c>
      <c r="C40" s="557" t="s">
        <v>250</v>
      </c>
      <c r="D40" s="557" t="s">
        <v>883</v>
      </c>
      <c r="E40" s="557" t="s">
        <v>16</v>
      </c>
      <c r="F40" s="557" t="s">
        <v>11</v>
      </c>
      <c r="G40" s="101">
        <v>0.1</v>
      </c>
      <c r="H40" s="443">
        <f>skilled</f>
        <v>1100</v>
      </c>
      <c r="I40" s="388">
        <f>G40*H40</f>
        <v>110</v>
      </c>
      <c r="J40" s="557"/>
      <c r="K40" s="557"/>
      <c r="L40" s="557"/>
      <c r="M40" s="557"/>
      <c r="N40" s="557"/>
      <c r="O40" s="557"/>
      <c r="P40" s="557"/>
      <c r="Q40" s="557"/>
      <c r="R40" s="557"/>
      <c r="S40" s="388"/>
      <c r="T40" s="389">
        <f>TRUNC(H40*G40,2)</f>
        <v>110</v>
      </c>
      <c r="U40" s="627"/>
    </row>
    <row r="41" spans="1:21" x14ac:dyDescent="0.2">
      <c r="A41" s="628"/>
      <c r="B41" s="437"/>
      <c r="C41" s="437"/>
      <c r="D41" s="437"/>
      <c r="E41" s="557" t="s">
        <v>28</v>
      </c>
      <c r="F41" s="557" t="s">
        <v>11</v>
      </c>
      <c r="G41" s="101">
        <v>4</v>
      </c>
      <c r="H41" s="435">
        <f>unskilled</f>
        <v>780</v>
      </c>
      <c r="I41" s="388">
        <f>G41*H41</f>
        <v>3120</v>
      </c>
      <c r="J41" s="437"/>
      <c r="K41" s="437"/>
      <c r="L41" s="437"/>
      <c r="M41" s="437"/>
      <c r="N41" s="437"/>
      <c r="O41" s="437"/>
      <c r="P41" s="437"/>
      <c r="Q41" s="437"/>
      <c r="R41" s="437"/>
      <c r="S41" s="435"/>
      <c r="T41" s="444"/>
      <c r="U41" s="611"/>
    </row>
    <row r="42" spans="1:21" ht="15" customHeight="1" thickBot="1" x14ac:dyDescent="0.25">
      <c r="A42" s="629"/>
      <c r="B42" s="630"/>
      <c r="C42" s="630"/>
      <c r="D42" s="630"/>
      <c r="E42" s="1111" t="s">
        <v>879</v>
      </c>
      <c r="F42" s="1111"/>
      <c r="G42" s="1111"/>
      <c r="H42" s="1111"/>
      <c r="I42" s="631">
        <f>SUM(I40:I41)</f>
        <v>3230</v>
      </c>
      <c r="J42" s="630"/>
      <c r="K42" s="630"/>
      <c r="L42" s="630"/>
      <c r="M42" s="630"/>
      <c r="N42" s="630"/>
      <c r="O42" s="1112" t="s">
        <v>845</v>
      </c>
      <c r="P42" s="1112"/>
      <c r="Q42" s="1112"/>
      <c r="R42" s="1112"/>
      <c r="S42" s="632">
        <f>0.03*I42</f>
        <v>96.9</v>
      </c>
      <c r="T42" s="633">
        <f>S42+I42</f>
        <v>3326.9</v>
      </c>
      <c r="U42" s="634"/>
    </row>
    <row r="43" spans="1:21" ht="15" customHeight="1" x14ac:dyDescent="0.2"/>
    <row r="44" spans="1:21" ht="15" customHeight="1" x14ac:dyDescent="0.2"/>
    <row r="45" spans="1:21" ht="15" customHeight="1" x14ac:dyDescent="0.2"/>
    <row r="46" spans="1:21" ht="15" customHeight="1" x14ac:dyDescent="0.2"/>
    <row r="47" spans="1:21" ht="15" customHeight="1" x14ac:dyDescent="0.2"/>
    <row r="48" spans="1:21" ht="15" customHeight="1" x14ac:dyDescent="0.2"/>
    <row r="49" ht="15" customHeight="1" x14ac:dyDescent="0.2"/>
    <row r="50" ht="15" customHeight="1" x14ac:dyDescent="0.2"/>
    <row r="51" ht="15" customHeight="1" x14ac:dyDescent="0.2"/>
    <row r="52" ht="15" customHeight="1" x14ac:dyDescent="0.2"/>
    <row r="53" ht="15" customHeight="1" x14ac:dyDescent="0.2"/>
    <row r="54" ht="15" customHeight="1" x14ac:dyDescent="0.2"/>
    <row r="55" ht="15" customHeight="1" x14ac:dyDescent="0.2"/>
    <row r="56" ht="15" customHeight="1" x14ac:dyDescent="0.2"/>
    <row r="57" ht="15" customHeight="1" x14ac:dyDescent="0.2"/>
    <row r="58" ht="15" customHeight="1" x14ac:dyDescent="0.2"/>
    <row r="59" ht="15" customHeight="1" x14ac:dyDescent="0.2"/>
    <row r="60" ht="15" customHeight="1" x14ac:dyDescent="0.2"/>
    <row r="61" ht="15" customHeight="1" x14ac:dyDescent="0.2"/>
    <row r="62" ht="15" customHeight="1" x14ac:dyDescent="0.2"/>
    <row r="63" ht="15" customHeight="1" x14ac:dyDescent="0.2"/>
    <row r="64" ht="15" customHeight="1" x14ac:dyDescent="0.2"/>
    <row r="65" ht="15" customHeight="1" x14ac:dyDescent="0.2"/>
    <row r="66" ht="15" customHeight="1" x14ac:dyDescent="0.2"/>
    <row r="67" ht="15" customHeight="1" x14ac:dyDescent="0.2"/>
    <row r="68" ht="15" customHeight="1" x14ac:dyDescent="0.2"/>
    <row r="69" ht="15" customHeight="1" x14ac:dyDescent="0.2"/>
    <row r="70" ht="15" customHeight="1" x14ac:dyDescent="0.2"/>
    <row r="71" ht="15" customHeight="1" x14ac:dyDescent="0.2"/>
    <row r="194" spans="4:4" x14ac:dyDescent="0.2">
      <c r="D194" s="8" t="s">
        <v>832</v>
      </c>
    </row>
    <row r="212" spans="19:19" x14ac:dyDescent="0.2">
      <c r="S212" s="8" t="s">
        <v>833</v>
      </c>
    </row>
  </sheetData>
  <mergeCells count="35">
    <mergeCell ref="O9:R9"/>
    <mergeCell ref="A2:U2"/>
    <mergeCell ref="A4:A5"/>
    <mergeCell ref="B4:B5"/>
    <mergeCell ref="C4:C5"/>
    <mergeCell ref="D4:D5"/>
    <mergeCell ref="E4:I4"/>
    <mergeCell ref="J4:N4"/>
    <mergeCell ref="O4:S4"/>
    <mergeCell ref="T4:T5"/>
    <mergeCell ref="U4:U5"/>
    <mergeCell ref="O7:R7"/>
    <mergeCell ref="O8:R8"/>
    <mergeCell ref="E31:H31"/>
    <mergeCell ref="J31:M31"/>
    <mergeCell ref="O31:R31"/>
    <mergeCell ref="O10:R10"/>
    <mergeCell ref="O11:R11"/>
    <mergeCell ref="O12:R12"/>
    <mergeCell ref="O13:R13"/>
    <mergeCell ref="O14:R14"/>
    <mergeCell ref="O15:R15"/>
    <mergeCell ref="O16:R16"/>
    <mergeCell ref="O17:R17"/>
    <mergeCell ref="O18:R18"/>
    <mergeCell ref="O19:R19"/>
    <mergeCell ref="O20:R20"/>
    <mergeCell ref="E42:H42"/>
    <mergeCell ref="O42:R42"/>
    <mergeCell ref="E35:H35"/>
    <mergeCell ref="J35:M35"/>
    <mergeCell ref="O35:R35"/>
    <mergeCell ref="E39:H39"/>
    <mergeCell ref="J39:M39"/>
    <mergeCell ref="O39:R39"/>
  </mergeCells>
  <printOptions horizontalCentered="1"/>
  <pageMargins left="0.6" right="0.1" top="0.5" bottom="0.5" header="0.3" footer="0.3"/>
  <pageSetup paperSize="9" scale="89" firstPageNumber="6" orientation="landscape" useFirstPageNumber="1"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221"/>
  <sheetViews>
    <sheetView topLeftCell="A4" workbookViewId="0">
      <selection activeCell="D8" sqref="D8"/>
    </sheetView>
  </sheetViews>
  <sheetFormatPr defaultColWidth="8.85546875" defaultRowHeight="12.75" x14ac:dyDescent="0.2"/>
  <cols>
    <col min="1" max="1" width="3.5703125" style="38" bestFit="1" customWidth="1"/>
    <col min="2" max="2" width="30.7109375" style="37" customWidth="1"/>
    <col min="3" max="3" width="6.140625" style="37" customWidth="1"/>
    <col min="4" max="4" width="7.7109375" style="37" customWidth="1"/>
    <col min="5" max="5" width="6.7109375" style="37" customWidth="1"/>
    <col min="6" max="6" width="8.42578125" style="37" customWidth="1"/>
    <col min="7" max="7" width="8.28515625" style="37" customWidth="1"/>
    <col min="8" max="8" width="8.140625" style="37" bestFit="1" customWidth="1"/>
    <col min="9" max="9" width="9.42578125" style="37" customWidth="1"/>
    <col min="10" max="10" width="8.140625" style="37" customWidth="1"/>
    <col min="11" max="11" width="7.7109375" style="37" customWidth="1"/>
    <col min="12" max="12" width="9.28515625" style="37" bestFit="1" customWidth="1"/>
    <col min="13" max="13" width="5.85546875" style="37" customWidth="1"/>
    <col min="14" max="14" width="6.85546875" style="37" customWidth="1"/>
    <col min="15" max="15" width="8" style="37" customWidth="1"/>
    <col min="16" max="16" width="6.42578125" style="37" customWidth="1"/>
    <col min="17" max="17" width="8.42578125" style="37" customWidth="1"/>
    <col min="18" max="18" width="13.28515625" style="37" customWidth="1"/>
    <col min="19" max="19" width="16.5703125" style="37" customWidth="1"/>
    <col min="20" max="16384" width="8.85546875" style="37"/>
  </cols>
  <sheetData>
    <row r="1" spans="1:25" ht="15.75" x14ac:dyDescent="0.25">
      <c r="A1" s="1130"/>
      <c r="B1" s="1130"/>
      <c r="C1" s="1130"/>
      <c r="D1" s="1130"/>
      <c r="E1" s="1130"/>
      <c r="F1" s="1130"/>
      <c r="G1" s="1130"/>
      <c r="H1" s="1130"/>
      <c r="I1" s="1130"/>
      <c r="J1" s="1130"/>
      <c r="K1" s="1130"/>
      <c r="L1" s="1130"/>
      <c r="M1" s="1130"/>
      <c r="N1" s="1130"/>
      <c r="O1" s="1130"/>
      <c r="P1" s="1130"/>
      <c r="Q1" s="1130"/>
      <c r="R1" s="1130"/>
      <c r="S1" s="1130"/>
    </row>
    <row r="2" spans="1:25" ht="20.25" x14ac:dyDescent="0.3">
      <c r="A2" s="1131" t="s">
        <v>765</v>
      </c>
      <c r="B2" s="1131"/>
      <c r="C2" s="1131"/>
      <c r="D2" s="1131"/>
      <c r="E2" s="1131"/>
      <c r="F2" s="1131"/>
      <c r="G2" s="1131"/>
      <c r="H2" s="1131"/>
      <c r="I2" s="1131"/>
      <c r="J2" s="1131"/>
      <c r="K2" s="1131"/>
      <c r="L2" s="1131"/>
      <c r="M2" s="1131"/>
      <c r="N2" s="1131"/>
      <c r="O2" s="1131"/>
      <c r="P2" s="1131"/>
      <c r="Q2" s="1131"/>
      <c r="R2" s="1131"/>
      <c r="S2" s="1131"/>
      <c r="T2" s="93"/>
    </row>
    <row r="3" spans="1:25" s="94" customFormat="1" ht="15" x14ac:dyDescent="0.25">
      <c r="A3" s="408"/>
      <c r="B3" s="409"/>
      <c r="C3" s="408"/>
      <c r="D3" s="408"/>
      <c r="E3" s="408"/>
      <c r="I3" s="409"/>
      <c r="J3" s="95"/>
      <c r="L3" s="410"/>
      <c r="M3" s="410"/>
      <c r="N3" s="410"/>
      <c r="O3" s="411"/>
      <c r="P3" s="412"/>
      <c r="Q3" s="96"/>
      <c r="R3" s="413"/>
    </row>
    <row r="4" spans="1:25" s="94" customFormat="1" ht="15.75" thickBot="1" x14ac:dyDescent="0.3">
      <c r="A4" s="408"/>
      <c r="N4" s="408"/>
      <c r="O4" s="414"/>
      <c r="P4" s="411"/>
      <c r="Q4" s="411"/>
      <c r="R4" s="415"/>
    </row>
    <row r="5" spans="1:25" s="94" customFormat="1" ht="15" x14ac:dyDescent="0.25">
      <c r="A5" s="408"/>
      <c r="B5" s="1132" t="s">
        <v>27</v>
      </c>
      <c r="C5" s="1134" t="s">
        <v>766</v>
      </c>
      <c r="D5" s="1135"/>
      <c r="E5" s="1136"/>
      <c r="I5" s="409" t="s">
        <v>767</v>
      </c>
      <c r="J5" s="95">
        <v>8</v>
      </c>
      <c r="K5" s="410" t="s">
        <v>768</v>
      </c>
      <c r="L5" s="410" t="s">
        <v>769</v>
      </c>
      <c r="M5" s="509" t="s">
        <v>834</v>
      </c>
      <c r="O5" s="416"/>
      <c r="P5" s="96"/>
      <c r="Q5" s="96"/>
      <c r="R5" s="415"/>
    </row>
    <row r="6" spans="1:25" s="94" customFormat="1" ht="15.75" thickBot="1" x14ac:dyDescent="0.3">
      <c r="A6" s="408"/>
      <c r="B6" s="1133"/>
      <c r="C6" s="417" t="s">
        <v>770</v>
      </c>
      <c r="D6" s="418" t="s">
        <v>771</v>
      </c>
      <c r="E6" s="419" t="s">
        <v>772</v>
      </c>
      <c r="O6" s="416"/>
      <c r="P6" s="96"/>
      <c r="Q6" s="96"/>
      <c r="R6" s="415"/>
    </row>
    <row r="7" spans="1:25" s="96" customFormat="1" ht="15" x14ac:dyDescent="0.2">
      <c r="A7" s="416"/>
      <c r="B7" s="420" t="s">
        <v>773</v>
      </c>
      <c r="C7" s="421">
        <f>10/D10</f>
        <v>1</v>
      </c>
      <c r="D7" s="422">
        <f>10/E10</f>
        <v>0.67</v>
      </c>
      <c r="E7" s="423">
        <f>10/F10</f>
        <v>0.5</v>
      </c>
      <c r="O7" s="416"/>
      <c r="R7" s="424"/>
    </row>
    <row r="8" spans="1:25" s="94" customFormat="1" ht="15.75" thickBot="1" x14ac:dyDescent="0.3">
      <c r="A8" s="408"/>
      <c r="B8" s="425" t="s">
        <v>774</v>
      </c>
      <c r="C8" s="426">
        <f>10/M10</f>
        <v>0.8</v>
      </c>
      <c r="D8" s="427">
        <f>10/N10</f>
        <v>0.53</v>
      </c>
      <c r="E8" s="428">
        <f>10/O10</f>
        <v>0.4</v>
      </c>
      <c r="O8" s="416"/>
      <c r="P8" s="96"/>
      <c r="Q8" s="96"/>
      <c r="R8" s="415"/>
    </row>
    <row r="9" spans="1:25" x14ac:dyDescent="0.2">
      <c r="O9" s="40"/>
      <c r="P9" s="8"/>
      <c r="Q9" s="8"/>
      <c r="R9" s="429"/>
    </row>
    <row r="10" spans="1:25" ht="14.25" x14ac:dyDescent="0.2">
      <c r="B10" s="430" t="s">
        <v>775</v>
      </c>
      <c r="D10" s="38">
        <f>IF(M5="Hilly",10,20)</f>
        <v>10</v>
      </c>
      <c r="E10" s="38">
        <f>IF(M5="Hilly",15,30)</f>
        <v>15</v>
      </c>
      <c r="F10" s="38">
        <f>IF(M5="Hilly",20,40)</f>
        <v>20</v>
      </c>
      <c r="I10" s="430"/>
      <c r="J10" s="97"/>
      <c r="K10" s="430" t="s">
        <v>776</v>
      </c>
      <c r="L10" s="431"/>
      <c r="M10" s="38">
        <f>D10*1.25</f>
        <v>12.5</v>
      </c>
      <c r="N10" s="38">
        <f>E10*1.25</f>
        <v>18.75</v>
      </c>
      <c r="O10" s="40">
        <f>F10*1.25</f>
        <v>25</v>
      </c>
      <c r="P10" s="40"/>
      <c r="Q10" s="8"/>
      <c r="R10" s="429"/>
    </row>
    <row r="11" spans="1:25" ht="21" thickBot="1" x14ac:dyDescent="0.35">
      <c r="A11" s="432"/>
      <c r="B11" s="432"/>
      <c r="C11" s="432"/>
      <c r="D11" s="38" t="s">
        <v>777</v>
      </c>
      <c r="E11" s="38" t="s">
        <v>777</v>
      </c>
      <c r="F11" s="38" t="s">
        <v>777</v>
      </c>
      <c r="G11" s="432"/>
      <c r="H11" s="432"/>
      <c r="I11" s="432"/>
      <c r="J11" s="432"/>
      <c r="K11" s="432"/>
      <c r="L11" s="432"/>
      <c r="M11" s="38" t="s">
        <v>777</v>
      </c>
      <c r="N11" s="38" t="s">
        <v>777</v>
      </c>
      <c r="O11" s="38" t="s">
        <v>777</v>
      </c>
      <c r="P11" s="432"/>
      <c r="Q11" s="432"/>
      <c r="R11" s="432"/>
      <c r="S11" s="432"/>
      <c r="T11" s="93"/>
    </row>
    <row r="12" spans="1:25" x14ac:dyDescent="0.2">
      <c r="A12" s="1137" t="s">
        <v>778</v>
      </c>
      <c r="B12" s="1139" t="s">
        <v>779</v>
      </c>
      <c r="C12" s="1137" t="s">
        <v>7</v>
      </c>
      <c r="D12" s="1125" t="s">
        <v>780</v>
      </c>
      <c r="E12" s="1125" t="s">
        <v>781</v>
      </c>
      <c r="F12" s="1125" t="s">
        <v>782</v>
      </c>
      <c r="G12" s="1125" t="s">
        <v>783</v>
      </c>
      <c r="H12" s="1125" t="s">
        <v>784</v>
      </c>
      <c r="I12" s="1125" t="s">
        <v>785</v>
      </c>
      <c r="J12" s="1127" t="s">
        <v>786</v>
      </c>
      <c r="K12" s="1128"/>
      <c r="L12" s="1128"/>
      <c r="M12" s="1129"/>
      <c r="N12" s="1118" t="s">
        <v>787</v>
      </c>
      <c r="O12" s="1118" t="s">
        <v>788</v>
      </c>
      <c r="P12" s="1118" t="s">
        <v>789</v>
      </c>
      <c r="Q12" s="1118" t="s">
        <v>790</v>
      </c>
      <c r="R12" s="1125" t="s">
        <v>791</v>
      </c>
      <c r="S12" s="1123" t="s">
        <v>6</v>
      </c>
    </row>
    <row r="13" spans="1:25" ht="51.75" thickBot="1" x14ac:dyDescent="0.25">
      <c r="A13" s="1138"/>
      <c r="B13" s="1140"/>
      <c r="C13" s="1138"/>
      <c r="D13" s="1126"/>
      <c r="E13" s="1126"/>
      <c r="F13" s="1126"/>
      <c r="G13" s="1126"/>
      <c r="H13" s="1126"/>
      <c r="I13" s="1126"/>
      <c r="J13" s="625" t="s">
        <v>792</v>
      </c>
      <c r="K13" s="625" t="s">
        <v>835</v>
      </c>
      <c r="L13" s="625" t="s">
        <v>793</v>
      </c>
      <c r="M13" s="625" t="s">
        <v>794</v>
      </c>
      <c r="N13" s="1119"/>
      <c r="O13" s="1119"/>
      <c r="P13" s="1119"/>
      <c r="Q13" s="1119"/>
      <c r="R13" s="1126"/>
      <c r="S13" s="1124"/>
      <c r="W13" s="93">
        <v>3</v>
      </c>
      <c r="X13" s="37">
        <v>5</v>
      </c>
      <c r="Y13" s="37">
        <v>8</v>
      </c>
    </row>
    <row r="14" spans="1:25" s="8" customFormat="1" ht="15" x14ac:dyDescent="0.2">
      <c r="A14" s="639">
        <v>1</v>
      </c>
      <c r="B14" s="637" t="s">
        <v>795</v>
      </c>
      <c r="C14" s="638"/>
      <c r="D14" s="638"/>
      <c r="E14" s="638"/>
      <c r="F14" s="638"/>
      <c r="G14" s="638"/>
      <c r="H14" s="638"/>
      <c r="I14" s="567"/>
      <c r="J14" s="567"/>
      <c r="K14" s="567"/>
      <c r="L14" s="567"/>
      <c r="M14" s="567"/>
      <c r="N14" s="567"/>
      <c r="O14" s="567"/>
      <c r="P14" s="567"/>
      <c r="Q14" s="567"/>
      <c r="R14" s="567"/>
      <c r="S14" s="640"/>
    </row>
    <row r="15" spans="1:25" s="8" customFormat="1" ht="15" x14ac:dyDescent="0.2">
      <c r="A15" s="490" t="s">
        <v>796</v>
      </c>
      <c r="B15" s="98" t="s">
        <v>797</v>
      </c>
      <c r="C15" s="99" t="s">
        <v>250</v>
      </c>
      <c r="D15" s="433">
        <v>3</v>
      </c>
      <c r="E15" s="433">
        <v>0</v>
      </c>
      <c r="F15" s="433">
        <v>0</v>
      </c>
      <c r="G15" s="99">
        <v>8</v>
      </c>
      <c r="H15" s="99">
        <v>1400</v>
      </c>
      <c r="I15" s="390">
        <f>D15*($C$7+$C$8)/10+E15*($D$7+$D$8)/10+F15*($E$7+$E$8)/10</f>
        <v>0.54</v>
      </c>
      <c r="J15" s="390">
        <v>0.33</v>
      </c>
      <c r="K15" s="390">
        <v>0.33</v>
      </c>
      <c r="L15" s="390"/>
      <c r="M15" s="390"/>
      <c r="N15" s="390">
        <f>J15</f>
        <v>0.33</v>
      </c>
      <c r="O15" s="390">
        <f>(J15*tipper+K15*loader+L15*skilled+M15*unskilled)/5.5</f>
        <v>239.22</v>
      </c>
      <c r="P15" s="390">
        <f>I15/(G15*1000/H15)</f>
        <v>0.09</v>
      </c>
      <c r="Q15" s="390">
        <f>P15*tipper</f>
        <v>132.75</v>
      </c>
      <c r="R15" s="361">
        <f>IF(I15&gt;0,(O15+Q15),0)</f>
        <v>371.97</v>
      </c>
      <c r="S15" s="641" t="s">
        <v>919</v>
      </c>
    </row>
    <row r="16" spans="1:25" s="8" customFormat="1" ht="15" x14ac:dyDescent="0.2">
      <c r="A16" s="490" t="s">
        <v>798</v>
      </c>
      <c r="B16" s="98" t="s">
        <v>799</v>
      </c>
      <c r="C16" s="99" t="s">
        <v>250</v>
      </c>
      <c r="D16" s="433">
        <v>3</v>
      </c>
      <c r="E16" s="433">
        <v>0</v>
      </c>
      <c r="F16" s="433">
        <v>0</v>
      </c>
      <c r="G16" s="99">
        <v>8</v>
      </c>
      <c r="H16" s="99">
        <v>1800</v>
      </c>
      <c r="I16" s="390">
        <f>D16*($C$7+$C$8)/10+E16*($D$7+$D$8)/10+F16*($E$7+$E$8)/10</f>
        <v>0.54</v>
      </c>
      <c r="J16" s="390">
        <v>0.33</v>
      </c>
      <c r="K16" s="390">
        <v>0.33</v>
      </c>
      <c r="L16" s="390"/>
      <c r="M16" s="390"/>
      <c r="N16" s="390">
        <f t="shared" ref="N16:N40" si="0">J16</f>
        <v>0.33</v>
      </c>
      <c r="O16" s="390">
        <f>(J16*tipper+K16*loader+L16*skilled+M16*unskilled)/5.5</f>
        <v>239.22</v>
      </c>
      <c r="P16" s="390">
        <f>I16/(G16*1000/H16)</f>
        <v>0.12</v>
      </c>
      <c r="Q16" s="390">
        <f>P16*tipper</f>
        <v>177</v>
      </c>
      <c r="R16" s="361">
        <f>IF(I16&gt;0,(O16+Q16),0)</f>
        <v>416.22</v>
      </c>
      <c r="S16" s="641" t="s">
        <v>919</v>
      </c>
    </row>
    <row r="17" spans="1:19" s="8" customFormat="1" ht="15" x14ac:dyDescent="0.2">
      <c r="A17" s="490">
        <v>2</v>
      </c>
      <c r="B17" s="98" t="s">
        <v>800</v>
      </c>
      <c r="C17" s="99" t="s">
        <v>250</v>
      </c>
      <c r="D17" s="433">
        <v>3</v>
      </c>
      <c r="E17" s="433">
        <v>0</v>
      </c>
      <c r="F17" s="433">
        <v>0</v>
      </c>
      <c r="G17" s="99">
        <v>8</v>
      </c>
      <c r="H17" s="99">
        <v>1600</v>
      </c>
      <c r="I17" s="390">
        <f>D17*($C$7+$C$8)/10+E17*($D$7+$D$8)/10+F17*($E$7+$E$8)/10</f>
        <v>0.54</v>
      </c>
      <c r="J17" s="390">
        <v>0.33</v>
      </c>
      <c r="K17" s="390">
        <v>0.33</v>
      </c>
      <c r="L17" s="390"/>
      <c r="M17" s="390"/>
      <c r="N17" s="390">
        <f t="shared" si="0"/>
        <v>0.33</v>
      </c>
      <c r="O17" s="390">
        <f>(J17*tipper+K17*loader+L17*skilled+M17*unskilled)/5.5</f>
        <v>239.22</v>
      </c>
      <c r="P17" s="390">
        <f>I17/(G17*1000/H17)</f>
        <v>0.11</v>
      </c>
      <c r="Q17" s="390">
        <f>P17*tipper</f>
        <v>162.25</v>
      </c>
      <c r="R17" s="361">
        <f>IF(I17&gt;0,(O17+Q17),0)</f>
        <v>401.47</v>
      </c>
      <c r="S17" s="641" t="s">
        <v>919</v>
      </c>
    </row>
    <row r="18" spans="1:19" s="8" customFormat="1" ht="30" x14ac:dyDescent="0.2">
      <c r="A18" s="490">
        <v>3</v>
      </c>
      <c r="B18" s="434" t="s">
        <v>801</v>
      </c>
      <c r="C18" s="435" t="s">
        <v>177</v>
      </c>
      <c r="D18" s="436"/>
      <c r="E18" s="436"/>
      <c r="F18" s="436"/>
      <c r="G18" s="435"/>
      <c r="H18" s="435"/>
      <c r="I18" s="390"/>
      <c r="J18" s="390"/>
      <c r="K18" s="390"/>
      <c r="L18" s="390"/>
      <c r="M18" s="390"/>
      <c r="N18" s="390"/>
      <c r="O18" s="390"/>
      <c r="P18" s="390"/>
      <c r="Q18" s="390"/>
      <c r="R18" s="361"/>
      <c r="S18" s="642"/>
    </row>
    <row r="19" spans="1:19" s="8" customFormat="1" ht="15" x14ac:dyDescent="0.2">
      <c r="A19" s="490" t="s">
        <v>796</v>
      </c>
      <c r="B19" s="434" t="s">
        <v>54</v>
      </c>
      <c r="C19" s="99" t="s">
        <v>250</v>
      </c>
      <c r="D19" s="433">
        <v>3</v>
      </c>
      <c r="E19" s="433">
        <v>0</v>
      </c>
      <c r="F19" s="433">
        <v>0</v>
      </c>
      <c r="G19" s="99">
        <v>8</v>
      </c>
      <c r="H19" s="99">
        <v>1800</v>
      </c>
      <c r="I19" s="390">
        <f>D19*($C$7+$C$8)/10+E19*($D$7+$D$8)/10+F19*($E$7+$E$8)/10</f>
        <v>0.54</v>
      </c>
      <c r="J19" s="390">
        <v>0.33</v>
      </c>
      <c r="K19" s="390">
        <v>0.33</v>
      </c>
      <c r="L19" s="390"/>
      <c r="M19" s="390"/>
      <c r="N19" s="390">
        <f t="shared" si="0"/>
        <v>0.33</v>
      </c>
      <c r="O19" s="390">
        <f>(J19*tipper+K19*loader+L19*skilled+M19*unskilled)/5.5</f>
        <v>239.22</v>
      </c>
      <c r="P19" s="390">
        <f t="shared" ref="P19:P25" si="1">I19/(G19*1000/H19)</f>
        <v>0.12</v>
      </c>
      <c r="Q19" s="390">
        <f t="shared" ref="Q19:Q27" si="2">P19*tipper</f>
        <v>177</v>
      </c>
      <c r="R19" s="361">
        <f t="shared" ref="R19:R34" si="3">IF(I19&gt;0,(O19+Q19),0)</f>
        <v>416.22</v>
      </c>
      <c r="S19" s="641" t="s">
        <v>919</v>
      </c>
    </row>
    <row r="20" spans="1:19" s="8" customFormat="1" ht="15" x14ac:dyDescent="0.2">
      <c r="A20" s="490" t="s">
        <v>798</v>
      </c>
      <c r="B20" s="434" t="s">
        <v>802</v>
      </c>
      <c r="C20" s="99" t="s">
        <v>250</v>
      </c>
      <c r="D20" s="433">
        <v>3</v>
      </c>
      <c r="E20" s="433">
        <v>0</v>
      </c>
      <c r="F20" s="433">
        <v>0</v>
      </c>
      <c r="G20" s="99">
        <v>8</v>
      </c>
      <c r="H20" s="99">
        <v>1900</v>
      </c>
      <c r="I20" s="390">
        <f t="shared" ref="I20:I42" si="4">D20*($C$7+$C$8)/10+E20*($D$7+$D$8)/10+F20*($E$7+$E$8)/10</f>
        <v>0.54</v>
      </c>
      <c r="J20" s="390">
        <v>0.33</v>
      </c>
      <c r="K20" s="390">
        <v>0.33</v>
      </c>
      <c r="L20" s="390"/>
      <c r="M20" s="390"/>
      <c r="N20" s="390">
        <f t="shared" si="0"/>
        <v>0.33</v>
      </c>
      <c r="O20" s="390">
        <f>(J20*tipper+K20*loader+L20*skilled+M20*unskilled)/5.5</f>
        <v>239.22</v>
      </c>
      <c r="P20" s="390">
        <f t="shared" si="1"/>
        <v>0.13</v>
      </c>
      <c r="Q20" s="390">
        <f t="shared" si="2"/>
        <v>191.75</v>
      </c>
      <c r="R20" s="361">
        <f t="shared" si="3"/>
        <v>430.97</v>
      </c>
      <c r="S20" s="641" t="s">
        <v>919</v>
      </c>
    </row>
    <row r="21" spans="1:19" s="8" customFormat="1" ht="15" x14ac:dyDescent="0.2">
      <c r="A21" s="490" t="s">
        <v>803</v>
      </c>
      <c r="B21" s="434" t="s">
        <v>804</v>
      </c>
      <c r="C21" s="99" t="s">
        <v>250</v>
      </c>
      <c r="D21" s="433">
        <v>3</v>
      </c>
      <c r="E21" s="433">
        <v>0</v>
      </c>
      <c r="F21" s="433">
        <v>0</v>
      </c>
      <c r="G21" s="99">
        <v>8</v>
      </c>
      <c r="H21" s="99">
        <v>1900</v>
      </c>
      <c r="I21" s="390">
        <f t="shared" si="4"/>
        <v>0.54</v>
      </c>
      <c r="J21" s="390">
        <v>0.33</v>
      </c>
      <c r="K21" s="390">
        <v>0.33</v>
      </c>
      <c r="L21" s="390"/>
      <c r="M21" s="390"/>
      <c r="N21" s="390">
        <f t="shared" si="0"/>
        <v>0.33</v>
      </c>
      <c r="O21" s="390">
        <f>(J21*tipper+K21*loader+L21*skilled+M21*unskilled)/5.5</f>
        <v>239.22</v>
      </c>
      <c r="P21" s="390">
        <f t="shared" si="1"/>
        <v>0.13</v>
      </c>
      <c r="Q21" s="390">
        <f t="shared" si="2"/>
        <v>191.75</v>
      </c>
      <c r="R21" s="361">
        <f t="shared" si="3"/>
        <v>430.97</v>
      </c>
      <c r="S21" s="641" t="s">
        <v>919</v>
      </c>
    </row>
    <row r="22" spans="1:19" s="8" customFormat="1" ht="15" x14ac:dyDescent="0.2">
      <c r="A22" s="490">
        <v>4</v>
      </c>
      <c r="B22" s="98" t="s">
        <v>23</v>
      </c>
      <c r="C22" s="99" t="s">
        <v>250</v>
      </c>
      <c r="D22" s="433">
        <v>3</v>
      </c>
      <c r="E22" s="433">
        <v>0</v>
      </c>
      <c r="F22" s="433">
        <v>0</v>
      </c>
      <c r="G22" s="99">
        <v>8</v>
      </c>
      <c r="H22" s="99">
        <v>1800</v>
      </c>
      <c r="I22" s="390">
        <f t="shared" si="4"/>
        <v>0.54</v>
      </c>
      <c r="J22" s="390">
        <v>0.33</v>
      </c>
      <c r="K22" s="390">
        <v>0.33</v>
      </c>
      <c r="L22" s="437"/>
      <c r="M22" s="437"/>
      <c r="N22" s="390">
        <f t="shared" si="0"/>
        <v>0.33</v>
      </c>
      <c r="O22" s="390">
        <f>(J22*tipper+K22*loader+L22*skilled+M22*unskilled)/5.5</f>
        <v>239.22</v>
      </c>
      <c r="P22" s="390">
        <f t="shared" si="1"/>
        <v>0.12</v>
      </c>
      <c r="Q22" s="390">
        <f t="shared" si="2"/>
        <v>177</v>
      </c>
      <c r="R22" s="361">
        <f t="shared" si="3"/>
        <v>416.22</v>
      </c>
      <c r="S22" s="641" t="s">
        <v>919</v>
      </c>
    </row>
    <row r="23" spans="1:19" s="8" customFormat="1" ht="15" x14ac:dyDescent="0.2">
      <c r="A23" s="490">
        <v>5</v>
      </c>
      <c r="B23" s="98" t="s">
        <v>805</v>
      </c>
      <c r="C23" s="99" t="s">
        <v>250</v>
      </c>
      <c r="D23" s="433">
        <v>3</v>
      </c>
      <c r="E23" s="433">
        <v>0</v>
      </c>
      <c r="F23" s="433">
        <v>0</v>
      </c>
      <c r="G23" s="99">
        <v>8</v>
      </c>
      <c r="H23" s="99">
        <v>1800</v>
      </c>
      <c r="I23" s="390">
        <f t="shared" si="4"/>
        <v>0.54</v>
      </c>
      <c r="J23" s="390">
        <v>0.33</v>
      </c>
      <c r="K23" s="390">
        <v>0.33</v>
      </c>
      <c r="L23" s="390"/>
      <c r="M23" s="390"/>
      <c r="N23" s="390">
        <f t="shared" si="0"/>
        <v>0.33</v>
      </c>
      <c r="O23" s="390">
        <f>(J23*tipper+K23*loader+L23*skilled+M23*unskilled)/5.5</f>
        <v>239.22</v>
      </c>
      <c r="P23" s="390">
        <f t="shared" si="1"/>
        <v>0.12</v>
      </c>
      <c r="Q23" s="390">
        <f t="shared" si="2"/>
        <v>177</v>
      </c>
      <c r="R23" s="361">
        <f t="shared" si="3"/>
        <v>416.22</v>
      </c>
      <c r="S23" s="641" t="s">
        <v>919</v>
      </c>
    </row>
    <row r="24" spans="1:19" s="8" customFormat="1" ht="15" x14ac:dyDescent="0.2">
      <c r="A24" s="490">
        <v>6</v>
      </c>
      <c r="B24" s="98" t="s">
        <v>806</v>
      </c>
      <c r="C24" s="99" t="s">
        <v>807</v>
      </c>
      <c r="D24" s="433">
        <v>26</v>
      </c>
      <c r="E24" s="433">
        <v>14</v>
      </c>
      <c r="F24" s="433">
        <v>0</v>
      </c>
      <c r="G24" s="99">
        <v>8</v>
      </c>
      <c r="H24" s="99">
        <f>2.98*1000</f>
        <v>2980</v>
      </c>
      <c r="I24" s="390">
        <f t="shared" si="4"/>
        <v>6.36</v>
      </c>
      <c r="J24" s="390">
        <v>6</v>
      </c>
      <c r="K24" s="390"/>
      <c r="L24" s="390"/>
      <c r="M24" s="390">
        <v>6</v>
      </c>
      <c r="N24" s="390">
        <f t="shared" si="0"/>
        <v>6</v>
      </c>
      <c r="O24" s="390">
        <f>(J24*tipper+K24*loader+L24*skilled+M24*unskilled)/16</f>
        <v>845.63</v>
      </c>
      <c r="P24" s="390">
        <f t="shared" si="1"/>
        <v>2.37</v>
      </c>
      <c r="Q24" s="390">
        <f t="shared" si="2"/>
        <v>3495.75</v>
      </c>
      <c r="R24" s="361">
        <f t="shared" si="3"/>
        <v>4341.38</v>
      </c>
      <c r="S24" s="641" t="s">
        <v>920</v>
      </c>
    </row>
    <row r="25" spans="1:19" s="8" customFormat="1" ht="15" x14ac:dyDescent="0.2">
      <c r="A25" s="490">
        <v>7</v>
      </c>
      <c r="B25" s="98" t="s">
        <v>808</v>
      </c>
      <c r="C25" s="99" t="s">
        <v>250</v>
      </c>
      <c r="D25" s="433">
        <v>26</v>
      </c>
      <c r="E25" s="433">
        <v>14</v>
      </c>
      <c r="F25" s="433">
        <v>0</v>
      </c>
      <c r="G25" s="99">
        <v>8</v>
      </c>
      <c r="H25" s="99">
        <v>2400</v>
      </c>
      <c r="I25" s="390">
        <f t="shared" si="4"/>
        <v>6.36</v>
      </c>
      <c r="J25" s="390">
        <f>6</f>
        <v>6</v>
      </c>
      <c r="K25" s="390"/>
      <c r="L25" s="390">
        <v>1</v>
      </c>
      <c r="M25" s="390">
        <v>8</v>
      </c>
      <c r="N25" s="390">
        <f t="shared" si="0"/>
        <v>6</v>
      </c>
      <c r="O25" s="390">
        <f>(J25*tipper+K25*loader+L25*skilled+M25*unskilled)/20</f>
        <v>809.5</v>
      </c>
      <c r="P25" s="390">
        <f t="shared" si="1"/>
        <v>1.91</v>
      </c>
      <c r="Q25" s="390">
        <f t="shared" si="2"/>
        <v>2817.25</v>
      </c>
      <c r="R25" s="361">
        <f t="shared" si="3"/>
        <v>3626.75</v>
      </c>
      <c r="S25" s="641" t="s">
        <v>921</v>
      </c>
    </row>
    <row r="26" spans="1:19" s="8" customFormat="1" ht="15" x14ac:dyDescent="0.2">
      <c r="A26" s="490">
        <v>8</v>
      </c>
      <c r="B26" s="98" t="s">
        <v>809</v>
      </c>
      <c r="C26" s="99" t="s">
        <v>14</v>
      </c>
      <c r="D26" s="433">
        <v>26</v>
      </c>
      <c r="E26" s="433">
        <v>14</v>
      </c>
      <c r="F26" s="433">
        <v>0</v>
      </c>
      <c r="G26" s="99">
        <v>8</v>
      </c>
      <c r="H26" s="99"/>
      <c r="I26" s="390">
        <f>D26*($C$7+$C$8)/10+E26*($D$7+$D$8)/10+F26*($E$7+$E$8)/10</f>
        <v>6.36</v>
      </c>
      <c r="J26" s="390">
        <f>2</f>
        <v>2</v>
      </c>
      <c r="K26" s="390"/>
      <c r="L26" s="390"/>
      <c r="M26" s="390">
        <v>2</v>
      </c>
      <c r="N26" s="390">
        <f t="shared" si="0"/>
        <v>2</v>
      </c>
      <c r="O26" s="390">
        <f>(J26*tipper+K26*loader+L26*skilled+M26*unskilled)/10</f>
        <v>451</v>
      </c>
      <c r="P26" s="390">
        <f t="shared" ref="P26:P34" si="5">I26/8</f>
        <v>0.8</v>
      </c>
      <c r="Q26" s="390">
        <f t="shared" si="2"/>
        <v>1180</v>
      </c>
      <c r="R26" s="361">
        <f>IF(I26&gt;0,(O26+Q26),0)</f>
        <v>1631</v>
      </c>
      <c r="S26" s="491" t="s">
        <v>810</v>
      </c>
    </row>
    <row r="27" spans="1:19" s="8" customFormat="1" ht="30" x14ac:dyDescent="0.2">
      <c r="A27" s="490">
        <v>9</v>
      </c>
      <c r="B27" s="438" t="s">
        <v>25</v>
      </c>
      <c r="C27" s="99" t="s">
        <v>14</v>
      </c>
      <c r="D27" s="433">
        <v>26</v>
      </c>
      <c r="E27" s="433">
        <v>14</v>
      </c>
      <c r="F27" s="433">
        <v>0</v>
      </c>
      <c r="G27" s="99">
        <v>8</v>
      </c>
      <c r="H27" s="99"/>
      <c r="I27" s="390">
        <f t="shared" si="4"/>
        <v>6.36</v>
      </c>
      <c r="J27" s="390">
        <v>2</v>
      </c>
      <c r="K27" s="390"/>
      <c r="L27" s="390"/>
      <c r="M27" s="390">
        <v>2</v>
      </c>
      <c r="N27" s="390">
        <f t="shared" si="0"/>
        <v>2</v>
      </c>
      <c r="O27" s="390">
        <f>(J27*tipper+K27*loader+L27*skilled+M27*unskilled)/10</f>
        <v>451</v>
      </c>
      <c r="P27" s="390">
        <f t="shared" si="5"/>
        <v>0.8</v>
      </c>
      <c r="Q27" s="390">
        <f t="shared" si="2"/>
        <v>1180</v>
      </c>
      <c r="R27" s="361">
        <f t="shared" si="3"/>
        <v>1631</v>
      </c>
      <c r="S27" s="491" t="s">
        <v>810</v>
      </c>
    </row>
    <row r="28" spans="1:19" s="8" customFormat="1" ht="15" x14ac:dyDescent="0.2">
      <c r="A28" s="490">
        <v>10</v>
      </c>
      <c r="B28" s="98" t="s">
        <v>268</v>
      </c>
      <c r="C28" s="99" t="s">
        <v>14</v>
      </c>
      <c r="D28" s="433">
        <v>26</v>
      </c>
      <c r="E28" s="433">
        <v>14</v>
      </c>
      <c r="F28" s="433">
        <v>0</v>
      </c>
      <c r="G28" s="99">
        <v>8</v>
      </c>
      <c r="H28" s="99"/>
      <c r="I28" s="390">
        <f t="shared" si="4"/>
        <v>6.36</v>
      </c>
      <c r="J28" s="390">
        <v>6</v>
      </c>
      <c r="K28" s="390"/>
      <c r="L28" s="390"/>
      <c r="M28" s="390">
        <v>6</v>
      </c>
      <c r="N28" s="390">
        <f t="shared" si="0"/>
        <v>6</v>
      </c>
      <c r="O28" s="390">
        <f>(J28*tipper+K28*loader+L28*skilled+M28*unskilled)/40</f>
        <v>338.25</v>
      </c>
      <c r="P28" s="390">
        <f t="shared" si="5"/>
        <v>0.8</v>
      </c>
      <c r="Q28" s="390">
        <f t="shared" ref="Q28:Q34" si="6">P28*tipper+M28*unskilled/40</f>
        <v>1297</v>
      </c>
      <c r="R28" s="361">
        <f t="shared" si="3"/>
        <v>1635.25</v>
      </c>
      <c r="S28" s="491" t="s">
        <v>811</v>
      </c>
    </row>
    <row r="29" spans="1:19" s="8" customFormat="1" ht="15" x14ac:dyDescent="0.2">
      <c r="A29" s="490">
        <v>11</v>
      </c>
      <c r="B29" s="438" t="s">
        <v>812</v>
      </c>
      <c r="C29" s="99" t="s">
        <v>14</v>
      </c>
      <c r="D29" s="433">
        <v>26</v>
      </c>
      <c r="E29" s="433">
        <v>14</v>
      </c>
      <c r="F29" s="433">
        <v>0</v>
      </c>
      <c r="G29" s="99">
        <v>8</v>
      </c>
      <c r="H29" s="99"/>
      <c r="I29" s="390">
        <f t="shared" si="4"/>
        <v>6.36</v>
      </c>
      <c r="J29" s="390">
        <v>2</v>
      </c>
      <c r="K29" s="390"/>
      <c r="L29" s="390"/>
      <c r="M29" s="390">
        <v>2</v>
      </c>
      <c r="N29" s="390">
        <f t="shared" si="0"/>
        <v>2</v>
      </c>
      <c r="O29" s="390">
        <f>(J29*tipper+K29*loader+L29*skilled+M29*unskilled)/10</f>
        <v>451</v>
      </c>
      <c r="P29" s="390">
        <f t="shared" si="5"/>
        <v>0.8</v>
      </c>
      <c r="Q29" s="390">
        <f t="shared" si="6"/>
        <v>1219</v>
      </c>
      <c r="R29" s="361">
        <f t="shared" si="3"/>
        <v>1670</v>
      </c>
      <c r="S29" s="491" t="s">
        <v>810</v>
      </c>
    </row>
    <row r="30" spans="1:19" s="8" customFormat="1" ht="15" x14ac:dyDescent="0.2">
      <c r="A30" s="490">
        <v>12</v>
      </c>
      <c r="B30" s="98" t="s">
        <v>813</v>
      </c>
      <c r="C30" s="99" t="s">
        <v>250</v>
      </c>
      <c r="D30" s="433">
        <v>26</v>
      </c>
      <c r="E30" s="433">
        <v>14</v>
      </c>
      <c r="F30" s="433">
        <v>0</v>
      </c>
      <c r="G30" s="99">
        <v>8</v>
      </c>
      <c r="H30" s="99"/>
      <c r="I30" s="390">
        <f t="shared" si="4"/>
        <v>6.36</v>
      </c>
      <c r="J30" s="390">
        <v>6</v>
      </c>
      <c r="K30" s="390"/>
      <c r="L30" s="390">
        <v>1</v>
      </c>
      <c r="M30" s="390">
        <v>8</v>
      </c>
      <c r="N30" s="390">
        <f t="shared" si="0"/>
        <v>6</v>
      </c>
      <c r="O30" s="390">
        <f>(J30*tipper+K30*loader+L30*skilled+M30*unskilled)/30</f>
        <v>539.66999999999996</v>
      </c>
      <c r="P30" s="390">
        <f t="shared" si="5"/>
        <v>0.8</v>
      </c>
      <c r="Q30" s="390">
        <f t="shared" si="6"/>
        <v>1336</v>
      </c>
      <c r="R30" s="361">
        <f t="shared" si="3"/>
        <v>1875.67</v>
      </c>
      <c r="S30" s="491" t="s">
        <v>814</v>
      </c>
    </row>
    <row r="31" spans="1:19" s="8" customFormat="1" ht="15" x14ac:dyDescent="0.2">
      <c r="A31" s="490">
        <v>13</v>
      </c>
      <c r="B31" s="98" t="s">
        <v>815</v>
      </c>
      <c r="C31" s="99" t="s">
        <v>250</v>
      </c>
      <c r="D31" s="433">
        <v>26</v>
      </c>
      <c r="E31" s="433">
        <v>14</v>
      </c>
      <c r="F31" s="433">
        <v>0</v>
      </c>
      <c r="G31" s="99">
        <v>8</v>
      </c>
      <c r="H31" s="99"/>
      <c r="I31" s="390">
        <f t="shared" si="4"/>
        <v>6.36</v>
      </c>
      <c r="J31" s="390">
        <v>6</v>
      </c>
      <c r="K31" s="390"/>
      <c r="L31" s="390">
        <v>1</v>
      </c>
      <c r="M31" s="390">
        <v>8</v>
      </c>
      <c r="N31" s="390">
        <f t="shared" si="0"/>
        <v>6</v>
      </c>
      <c r="O31" s="390">
        <f>(J31*tipper+K31*loader+L31*skilled+M31*unskilled)/30</f>
        <v>539.66999999999996</v>
      </c>
      <c r="P31" s="390">
        <f t="shared" si="5"/>
        <v>0.8</v>
      </c>
      <c r="Q31" s="390">
        <f t="shared" si="6"/>
        <v>1336</v>
      </c>
      <c r="R31" s="361">
        <f t="shared" si="3"/>
        <v>1875.67</v>
      </c>
      <c r="S31" s="491" t="s">
        <v>814</v>
      </c>
    </row>
    <row r="32" spans="1:19" s="8" customFormat="1" ht="15" x14ac:dyDescent="0.2">
      <c r="A32" s="490">
        <v>14</v>
      </c>
      <c r="B32" s="98" t="s">
        <v>816</v>
      </c>
      <c r="C32" s="99" t="s">
        <v>14</v>
      </c>
      <c r="D32" s="433">
        <v>26</v>
      </c>
      <c r="E32" s="433">
        <v>14</v>
      </c>
      <c r="F32" s="433">
        <v>0</v>
      </c>
      <c r="G32" s="99">
        <v>8</v>
      </c>
      <c r="H32" s="99"/>
      <c r="I32" s="390">
        <f t="shared" si="4"/>
        <v>6.36</v>
      </c>
      <c r="J32" s="390">
        <v>2</v>
      </c>
      <c r="K32" s="390"/>
      <c r="L32" s="390"/>
      <c r="M32" s="390">
        <v>2</v>
      </c>
      <c r="N32" s="390">
        <f t="shared" si="0"/>
        <v>2</v>
      </c>
      <c r="O32" s="390">
        <f>(J32*tipper+K32*loader+L32*skilled+M32*unskilled)/10</f>
        <v>451</v>
      </c>
      <c r="P32" s="390">
        <f t="shared" si="5"/>
        <v>0.8</v>
      </c>
      <c r="Q32" s="390">
        <f t="shared" si="6"/>
        <v>1219</v>
      </c>
      <c r="R32" s="361">
        <f t="shared" si="3"/>
        <v>1670</v>
      </c>
      <c r="S32" s="491" t="s">
        <v>810</v>
      </c>
    </row>
    <row r="33" spans="1:19" s="8" customFormat="1" ht="15" x14ac:dyDescent="0.2">
      <c r="A33" s="490">
        <v>15</v>
      </c>
      <c r="B33" s="98" t="s">
        <v>817</v>
      </c>
      <c r="C33" s="99" t="s">
        <v>14</v>
      </c>
      <c r="D33" s="433">
        <v>26</v>
      </c>
      <c r="E33" s="433">
        <v>14</v>
      </c>
      <c r="F33" s="433">
        <v>0</v>
      </c>
      <c r="G33" s="99">
        <v>8</v>
      </c>
      <c r="H33" s="99"/>
      <c r="I33" s="390">
        <f t="shared" si="4"/>
        <v>6.36</v>
      </c>
      <c r="J33" s="390">
        <v>2</v>
      </c>
      <c r="K33" s="390"/>
      <c r="L33" s="390"/>
      <c r="M33" s="390">
        <v>2</v>
      </c>
      <c r="N33" s="390">
        <f t="shared" si="0"/>
        <v>2</v>
      </c>
      <c r="O33" s="390">
        <f>(J33*tipper+K33*loader+L33*skilled+M33*unskilled)/10</f>
        <v>451</v>
      </c>
      <c r="P33" s="390">
        <f t="shared" si="5"/>
        <v>0.8</v>
      </c>
      <c r="Q33" s="390">
        <f t="shared" si="6"/>
        <v>1219</v>
      </c>
      <c r="R33" s="361">
        <f t="shared" si="3"/>
        <v>1670</v>
      </c>
      <c r="S33" s="491" t="s">
        <v>810</v>
      </c>
    </row>
    <row r="34" spans="1:19" s="8" customFormat="1" ht="30" x14ac:dyDescent="0.2">
      <c r="A34" s="490">
        <v>16</v>
      </c>
      <c r="B34" s="434" t="s">
        <v>836</v>
      </c>
      <c r="C34" s="99" t="s">
        <v>14</v>
      </c>
      <c r="D34" s="433">
        <v>26</v>
      </c>
      <c r="E34" s="433">
        <v>14</v>
      </c>
      <c r="F34" s="433">
        <v>0</v>
      </c>
      <c r="G34" s="99">
        <v>8</v>
      </c>
      <c r="H34" s="99"/>
      <c r="I34" s="390">
        <f t="shared" si="4"/>
        <v>6.36</v>
      </c>
      <c r="J34" s="390">
        <v>2</v>
      </c>
      <c r="K34" s="390"/>
      <c r="L34" s="390"/>
      <c r="M34" s="390">
        <v>2</v>
      </c>
      <c r="N34" s="390">
        <f t="shared" si="0"/>
        <v>2</v>
      </c>
      <c r="O34" s="390">
        <f>(J34*tipper+K34*loader+L34*skilled+M34*unskilled)/10</f>
        <v>451</v>
      </c>
      <c r="P34" s="390">
        <f t="shared" si="5"/>
        <v>0.8</v>
      </c>
      <c r="Q34" s="390">
        <f t="shared" si="6"/>
        <v>1219</v>
      </c>
      <c r="R34" s="361">
        <f t="shared" si="3"/>
        <v>1670</v>
      </c>
      <c r="S34" s="491" t="s">
        <v>810</v>
      </c>
    </row>
    <row r="35" spans="1:19" s="8" customFormat="1" ht="15" x14ac:dyDescent="0.2">
      <c r="A35" s="490">
        <v>17</v>
      </c>
      <c r="B35" s="98" t="s">
        <v>818</v>
      </c>
      <c r="C35" s="439"/>
      <c r="D35" s="433"/>
      <c r="E35" s="433"/>
      <c r="F35" s="433"/>
      <c r="G35" s="435"/>
      <c r="H35" s="439"/>
      <c r="I35" s="390">
        <f t="shared" si="4"/>
        <v>0</v>
      </c>
      <c r="J35" s="439"/>
      <c r="K35" s="439"/>
      <c r="L35" s="439"/>
      <c r="M35" s="439"/>
      <c r="N35" s="390"/>
      <c r="O35" s="439"/>
      <c r="P35" s="439"/>
      <c r="Q35" s="439"/>
      <c r="R35" s="361"/>
      <c r="S35" s="643"/>
    </row>
    <row r="36" spans="1:19" s="8" customFormat="1" ht="15" x14ac:dyDescent="0.2">
      <c r="A36" s="490" t="s">
        <v>796</v>
      </c>
      <c r="B36" s="98" t="s">
        <v>819</v>
      </c>
      <c r="C36" s="99" t="s">
        <v>17</v>
      </c>
      <c r="D36" s="433">
        <v>26</v>
      </c>
      <c r="E36" s="433">
        <v>14</v>
      </c>
      <c r="F36" s="433"/>
      <c r="G36" s="99">
        <v>8</v>
      </c>
      <c r="H36" s="99"/>
      <c r="I36" s="390">
        <f t="shared" si="4"/>
        <v>6.36</v>
      </c>
      <c r="J36" s="390">
        <v>1.5</v>
      </c>
      <c r="K36" s="390">
        <v>1.5</v>
      </c>
      <c r="L36" s="390">
        <v>0.6</v>
      </c>
      <c r="M36" s="390">
        <v>3</v>
      </c>
      <c r="N36" s="390">
        <f t="shared" si="0"/>
        <v>1.5</v>
      </c>
      <c r="O36" s="390">
        <f>(J36*tipper+K36*crane3t+L36*skilled+M36*unskilled)/15</f>
        <v>559.75</v>
      </c>
      <c r="P36" s="390">
        <f>I36/15</f>
        <v>0.42</v>
      </c>
      <c r="Q36" s="390">
        <f t="shared" ref="Q36:Q42" si="7">P36*tipper</f>
        <v>619.5</v>
      </c>
      <c r="R36" s="361">
        <f t="shared" ref="R36:R41" si="8">IF(I36&gt;0,(O36+Q36),0)</f>
        <v>1179.25</v>
      </c>
      <c r="S36" s="491" t="s">
        <v>820</v>
      </c>
    </row>
    <row r="37" spans="1:19" s="8" customFormat="1" ht="15" x14ac:dyDescent="0.2">
      <c r="A37" s="490" t="s">
        <v>798</v>
      </c>
      <c r="B37" s="98" t="s">
        <v>821</v>
      </c>
      <c r="C37" s="99" t="s">
        <v>17</v>
      </c>
      <c r="D37" s="433">
        <v>26</v>
      </c>
      <c r="E37" s="433">
        <v>14</v>
      </c>
      <c r="F37" s="433"/>
      <c r="G37" s="99">
        <v>8</v>
      </c>
      <c r="H37" s="99"/>
      <c r="I37" s="390">
        <f t="shared" si="4"/>
        <v>6.36</v>
      </c>
      <c r="J37" s="390">
        <v>1.5</v>
      </c>
      <c r="K37" s="390">
        <v>1.5</v>
      </c>
      <c r="L37" s="390">
        <v>0.6</v>
      </c>
      <c r="M37" s="390">
        <v>3</v>
      </c>
      <c r="N37" s="390">
        <f t="shared" si="0"/>
        <v>1.5</v>
      </c>
      <c r="O37" s="390">
        <f>(J37*tipper+K37*crane3t+L37*skilled+M37*unskilled)/25</f>
        <v>335.85</v>
      </c>
      <c r="P37" s="390">
        <f>I37/25</f>
        <v>0.25</v>
      </c>
      <c r="Q37" s="390">
        <f t="shared" si="7"/>
        <v>368.75</v>
      </c>
      <c r="R37" s="361">
        <f t="shared" si="8"/>
        <v>704.6</v>
      </c>
      <c r="S37" s="491" t="s">
        <v>822</v>
      </c>
    </row>
    <row r="38" spans="1:19" s="8" customFormat="1" ht="15" x14ac:dyDescent="0.2">
      <c r="A38" s="490" t="s">
        <v>803</v>
      </c>
      <c r="B38" s="98" t="s">
        <v>823</v>
      </c>
      <c r="C38" s="99" t="s">
        <v>17</v>
      </c>
      <c r="D38" s="433">
        <v>26</v>
      </c>
      <c r="E38" s="433">
        <v>14</v>
      </c>
      <c r="F38" s="433"/>
      <c r="G38" s="99">
        <v>8</v>
      </c>
      <c r="H38" s="99"/>
      <c r="I38" s="390">
        <f t="shared" si="4"/>
        <v>6.36</v>
      </c>
      <c r="J38" s="390">
        <v>1.5</v>
      </c>
      <c r="K38" s="390">
        <v>1.5</v>
      </c>
      <c r="L38" s="390">
        <v>0.6</v>
      </c>
      <c r="M38" s="390">
        <v>3</v>
      </c>
      <c r="N38" s="390">
        <f t="shared" si="0"/>
        <v>1.5</v>
      </c>
      <c r="O38" s="390">
        <f>(J38*tipper+K38*crane3t+L38*skilled+M38*unskilled)/25</f>
        <v>335.85</v>
      </c>
      <c r="P38" s="390">
        <f>I38/25</f>
        <v>0.25</v>
      </c>
      <c r="Q38" s="390">
        <f t="shared" si="7"/>
        <v>368.75</v>
      </c>
      <c r="R38" s="361">
        <f t="shared" si="8"/>
        <v>704.6</v>
      </c>
      <c r="S38" s="491" t="s">
        <v>822</v>
      </c>
    </row>
    <row r="39" spans="1:19" s="8" customFormat="1" ht="15" x14ac:dyDescent="0.2">
      <c r="A39" s="490" t="s">
        <v>824</v>
      </c>
      <c r="B39" s="98" t="s">
        <v>825</v>
      </c>
      <c r="C39" s="99" t="s">
        <v>17</v>
      </c>
      <c r="D39" s="433">
        <v>26</v>
      </c>
      <c r="E39" s="433">
        <v>14</v>
      </c>
      <c r="F39" s="433"/>
      <c r="G39" s="99">
        <v>8</v>
      </c>
      <c r="H39" s="99"/>
      <c r="I39" s="390">
        <f t="shared" si="4"/>
        <v>6.36</v>
      </c>
      <c r="J39" s="390">
        <v>1.5</v>
      </c>
      <c r="K39" s="390">
        <v>1.5</v>
      </c>
      <c r="L39" s="390">
        <v>0.6</v>
      </c>
      <c r="M39" s="390">
        <v>3</v>
      </c>
      <c r="N39" s="390">
        <f t="shared" si="0"/>
        <v>1.5</v>
      </c>
      <c r="O39" s="390">
        <f>(J39*tipper+K39*crane3t+L39*skilled+M39*unskilled)/37.5</f>
        <v>223.9</v>
      </c>
      <c r="P39" s="390">
        <f>I39/37.5</f>
        <v>0.17</v>
      </c>
      <c r="Q39" s="390">
        <f t="shared" si="7"/>
        <v>250.75</v>
      </c>
      <c r="R39" s="361">
        <f t="shared" si="8"/>
        <v>474.65</v>
      </c>
      <c r="S39" s="491" t="s">
        <v>826</v>
      </c>
    </row>
    <row r="40" spans="1:19" s="8" customFormat="1" ht="15" x14ac:dyDescent="0.2">
      <c r="A40" s="490" t="s">
        <v>827</v>
      </c>
      <c r="B40" s="98" t="s">
        <v>828</v>
      </c>
      <c r="C40" s="99" t="s">
        <v>17</v>
      </c>
      <c r="D40" s="433">
        <v>26</v>
      </c>
      <c r="E40" s="433">
        <v>14</v>
      </c>
      <c r="F40" s="433"/>
      <c r="G40" s="99">
        <v>8</v>
      </c>
      <c r="H40" s="99"/>
      <c r="I40" s="390">
        <f t="shared" si="4"/>
        <v>6.36</v>
      </c>
      <c r="J40" s="390">
        <v>1.5</v>
      </c>
      <c r="K40" s="390">
        <v>1.5</v>
      </c>
      <c r="L40" s="390">
        <v>0.6</v>
      </c>
      <c r="M40" s="390">
        <v>3</v>
      </c>
      <c r="N40" s="390">
        <f t="shared" si="0"/>
        <v>1.5</v>
      </c>
      <c r="O40" s="390">
        <f>(J40*tipper+K40*crane3t+L40*skilled+M40*unskilled)/37.5</f>
        <v>223.9</v>
      </c>
      <c r="P40" s="390">
        <f>I40/37.5</f>
        <v>0.17</v>
      </c>
      <c r="Q40" s="390">
        <f t="shared" si="7"/>
        <v>250.75</v>
      </c>
      <c r="R40" s="361">
        <f t="shared" si="8"/>
        <v>474.65</v>
      </c>
      <c r="S40" s="491" t="s">
        <v>826</v>
      </c>
    </row>
    <row r="41" spans="1:19" s="8" customFormat="1" ht="15" x14ac:dyDescent="0.2">
      <c r="A41" s="490">
        <v>18</v>
      </c>
      <c r="B41" s="98" t="s">
        <v>829</v>
      </c>
      <c r="C41" s="99" t="s">
        <v>15</v>
      </c>
      <c r="D41" s="433">
        <v>2</v>
      </c>
      <c r="E41" s="433"/>
      <c r="F41" s="433"/>
      <c r="G41" s="99">
        <v>8</v>
      </c>
      <c r="H41" s="99">
        <v>1000</v>
      </c>
      <c r="I41" s="390">
        <f t="shared" si="4"/>
        <v>0.36</v>
      </c>
      <c r="J41" s="390">
        <v>0.33</v>
      </c>
      <c r="K41" s="390"/>
      <c r="L41" s="390">
        <v>0.2</v>
      </c>
      <c r="M41" s="390">
        <v>1</v>
      </c>
      <c r="N41" s="390">
        <f>J41</f>
        <v>0.33</v>
      </c>
      <c r="O41" s="390">
        <f>(J41*tipper+K41*crane3t+L41*skilled+M41*unskilled)/10</f>
        <v>148.68</v>
      </c>
      <c r="P41" s="390">
        <f>I41/(G41*1000/H41)</f>
        <v>0.05</v>
      </c>
      <c r="Q41" s="390">
        <f t="shared" si="7"/>
        <v>73.75</v>
      </c>
      <c r="R41" s="361">
        <f t="shared" si="8"/>
        <v>222.43</v>
      </c>
      <c r="S41" s="492" t="s">
        <v>830</v>
      </c>
    </row>
    <row r="42" spans="1:19" s="8" customFormat="1" ht="15" x14ac:dyDescent="0.2">
      <c r="A42" s="490">
        <v>19</v>
      </c>
      <c r="B42" s="98" t="s">
        <v>831</v>
      </c>
      <c r="C42" s="99" t="s">
        <v>15</v>
      </c>
      <c r="D42" s="433">
        <v>26</v>
      </c>
      <c r="E42" s="433">
        <v>14</v>
      </c>
      <c r="F42" s="433">
        <v>0</v>
      </c>
      <c r="G42" s="99">
        <v>8</v>
      </c>
      <c r="H42" s="99">
        <v>850.8</v>
      </c>
      <c r="I42" s="390">
        <f t="shared" si="4"/>
        <v>6.36</v>
      </c>
      <c r="J42" s="390">
        <v>0.33</v>
      </c>
      <c r="K42" s="390"/>
      <c r="L42" s="390">
        <v>0.2</v>
      </c>
      <c r="M42" s="390">
        <v>1</v>
      </c>
      <c r="N42" s="390">
        <f>J42</f>
        <v>0.33</v>
      </c>
      <c r="O42" s="390">
        <f>(J42*tipper+K42*crane3t+L42*skilled+M42*unskilled)/10</f>
        <v>148.68</v>
      </c>
      <c r="P42" s="390">
        <f>I42/(G42*1000/H42)</f>
        <v>0.68</v>
      </c>
      <c r="Q42" s="390">
        <f t="shared" si="7"/>
        <v>1003</v>
      </c>
      <c r="R42" s="361">
        <f>O42+Q42</f>
        <v>1151.68</v>
      </c>
      <c r="S42" s="492" t="s">
        <v>830</v>
      </c>
    </row>
    <row r="43" spans="1:19" ht="15.75" thickBot="1" x14ac:dyDescent="0.25">
      <c r="A43" s="644">
        <v>20</v>
      </c>
      <c r="B43" s="645" t="s">
        <v>1152</v>
      </c>
      <c r="C43" s="646"/>
      <c r="D43" s="647">
        <v>26</v>
      </c>
      <c r="E43" s="647">
        <v>14</v>
      </c>
      <c r="F43" s="647">
        <v>123.8</v>
      </c>
      <c r="G43" s="646">
        <v>8</v>
      </c>
      <c r="H43" s="646"/>
      <c r="I43" s="648">
        <f t="shared" ref="I43" si="9">D43*($C$7+$C$8)/10+E43*($D$7+$D$8)/10+F43*($E$7+$E$8)/10</f>
        <v>17.5</v>
      </c>
      <c r="J43" s="648">
        <v>6</v>
      </c>
      <c r="K43" s="648"/>
      <c r="L43" s="648"/>
      <c r="M43" s="648">
        <v>6</v>
      </c>
      <c r="N43" s="648">
        <f t="shared" ref="N43" si="10">J43</f>
        <v>6</v>
      </c>
      <c r="O43" s="648">
        <f>(J43*tipper+K43*loader+L43*skilled+M43*unskilled)/40</f>
        <v>338.25</v>
      </c>
      <c r="P43" s="648">
        <f t="shared" ref="P43" si="11">I43/8</f>
        <v>2.19</v>
      </c>
      <c r="Q43" s="648">
        <f t="shared" ref="Q43" si="12">P43*tipper+M43*unskilled/40</f>
        <v>3347.25</v>
      </c>
      <c r="R43" s="649">
        <f t="shared" ref="R43" si="13">IF(I43&gt;0,(O43+Q43),0)</f>
        <v>3685.5</v>
      </c>
      <c r="S43" s="650"/>
    </row>
    <row r="203" spans="4:4" x14ac:dyDescent="0.2">
      <c r="D203" s="37" t="s">
        <v>832</v>
      </c>
    </row>
    <row r="221" spans="19:19" x14ac:dyDescent="0.2">
      <c r="S221" s="37" t="s">
        <v>833</v>
      </c>
    </row>
  </sheetData>
  <mergeCells count="20">
    <mergeCell ref="F12:F13"/>
    <mergeCell ref="A1:S1"/>
    <mergeCell ref="A2:S2"/>
    <mergeCell ref="B5:B6"/>
    <mergeCell ref="C5:E5"/>
    <mergeCell ref="A12:A13"/>
    <mergeCell ref="B12:B13"/>
    <mergeCell ref="C12:C13"/>
    <mergeCell ref="D12:D13"/>
    <mergeCell ref="E12:E13"/>
    <mergeCell ref="P12:P13"/>
    <mergeCell ref="Q12:Q13"/>
    <mergeCell ref="R12:R13"/>
    <mergeCell ref="S12:S13"/>
    <mergeCell ref="O12:O13"/>
    <mergeCell ref="G12:G13"/>
    <mergeCell ref="H12:H13"/>
    <mergeCell ref="I12:I13"/>
    <mergeCell ref="J12:M12"/>
    <mergeCell ref="N12:N13"/>
  </mergeCells>
  <dataValidations count="4">
    <dataValidation type="list" allowBlank="1" showInputMessage="1" showErrorMessage="1" error="Enter values 3 , 5 or 8" prompt="Enter truck capacity" sqref="J5" xr:uid="{00000000-0002-0000-0C00-000000000000}">
      <formula1>"3.00,5.00,8.00"</formula1>
    </dataValidation>
    <dataValidation type="decimal" operator="greaterThan" allowBlank="1" showInputMessage="1" showErrorMessage="1" sqref="M10:P10 D10:F10" xr:uid="{00000000-0002-0000-0C00-000001000000}">
      <formula1>0</formula1>
    </dataValidation>
    <dataValidation type="list" allowBlank="1" showInputMessage="1" showErrorMessage="1" error="Enter values 3 , 5 or 8" prompt="Enter truck capacity" sqref="J10" xr:uid="{00000000-0002-0000-0C00-000002000000}">
      <formula1>#REF!</formula1>
    </dataValidation>
    <dataValidation type="list" allowBlank="1" showInputMessage="1" showErrorMessage="1" sqref="M5" xr:uid="{00000000-0002-0000-0C00-000003000000}">
      <formula1>"Hilly,Terai"</formula1>
    </dataValidation>
  </dataValidations>
  <printOptions horizontalCentered="1"/>
  <pageMargins left="0.37" right="0.3" top="0.28999999999999998" bottom="0.26" header="0.17" footer="0.06"/>
  <pageSetup paperSize="9" scale="77"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79"/>
  <sheetViews>
    <sheetView tabSelected="1" topLeftCell="A30" workbookViewId="0">
      <selection activeCell="A51" sqref="A51"/>
    </sheetView>
  </sheetViews>
  <sheetFormatPr defaultColWidth="9.140625" defaultRowHeight="12.75" x14ac:dyDescent="0.2"/>
  <cols>
    <col min="1" max="1" width="31.28515625" style="8" customWidth="1"/>
    <col min="2" max="2" width="8" style="8" customWidth="1"/>
    <col min="3" max="3" width="16.28515625" style="8" customWidth="1"/>
    <col min="4" max="4" width="21.5703125" style="8" customWidth="1"/>
    <col min="5" max="5" width="20.5703125" style="8" customWidth="1"/>
    <col min="6" max="16384" width="9.140625" style="8"/>
  </cols>
  <sheetData>
    <row r="1" spans="1:7" ht="20.25" x14ac:dyDescent="0.2">
      <c r="A1" s="1144" t="s">
        <v>1218</v>
      </c>
      <c r="B1" s="1144"/>
      <c r="C1" s="1144"/>
      <c r="D1" s="1144"/>
      <c r="E1" s="561"/>
    </row>
    <row r="2" spans="1:7" s="3" customFormat="1" ht="15.75" x14ac:dyDescent="0.2">
      <c r="A2" s="4" t="str">
        <f>Summary!A7</f>
        <v>Project: Bheri Khola Bridge</v>
      </c>
      <c r="B2" s="4"/>
      <c r="C2" s="4"/>
      <c r="D2" s="4"/>
      <c r="E2" s="4"/>
    </row>
    <row r="3" spans="1:7" s="3" customFormat="1" ht="15.75" x14ac:dyDescent="0.2">
      <c r="A3" s="4" t="str">
        <f>Summary!A8</f>
        <v xml:space="preserve">Location: Salyan and Surkhet
</v>
      </c>
      <c r="B3" s="4"/>
      <c r="C3" s="4"/>
      <c r="D3" s="4"/>
      <c r="E3" s="4"/>
    </row>
    <row r="4" spans="1:7" x14ac:dyDescent="0.2">
      <c r="A4" s="1141"/>
      <c r="B4" s="1141"/>
      <c r="C4" s="1141"/>
      <c r="D4" s="1141"/>
      <c r="E4" s="1141"/>
    </row>
    <row r="5" spans="1:7" ht="13.5" thickBot="1" x14ac:dyDescent="0.25">
      <c r="A5" s="1141" t="s">
        <v>49</v>
      </c>
      <c r="B5" s="1141"/>
      <c r="C5" s="1141"/>
      <c r="D5" s="119"/>
      <c r="E5" s="562"/>
    </row>
    <row r="6" spans="1:7" x14ac:dyDescent="0.2">
      <c r="A6" s="579" t="s">
        <v>27</v>
      </c>
      <c r="B6" s="580" t="s">
        <v>7</v>
      </c>
      <c r="C6" s="581" t="s">
        <v>230</v>
      </c>
      <c r="D6" s="575"/>
    </row>
    <row r="7" spans="1:7" x14ac:dyDescent="0.2">
      <c r="A7" s="582" t="s">
        <v>16</v>
      </c>
      <c r="B7" s="578" t="s">
        <v>11</v>
      </c>
      <c r="C7" s="583">
        <v>1100</v>
      </c>
      <c r="D7" s="576"/>
    </row>
    <row r="8" spans="1:7" x14ac:dyDescent="0.2">
      <c r="A8" s="584" t="s">
        <v>70</v>
      </c>
      <c r="B8" s="578" t="s">
        <v>11</v>
      </c>
      <c r="C8" s="583">
        <v>880</v>
      </c>
      <c r="D8" s="576"/>
    </row>
    <row r="9" spans="1:7" x14ac:dyDescent="0.2">
      <c r="A9" s="585" t="s">
        <v>42</v>
      </c>
      <c r="B9" s="578" t="s">
        <v>11</v>
      </c>
      <c r="C9" s="583">
        <v>780</v>
      </c>
      <c r="D9" s="576"/>
    </row>
    <row r="10" spans="1:7" ht="13.5" thickBot="1" x14ac:dyDescent="0.25">
      <c r="A10" s="572" t="s">
        <v>148</v>
      </c>
      <c r="B10" s="586" t="s">
        <v>11</v>
      </c>
      <c r="C10" s="587">
        <v>900</v>
      </c>
      <c r="D10" s="577"/>
    </row>
    <row r="11" spans="1:7" ht="13.5" thickBot="1" x14ac:dyDescent="0.25">
      <c r="A11" s="1142" t="s">
        <v>217</v>
      </c>
      <c r="B11" s="1143"/>
      <c r="C11" s="1143"/>
      <c r="D11" s="1143"/>
      <c r="E11" s="658"/>
    </row>
    <row r="12" spans="1:7" x14ac:dyDescent="0.2">
      <c r="A12" s="569" t="s">
        <v>37</v>
      </c>
      <c r="B12" s="570" t="s">
        <v>43</v>
      </c>
      <c r="C12" s="571">
        <v>150</v>
      </c>
      <c r="D12" s="576"/>
    </row>
    <row r="13" spans="1:7" ht="13.5" thickBot="1" x14ac:dyDescent="0.25">
      <c r="A13" s="572" t="s">
        <v>51</v>
      </c>
      <c r="B13" s="573" t="s">
        <v>43</v>
      </c>
      <c r="C13" s="574">
        <v>162</v>
      </c>
      <c r="D13" s="576"/>
    </row>
    <row r="15" spans="1:7" ht="13.5" thickBot="1" x14ac:dyDescent="0.25">
      <c r="A15" s="562" t="s">
        <v>884</v>
      </c>
      <c r="B15" s="562"/>
      <c r="D15" s="562"/>
      <c r="E15" s="562"/>
    </row>
    <row r="16" spans="1:7" ht="13.5" thickBot="1" x14ac:dyDescent="0.25">
      <c r="A16" s="651" t="s">
        <v>27</v>
      </c>
      <c r="B16" s="652" t="s">
        <v>7</v>
      </c>
      <c r="C16" s="653" t="s">
        <v>230</v>
      </c>
      <c r="D16" s="654" t="s">
        <v>6</v>
      </c>
      <c r="G16" s="8" t="s">
        <v>943</v>
      </c>
    </row>
    <row r="17" spans="1:7" x14ac:dyDescent="0.2">
      <c r="A17" s="609" t="s">
        <v>153</v>
      </c>
      <c r="B17" s="567" t="s">
        <v>50</v>
      </c>
      <c r="C17" s="568">
        <v>355</v>
      </c>
      <c r="D17" s="659"/>
      <c r="G17" s="8" t="s">
        <v>942</v>
      </c>
    </row>
    <row r="18" spans="1:7" hidden="1" x14ac:dyDescent="0.2">
      <c r="A18" s="613" t="s">
        <v>672</v>
      </c>
      <c r="B18" s="558" t="s">
        <v>71</v>
      </c>
      <c r="C18" s="435">
        <v>120</v>
      </c>
      <c r="D18" s="611" t="s">
        <v>889</v>
      </c>
    </row>
    <row r="19" spans="1:7" hidden="1" x14ac:dyDescent="0.2">
      <c r="A19" s="584" t="s">
        <v>925</v>
      </c>
      <c r="B19" s="558" t="s">
        <v>50</v>
      </c>
      <c r="C19" s="435">
        <v>92</v>
      </c>
      <c r="D19" s="611"/>
    </row>
    <row r="20" spans="1:7" hidden="1" x14ac:dyDescent="0.2">
      <c r="A20" s="584" t="s">
        <v>519</v>
      </c>
      <c r="B20" s="558" t="s">
        <v>50</v>
      </c>
      <c r="C20" s="435">
        <v>33</v>
      </c>
      <c r="D20" s="611"/>
    </row>
    <row r="21" spans="1:7" x14ac:dyDescent="0.2">
      <c r="A21" s="660" t="s">
        <v>65</v>
      </c>
      <c r="B21" s="564" t="s">
        <v>50</v>
      </c>
      <c r="C21" s="565">
        <v>110</v>
      </c>
      <c r="D21" s="611"/>
    </row>
    <row r="22" spans="1:7" ht="17.25" hidden="1" customHeight="1" x14ac:dyDescent="0.2">
      <c r="A22" s="660" t="s">
        <v>66</v>
      </c>
      <c r="B22" s="564" t="s">
        <v>50</v>
      </c>
      <c r="C22" s="565">
        <v>120</v>
      </c>
      <c r="D22" s="611"/>
    </row>
    <row r="23" spans="1:7" s="1172" customFormat="1" x14ac:dyDescent="0.2">
      <c r="A23" s="1165" t="s">
        <v>940</v>
      </c>
      <c r="B23" s="1174" t="s">
        <v>50</v>
      </c>
      <c r="C23" s="1170">
        <v>110</v>
      </c>
      <c r="D23" s="1171" t="s">
        <v>757</v>
      </c>
    </row>
    <row r="24" spans="1:7" s="1172" customFormat="1" x14ac:dyDescent="0.2">
      <c r="A24" s="1166" t="s">
        <v>256</v>
      </c>
      <c r="B24" s="1169" t="s">
        <v>250</v>
      </c>
      <c r="C24" s="1170">
        <v>300</v>
      </c>
      <c r="D24" s="1171" t="s">
        <v>944</v>
      </c>
    </row>
    <row r="25" spans="1:7" hidden="1" x14ac:dyDescent="0.2">
      <c r="A25" s="584" t="s">
        <v>933</v>
      </c>
      <c r="B25" s="564" t="s">
        <v>250</v>
      </c>
      <c r="C25" s="565">
        <v>1638</v>
      </c>
      <c r="D25" s="611"/>
    </row>
    <row r="26" spans="1:7" x14ac:dyDescent="0.2">
      <c r="A26" s="660" t="s">
        <v>24</v>
      </c>
      <c r="B26" s="558" t="s">
        <v>132</v>
      </c>
      <c r="C26" s="565">
        <v>14000</v>
      </c>
      <c r="D26" s="611"/>
    </row>
    <row r="27" spans="1:7" s="1172" customFormat="1" x14ac:dyDescent="0.2">
      <c r="A27" s="1166" t="s">
        <v>149</v>
      </c>
      <c r="B27" s="1174" t="s">
        <v>71</v>
      </c>
      <c r="C27" s="1173">
        <v>500</v>
      </c>
      <c r="D27" s="1171" t="s">
        <v>934</v>
      </c>
    </row>
    <row r="28" spans="1:7" s="1172" customFormat="1" hidden="1" x14ac:dyDescent="0.2">
      <c r="A28" s="1166" t="s">
        <v>926</v>
      </c>
      <c r="B28" s="1174" t="s">
        <v>63</v>
      </c>
      <c r="C28" s="1173">
        <v>18000</v>
      </c>
      <c r="D28" s="1171" t="s">
        <v>941</v>
      </c>
    </row>
    <row r="29" spans="1:7" s="1172" customFormat="1" x14ac:dyDescent="0.2">
      <c r="A29" s="1166" t="s">
        <v>759</v>
      </c>
      <c r="B29" s="1174" t="s">
        <v>63</v>
      </c>
      <c r="C29" s="1173">
        <v>275</v>
      </c>
      <c r="D29" s="1171" t="s">
        <v>757</v>
      </c>
    </row>
    <row r="30" spans="1:7" x14ac:dyDescent="0.2">
      <c r="A30" s="660" t="s">
        <v>40</v>
      </c>
      <c r="B30" s="564"/>
      <c r="C30" s="566"/>
      <c r="D30" s="611"/>
    </row>
    <row r="31" spans="1:7" x14ac:dyDescent="0.2">
      <c r="A31" s="662" t="s">
        <v>763</v>
      </c>
      <c r="B31" s="564" t="s">
        <v>250</v>
      </c>
      <c r="C31" s="565">
        <v>990</v>
      </c>
      <c r="D31" s="611"/>
    </row>
    <row r="32" spans="1:7" x14ac:dyDescent="0.2">
      <c r="A32" s="663" t="s">
        <v>764</v>
      </c>
      <c r="B32" s="564" t="s">
        <v>250</v>
      </c>
      <c r="C32" s="565">
        <v>1150</v>
      </c>
      <c r="D32" s="611"/>
    </row>
    <row r="33" spans="1:4" x14ac:dyDescent="0.2">
      <c r="A33" s="614" t="s">
        <v>41</v>
      </c>
      <c r="B33" s="564" t="s">
        <v>250</v>
      </c>
      <c r="C33" s="565">
        <v>1155</v>
      </c>
      <c r="D33" s="611"/>
    </row>
    <row r="34" spans="1:4" hidden="1" x14ac:dyDescent="0.2">
      <c r="A34" s="584" t="s">
        <v>468</v>
      </c>
      <c r="B34" s="558" t="s">
        <v>71</v>
      </c>
      <c r="C34" s="435">
        <v>7.7</v>
      </c>
      <c r="D34" s="611" t="s">
        <v>757</v>
      </c>
    </row>
    <row r="35" spans="1:4" hidden="1" x14ac:dyDescent="0.2">
      <c r="A35" s="661" t="s">
        <v>231</v>
      </c>
      <c r="B35" s="558" t="s">
        <v>142</v>
      </c>
      <c r="C35" s="565">
        <v>31820</v>
      </c>
      <c r="D35" s="611" t="s">
        <v>941</v>
      </c>
    </row>
    <row r="36" spans="1:4" hidden="1" x14ac:dyDescent="0.2">
      <c r="A36" s="584" t="s">
        <v>935</v>
      </c>
      <c r="B36" s="558" t="s">
        <v>63</v>
      </c>
      <c r="C36" s="565">
        <v>36000</v>
      </c>
      <c r="D36" s="611" t="s">
        <v>941</v>
      </c>
    </row>
    <row r="37" spans="1:4" hidden="1" x14ac:dyDescent="0.2">
      <c r="A37" s="584" t="s">
        <v>469</v>
      </c>
      <c r="B37" s="558" t="s">
        <v>63</v>
      </c>
      <c r="C37" s="435">
        <v>6.6</v>
      </c>
      <c r="D37" s="611" t="s">
        <v>757</v>
      </c>
    </row>
    <row r="38" spans="1:4" x14ac:dyDescent="0.2">
      <c r="A38" s="613" t="s">
        <v>946</v>
      </c>
      <c r="B38" s="558" t="s">
        <v>50</v>
      </c>
      <c r="C38" s="435">
        <v>115</v>
      </c>
      <c r="D38" s="664"/>
    </row>
    <row r="39" spans="1:4" s="1172" customFormat="1" x14ac:dyDescent="0.2">
      <c r="A39" s="1167" t="s">
        <v>732</v>
      </c>
      <c r="B39" s="1174" t="s">
        <v>71</v>
      </c>
      <c r="C39" s="1173">
        <v>34.200000000000003</v>
      </c>
      <c r="D39" s="1171" t="s">
        <v>939</v>
      </c>
    </row>
    <row r="40" spans="1:4" hidden="1" x14ac:dyDescent="0.2">
      <c r="A40" s="584" t="s">
        <v>467</v>
      </c>
      <c r="B40" s="558" t="s">
        <v>50</v>
      </c>
      <c r="C40" s="435">
        <v>204</v>
      </c>
      <c r="D40" s="611" t="s">
        <v>757</v>
      </c>
    </row>
    <row r="41" spans="1:4" x14ac:dyDescent="0.2">
      <c r="A41" s="660" t="s">
        <v>947</v>
      </c>
      <c r="B41" s="564" t="s">
        <v>89</v>
      </c>
      <c r="C41" s="565">
        <v>120</v>
      </c>
      <c r="D41" s="611"/>
    </row>
    <row r="42" spans="1:4" x14ac:dyDescent="0.2">
      <c r="A42" s="584" t="s">
        <v>643</v>
      </c>
      <c r="B42" s="558" t="s">
        <v>71</v>
      </c>
      <c r="C42" s="435">
        <v>6.6</v>
      </c>
      <c r="D42" s="611"/>
    </row>
    <row r="43" spans="1:4" x14ac:dyDescent="0.2">
      <c r="A43" s="660" t="s">
        <v>1143</v>
      </c>
      <c r="B43" s="564" t="s">
        <v>63</v>
      </c>
      <c r="C43" s="565">
        <v>830</v>
      </c>
      <c r="D43" s="611"/>
    </row>
    <row r="44" spans="1:4" x14ac:dyDescent="0.2">
      <c r="A44" s="613" t="s">
        <v>924</v>
      </c>
      <c r="B44" s="558" t="s">
        <v>63</v>
      </c>
      <c r="C44" s="435">
        <v>2030</v>
      </c>
      <c r="D44" s="611"/>
    </row>
    <row r="45" spans="1:4" x14ac:dyDescent="0.2">
      <c r="A45" s="660" t="s">
        <v>67</v>
      </c>
      <c r="B45" s="564"/>
      <c r="C45" s="565"/>
      <c r="D45" s="611"/>
    </row>
    <row r="46" spans="1:4" x14ac:dyDescent="0.2">
      <c r="A46" s="662" t="s">
        <v>150</v>
      </c>
      <c r="B46" s="564" t="s">
        <v>50</v>
      </c>
      <c r="C46" s="565">
        <v>130</v>
      </c>
      <c r="D46" s="611"/>
    </row>
    <row r="47" spans="1:4" x14ac:dyDescent="0.2">
      <c r="A47" s="662" t="s">
        <v>68</v>
      </c>
      <c r="B47" s="564" t="s">
        <v>50</v>
      </c>
      <c r="C47" s="565">
        <v>130</v>
      </c>
      <c r="D47" s="611"/>
    </row>
    <row r="48" spans="1:4" x14ac:dyDescent="0.2">
      <c r="A48" s="662" t="s">
        <v>69</v>
      </c>
      <c r="B48" s="564" t="s">
        <v>50</v>
      </c>
      <c r="C48" s="565">
        <v>130</v>
      </c>
      <c r="D48" s="611"/>
    </row>
    <row r="49" spans="1:4" s="1172" customFormat="1" x14ac:dyDescent="0.2">
      <c r="A49" s="1168" t="s">
        <v>96</v>
      </c>
      <c r="B49" s="1169" t="s">
        <v>250</v>
      </c>
      <c r="C49" s="1170">
        <v>1830</v>
      </c>
      <c r="D49" s="1171" t="s">
        <v>1163</v>
      </c>
    </row>
    <row r="50" spans="1:4" s="1172" customFormat="1" x14ac:dyDescent="0.2">
      <c r="A50" s="1166" t="s">
        <v>204</v>
      </c>
      <c r="B50" s="1169" t="s">
        <v>250</v>
      </c>
      <c r="C50" s="1173">
        <v>1430</v>
      </c>
      <c r="D50" s="1171"/>
    </row>
    <row r="51" spans="1:4" s="1172" customFormat="1" x14ac:dyDescent="0.2">
      <c r="A51" s="1166" t="s">
        <v>1179</v>
      </c>
      <c r="B51" s="1169" t="s">
        <v>63</v>
      </c>
      <c r="C51" s="1173">
        <v>219.96</v>
      </c>
      <c r="D51" s="1171" t="s">
        <v>948</v>
      </c>
    </row>
    <row r="52" spans="1:4" s="1172" customFormat="1" x14ac:dyDescent="0.2">
      <c r="A52" s="1166" t="s">
        <v>1180</v>
      </c>
      <c r="B52" s="1174" t="s">
        <v>63</v>
      </c>
      <c r="C52" s="1173">
        <v>442.78</v>
      </c>
      <c r="D52" s="1171" t="s">
        <v>948</v>
      </c>
    </row>
    <row r="53" spans="1:4" s="1172" customFormat="1" ht="15.75" x14ac:dyDescent="0.2">
      <c r="A53" s="1167" t="s">
        <v>923</v>
      </c>
      <c r="B53" s="1174" t="s">
        <v>63</v>
      </c>
      <c r="C53" s="1173">
        <v>1563.1</v>
      </c>
      <c r="D53" s="1171" t="s">
        <v>1260</v>
      </c>
    </row>
    <row r="54" spans="1:4" s="1172" customFormat="1" x14ac:dyDescent="0.2">
      <c r="A54" s="1167" t="s">
        <v>671</v>
      </c>
      <c r="B54" s="1174" t="s">
        <v>71</v>
      </c>
      <c r="C54" s="1173">
        <v>110</v>
      </c>
      <c r="D54" s="1175" t="s">
        <v>889</v>
      </c>
    </row>
    <row r="55" spans="1:4" s="1172" customFormat="1" x14ac:dyDescent="0.2">
      <c r="A55" s="1166" t="s">
        <v>758</v>
      </c>
      <c r="B55" s="1174" t="s">
        <v>132</v>
      </c>
      <c r="C55" s="1173">
        <v>127325</v>
      </c>
      <c r="D55" s="1171" t="s">
        <v>757</v>
      </c>
    </row>
    <row r="56" spans="1:4" s="1172" customFormat="1" hidden="1" x14ac:dyDescent="0.2">
      <c r="A56" s="1168" t="s">
        <v>922</v>
      </c>
      <c r="B56" s="1169" t="s">
        <v>63</v>
      </c>
      <c r="C56" s="1170">
        <v>12947</v>
      </c>
      <c r="D56" s="1171"/>
    </row>
    <row r="57" spans="1:4" s="1172" customFormat="1" hidden="1" x14ac:dyDescent="0.2">
      <c r="A57" s="1168" t="s">
        <v>52</v>
      </c>
      <c r="B57" s="1169" t="s">
        <v>50</v>
      </c>
      <c r="C57" s="1170">
        <v>115</v>
      </c>
      <c r="D57" s="1171"/>
    </row>
    <row r="58" spans="1:4" s="1172" customFormat="1" x14ac:dyDescent="0.2">
      <c r="A58" s="1166" t="s">
        <v>205</v>
      </c>
      <c r="B58" s="1174" t="s">
        <v>63</v>
      </c>
      <c r="C58" s="1173">
        <f>135*9.86</f>
        <v>1331.1</v>
      </c>
      <c r="D58" s="1171"/>
    </row>
    <row r="59" spans="1:4" x14ac:dyDescent="0.2">
      <c r="A59" s="660" t="s">
        <v>0</v>
      </c>
      <c r="B59" s="558" t="s">
        <v>132</v>
      </c>
      <c r="C59" s="565">
        <v>99870</v>
      </c>
      <c r="D59" s="611"/>
    </row>
    <row r="60" spans="1:4" x14ac:dyDescent="0.2">
      <c r="A60" s="665" t="s">
        <v>264</v>
      </c>
      <c r="B60" s="558" t="s">
        <v>50</v>
      </c>
      <c r="C60" s="565">
        <v>115.5</v>
      </c>
      <c r="D60" s="611"/>
    </row>
    <row r="61" spans="1:4" x14ac:dyDescent="0.2">
      <c r="A61" s="665" t="s">
        <v>949</v>
      </c>
      <c r="B61" s="558" t="s">
        <v>50</v>
      </c>
      <c r="C61" s="565">
        <v>199.5</v>
      </c>
      <c r="D61" s="611"/>
    </row>
    <row r="62" spans="1:4" x14ac:dyDescent="0.2">
      <c r="A62" s="584" t="s">
        <v>927</v>
      </c>
      <c r="B62" s="558" t="s">
        <v>50</v>
      </c>
      <c r="C62" s="435">
        <v>199.5</v>
      </c>
      <c r="D62" s="611"/>
    </row>
    <row r="63" spans="1:4" hidden="1" x14ac:dyDescent="0.2">
      <c r="A63" s="661" t="s">
        <v>91</v>
      </c>
      <c r="B63" s="564" t="s">
        <v>250</v>
      </c>
      <c r="C63" s="565">
        <f>1442*3.28^3</f>
        <v>50884.65</v>
      </c>
      <c r="D63" s="583"/>
    </row>
    <row r="64" spans="1:4" s="1172" customFormat="1" x14ac:dyDescent="0.2">
      <c r="A64" s="1167" t="s">
        <v>1075</v>
      </c>
      <c r="B64" s="1174" t="s">
        <v>71</v>
      </c>
      <c r="C64" s="1173">
        <v>130380.8</v>
      </c>
      <c r="D64" s="1171" t="s">
        <v>1208</v>
      </c>
    </row>
    <row r="65" spans="1:15" s="1172" customFormat="1" x14ac:dyDescent="0.2">
      <c r="A65" s="1167" t="s">
        <v>1165</v>
      </c>
      <c r="B65" s="1174" t="s">
        <v>71</v>
      </c>
      <c r="C65" s="1173">
        <v>140566.79999999999</v>
      </c>
      <c r="D65" s="1171" t="s">
        <v>1208</v>
      </c>
    </row>
    <row r="66" spans="1:15" hidden="1" x14ac:dyDescent="0.2">
      <c r="A66" s="613" t="s">
        <v>760</v>
      </c>
      <c r="B66" s="558" t="s">
        <v>71</v>
      </c>
      <c r="C66" s="435">
        <v>80000</v>
      </c>
      <c r="D66" s="611" t="s">
        <v>889</v>
      </c>
    </row>
    <row r="67" spans="1:15" hidden="1" x14ac:dyDescent="0.2">
      <c r="A67" s="584" t="s">
        <v>452</v>
      </c>
      <c r="B67" s="558" t="s">
        <v>71</v>
      </c>
      <c r="C67" s="435">
        <f>C56/2</f>
        <v>6473.5</v>
      </c>
      <c r="D67" s="611"/>
    </row>
    <row r="68" spans="1:15" x14ac:dyDescent="0.2">
      <c r="A68" s="660" t="s">
        <v>56</v>
      </c>
      <c r="B68" s="558" t="s">
        <v>132</v>
      </c>
      <c r="C68" s="565">
        <v>99870</v>
      </c>
      <c r="D68" s="611"/>
    </row>
    <row r="69" spans="1:15" x14ac:dyDescent="0.2">
      <c r="A69" s="660" t="s">
        <v>22</v>
      </c>
      <c r="B69" s="564" t="s">
        <v>250</v>
      </c>
      <c r="C69" s="565">
        <v>1600</v>
      </c>
      <c r="D69" s="611"/>
    </row>
    <row r="70" spans="1:15" hidden="1" x14ac:dyDescent="0.2">
      <c r="A70" s="613" t="s">
        <v>761</v>
      </c>
      <c r="B70" s="558" t="s">
        <v>63</v>
      </c>
      <c r="C70" s="435">
        <v>36000</v>
      </c>
      <c r="D70" s="611" t="s">
        <v>757</v>
      </c>
    </row>
    <row r="71" spans="1:15" x14ac:dyDescent="0.2">
      <c r="A71" s="660" t="s">
        <v>60</v>
      </c>
      <c r="B71" s="564" t="s">
        <v>250</v>
      </c>
      <c r="C71" s="565">
        <v>1100</v>
      </c>
      <c r="D71" s="611"/>
      <c r="O71" s="8">
        <f>1400*3.28^3</f>
        <v>49402.572800000002</v>
      </c>
    </row>
    <row r="72" spans="1:15" s="1172" customFormat="1" x14ac:dyDescent="0.2">
      <c r="A72" s="1167" t="s">
        <v>762</v>
      </c>
      <c r="B72" s="1174" t="s">
        <v>63</v>
      </c>
      <c r="C72" s="1173">
        <v>15788.3</v>
      </c>
      <c r="D72" s="1171" t="s">
        <v>757</v>
      </c>
    </row>
    <row r="73" spans="1:15" s="1172" customFormat="1" hidden="1" x14ac:dyDescent="0.2">
      <c r="A73" s="1166" t="s">
        <v>928</v>
      </c>
      <c r="B73" s="1169" t="s">
        <v>250</v>
      </c>
      <c r="C73" s="1170">
        <f>C63</f>
        <v>50884.65</v>
      </c>
      <c r="D73" s="1176"/>
    </row>
    <row r="74" spans="1:15" s="1172" customFormat="1" ht="38.25" x14ac:dyDescent="0.2">
      <c r="A74" s="1166" t="s">
        <v>929</v>
      </c>
      <c r="B74" s="1169" t="s">
        <v>250</v>
      </c>
      <c r="C74" s="1170">
        <f>(C69+C71+C32)/3</f>
        <v>1283.33</v>
      </c>
      <c r="D74" s="1175" t="s">
        <v>1164</v>
      </c>
    </row>
    <row r="75" spans="1:15" x14ac:dyDescent="0.2">
      <c r="A75" s="660" t="s">
        <v>405</v>
      </c>
      <c r="B75" s="564" t="s">
        <v>72</v>
      </c>
      <c r="C75" s="565">
        <v>570</v>
      </c>
      <c r="D75" s="611"/>
    </row>
    <row r="76" spans="1:15" hidden="1" x14ac:dyDescent="0.2">
      <c r="A76" s="661" t="s">
        <v>930</v>
      </c>
      <c r="B76" s="564" t="s">
        <v>250</v>
      </c>
      <c r="C76" s="565">
        <f>C63</f>
        <v>50884.65</v>
      </c>
      <c r="D76" s="611"/>
    </row>
    <row r="77" spans="1:15" s="1172" customFormat="1" ht="25.5" x14ac:dyDescent="0.2">
      <c r="A77" s="1167" t="s">
        <v>212</v>
      </c>
      <c r="B77" s="1174" t="s">
        <v>71</v>
      </c>
      <c r="C77" s="1173">
        <v>2546.5</v>
      </c>
      <c r="D77" s="1171" t="s">
        <v>757</v>
      </c>
    </row>
    <row r="78" spans="1:15" s="1172" customFormat="1" x14ac:dyDescent="0.2">
      <c r="A78" s="1168" t="s">
        <v>26</v>
      </c>
      <c r="B78" s="1174" t="s">
        <v>43</v>
      </c>
      <c r="C78" s="1170">
        <v>0.19</v>
      </c>
      <c r="D78" s="1171"/>
    </row>
    <row r="79" spans="1:15" s="1172" customFormat="1" ht="13.5" thickBot="1" x14ac:dyDescent="0.25">
      <c r="A79" s="1177" t="s">
        <v>254</v>
      </c>
      <c r="B79" s="1178" t="s">
        <v>147</v>
      </c>
      <c r="C79" s="1179">
        <v>952.75</v>
      </c>
      <c r="D79" s="1180"/>
    </row>
  </sheetData>
  <mergeCells count="4">
    <mergeCell ref="A4:E4"/>
    <mergeCell ref="A11:D11"/>
    <mergeCell ref="A5:C5"/>
    <mergeCell ref="A1:D1"/>
  </mergeCells>
  <printOptions horizontalCentered="1"/>
  <pageMargins left="0.70866141732283472" right="0.70866141732283472" top="0.6" bottom="0.56000000000000005" header="0.31496062992125984" footer="0.31496062992125984"/>
  <pageSetup paperSize="9" scale="90"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R56"/>
  <sheetViews>
    <sheetView topLeftCell="B6" workbookViewId="0">
      <selection activeCell="B27" sqref="B27"/>
    </sheetView>
  </sheetViews>
  <sheetFormatPr defaultRowHeight="12.75" x14ac:dyDescent="0.2"/>
  <cols>
    <col min="1" max="1" width="0" style="8" hidden="1" customWidth="1"/>
    <col min="2" max="2" width="25.7109375" style="91" customWidth="1"/>
    <col min="3" max="3" width="27.140625" style="8" customWidth="1"/>
    <col min="4" max="4" width="4.85546875" style="8" customWidth="1"/>
    <col min="5" max="5" width="9.7109375" style="8" bestFit="1" customWidth="1"/>
    <col min="6" max="6" width="8.42578125" style="8" bestFit="1" customWidth="1"/>
    <col min="7" max="7" width="12.28515625" style="8" customWidth="1"/>
    <col min="8" max="8" width="10.5703125" style="693" customWidth="1"/>
    <col min="9" max="9" width="9.42578125" style="693" customWidth="1"/>
    <col min="10" max="10" width="9" style="693" customWidth="1"/>
    <col min="11" max="11" width="10" style="8" customWidth="1"/>
    <col min="12" max="12" width="9" style="8" customWidth="1"/>
    <col min="13" max="13" width="10.28515625" style="689" bestFit="1" customWidth="1"/>
    <col min="14" max="14" width="8.85546875" style="8"/>
    <col min="15" max="15" width="9.42578125" style="8" bestFit="1" customWidth="1"/>
    <col min="16" max="259" width="8.85546875" style="8"/>
    <col min="260" max="260" width="25.7109375" style="8" customWidth="1"/>
    <col min="261" max="261" width="27.140625" style="8" customWidth="1"/>
    <col min="262" max="262" width="4.85546875" style="8" customWidth="1"/>
    <col min="263" max="263" width="9.7109375" style="8" bestFit="1" customWidth="1"/>
    <col min="264" max="264" width="8.42578125" style="8" bestFit="1" customWidth="1"/>
    <col min="265" max="265" width="12.28515625" style="8" customWidth="1"/>
    <col min="266" max="266" width="10.5703125" style="8" customWidth="1"/>
    <col min="267" max="267" width="9.42578125" style="8" customWidth="1"/>
    <col min="268" max="268" width="9" style="8" customWidth="1"/>
    <col min="269" max="269" width="10.28515625" style="8" bestFit="1" customWidth="1"/>
    <col min="270" max="515" width="8.85546875" style="8"/>
    <col min="516" max="516" width="25.7109375" style="8" customWidth="1"/>
    <col min="517" max="517" width="27.140625" style="8" customWidth="1"/>
    <col min="518" max="518" width="4.85546875" style="8" customWidth="1"/>
    <col min="519" max="519" width="9.7109375" style="8" bestFit="1" customWidth="1"/>
    <col min="520" max="520" width="8.42578125" style="8" bestFit="1" customWidth="1"/>
    <col min="521" max="521" width="12.28515625" style="8" customWidth="1"/>
    <col min="522" max="522" width="10.5703125" style="8" customWidth="1"/>
    <col min="523" max="523" width="9.42578125" style="8" customWidth="1"/>
    <col min="524" max="524" width="9" style="8" customWidth="1"/>
    <col min="525" max="525" width="10.28515625" style="8" bestFit="1" customWidth="1"/>
    <col min="526" max="771" width="8.85546875" style="8"/>
    <col min="772" max="772" width="25.7109375" style="8" customWidth="1"/>
    <col min="773" max="773" width="27.140625" style="8" customWidth="1"/>
    <col min="774" max="774" width="4.85546875" style="8" customWidth="1"/>
    <col min="775" max="775" width="9.7109375" style="8" bestFit="1" customWidth="1"/>
    <col min="776" max="776" width="8.42578125" style="8" bestFit="1" customWidth="1"/>
    <col min="777" max="777" width="12.28515625" style="8" customWidth="1"/>
    <col min="778" max="778" width="10.5703125" style="8" customWidth="1"/>
    <col min="779" max="779" width="9.42578125" style="8" customWidth="1"/>
    <col min="780" max="780" width="9" style="8" customWidth="1"/>
    <col min="781" max="781" width="10.28515625" style="8" bestFit="1" customWidth="1"/>
    <col min="782" max="1027" width="8.85546875" style="8"/>
    <col min="1028" max="1028" width="25.7109375" style="8" customWidth="1"/>
    <col min="1029" max="1029" width="27.140625" style="8" customWidth="1"/>
    <col min="1030" max="1030" width="4.85546875" style="8" customWidth="1"/>
    <col min="1031" max="1031" width="9.7109375" style="8" bestFit="1" customWidth="1"/>
    <col min="1032" max="1032" width="8.42578125" style="8" bestFit="1" customWidth="1"/>
    <col min="1033" max="1033" width="12.28515625" style="8" customWidth="1"/>
    <col min="1034" max="1034" width="10.5703125" style="8" customWidth="1"/>
    <col min="1035" max="1035" width="9.42578125" style="8" customWidth="1"/>
    <col min="1036" max="1036" width="9" style="8" customWidth="1"/>
    <col min="1037" max="1037" width="10.28515625" style="8" bestFit="1" customWidth="1"/>
    <col min="1038" max="1283" width="8.85546875" style="8"/>
    <col min="1284" max="1284" width="25.7109375" style="8" customWidth="1"/>
    <col min="1285" max="1285" width="27.140625" style="8" customWidth="1"/>
    <col min="1286" max="1286" width="4.85546875" style="8" customWidth="1"/>
    <col min="1287" max="1287" width="9.7109375" style="8" bestFit="1" customWidth="1"/>
    <col min="1288" max="1288" width="8.42578125" style="8" bestFit="1" customWidth="1"/>
    <col min="1289" max="1289" width="12.28515625" style="8" customWidth="1"/>
    <col min="1290" max="1290" width="10.5703125" style="8" customWidth="1"/>
    <col min="1291" max="1291" width="9.42578125" style="8" customWidth="1"/>
    <col min="1292" max="1292" width="9" style="8" customWidth="1"/>
    <col min="1293" max="1293" width="10.28515625" style="8" bestFit="1" customWidth="1"/>
    <col min="1294" max="1539" width="8.85546875" style="8"/>
    <col min="1540" max="1540" width="25.7109375" style="8" customWidth="1"/>
    <col min="1541" max="1541" width="27.140625" style="8" customWidth="1"/>
    <col min="1542" max="1542" width="4.85546875" style="8" customWidth="1"/>
    <col min="1543" max="1543" width="9.7109375" style="8" bestFit="1" customWidth="1"/>
    <col min="1544" max="1544" width="8.42578125" style="8" bestFit="1" customWidth="1"/>
    <col min="1545" max="1545" width="12.28515625" style="8" customWidth="1"/>
    <col min="1546" max="1546" width="10.5703125" style="8" customWidth="1"/>
    <col min="1547" max="1547" width="9.42578125" style="8" customWidth="1"/>
    <col min="1548" max="1548" width="9" style="8" customWidth="1"/>
    <col min="1549" max="1549" width="10.28515625" style="8" bestFit="1" customWidth="1"/>
    <col min="1550" max="1795" width="8.85546875" style="8"/>
    <col min="1796" max="1796" width="25.7109375" style="8" customWidth="1"/>
    <col min="1797" max="1797" width="27.140625" style="8" customWidth="1"/>
    <col min="1798" max="1798" width="4.85546875" style="8" customWidth="1"/>
    <col min="1799" max="1799" width="9.7109375" style="8" bestFit="1" customWidth="1"/>
    <col min="1800" max="1800" width="8.42578125" style="8" bestFit="1" customWidth="1"/>
    <col min="1801" max="1801" width="12.28515625" style="8" customWidth="1"/>
    <col min="1802" max="1802" width="10.5703125" style="8" customWidth="1"/>
    <col min="1803" max="1803" width="9.42578125" style="8" customWidth="1"/>
    <col min="1804" max="1804" width="9" style="8" customWidth="1"/>
    <col min="1805" max="1805" width="10.28515625" style="8" bestFit="1" customWidth="1"/>
    <col min="1806" max="2051" width="8.85546875" style="8"/>
    <col min="2052" max="2052" width="25.7109375" style="8" customWidth="1"/>
    <col min="2053" max="2053" width="27.140625" style="8" customWidth="1"/>
    <col min="2054" max="2054" width="4.85546875" style="8" customWidth="1"/>
    <col min="2055" max="2055" width="9.7109375" style="8" bestFit="1" customWidth="1"/>
    <col min="2056" max="2056" width="8.42578125" style="8" bestFit="1" customWidth="1"/>
    <col min="2057" max="2057" width="12.28515625" style="8" customWidth="1"/>
    <col min="2058" max="2058" width="10.5703125" style="8" customWidth="1"/>
    <col min="2059" max="2059" width="9.42578125" style="8" customWidth="1"/>
    <col min="2060" max="2060" width="9" style="8" customWidth="1"/>
    <col min="2061" max="2061" width="10.28515625" style="8" bestFit="1" customWidth="1"/>
    <col min="2062" max="2307" width="8.85546875" style="8"/>
    <col min="2308" max="2308" width="25.7109375" style="8" customWidth="1"/>
    <col min="2309" max="2309" width="27.140625" style="8" customWidth="1"/>
    <col min="2310" max="2310" width="4.85546875" style="8" customWidth="1"/>
    <col min="2311" max="2311" width="9.7109375" style="8" bestFit="1" customWidth="1"/>
    <col min="2312" max="2312" width="8.42578125" style="8" bestFit="1" customWidth="1"/>
    <col min="2313" max="2313" width="12.28515625" style="8" customWidth="1"/>
    <col min="2314" max="2314" width="10.5703125" style="8" customWidth="1"/>
    <col min="2315" max="2315" width="9.42578125" style="8" customWidth="1"/>
    <col min="2316" max="2316" width="9" style="8" customWidth="1"/>
    <col min="2317" max="2317" width="10.28515625" style="8" bestFit="1" customWidth="1"/>
    <col min="2318" max="2563" width="8.85546875" style="8"/>
    <col min="2564" max="2564" width="25.7109375" style="8" customWidth="1"/>
    <col min="2565" max="2565" width="27.140625" style="8" customWidth="1"/>
    <col min="2566" max="2566" width="4.85546875" style="8" customWidth="1"/>
    <col min="2567" max="2567" width="9.7109375" style="8" bestFit="1" customWidth="1"/>
    <col min="2568" max="2568" width="8.42578125" style="8" bestFit="1" customWidth="1"/>
    <col min="2569" max="2569" width="12.28515625" style="8" customWidth="1"/>
    <col min="2570" max="2570" width="10.5703125" style="8" customWidth="1"/>
    <col min="2571" max="2571" width="9.42578125" style="8" customWidth="1"/>
    <col min="2572" max="2572" width="9" style="8" customWidth="1"/>
    <col min="2573" max="2573" width="10.28515625" style="8" bestFit="1" customWidth="1"/>
    <col min="2574" max="2819" width="8.85546875" style="8"/>
    <col min="2820" max="2820" width="25.7109375" style="8" customWidth="1"/>
    <col min="2821" max="2821" width="27.140625" style="8" customWidth="1"/>
    <col min="2822" max="2822" width="4.85546875" style="8" customWidth="1"/>
    <col min="2823" max="2823" width="9.7109375" style="8" bestFit="1" customWidth="1"/>
    <col min="2824" max="2824" width="8.42578125" style="8" bestFit="1" customWidth="1"/>
    <col min="2825" max="2825" width="12.28515625" style="8" customWidth="1"/>
    <col min="2826" max="2826" width="10.5703125" style="8" customWidth="1"/>
    <col min="2827" max="2827" width="9.42578125" style="8" customWidth="1"/>
    <col min="2828" max="2828" width="9" style="8" customWidth="1"/>
    <col min="2829" max="2829" width="10.28515625" style="8" bestFit="1" customWidth="1"/>
    <col min="2830" max="3075" width="8.85546875" style="8"/>
    <col min="3076" max="3076" width="25.7109375" style="8" customWidth="1"/>
    <col min="3077" max="3077" width="27.140625" style="8" customWidth="1"/>
    <col min="3078" max="3078" width="4.85546875" style="8" customWidth="1"/>
    <col min="3079" max="3079" width="9.7109375" style="8" bestFit="1" customWidth="1"/>
    <col min="3080" max="3080" width="8.42578125" style="8" bestFit="1" customWidth="1"/>
    <col min="3081" max="3081" width="12.28515625" style="8" customWidth="1"/>
    <col min="3082" max="3082" width="10.5703125" style="8" customWidth="1"/>
    <col min="3083" max="3083" width="9.42578125" style="8" customWidth="1"/>
    <col min="3084" max="3084" width="9" style="8" customWidth="1"/>
    <col min="3085" max="3085" width="10.28515625" style="8" bestFit="1" customWidth="1"/>
    <col min="3086" max="3331" width="8.85546875" style="8"/>
    <col min="3332" max="3332" width="25.7109375" style="8" customWidth="1"/>
    <col min="3333" max="3333" width="27.140625" style="8" customWidth="1"/>
    <col min="3334" max="3334" width="4.85546875" style="8" customWidth="1"/>
    <col min="3335" max="3335" width="9.7109375" style="8" bestFit="1" customWidth="1"/>
    <col min="3336" max="3336" width="8.42578125" style="8" bestFit="1" customWidth="1"/>
    <col min="3337" max="3337" width="12.28515625" style="8" customWidth="1"/>
    <col min="3338" max="3338" width="10.5703125" style="8" customWidth="1"/>
    <col min="3339" max="3339" width="9.42578125" style="8" customWidth="1"/>
    <col min="3340" max="3340" width="9" style="8" customWidth="1"/>
    <col min="3341" max="3341" width="10.28515625" style="8" bestFit="1" customWidth="1"/>
    <col min="3342" max="3587" width="8.85546875" style="8"/>
    <col min="3588" max="3588" width="25.7109375" style="8" customWidth="1"/>
    <col min="3589" max="3589" width="27.140625" style="8" customWidth="1"/>
    <col min="3590" max="3590" width="4.85546875" style="8" customWidth="1"/>
    <col min="3591" max="3591" width="9.7109375" style="8" bestFit="1" customWidth="1"/>
    <col min="3592" max="3592" width="8.42578125" style="8" bestFit="1" customWidth="1"/>
    <col min="3593" max="3593" width="12.28515625" style="8" customWidth="1"/>
    <col min="3594" max="3594" width="10.5703125" style="8" customWidth="1"/>
    <col min="3595" max="3595" width="9.42578125" style="8" customWidth="1"/>
    <col min="3596" max="3596" width="9" style="8" customWidth="1"/>
    <col min="3597" max="3597" width="10.28515625" style="8" bestFit="1" customWidth="1"/>
    <col min="3598" max="3843" width="8.85546875" style="8"/>
    <col min="3844" max="3844" width="25.7109375" style="8" customWidth="1"/>
    <col min="3845" max="3845" width="27.140625" style="8" customWidth="1"/>
    <col min="3846" max="3846" width="4.85546875" style="8" customWidth="1"/>
    <col min="3847" max="3847" width="9.7109375" style="8" bestFit="1" customWidth="1"/>
    <col min="3848" max="3848" width="8.42578125" style="8" bestFit="1" customWidth="1"/>
    <col min="3849" max="3849" width="12.28515625" style="8" customWidth="1"/>
    <col min="3850" max="3850" width="10.5703125" style="8" customWidth="1"/>
    <col min="3851" max="3851" width="9.42578125" style="8" customWidth="1"/>
    <col min="3852" max="3852" width="9" style="8" customWidth="1"/>
    <col min="3853" max="3853" width="10.28515625" style="8" bestFit="1" customWidth="1"/>
    <col min="3854" max="4099" width="8.85546875" style="8"/>
    <col min="4100" max="4100" width="25.7109375" style="8" customWidth="1"/>
    <col min="4101" max="4101" width="27.140625" style="8" customWidth="1"/>
    <col min="4102" max="4102" width="4.85546875" style="8" customWidth="1"/>
    <col min="4103" max="4103" width="9.7109375" style="8" bestFit="1" customWidth="1"/>
    <col min="4104" max="4104" width="8.42578125" style="8" bestFit="1" customWidth="1"/>
    <col min="4105" max="4105" width="12.28515625" style="8" customWidth="1"/>
    <col min="4106" max="4106" width="10.5703125" style="8" customWidth="1"/>
    <col min="4107" max="4107" width="9.42578125" style="8" customWidth="1"/>
    <col min="4108" max="4108" width="9" style="8" customWidth="1"/>
    <col min="4109" max="4109" width="10.28515625" style="8" bestFit="1" customWidth="1"/>
    <col min="4110" max="4355" width="8.85546875" style="8"/>
    <col min="4356" max="4356" width="25.7109375" style="8" customWidth="1"/>
    <col min="4357" max="4357" width="27.140625" style="8" customWidth="1"/>
    <col min="4358" max="4358" width="4.85546875" style="8" customWidth="1"/>
    <col min="4359" max="4359" width="9.7109375" style="8" bestFit="1" customWidth="1"/>
    <col min="4360" max="4360" width="8.42578125" style="8" bestFit="1" customWidth="1"/>
    <col min="4361" max="4361" width="12.28515625" style="8" customWidth="1"/>
    <col min="4362" max="4362" width="10.5703125" style="8" customWidth="1"/>
    <col min="4363" max="4363" width="9.42578125" style="8" customWidth="1"/>
    <col min="4364" max="4364" width="9" style="8" customWidth="1"/>
    <col min="4365" max="4365" width="10.28515625" style="8" bestFit="1" customWidth="1"/>
    <col min="4366" max="4611" width="8.85546875" style="8"/>
    <col min="4612" max="4612" width="25.7109375" style="8" customWidth="1"/>
    <col min="4613" max="4613" width="27.140625" style="8" customWidth="1"/>
    <col min="4614" max="4614" width="4.85546875" style="8" customWidth="1"/>
    <col min="4615" max="4615" width="9.7109375" style="8" bestFit="1" customWidth="1"/>
    <col min="4616" max="4616" width="8.42578125" style="8" bestFit="1" customWidth="1"/>
    <col min="4617" max="4617" width="12.28515625" style="8" customWidth="1"/>
    <col min="4618" max="4618" width="10.5703125" style="8" customWidth="1"/>
    <col min="4619" max="4619" width="9.42578125" style="8" customWidth="1"/>
    <col min="4620" max="4620" width="9" style="8" customWidth="1"/>
    <col min="4621" max="4621" width="10.28515625" style="8" bestFit="1" customWidth="1"/>
    <col min="4622" max="4867" width="8.85546875" style="8"/>
    <col min="4868" max="4868" width="25.7109375" style="8" customWidth="1"/>
    <col min="4869" max="4869" width="27.140625" style="8" customWidth="1"/>
    <col min="4870" max="4870" width="4.85546875" style="8" customWidth="1"/>
    <col min="4871" max="4871" width="9.7109375" style="8" bestFit="1" customWidth="1"/>
    <col min="4872" max="4872" width="8.42578125" style="8" bestFit="1" customWidth="1"/>
    <col min="4873" max="4873" width="12.28515625" style="8" customWidth="1"/>
    <col min="4874" max="4874" width="10.5703125" style="8" customWidth="1"/>
    <col min="4875" max="4875" width="9.42578125" style="8" customWidth="1"/>
    <col min="4876" max="4876" width="9" style="8" customWidth="1"/>
    <col min="4877" max="4877" width="10.28515625" style="8" bestFit="1" customWidth="1"/>
    <col min="4878" max="5123" width="8.85546875" style="8"/>
    <col min="5124" max="5124" width="25.7109375" style="8" customWidth="1"/>
    <col min="5125" max="5125" width="27.140625" style="8" customWidth="1"/>
    <col min="5126" max="5126" width="4.85546875" style="8" customWidth="1"/>
    <col min="5127" max="5127" width="9.7109375" style="8" bestFit="1" customWidth="1"/>
    <col min="5128" max="5128" width="8.42578125" style="8" bestFit="1" customWidth="1"/>
    <col min="5129" max="5129" width="12.28515625" style="8" customWidth="1"/>
    <col min="5130" max="5130" width="10.5703125" style="8" customWidth="1"/>
    <col min="5131" max="5131" width="9.42578125" style="8" customWidth="1"/>
    <col min="5132" max="5132" width="9" style="8" customWidth="1"/>
    <col min="5133" max="5133" width="10.28515625" style="8" bestFit="1" customWidth="1"/>
    <col min="5134" max="5379" width="8.85546875" style="8"/>
    <col min="5380" max="5380" width="25.7109375" style="8" customWidth="1"/>
    <col min="5381" max="5381" width="27.140625" style="8" customWidth="1"/>
    <col min="5382" max="5382" width="4.85546875" style="8" customWidth="1"/>
    <col min="5383" max="5383" width="9.7109375" style="8" bestFit="1" customWidth="1"/>
    <col min="5384" max="5384" width="8.42578125" style="8" bestFit="1" customWidth="1"/>
    <col min="5385" max="5385" width="12.28515625" style="8" customWidth="1"/>
    <col min="5386" max="5386" width="10.5703125" style="8" customWidth="1"/>
    <col min="5387" max="5387" width="9.42578125" style="8" customWidth="1"/>
    <col min="5388" max="5388" width="9" style="8" customWidth="1"/>
    <col min="5389" max="5389" width="10.28515625" style="8" bestFit="1" customWidth="1"/>
    <col min="5390" max="5635" width="8.85546875" style="8"/>
    <col min="5636" max="5636" width="25.7109375" style="8" customWidth="1"/>
    <col min="5637" max="5637" width="27.140625" style="8" customWidth="1"/>
    <col min="5638" max="5638" width="4.85546875" style="8" customWidth="1"/>
    <col min="5639" max="5639" width="9.7109375" style="8" bestFit="1" customWidth="1"/>
    <col min="5640" max="5640" width="8.42578125" style="8" bestFit="1" customWidth="1"/>
    <col min="5641" max="5641" width="12.28515625" style="8" customWidth="1"/>
    <col min="5642" max="5642" width="10.5703125" style="8" customWidth="1"/>
    <col min="5643" max="5643" width="9.42578125" style="8" customWidth="1"/>
    <col min="5644" max="5644" width="9" style="8" customWidth="1"/>
    <col min="5645" max="5645" width="10.28515625" style="8" bestFit="1" customWidth="1"/>
    <col min="5646" max="5891" width="8.85546875" style="8"/>
    <col min="5892" max="5892" width="25.7109375" style="8" customWidth="1"/>
    <col min="5893" max="5893" width="27.140625" style="8" customWidth="1"/>
    <col min="5894" max="5894" width="4.85546875" style="8" customWidth="1"/>
    <col min="5895" max="5895" width="9.7109375" style="8" bestFit="1" customWidth="1"/>
    <col min="5896" max="5896" width="8.42578125" style="8" bestFit="1" customWidth="1"/>
    <col min="5897" max="5897" width="12.28515625" style="8" customWidth="1"/>
    <col min="5898" max="5898" width="10.5703125" style="8" customWidth="1"/>
    <col min="5899" max="5899" width="9.42578125" style="8" customWidth="1"/>
    <col min="5900" max="5900" width="9" style="8" customWidth="1"/>
    <col min="5901" max="5901" width="10.28515625" style="8" bestFit="1" customWidth="1"/>
    <col min="5902" max="6147" width="8.85546875" style="8"/>
    <col min="6148" max="6148" width="25.7109375" style="8" customWidth="1"/>
    <col min="6149" max="6149" width="27.140625" style="8" customWidth="1"/>
    <col min="6150" max="6150" width="4.85546875" style="8" customWidth="1"/>
    <col min="6151" max="6151" width="9.7109375" style="8" bestFit="1" customWidth="1"/>
    <col min="6152" max="6152" width="8.42578125" style="8" bestFit="1" customWidth="1"/>
    <col min="6153" max="6153" width="12.28515625" style="8" customWidth="1"/>
    <col min="6154" max="6154" width="10.5703125" style="8" customWidth="1"/>
    <col min="6155" max="6155" width="9.42578125" style="8" customWidth="1"/>
    <col min="6156" max="6156" width="9" style="8" customWidth="1"/>
    <col min="6157" max="6157" width="10.28515625" style="8" bestFit="1" customWidth="1"/>
    <col min="6158" max="6403" width="8.85546875" style="8"/>
    <col min="6404" max="6404" width="25.7109375" style="8" customWidth="1"/>
    <col min="6405" max="6405" width="27.140625" style="8" customWidth="1"/>
    <col min="6406" max="6406" width="4.85546875" style="8" customWidth="1"/>
    <col min="6407" max="6407" width="9.7109375" style="8" bestFit="1" customWidth="1"/>
    <col min="6408" max="6408" width="8.42578125" style="8" bestFit="1" customWidth="1"/>
    <col min="6409" max="6409" width="12.28515625" style="8" customWidth="1"/>
    <col min="6410" max="6410" width="10.5703125" style="8" customWidth="1"/>
    <col min="6411" max="6411" width="9.42578125" style="8" customWidth="1"/>
    <col min="6412" max="6412" width="9" style="8" customWidth="1"/>
    <col min="6413" max="6413" width="10.28515625" style="8" bestFit="1" customWidth="1"/>
    <col min="6414" max="6659" width="8.85546875" style="8"/>
    <col min="6660" max="6660" width="25.7109375" style="8" customWidth="1"/>
    <col min="6661" max="6661" width="27.140625" style="8" customWidth="1"/>
    <col min="6662" max="6662" width="4.85546875" style="8" customWidth="1"/>
    <col min="6663" max="6663" width="9.7109375" style="8" bestFit="1" customWidth="1"/>
    <col min="6664" max="6664" width="8.42578125" style="8" bestFit="1" customWidth="1"/>
    <col min="6665" max="6665" width="12.28515625" style="8" customWidth="1"/>
    <col min="6666" max="6666" width="10.5703125" style="8" customWidth="1"/>
    <col min="6667" max="6667" width="9.42578125" style="8" customWidth="1"/>
    <col min="6668" max="6668" width="9" style="8" customWidth="1"/>
    <col min="6669" max="6669" width="10.28515625" style="8" bestFit="1" customWidth="1"/>
    <col min="6670" max="6915" width="8.85546875" style="8"/>
    <col min="6916" max="6916" width="25.7109375" style="8" customWidth="1"/>
    <col min="6917" max="6917" width="27.140625" style="8" customWidth="1"/>
    <col min="6918" max="6918" width="4.85546875" style="8" customWidth="1"/>
    <col min="6919" max="6919" width="9.7109375" style="8" bestFit="1" customWidth="1"/>
    <col min="6920" max="6920" width="8.42578125" style="8" bestFit="1" customWidth="1"/>
    <col min="6921" max="6921" width="12.28515625" style="8" customWidth="1"/>
    <col min="6922" max="6922" width="10.5703125" style="8" customWidth="1"/>
    <col min="6923" max="6923" width="9.42578125" style="8" customWidth="1"/>
    <col min="6924" max="6924" width="9" style="8" customWidth="1"/>
    <col min="6925" max="6925" width="10.28515625" style="8" bestFit="1" customWidth="1"/>
    <col min="6926" max="7171" width="8.85546875" style="8"/>
    <col min="7172" max="7172" width="25.7109375" style="8" customWidth="1"/>
    <col min="7173" max="7173" width="27.140625" style="8" customWidth="1"/>
    <col min="7174" max="7174" width="4.85546875" style="8" customWidth="1"/>
    <col min="7175" max="7175" width="9.7109375" style="8" bestFit="1" customWidth="1"/>
    <col min="7176" max="7176" width="8.42578125" style="8" bestFit="1" customWidth="1"/>
    <col min="7177" max="7177" width="12.28515625" style="8" customWidth="1"/>
    <col min="7178" max="7178" width="10.5703125" style="8" customWidth="1"/>
    <col min="7179" max="7179" width="9.42578125" style="8" customWidth="1"/>
    <col min="7180" max="7180" width="9" style="8" customWidth="1"/>
    <col min="7181" max="7181" width="10.28515625" style="8" bestFit="1" customWidth="1"/>
    <col min="7182" max="7427" width="8.85546875" style="8"/>
    <col min="7428" max="7428" width="25.7109375" style="8" customWidth="1"/>
    <col min="7429" max="7429" width="27.140625" style="8" customWidth="1"/>
    <col min="7430" max="7430" width="4.85546875" style="8" customWidth="1"/>
    <col min="7431" max="7431" width="9.7109375" style="8" bestFit="1" customWidth="1"/>
    <col min="7432" max="7432" width="8.42578125" style="8" bestFit="1" customWidth="1"/>
    <col min="7433" max="7433" width="12.28515625" style="8" customWidth="1"/>
    <col min="7434" max="7434" width="10.5703125" style="8" customWidth="1"/>
    <col min="7435" max="7435" width="9.42578125" style="8" customWidth="1"/>
    <col min="7436" max="7436" width="9" style="8" customWidth="1"/>
    <col min="7437" max="7437" width="10.28515625" style="8" bestFit="1" customWidth="1"/>
    <col min="7438" max="7683" width="8.85546875" style="8"/>
    <col min="7684" max="7684" width="25.7109375" style="8" customWidth="1"/>
    <col min="7685" max="7685" width="27.140625" style="8" customWidth="1"/>
    <col min="7686" max="7686" width="4.85546875" style="8" customWidth="1"/>
    <col min="7687" max="7687" width="9.7109375" style="8" bestFit="1" customWidth="1"/>
    <col min="7688" max="7688" width="8.42578125" style="8" bestFit="1" customWidth="1"/>
    <col min="7689" max="7689" width="12.28515625" style="8" customWidth="1"/>
    <col min="7690" max="7690" width="10.5703125" style="8" customWidth="1"/>
    <col min="7691" max="7691" width="9.42578125" style="8" customWidth="1"/>
    <col min="7692" max="7692" width="9" style="8" customWidth="1"/>
    <col min="7693" max="7693" width="10.28515625" style="8" bestFit="1" customWidth="1"/>
    <col min="7694" max="7939" width="8.85546875" style="8"/>
    <col min="7940" max="7940" width="25.7109375" style="8" customWidth="1"/>
    <col min="7941" max="7941" width="27.140625" style="8" customWidth="1"/>
    <col min="7942" max="7942" width="4.85546875" style="8" customWidth="1"/>
    <col min="7943" max="7943" width="9.7109375" style="8" bestFit="1" customWidth="1"/>
    <col min="7944" max="7944" width="8.42578125" style="8" bestFit="1" customWidth="1"/>
    <col min="7945" max="7945" width="12.28515625" style="8" customWidth="1"/>
    <col min="7946" max="7946" width="10.5703125" style="8" customWidth="1"/>
    <col min="7947" max="7947" width="9.42578125" style="8" customWidth="1"/>
    <col min="7948" max="7948" width="9" style="8" customWidth="1"/>
    <col min="7949" max="7949" width="10.28515625" style="8" bestFit="1" customWidth="1"/>
    <col min="7950" max="8195" width="8.85546875" style="8"/>
    <col min="8196" max="8196" width="25.7109375" style="8" customWidth="1"/>
    <col min="8197" max="8197" width="27.140625" style="8" customWidth="1"/>
    <col min="8198" max="8198" width="4.85546875" style="8" customWidth="1"/>
    <col min="8199" max="8199" width="9.7109375" style="8" bestFit="1" customWidth="1"/>
    <col min="8200" max="8200" width="8.42578125" style="8" bestFit="1" customWidth="1"/>
    <col min="8201" max="8201" width="12.28515625" style="8" customWidth="1"/>
    <col min="8202" max="8202" width="10.5703125" style="8" customWidth="1"/>
    <col min="8203" max="8203" width="9.42578125" style="8" customWidth="1"/>
    <col min="8204" max="8204" width="9" style="8" customWidth="1"/>
    <col min="8205" max="8205" width="10.28515625" style="8" bestFit="1" customWidth="1"/>
    <col min="8206" max="8451" width="8.85546875" style="8"/>
    <col min="8452" max="8452" width="25.7109375" style="8" customWidth="1"/>
    <col min="8453" max="8453" width="27.140625" style="8" customWidth="1"/>
    <col min="8454" max="8454" width="4.85546875" style="8" customWidth="1"/>
    <col min="8455" max="8455" width="9.7109375" style="8" bestFit="1" customWidth="1"/>
    <col min="8456" max="8456" width="8.42578125" style="8" bestFit="1" customWidth="1"/>
    <col min="8457" max="8457" width="12.28515625" style="8" customWidth="1"/>
    <col min="8458" max="8458" width="10.5703125" style="8" customWidth="1"/>
    <col min="8459" max="8459" width="9.42578125" style="8" customWidth="1"/>
    <col min="8460" max="8460" width="9" style="8" customWidth="1"/>
    <col min="8461" max="8461" width="10.28515625" style="8" bestFit="1" customWidth="1"/>
    <col min="8462" max="8707" width="8.85546875" style="8"/>
    <col min="8708" max="8708" width="25.7109375" style="8" customWidth="1"/>
    <col min="8709" max="8709" width="27.140625" style="8" customWidth="1"/>
    <col min="8710" max="8710" width="4.85546875" style="8" customWidth="1"/>
    <col min="8711" max="8711" width="9.7109375" style="8" bestFit="1" customWidth="1"/>
    <col min="8712" max="8712" width="8.42578125" style="8" bestFit="1" customWidth="1"/>
    <col min="8713" max="8713" width="12.28515625" style="8" customWidth="1"/>
    <col min="8714" max="8714" width="10.5703125" style="8" customWidth="1"/>
    <col min="8715" max="8715" width="9.42578125" style="8" customWidth="1"/>
    <col min="8716" max="8716" width="9" style="8" customWidth="1"/>
    <col min="8717" max="8717" width="10.28515625" style="8" bestFit="1" customWidth="1"/>
    <col min="8718" max="8963" width="8.85546875" style="8"/>
    <col min="8964" max="8964" width="25.7109375" style="8" customWidth="1"/>
    <col min="8965" max="8965" width="27.140625" style="8" customWidth="1"/>
    <col min="8966" max="8966" width="4.85546875" style="8" customWidth="1"/>
    <col min="8967" max="8967" width="9.7109375" style="8" bestFit="1" customWidth="1"/>
    <col min="8968" max="8968" width="8.42578125" style="8" bestFit="1" customWidth="1"/>
    <col min="8969" max="8969" width="12.28515625" style="8" customWidth="1"/>
    <col min="8970" max="8970" width="10.5703125" style="8" customWidth="1"/>
    <col min="8971" max="8971" width="9.42578125" style="8" customWidth="1"/>
    <col min="8972" max="8972" width="9" style="8" customWidth="1"/>
    <col min="8973" max="8973" width="10.28515625" style="8" bestFit="1" customWidth="1"/>
    <col min="8974" max="9219" width="8.85546875" style="8"/>
    <col min="9220" max="9220" width="25.7109375" style="8" customWidth="1"/>
    <col min="9221" max="9221" width="27.140625" style="8" customWidth="1"/>
    <col min="9222" max="9222" width="4.85546875" style="8" customWidth="1"/>
    <col min="9223" max="9223" width="9.7109375" style="8" bestFit="1" customWidth="1"/>
    <col min="9224" max="9224" width="8.42578125" style="8" bestFit="1" customWidth="1"/>
    <col min="9225" max="9225" width="12.28515625" style="8" customWidth="1"/>
    <col min="9226" max="9226" width="10.5703125" style="8" customWidth="1"/>
    <col min="9227" max="9227" width="9.42578125" style="8" customWidth="1"/>
    <col min="9228" max="9228" width="9" style="8" customWidth="1"/>
    <col min="9229" max="9229" width="10.28515625" style="8" bestFit="1" customWidth="1"/>
    <col min="9230" max="9475" width="8.85546875" style="8"/>
    <col min="9476" max="9476" width="25.7109375" style="8" customWidth="1"/>
    <col min="9477" max="9477" width="27.140625" style="8" customWidth="1"/>
    <col min="9478" max="9478" width="4.85546875" style="8" customWidth="1"/>
    <col min="9479" max="9479" width="9.7109375" style="8" bestFit="1" customWidth="1"/>
    <col min="9480" max="9480" width="8.42578125" style="8" bestFit="1" customWidth="1"/>
    <col min="9481" max="9481" width="12.28515625" style="8" customWidth="1"/>
    <col min="9482" max="9482" width="10.5703125" style="8" customWidth="1"/>
    <col min="9483" max="9483" width="9.42578125" style="8" customWidth="1"/>
    <col min="9484" max="9484" width="9" style="8" customWidth="1"/>
    <col min="9485" max="9485" width="10.28515625" style="8" bestFit="1" customWidth="1"/>
    <col min="9486" max="9731" width="8.85546875" style="8"/>
    <col min="9732" max="9732" width="25.7109375" style="8" customWidth="1"/>
    <col min="9733" max="9733" width="27.140625" style="8" customWidth="1"/>
    <col min="9734" max="9734" width="4.85546875" style="8" customWidth="1"/>
    <col min="9735" max="9735" width="9.7109375" style="8" bestFit="1" customWidth="1"/>
    <col min="9736" max="9736" width="8.42578125" style="8" bestFit="1" customWidth="1"/>
    <col min="9737" max="9737" width="12.28515625" style="8" customWidth="1"/>
    <col min="9738" max="9738" width="10.5703125" style="8" customWidth="1"/>
    <col min="9739" max="9739" width="9.42578125" style="8" customWidth="1"/>
    <col min="9740" max="9740" width="9" style="8" customWidth="1"/>
    <col min="9741" max="9741" width="10.28515625" style="8" bestFit="1" customWidth="1"/>
    <col min="9742" max="9987" width="8.85546875" style="8"/>
    <col min="9988" max="9988" width="25.7109375" style="8" customWidth="1"/>
    <col min="9989" max="9989" width="27.140625" style="8" customWidth="1"/>
    <col min="9990" max="9990" width="4.85546875" style="8" customWidth="1"/>
    <col min="9991" max="9991" width="9.7109375" style="8" bestFit="1" customWidth="1"/>
    <col min="9992" max="9992" width="8.42578125" style="8" bestFit="1" customWidth="1"/>
    <col min="9993" max="9993" width="12.28515625" style="8" customWidth="1"/>
    <col min="9994" max="9994" width="10.5703125" style="8" customWidth="1"/>
    <col min="9995" max="9995" width="9.42578125" style="8" customWidth="1"/>
    <col min="9996" max="9996" width="9" style="8" customWidth="1"/>
    <col min="9997" max="9997" width="10.28515625" style="8" bestFit="1" customWidth="1"/>
    <col min="9998" max="10243" width="8.85546875" style="8"/>
    <col min="10244" max="10244" width="25.7109375" style="8" customWidth="1"/>
    <col min="10245" max="10245" width="27.140625" style="8" customWidth="1"/>
    <col min="10246" max="10246" width="4.85546875" style="8" customWidth="1"/>
    <col min="10247" max="10247" width="9.7109375" style="8" bestFit="1" customWidth="1"/>
    <col min="10248" max="10248" width="8.42578125" style="8" bestFit="1" customWidth="1"/>
    <col min="10249" max="10249" width="12.28515625" style="8" customWidth="1"/>
    <col min="10250" max="10250" width="10.5703125" style="8" customWidth="1"/>
    <col min="10251" max="10251" width="9.42578125" style="8" customWidth="1"/>
    <col min="10252" max="10252" width="9" style="8" customWidth="1"/>
    <col min="10253" max="10253" width="10.28515625" style="8" bestFit="1" customWidth="1"/>
    <col min="10254" max="10499" width="8.85546875" style="8"/>
    <col min="10500" max="10500" width="25.7109375" style="8" customWidth="1"/>
    <col min="10501" max="10501" width="27.140625" style="8" customWidth="1"/>
    <col min="10502" max="10502" width="4.85546875" style="8" customWidth="1"/>
    <col min="10503" max="10503" width="9.7109375" style="8" bestFit="1" customWidth="1"/>
    <col min="10504" max="10504" width="8.42578125" style="8" bestFit="1" customWidth="1"/>
    <col min="10505" max="10505" width="12.28515625" style="8" customWidth="1"/>
    <col min="10506" max="10506" width="10.5703125" style="8" customWidth="1"/>
    <col min="10507" max="10507" width="9.42578125" style="8" customWidth="1"/>
    <col min="10508" max="10508" width="9" style="8" customWidth="1"/>
    <col min="10509" max="10509" width="10.28515625" style="8" bestFit="1" customWidth="1"/>
    <col min="10510" max="10755" width="8.85546875" style="8"/>
    <col min="10756" max="10756" width="25.7109375" style="8" customWidth="1"/>
    <col min="10757" max="10757" width="27.140625" style="8" customWidth="1"/>
    <col min="10758" max="10758" width="4.85546875" style="8" customWidth="1"/>
    <col min="10759" max="10759" width="9.7109375" style="8" bestFit="1" customWidth="1"/>
    <col min="10760" max="10760" width="8.42578125" style="8" bestFit="1" customWidth="1"/>
    <col min="10761" max="10761" width="12.28515625" style="8" customWidth="1"/>
    <col min="10762" max="10762" width="10.5703125" style="8" customWidth="1"/>
    <col min="10763" max="10763" width="9.42578125" style="8" customWidth="1"/>
    <col min="10764" max="10764" width="9" style="8" customWidth="1"/>
    <col min="10765" max="10765" width="10.28515625" style="8" bestFit="1" customWidth="1"/>
    <col min="10766" max="11011" width="8.85546875" style="8"/>
    <col min="11012" max="11012" width="25.7109375" style="8" customWidth="1"/>
    <col min="11013" max="11013" width="27.140625" style="8" customWidth="1"/>
    <col min="11014" max="11014" width="4.85546875" style="8" customWidth="1"/>
    <col min="11015" max="11015" width="9.7109375" style="8" bestFit="1" customWidth="1"/>
    <col min="11016" max="11016" width="8.42578125" style="8" bestFit="1" customWidth="1"/>
    <col min="11017" max="11017" width="12.28515625" style="8" customWidth="1"/>
    <col min="11018" max="11018" width="10.5703125" style="8" customWidth="1"/>
    <col min="11019" max="11019" width="9.42578125" style="8" customWidth="1"/>
    <col min="11020" max="11020" width="9" style="8" customWidth="1"/>
    <col min="11021" max="11021" width="10.28515625" style="8" bestFit="1" customWidth="1"/>
    <col min="11022" max="11267" width="8.85546875" style="8"/>
    <col min="11268" max="11268" width="25.7109375" style="8" customWidth="1"/>
    <col min="11269" max="11269" width="27.140625" style="8" customWidth="1"/>
    <col min="11270" max="11270" width="4.85546875" style="8" customWidth="1"/>
    <col min="11271" max="11271" width="9.7109375" style="8" bestFit="1" customWidth="1"/>
    <col min="11272" max="11272" width="8.42578125" style="8" bestFit="1" customWidth="1"/>
    <col min="11273" max="11273" width="12.28515625" style="8" customWidth="1"/>
    <col min="11274" max="11274" width="10.5703125" style="8" customWidth="1"/>
    <col min="11275" max="11275" width="9.42578125" style="8" customWidth="1"/>
    <col min="11276" max="11276" width="9" style="8" customWidth="1"/>
    <col min="11277" max="11277" width="10.28515625" style="8" bestFit="1" customWidth="1"/>
    <col min="11278" max="11523" width="8.85546875" style="8"/>
    <col min="11524" max="11524" width="25.7109375" style="8" customWidth="1"/>
    <col min="11525" max="11525" width="27.140625" style="8" customWidth="1"/>
    <col min="11526" max="11526" width="4.85546875" style="8" customWidth="1"/>
    <col min="11527" max="11527" width="9.7109375" style="8" bestFit="1" customWidth="1"/>
    <col min="11528" max="11528" width="8.42578125" style="8" bestFit="1" customWidth="1"/>
    <col min="11529" max="11529" width="12.28515625" style="8" customWidth="1"/>
    <col min="11530" max="11530" width="10.5703125" style="8" customWidth="1"/>
    <col min="11531" max="11531" width="9.42578125" style="8" customWidth="1"/>
    <col min="11532" max="11532" width="9" style="8" customWidth="1"/>
    <col min="11533" max="11533" width="10.28515625" style="8" bestFit="1" customWidth="1"/>
    <col min="11534" max="11779" width="8.85546875" style="8"/>
    <col min="11780" max="11780" width="25.7109375" style="8" customWidth="1"/>
    <col min="11781" max="11781" width="27.140625" style="8" customWidth="1"/>
    <col min="11782" max="11782" width="4.85546875" style="8" customWidth="1"/>
    <col min="11783" max="11783" width="9.7109375" style="8" bestFit="1" customWidth="1"/>
    <col min="11784" max="11784" width="8.42578125" style="8" bestFit="1" customWidth="1"/>
    <col min="11785" max="11785" width="12.28515625" style="8" customWidth="1"/>
    <col min="11786" max="11786" width="10.5703125" style="8" customWidth="1"/>
    <col min="11787" max="11787" width="9.42578125" style="8" customWidth="1"/>
    <col min="11788" max="11788" width="9" style="8" customWidth="1"/>
    <col min="11789" max="11789" width="10.28515625" style="8" bestFit="1" customWidth="1"/>
    <col min="11790" max="12035" width="8.85546875" style="8"/>
    <col min="12036" max="12036" width="25.7109375" style="8" customWidth="1"/>
    <col min="12037" max="12037" width="27.140625" style="8" customWidth="1"/>
    <col min="12038" max="12038" width="4.85546875" style="8" customWidth="1"/>
    <col min="12039" max="12039" width="9.7109375" style="8" bestFit="1" customWidth="1"/>
    <col min="12040" max="12040" width="8.42578125" style="8" bestFit="1" customWidth="1"/>
    <col min="12041" max="12041" width="12.28515625" style="8" customWidth="1"/>
    <col min="12042" max="12042" width="10.5703125" style="8" customWidth="1"/>
    <col min="12043" max="12043" width="9.42578125" style="8" customWidth="1"/>
    <col min="12044" max="12044" width="9" style="8" customWidth="1"/>
    <col min="12045" max="12045" width="10.28515625" style="8" bestFit="1" customWidth="1"/>
    <col min="12046" max="12291" width="8.85546875" style="8"/>
    <col min="12292" max="12292" width="25.7109375" style="8" customWidth="1"/>
    <col min="12293" max="12293" width="27.140625" style="8" customWidth="1"/>
    <col min="12294" max="12294" width="4.85546875" style="8" customWidth="1"/>
    <col min="12295" max="12295" width="9.7109375" style="8" bestFit="1" customWidth="1"/>
    <col min="12296" max="12296" width="8.42578125" style="8" bestFit="1" customWidth="1"/>
    <col min="12297" max="12297" width="12.28515625" style="8" customWidth="1"/>
    <col min="12298" max="12298" width="10.5703125" style="8" customWidth="1"/>
    <col min="12299" max="12299" width="9.42578125" style="8" customWidth="1"/>
    <col min="12300" max="12300" width="9" style="8" customWidth="1"/>
    <col min="12301" max="12301" width="10.28515625" style="8" bestFit="1" customWidth="1"/>
    <col min="12302" max="12547" width="8.85546875" style="8"/>
    <col min="12548" max="12548" width="25.7109375" style="8" customWidth="1"/>
    <col min="12549" max="12549" width="27.140625" style="8" customWidth="1"/>
    <col min="12550" max="12550" width="4.85546875" style="8" customWidth="1"/>
    <col min="12551" max="12551" width="9.7109375" style="8" bestFit="1" customWidth="1"/>
    <col min="12552" max="12552" width="8.42578125" style="8" bestFit="1" customWidth="1"/>
    <col min="12553" max="12553" width="12.28515625" style="8" customWidth="1"/>
    <col min="12554" max="12554" width="10.5703125" style="8" customWidth="1"/>
    <col min="12555" max="12555" width="9.42578125" style="8" customWidth="1"/>
    <col min="12556" max="12556" width="9" style="8" customWidth="1"/>
    <col min="12557" max="12557" width="10.28515625" style="8" bestFit="1" customWidth="1"/>
    <col min="12558" max="12803" width="8.85546875" style="8"/>
    <col min="12804" max="12804" width="25.7109375" style="8" customWidth="1"/>
    <col min="12805" max="12805" width="27.140625" style="8" customWidth="1"/>
    <col min="12806" max="12806" width="4.85546875" style="8" customWidth="1"/>
    <col min="12807" max="12807" width="9.7109375" style="8" bestFit="1" customWidth="1"/>
    <col min="12808" max="12808" width="8.42578125" style="8" bestFit="1" customWidth="1"/>
    <col min="12809" max="12809" width="12.28515625" style="8" customWidth="1"/>
    <col min="12810" max="12810" width="10.5703125" style="8" customWidth="1"/>
    <col min="12811" max="12811" width="9.42578125" style="8" customWidth="1"/>
    <col min="12812" max="12812" width="9" style="8" customWidth="1"/>
    <col min="12813" max="12813" width="10.28515625" style="8" bestFit="1" customWidth="1"/>
    <col min="12814" max="13059" width="8.85546875" style="8"/>
    <col min="13060" max="13060" width="25.7109375" style="8" customWidth="1"/>
    <col min="13061" max="13061" width="27.140625" style="8" customWidth="1"/>
    <col min="13062" max="13062" width="4.85546875" style="8" customWidth="1"/>
    <col min="13063" max="13063" width="9.7109375" style="8" bestFit="1" customWidth="1"/>
    <col min="13064" max="13064" width="8.42578125" style="8" bestFit="1" customWidth="1"/>
    <col min="13065" max="13065" width="12.28515625" style="8" customWidth="1"/>
    <col min="13066" max="13066" width="10.5703125" style="8" customWidth="1"/>
    <col min="13067" max="13067" width="9.42578125" style="8" customWidth="1"/>
    <col min="13068" max="13068" width="9" style="8" customWidth="1"/>
    <col min="13069" max="13069" width="10.28515625" style="8" bestFit="1" customWidth="1"/>
    <col min="13070" max="13315" width="8.85546875" style="8"/>
    <col min="13316" max="13316" width="25.7109375" style="8" customWidth="1"/>
    <col min="13317" max="13317" width="27.140625" style="8" customWidth="1"/>
    <col min="13318" max="13318" width="4.85546875" style="8" customWidth="1"/>
    <col min="13319" max="13319" width="9.7109375" style="8" bestFit="1" customWidth="1"/>
    <col min="13320" max="13320" width="8.42578125" style="8" bestFit="1" customWidth="1"/>
    <col min="13321" max="13321" width="12.28515625" style="8" customWidth="1"/>
    <col min="13322" max="13322" width="10.5703125" style="8" customWidth="1"/>
    <col min="13323" max="13323" width="9.42578125" style="8" customWidth="1"/>
    <col min="13324" max="13324" width="9" style="8" customWidth="1"/>
    <col min="13325" max="13325" width="10.28515625" style="8" bestFit="1" customWidth="1"/>
    <col min="13326" max="13571" width="8.85546875" style="8"/>
    <col min="13572" max="13572" width="25.7109375" style="8" customWidth="1"/>
    <col min="13573" max="13573" width="27.140625" style="8" customWidth="1"/>
    <col min="13574" max="13574" width="4.85546875" style="8" customWidth="1"/>
    <col min="13575" max="13575" width="9.7109375" style="8" bestFit="1" customWidth="1"/>
    <col min="13576" max="13576" width="8.42578125" style="8" bestFit="1" customWidth="1"/>
    <col min="13577" max="13577" width="12.28515625" style="8" customWidth="1"/>
    <col min="13578" max="13578" width="10.5703125" style="8" customWidth="1"/>
    <col min="13579" max="13579" width="9.42578125" style="8" customWidth="1"/>
    <col min="13580" max="13580" width="9" style="8" customWidth="1"/>
    <col min="13581" max="13581" width="10.28515625" style="8" bestFit="1" customWidth="1"/>
    <col min="13582" max="13827" width="8.85546875" style="8"/>
    <col min="13828" max="13828" width="25.7109375" style="8" customWidth="1"/>
    <col min="13829" max="13829" width="27.140625" style="8" customWidth="1"/>
    <col min="13830" max="13830" width="4.85546875" style="8" customWidth="1"/>
    <col min="13831" max="13831" width="9.7109375" style="8" bestFit="1" customWidth="1"/>
    <col min="13832" max="13832" width="8.42578125" style="8" bestFit="1" customWidth="1"/>
    <col min="13833" max="13833" width="12.28515625" style="8" customWidth="1"/>
    <col min="13834" max="13834" width="10.5703125" style="8" customWidth="1"/>
    <col min="13835" max="13835" width="9.42578125" style="8" customWidth="1"/>
    <col min="13836" max="13836" width="9" style="8" customWidth="1"/>
    <col min="13837" max="13837" width="10.28515625" style="8" bestFit="1" customWidth="1"/>
    <col min="13838" max="14083" width="8.85546875" style="8"/>
    <col min="14084" max="14084" width="25.7109375" style="8" customWidth="1"/>
    <col min="14085" max="14085" width="27.140625" style="8" customWidth="1"/>
    <col min="14086" max="14086" width="4.85546875" style="8" customWidth="1"/>
    <col min="14087" max="14087" width="9.7109375" style="8" bestFit="1" customWidth="1"/>
    <col min="14088" max="14088" width="8.42578125" style="8" bestFit="1" customWidth="1"/>
    <col min="14089" max="14089" width="12.28515625" style="8" customWidth="1"/>
    <col min="14090" max="14090" width="10.5703125" style="8" customWidth="1"/>
    <col min="14091" max="14091" width="9.42578125" style="8" customWidth="1"/>
    <col min="14092" max="14092" width="9" style="8" customWidth="1"/>
    <col min="14093" max="14093" width="10.28515625" style="8" bestFit="1" customWidth="1"/>
    <col min="14094" max="14339" width="8.85546875" style="8"/>
    <col min="14340" max="14340" width="25.7109375" style="8" customWidth="1"/>
    <col min="14341" max="14341" width="27.140625" style="8" customWidth="1"/>
    <col min="14342" max="14342" width="4.85546875" style="8" customWidth="1"/>
    <col min="14343" max="14343" width="9.7109375" style="8" bestFit="1" customWidth="1"/>
    <col min="14344" max="14344" width="8.42578125" style="8" bestFit="1" customWidth="1"/>
    <col min="14345" max="14345" width="12.28515625" style="8" customWidth="1"/>
    <col min="14346" max="14346" width="10.5703125" style="8" customWidth="1"/>
    <col min="14347" max="14347" width="9.42578125" style="8" customWidth="1"/>
    <col min="14348" max="14348" width="9" style="8" customWidth="1"/>
    <col min="14349" max="14349" width="10.28515625" style="8" bestFit="1" customWidth="1"/>
    <col min="14350" max="14595" width="8.85546875" style="8"/>
    <col min="14596" max="14596" width="25.7109375" style="8" customWidth="1"/>
    <col min="14597" max="14597" width="27.140625" style="8" customWidth="1"/>
    <col min="14598" max="14598" width="4.85546875" style="8" customWidth="1"/>
    <col min="14599" max="14599" width="9.7109375" style="8" bestFit="1" customWidth="1"/>
    <col min="14600" max="14600" width="8.42578125" style="8" bestFit="1" customWidth="1"/>
    <col min="14601" max="14601" width="12.28515625" style="8" customWidth="1"/>
    <col min="14602" max="14602" width="10.5703125" style="8" customWidth="1"/>
    <col min="14603" max="14603" width="9.42578125" style="8" customWidth="1"/>
    <col min="14604" max="14604" width="9" style="8" customWidth="1"/>
    <col min="14605" max="14605" width="10.28515625" style="8" bestFit="1" customWidth="1"/>
    <col min="14606" max="14851" width="8.85546875" style="8"/>
    <col min="14852" max="14852" width="25.7109375" style="8" customWidth="1"/>
    <col min="14853" max="14853" width="27.140625" style="8" customWidth="1"/>
    <col min="14854" max="14854" width="4.85546875" style="8" customWidth="1"/>
    <col min="14855" max="14855" width="9.7109375" style="8" bestFit="1" customWidth="1"/>
    <col min="14856" max="14856" width="8.42578125" style="8" bestFit="1" customWidth="1"/>
    <col min="14857" max="14857" width="12.28515625" style="8" customWidth="1"/>
    <col min="14858" max="14858" width="10.5703125" style="8" customWidth="1"/>
    <col min="14859" max="14859" width="9.42578125" style="8" customWidth="1"/>
    <col min="14860" max="14860" width="9" style="8" customWidth="1"/>
    <col min="14861" max="14861" width="10.28515625" style="8" bestFit="1" customWidth="1"/>
    <col min="14862" max="15107" width="8.85546875" style="8"/>
    <col min="15108" max="15108" width="25.7109375" style="8" customWidth="1"/>
    <col min="15109" max="15109" width="27.140625" style="8" customWidth="1"/>
    <col min="15110" max="15110" width="4.85546875" style="8" customWidth="1"/>
    <col min="15111" max="15111" width="9.7109375" style="8" bestFit="1" customWidth="1"/>
    <col min="15112" max="15112" width="8.42578125" style="8" bestFit="1" customWidth="1"/>
    <col min="15113" max="15113" width="12.28515625" style="8" customWidth="1"/>
    <col min="15114" max="15114" width="10.5703125" style="8" customWidth="1"/>
    <col min="15115" max="15115" width="9.42578125" style="8" customWidth="1"/>
    <col min="15116" max="15116" width="9" style="8" customWidth="1"/>
    <col min="15117" max="15117" width="10.28515625" style="8" bestFit="1" customWidth="1"/>
    <col min="15118" max="15363" width="8.85546875" style="8"/>
    <col min="15364" max="15364" width="25.7109375" style="8" customWidth="1"/>
    <col min="15365" max="15365" width="27.140625" style="8" customWidth="1"/>
    <col min="15366" max="15366" width="4.85546875" style="8" customWidth="1"/>
    <col min="15367" max="15367" width="9.7109375" style="8" bestFit="1" customWidth="1"/>
    <col min="15368" max="15368" width="8.42578125" style="8" bestFit="1" customWidth="1"/>
    <col min="15369" max="15369" width="12.28515625" style="8" customWidth="1"/>
    <col min="15370" max="15370" width="10.5703125" style="8" customWidth="1"/>
    <col min="15371" max="15371" width="9.42578125" style="8" customWidth="1"/>
    <col min="15372" max="15372" width="9" style="8" customWidth="1"/>
    <col min="15373" max="15373" width="10.28515625" style="8" bestFit="1" customWidth="1"/>
    <col min="15374" max="15619" width="8.85546875" style="8"/>
    <col min="15620" max="15620" width="25.7109375" style="8" customWidth="1"/>
    <col min="15621" max="15621" width="27.140625" style="8" customWidth="1"/>
    <col min="15622" max="15622" width="4.85546875" style="8" customWidth="1"/>
    <col min="15623" max="15623" width="9.7109375" style="8" bestFit="1" customWidth="1"/>
    <col min="15624" max="15624" width="8.42578125" style="8" bestFit="1" customWidth="1"/>
    <col min="15625" max="15625" width="12.28515625" style="8" customWidth="1"/>
    <col min="15626" max="15626" width="10.5703125" style="8" customWidth="1"/>
    <col min="15627" max="15627" width="9.42578125" style="8" customWidth="1"/>
    <col min="15628" max="15628" width="9" style="8" customWidth="1"/>
    <col min="15629" max="15629" width="10.28515625" style="8" bestFit="1" customWidth="1"/>
    <col min="15630" max="15875" width="8.85546875" style="8"/>
    <col min="15876" max="15876" width="25.7109375" style="8" customWidth="1"/>
    <col min="15877" max="15877" width="27.140625" style="8" customWidth="1"/>
    <col min="15878" max="15878" width="4.85546875" style="8" customWidth="1"/>
    <col min="15879" max="15879" width="9.7109375" style="8" bestFit="1" customWidth="1"/>
    <col min="15880" max="15880" width="8.42578125" style="8" bestFit="1" customWidth="1"/>
    <col min="15881" max="15881" width="12.28515625" style="8" customWidth="1"/>
    <col min="15882" max="15882" width="10.5703125" style="8" customWidth="1"/>
    <col min="15883" max="15883" width="9.42578125" style="8" customWidth="1"/>
    <col min="15884" max="15884" width="9" style="8" customWidth="1"/>
    <col min="15885" max="15885" width="10.28515625" style="8" bestFit="1" customWidth="1"/>
    <col min="15886" max="16131" width="8.85546875" style="8"/>
    <col min="16132" max="16132" width="25.7109375" style="8" customWidth="1"/>
    <col min="16133" max="16133" width="27.140625" style="8" customWidth="1"/>
    <col min="16134" max="16134" width="4.85546875" style="8" customWidth="1"/>
    <col min="16135" max="16135" width="9.7109375" style="8" bestFit="1" customWidth="1"/>
    <col min="16136" max="16136" width="8.42578125" style="8" bestFit="1" customWidth="1"/>
    <col min="16137" max="16137" width="12.28515625" style="8" customWidth="1"/>
    <col min="16138" max="16138" width="10.5703125" style="8" customWidth="1"/>
    <col min="16139" max="16139" width="9.42578125" style="8" customWidth="1"/>
    <col min="16140" max="16140" width="9" style="8" customWidth="1"/>
    <col min="16141" max="16141" width="10.28515625" style="8" bestFit="1" customWidth="1"/>
    <col min="16142" max="16384" width="8.85546875" style="8"/>
  </cols>
  <sheetData>
    <row r="1" spans="1:13" ht="13.15" customHeight="1" x14ac:dyDescent="0.2">
      <c r="B1" s="1145" t="s">
        <v>1239</v>
      </c>
      <c r="C1" s="1145"/>
      <c r="D1" s="1145"/>
      <c r="E1" s="1145"/>
      <c r="F1" s="1145"/>
      <c r="G1" s="1145"/>
      <c r="H1" s="1145"/>
      <c r="I1" s="1146"/>
      <c r="J1" s="687" t="s">
        <v>51</v>
      </c>
      <c r="K1" s="688">
        <f>'District Rate'!C13</f>
        <v>162</v>
      </c>
      <c r="L1" s="8" t="s">
        <v>273</v>
      </c>
    </row>
    <row r="2" spans="1:13" ht="13.15" customHeight="1" x14ac:dyDescent="0.2">
      <c r="A2" s="690"/>
      <c r="B2" s="1145"/>
      <c r="C2" s="1145"/>
      <c r="D2" s="1145"/>
      <c r="E2" s="1145"/>
      <c r="F2" s="1145"/>
      <c r="G2" s="1145"/>
      <c r="H2" s="1145"/>
      <c r="I2" s="1146"/>
      <c r="J2" s="584" t="s">
        <v>37</v>
      </c>
      <c r="K2" s="691">
        <f>'District Rate'!C12</f>
        <v>150</v>
      </c>
      <c r="L2" s="8" t="s">
        <v>273</v>
      </c>
    </row>
    <row r="3" spans="1:13" ht="13.5" customHeight="1" thickBot="1" x14ac:dyDescent="0.25">
      <c r="A3" s="690"/>
      <c r="B3" s="1145"/>
      <c r="C3" s="1145"/>
      <c r="D3" s="1145"/>
      <c r="E3" s="1145"/>
      <c r="F3" s="1145"/>
      <c r="G3" s="1145"/>
      <c r="H3" s="1145"/>
      <c r="I3" s="1146"/>
      <c r="J3" s="681" t="s">
        <v>274</v>
      </c>
      <c r="K3" s="692">
        <v>11.5</v>
      </c>
      <c r="L3" s="8" t="s">
        <v>273</v>
      </c>
    </row>
    <row r="4" spans="1:13" x14ac:dyDescent="0.2">
      <c r="J4" s="8" t="s">
        <v>16</v>
      </c>
      <c r="K4" s="120">
        <f>skilled</f>
        <v>1100</v>
      </c>
      <c r="M4" s="8"/>
    </row>
    <row r="5" spans="1:13" ht="13.5" thickBot="1" x14ac:dyDescent="0.25">
      <c r="J5" s="8" t="s">
        <v>28</v>
      </c>
      <c r="K5" s="120">
        <f>unskilled</f>
        <v>780</v>
      </c>
      <c r="M5" s="8"/>
    </row>
    <row r="6" spans="1:13" s="91" customFormat="1" ht="27" customHeight="1" x14ac:dyDescent="0.2">
      <c r="A6" s="1149" t="s">
        <v>275</v>
      </c>
      <c r="B6" s="1116" t="s">
        <v>276</v>
      </c>
      <c r="C6" s="1118" t="s">
        <v>277</v>
      </c>
      <c r="D6" s="1118" t="s">
        <v>7</v>
      </c>
      <c r="E6" s="1118" t="s">
        <v>278</v>
      </c>
      <c r="F6" s="1118" t="s">
        <v>279</v>
      </c>
      <c r="G6" s="1118" t="s">
        <v>280</v>
      </c>
      <c r="H6" s="1151" t="s">
        <v>281</v>
      </c>
      <c r="I6" s="1151"/>
      <c r="J6" s="1151"/>
      <c r="K6" s="1118" t="s">
        <v>307</v>
      </c>
      <c r="L6" s="1118"/>
      <c r="M6" s="1147" t="s">
        <v>282</v>
      </c>
    </row>
    <row r="7" spans="1:13" ht="39" thickBot="1" x14ac:dyDescent="0.25">
      <c r="A7" s="1150"/>
      <c r="B7" s="1117"/>
      <c r="C7" s="1119"/>
      <c r="D7" s="1119"/>
      <c r="E7" s="1119"/>
      <c r="F7" s="1119"/>
      <c r="G7" s="1119"/>
      <c r="H7" s="694" t="s">
        <v>283</v>
      </c>
      <c r="I7" s="694" t="s">
        <v>284</v>
      </c>
      <c r="J7" s="694" t="s">
        <v>285</v>
      </c>
      <c r="K7" s="625" t="s">
        <v>16</v>
      </c>
      <c r="L7" s="625" t="s">
        <v>308</v>
      </c>
      <c r="M7" s="1148"/>
    </row>
    <row r="8" spans="1:13" x14ac:dyDescent="0.2">
      <c r="A8" s="695">
        <v>1</v>
      </c>
      <c r="B8" s="696" t="s">
        <v>286</v>
      </c>
      <c r="C8" s="602" t="s">
        <v>114</v>
      </c>
      <c r="D8" s="602" t="s">
        <v>287</v>
      </c>
      <c r="E8" s="602">
        <v>192</v>
      </c>
      <c r="F8" s="602">
        <v>42</v>
      </c>
      <c r="G8" s="602">
        <v>50</v>
      </c>
      <c r="H8" s="568">
        <v>5.73</v>
      </c>
      <c r="I8" s="568">
        <v>0</v>
      </c>
      <c r="J8" s="568"/>
      <c r="K8" s="602">
        <v>0.125</v>
      </c>
      <c r="L8" s="602"/>
      <c r="M8" s="697">
        <f t="shared" ref="M8:M39" si="0">E8+F8+G8+H8*$K$2+I8*$K$3+J8*$K$2+K8*$K$4+L8*$K$5</f>
        <v>1281</v>
      </c>
    </row>
    <row r="9" spans="1:13" x14ac:dyDescent="0.2">
      <c r="A9" s="695">
        <v>2</v>
      </c>
      <c r="B9" s="613" t="s">
        <v>269</v>
      </c>
      <c r="C9" s="437" t="s">
        <v>309</v>
      </c>
      <c r="D9" s="437" t="s">
        <v>287</v>
      </c>
      <c r="E9" s="437">
        <v>693</v>
      </c>
      <c r="F9" s="437">
        <v>108</v>
      </c>
      <c r="G9" s="437">
        <v>173</v>
      </c>
      <c r="H9" s="435">
        <v>6.91</v>
      </c>
      <c r="I9" s="435">
        <v>15</v>
      </c>
      <c r="J9" s="435">
        <v>200</v>
      </c>
      <c r="K9" s="437">
        <v>0.125</v>
      </c>
      <c r="L9" s="437">
        <v>0.25</v>
      </c>
      <c r="M9" s="698">
        <f t="shared" si="0"/>
        <v>32515.5</v>
      </c>
    </row>
    <row r="10" spans="1:13" x14ac:dyDescent="0.2">
      <c r="A10" s="695">
        <v>3</v>
      </c>
      <c r="B10" s="613" t="s">
        <v>346</v>
      </c>
      <c r="C10" s="437" t="s">
        <v>288</v>
      </c>
      <c r="D10" s="437" t="s">
        <v>287</v>
      </c>
      <c r="E10" s="437">
        <v>352</v>
      </c>
      <c r="F10" s="437">
        <v>44</v>
      </c>
      <c r="G10" s="437">
        <v>88</v>
      </c>
      <c r="H10" s="435">
        <v>6.14</v>
      </c>
      <c r="I10" s="435">
        <v>25</v>
      </c>
      <c r="J10" s="435"/>
      <c r="K10" s="437">
        <v>0.125</v>
      </c>
      <c r="L10" s="437">
        <v>0.25</v>
      </c>
      <c r="M10" s="698">
        <f t="shared" si="0"/>
        <v>2025</v>
      </c>
    </row>
    <row r="11" spans="1:13" hidden="1" x14ac:dyDescent="0.2">
      <c r="A11" s="695">
        <v>4</v>
      </c>
      <c r="B11" s="613" t="s">
        <v>347</v>
      </c>
      <c r="C11" s="437" t="s">
        <v>348</v>
      </c>
      <c r="D11" s="437" t="s">
        <v>287</v>
      </c>
      <c r="E11" s="437">
        <v>26</v>
      </c>
      <c r="F11" s="437">
        <v>3</v>
      </c>
      <c r="G11" s="437">
        <v>8</v>
      </c>
      <c r="H11" s="435"/>
      <c r="I11" s="435">
        <v>2</v>
      </c>
      <c r="J11" s="435"/>
      <c r="K11" s="437"/>
      <c r="L11" s="437"/>
      <c r="M11" s="698">
        <f t="shared" si="0"/>
        <v>60</v>
      </c>
    </row>
    <row r="12" spans="1:13" hidden="1" x14ac:dyDescent="0.2">
      <c r="A12" s="695">
        <v>5</v>
      </c>
      <c r="B12" s="613" t="s">
        <v>349</v>
      </c>
      <c r="C12" s="437" t="s">
        <v>350</v>
      </c>
      <c r="D12" s="437" t="s">
        <v>287</v>
      </c>
      <c r="E12" s="437">
        <v>40</v>
      </c>
      <c r="F12" s="437">
        <v>3</v>
      </c>
      <c r="G12" s="437">
        <v>8</v>
      </c>
      <c r="H12" s="435">
        <v>1.96</v>
      </c>
      <c r="I12" s="435"/>
      <c r="J12" s="435">
        <v>5</v>
      </c>
      <c r="K12" s="437"/>
      <c r="L12" s="437"/>
      <c r="M12" s="698">
        <f t="shared" si="0"/>
        <v>1095</v>
      </c>
    </row>
    <row r="13" spans="1:13" ht="38.25" hidden="1" x14ac:dyDescent="0.2">
      <c r="A13" s="695">
        <v>6</v>
      </c>
      <c r="B13" s="613" t="s">
        <v>351</v>
      </c>
      <c r="C13" s="437" t="s">
        <v>352</v>
      </c>
      <c r="D13" s="437" t="s">
        <v>287</v>
      </c>
      <c r="E13" s="437">
        <v>443</v>
      </c>
      <c r="F13" s="437">
        <v>63</v>
      </c>
      <c r="G13" s="437">
        <v>176</v>
      </c>
      <c r="H13" s="435">
        <v>10.24</v>
      </c>
      <c r="I13" s="435"/>
      <c r="J13" s="435">
        <v>3</v>
      </c>
      <c r="K13" s="437">
        <v>0.125</v>
      </c>
      <c r="L13" s="437">
        <v>0.125</v>
      </c>
      <c r="M13" s="698">
        <f t="shared" si="0"/>
        <v>2903</v>
      </c>
    </row>
    <row r="14" spans="1:13" ht="25.5" hidden="1" x14ac:dyDescent="0.2">
      <c r="A14" s="695">
        <v>7</v>
      </c>
      <c r="B14" s="613" t="s">
        <v>353</v>
      </c>
      <c r="C14" s="699" t="s">
        <v>354</v>
      </c>
      <c r="D14" s="437" t="s">
        <v>287</v>
      </c>
      <c r="E14" s="437">
        <v>196</v>
      </c>
      <c r="F14" s="437">
        <v>30</v>
      </c>
      <c r="G14" s="437">
        <v>64</v>
      </c>
      <c r="H14" s="435">
        <v>7.06</v>
      </c>
      <c r="I14" s="435"/>
      <c r="J14" s="435"/>
      <c r="K14" s="437">
        <v>0.125</v>
      </c>
      <c r="L14" s="437">
        <v>0.125</v>
      </c>
      <c r="M14" s="698">
        <f t="shared" si="0"/>
        <v>1584</v>
      </c>
    </row>
    <row r="15" spans="1:13" hidden="1" x14ac:dyDescent="0.2">
      <c r="A15" s="695">
        <v>8</v>
      </c>
      <c r="B15" s="613" t="s">
        <v>355</v>
      </c>
      <c r="C15" s="437" t="s">
        <v>356</v>
      </c>
      <c r="D15" s="437" t="s">
        <v>287</v>
      </c>
      <c r="E15" s="437">
        <v>375</v>
      </c>
      <c r="F15" s="437">
        <v>50</v>
      </c>
      <c r="G15" s="437">
        <v>75</v>
      </c>
      <c r="H15" s="435">
        <v>3.89</v>
      </c>
      <c r="I15" s="435">
        <v>20</v>
      </c>
      <c r="J15" s="435"/>
      <c r="K15" s="437">
        <v>0.125</v>
      </c>
      <c r="L15" s="437"/>
      <c r="M15" s="698">
        <f t="shared" si="0"/>
        <v>1451</v>
      </c>
    </row>
    <row r="16" spans="1:13" x14ac:dyDescent="0.2">
      <c r="A16" s="695">
        <v>9</v>
      </c>
      <c r="B16" s="613" t="s">
        <v>357</v>
      </c>
      <c r="C16" s="437" t="s">
        <v>358</v>
      </c>
      <c r="D16" s="437" t="s">
        <v>287</v>
      </c>
      <c r="E16" s="437">
        <v>80</v>
      </c>
      <c r="F16" s="437">
        <v>5</v>
      </c>
      <c r="G16" s="437">
        <v>10</v>
      </c>
      <c r="H16" s="435">
        <v>3.06</v>
      </c>
      <c r="I16" s="435"/>
      <c r="J16" s="435"/>
      <c r="K16" s="437">
        <v>0.125</v>
      </c>
      <c r="L16" s="437">
        <v>0.125</v>
      </c>
      <c r="M16" s="698">
        <f t="shared" si="0"/>
        <v>789</v>
      </c>
    </row>
    <row r="17" spans="1:13" hidden="1" x14ac:dyDescent="0.2">
      <c r="A17" s="695">
        <v>10</v>
      </c>
      <c r="B17" s="613" t="s">
        <v>157</v>
      </c>
      <c r="C17" s="437" t="s">
        <v>312</v>
      </c>
      <c r="D17" s="437" t="s">
        <v>287</v>
      </c>
      <c r="E17" s="437">
        <v>820</v>
      </c>
      <c r="F17" s="437">
        <v>145</v>
      </c>
      <c r="G17" s="437">
        <v>338</v>
      </c>
      <c r="H17" s="435">
        <v>10.130000000000001</v>
      </c>
      <c r="I17" s="435"/>
      <c r="J17" s="435"/>
      <c r="K17" s="437">
        <v>0.125</v>
      </c>
      <c r="L17" s="437">
        <v>0.125</v>
      </c>
      <c r="M17" s="698">
        <f t="shared" si="0"/>
        <v>3057.5</v>
      </c>
    </row>
    <row r="18" spans="1:13" hidden="1" x14ac:dyDescent="0.2">
      <c r="A18" s="695">
        <v>11</v>
      </c>
      <c r="B18" s="613" t="s">
        <v>359</v>
      </c>
      <c r="C18" s="437" t="s">
        <v>312</v>
      </c>
      <c r="D18" s="437" t="s">
        <v>287</v>
      </c>
      <c r="E18" s="437">
        <v>599</v>
      </c>
      <c r="F18" s="437">
        <v>106</v>
      </c>
      <c r="G18" s="437">
        <v>170</v>
      </c>
      <c r="H18" s="435">
        <v>6.75</v>
      </c>
      <c r="I18" s="435"/>
      <c r="J18" s="435"/>
      <c r="K18" s="437">
        <v>0.125</v>
      </c>
      <c r="L18" s="437">
        <v>0.125</v>
      </c>
      <c r="M18" s="698">
        <f t="shared" si="0"/>
        <v>2122.5</v>
      </c>
    </row>
    <row r="19" spans="1:13" hidden="1" x14ac:dyDescent="0.2">
      <c r="A19" s="695">
        <v>12</v>
      </c>
      <c r="B19" s="613" t="s">
        <v>360</v>
      </c>
      <c r="C19" s="437" t="s">
        <v>312</v>
      </c>
      <c r="D19" s="437" t="s">
        <v>287</v>
      </c>
      <c r="E19" s="437">
        <v>1147</v>
      </c>
      <c r="F19" s="437">
        <v>163</v>
      </c>
      <c r="G19" s="437">
        <v>431</v>
      </c>
      <c r="H19" s="435">
        <v>14.63</v>
      </c>
      <c r="I19" s="435"/>
      <c r="J19" s="435"/>
      <c r="K19" s="437">
        <v>0.125</v>
      </c>
      <c r="L19" s="437">
        <v>0.125</v>
      </c>
      <c r="M19" s="698">
        <f t="shared" si="0"/>
        <v>4170.5</v>
      </c>
    </row>
    <row r="20" spans="1:13" ht="25.5" hidden="1" x14ac:dyDescent="0.2">
      <c r="A20" s="695">
        <v>13</v>
      </c>
      <c r="B20" s="613" t="s">
        <v>361</v>
      </c>
      <c r="C20" s="437" t="s">
        <v>362</v>
      </c>
      <c r="D20" s="437" t="s">
        <v>287</v>
      </c>
      <c r="E20" s="437">
        <v>1000</v>
      </c>
      <c r="F20" s="437">
        <v>120</v>
      </c>
      <c r="G20" s="437">
        <v>200</v>
      </c>
      <c r="H20" s="435">
        <v>8.9600000000000009</v>
      </c>
      <c r="I20" s="435"/>
      <c r="J20" s="435"/>
      <c r="K20" s="437">
        <v>0.125</v>
      </c>
      <c r="L20" s="437">
        <v>0.125</v>
      </c>
      <c r="M20" s="698">
        <f t="shared" si="0"/>
        <v>2899</v>
      </c>
    </row>
    <row r="21" spans="1:13" x14ac:dyDescent="0.2">
      <c r="A21" s="695">
        <v>14</v>
      </c>
      <c r="B21" s="613" t="s">
        <v>363</v>
      </c>
      <c r="C21" s="437" t="s">
        <v>293</v>
      </c>
      <c r="D21" s="437" t="s">
        <v>287</v>
      </c>
      <c r="E21" s="437">
        <v>1300</v>
      </c>
      <c r="F21" s="437">
        <v>330</v>
      </c>
      <c r="G21" s="437">
        <v>550</v>
      </c>
      <c r="H21" s="435">
        <v>14.14</v>
      </c>
      <c r="I21" s="435"/>
      <c r="J21" s="435"/>
      <c r="K21" s="437">
        <v>0.125</v>
      </c>
      <c r="L21" s="437"/>
      <c r="M21" s="698">
        <f t="shared" si="0"/>
        <v>4438.5</v>
      </c>
    </row>
    <row r="22" spans="1:13" ht="25.5" x14ac:dyDescent="0.2">
      <c r="A22" s="695">
        <v>15</v>
      </c>
      <c r="B22" s="613" t="s">
        <v>364</v>
      </c>
      <c r="C22" s="437" t="s">
        <v>365</v>
      </c>
      <c r="D22" s="437" t="s">
        <v>287</v>
      </c>
      <c r="E22" s="437">
        <v>126</v>
      </c>
      <c r="F22" s="437">
        <v>24</v>
      </c>
      <c r="G22" s="437">
        <v>36</v>
      </c>
      <c r="H22" s="435">
        <v>1.3</v>
      </c>
      <c r="I22" s="435"/>
      <c r="J22" s="435"/>
      <c r="K22" s="437">
        <v>0.125</v>
      </c>
      <c r="L22" s="437">
        <v>0.125</v>
      </c>
      <c r="M22" s="698">
        <f t="shared" si="0"/>
        <v>616</v>
      </c>
    </row>
    <row r="23" spans="1:13" x14ac:dyDescent="0.2">
      <c r="A23" s="695">
        <v>16</v>
      </c>
      <c r="B23" s="613" t="s">
        <v>289</v>
      </c>
      <c r="C23" s="437" t="s">
        <v>274</v>
      </c>
      <c r="D23" s="437" t="s">
        <v>287</v>
      </c>
      <c r="E23" s="437">
        <v>77</v>
      </c>
      <c r="F23" s="437">
        <v>10</v>
      </c>
      <c r="G23" s="437">
        <v>17</v>
      </c>
      <c r="H23" s="435">
        <v>4.54</v>
      </c>
      <c r="I23" s="435">
        <v>0</v>
      </c>
      <c r="J23" s="435"/>
      <c r="K23" s="437"/>
      <c r="L23" s="437"/>
      <c r="M23" s="698">
        <f t="shared" si="0"/>
        <v>785</v>
      </c>
    </row>
    <row r="24" spans="1:13" ht="25.5" x14ac:dyDescent="0.2">
      <c r="A24" s="695">
        <v>17</v>
      </c>
      <c r="B24" s="613" t="s">
        <v>366</v>
      </c>
      <c r="C24" s="437" t="s">
        <v>367</v>
      </c>
      <c r="D24" s="437" t="s">
        <v>287</v>
      </c>
      <c r="E24" s="437">
        <v>105</v>
      </c>
      <c r="F24" s="437"/>
      <c r="G24" s="437">
        <v>10</v>
      </c>
      <c r="H24" s="435"/>
      <c r="I24" s="435">
        <v>1</v>
      </c>
      <c r="J24" s="435"/>
      <c r="K24" s="437"/>
      <c r="L24" s="437"/>
      <c r="M24" s="698">
        <f t="shared" si="0"/>
        <v>126.5</v>
      </c>
    </row>
    <row r="25" spans="1:13" x14ac:dyDescent="0.2">
      <c r="A25" s="695">
        <v>18</v>
      </c>
      <c r="B25" s="613" t="s">
        <v>368</v>
      </c>
      <c r="C25" s="437" t="s">
        <v>369</v>
      </c>
      <c r="D25" s="437" t="s">
        <v>287</v>
      </c>
      <c r="E25" s="437">
        <v>63</v>
      </c>
      <c r="F25" s="437">
        <v>6</v>
      </c>
      <c r="G25" s="437">
        <v>12</v>
      </c>
      <c r="H25" s="435"/>
      <c r="I25" s="435">
        <v>1</v>
      </c>
      <c r="J25" s="435"/>
      <c r="K25" s="437"/>
      <c r="L25" s="437"/>
      <c r="M25" s="698">
        <f t="shared" si="0"/>
        <v>92.5</v>
      </c>
    </row>
    <row r="26" spans="1:13" hidden="1" x14ac:dyDescent="0.2">
      <c r="A26" s="695">
        <v>19</v>
      </c>
      <c r="B26" s="613" t="s">
        <v>370</v>
      </c>
      <c r="C26" s="437" t="s">
        <v>371</v>
      </c>
      <c r="D26" s="437" t="s">
        <v>287</v>
      </c>
      <c r="E26" s="437">
        <v>46</v>
      </c>
      <c r="F26" s="437">
        <v>4</v>
      </c>
      <c r="G26" s="437">
        <v>8</v>
      </c>
      <c r="H26" s="435">
        <v>1.1499999999999999</v>
      </c>
      <c r="I26" s="435"/>
      <c r="J26" s="435"/>
      <c r="K26" s="437">
        <v>0.125</v>
      </c>
      <c r="L26" s="437"/>
      <c r="M26" s="698">
        <f t="shared" si="0"/>
        <v>368</v>
      </c>
    </row>
    <row r="27" spans="1:13" x14ac:dyDescent="0.2">
      <c r="A27" s="695">
        <v>20</v>
      </c>
      <c r="B27" s="613" t="s">
        <v>290</v>
      </c>
      <c r="C27" s="437" t="s">
        <v>291</v>
      </c>
      <c r="D27" s="437" t="s">
        <v>287</v>
      </c>
      <c r="E27" s="437">
        <v>620</v>
      </c>
      <c r="F27" s="437">
        <v>165</v>
      </c>
      <c r="G27" s="437">
        <v>275</v>
      </c>
      <c r="H27" s="435">
        <v>14.4</v>
      </c>
      <c r="I27" s="435">
        <v>0</v>
      </c>
      <c r="J27" s="435"/>
      <c r="K27" s="437">
        <v>0.125</v>
      </c>
      <c r="L27" s="437"/>
      <c r="M27" s="698">
        <f t="shared" si="0"/>
        <v>3357.5</v>
      </c>
    </row>
    <row r="28" spans="1:13" hidden="1" x14ac:dyDescent="0.2">
      <c r="A28" s="695">
        <v>21</v>
      </c>
      <c r="B28" s="613" t="s">
        <v>372</v>
      </c>
      <c r="C28" s="437" t="s">
        <v>373</v>
      </c>
      <c r="D28" s="437" t="s">
        <v>287</v>
      </c>
      <c r="E28" s="437">
        <v>68</v>
      </c>
      <c r="F28" s="437">
        <v>12</v>
      </c>
      <c r="G28" s="437">
        <v>24</v>
      </c>
      <c r="H28" s="435"/>
      <c r="I28" s="435">
        <v>1</v>
      </c>
      <c r="J28" s="435"/>
      <c r="K28" s="437">
        <v>0.125</v>
      </c>
      <c r="L28" s="437"/>
      <c r="M28" s="698">
        <f t="shared" si="0"/>
        <v>253</v>
      </c>
    </row>
    <row r="29" spans="1:13" hidden="1" x14ac:dyDescent="0.2">
      <c r="A29" s="695">
        <v>22</v>
      </c>
      <c r="B29" s="613" t="s">
        <v>374</v>
      </c>
      <c r="C29" s="437" t="s">
        <v>375</v>
      </c>
      <c r="D29" s="437" t="s">
        <v>287</v>
      </c>
      <c r="E29" s="437">
        <v>147</v>
      </c>
      <c r="F29" s="437">
        <v>28</v>
      </c>
      <c r="G29" s="437">
        <v>56</v>
      </c>
      <c r="H29" s="435"/>
      <c r="I29" s="435">
        <v>2</v>
      </c>
      <c r="J29" s="435"/>
      <c r="K29" s="437">
        <v>0.125</v>
      </c>
      <c r="L29" s="437"/>
      <c r="M29" s="698">
        <f t="shared" si="0"/>
        <v>391.5</v>
      </c>
    </row>
    <row r="30" spans="1:13" x14ac:dyDescent="0.2">
      <c r="A30" s="695">
        <v>23</v>
      </c>
      <c r="B30" s="613" t="s">
        <v>376</v>
      </c>
      <c r="C30" s="437" t="s">
        <v>377</v>
      </c>
      <c r="D30" s="437" t="s">
        <v>287</v>
      </c>
      <c r="E30" s="437">
        <v>42</v>
      </c>
      <c r="F30" s="437">
        <v>8</v>
      </c>
      <c r="G30" s="437">
        <v>16</v>
      </c>
      <c r="H30" s="435">
        <v>1.3</v>
      </c>
      <c r="I30" s="435"/>
      <c r="J30" s="435"/>
      <c r="K30" s="437">
        <v>0.125</v>
      </c>
      <c r="L30" s="437"/>
      <c r="M30" s="698">
        <f t="shared" si="0"/>
        <v>398.5</v>
      </c>
    </row>
    <row r="31" spans="1:13" ht="25.5" x14ac:dyDescent="0.2">
      <c r="A31" s="695">
        <v>24</v>
      </c>
      <c r="B31" s="613" t="s">
        <v>378</v>
      </c>
      <c r="C31" s="437" t="s">
        <v>379</v>
      </c>
      <c r="D31" s="437" t="s">
        <v>287</v>
      </c>
      <c r="E31" s="437">
        <v>105</v>
      </c>
      <c r="F31" s="437">
        <v>20</v>
      </c>
      <c r="G31" s="437">
        <v>40</v>
      </c>
      <c r="H31" s="435"/>
      <c r="I31" s="435"/>
      <c r="J31" s="435"/>
      <c r="K31" s="437"/>
      <c r="L31" s="437"/>
      <c r="M31" s="698">
        <f t="shared" si="0"/>
        <v>165</v>
      </c>
    </row>
    <row r="32" spans="1:13" ht="25.5" x14ac:dyDescent="0.2">
      <c r="A32" s="695">
        <v>25</v>
      </c>
      <c r="B32" s="613" t="s">
        <v>380</v>
      </c>
      <c r="C32" s="437" t="s">
        <v>379</v>
      </c>
      <c r="D32" s="437" t="s">
        <v>287</v>
      </c>
      <c r="E32" s="437">
        <v>256</v>
      </c>
      <c r="F32" s="437">
        <v>33</v>
      </c>
      <c r="G32" s="437">
        <v>56</v>
      </c>
      <c r="H32" s="435"/>
      <c r="I32" s="435">
        <v>5</v>
      </c>
      <c r="J32" s="435"/>
      <c r="K32" s="437"/>
      <c r="L32" s="437"/>
      <c r="M32" s="698">
        <f t="shared" si="0"/>
        <v>402.5</v>
      </c>
    </row>
    <row r="33" spans="1:13" ht="25.5" x14ac:dyDescent="0.2">
      <c r="A33" s="695">
        <v>26</v>
      </c>
      <c r="B33" s="613" t="s">
        <v>292</v>
      </c>
      <c r="C33" s="437" t="s">
        <v>293</v>
      </c>
      <c r="D33" s="437" t="s">
        <v>287</v>
      </c>
      <c r="E33" s="437">
        <v>22</v>
      </c>
      <c r="F33" s="437">
        <v>3</v>
      </c>
      <c r="G33" s="437">
        <v>5</v>
      </c>
      <c r="H33" s="435">
        <v>1.62</v>
      </c>
      <c r="I33" s="435">
        <v>0</v>
      </c>
      <c r="J33" s="435"/>
      <c r="K33" s="437"/>
      <c r="L33" s="437"/>
      <c r="M33" s="698">
        <f t="shared" si="0"/>
        <v>273</v>
      </c>
    </row>
    <row r="34" spans="1:13" x14ac:dyDescent="0.2">
      <c r="A34" s="695">
        <v>27</v>
      </c>
      <c r="B34" s="613" t="s">
        <v>39</v>
      </c>
      <c r="C34" s="437" t="s">
        <v>294</v>
      </c>
      <c r="D34" s="437" t="s">
        <v>287</v>
      </c>
      <c r="E34" s="437">
        <v>543</v>
      </c>
      <c r="F34" s="437">
        <v>136</v>
      </c>
      <c r="G34" s="437">
        <v>227</v>
      </c>
      <c r="H34" s="435">
        <v>9.7899999999999991</v>
      </c>
      <c r="I34" s="435"/>
      <c r="J34" s="435"/>
      <c r="K34" s="437">
        <v>0.125</v>
      </c>
      <c r="L34" s="437"/>
      <c r="M34" s="698">
        <f t="shared" si="0"/>
        <v>2512</v>
      </c>
    </row>
    <row r="35" spans="1:13" hidden="1" x14ac:dyDescent="0.2">
      <c r="A35" s="695">
        <v>28</v>
      </c>
      <c r="B35" s="613" t="s">
        <v>381</v>
      </c>
      <c r="C35" s="437" t="s">
        <v>382</v>
      </c>
      <c r="D35" s="437" t="s">
        <v>287</v>
      </c>
      <c r="E35" s="437">
        <v>69</v>
      </c>
      <c r="F35" s="437">
        <v>5</v>
      </c>
      <c r="G35" s="437">
        <v>16</v>
      </c>
      <c r="H35" s="435"/>
      <c r="I35" s="435">
        <v>1</v>
      </c>
      <c r="J35" s="435">
        <v>2.88</v>
      </c>
      <c r="K35" s="437">
        <v>0.125</v>
      </c>
      <c r="L35" s="437">
        <v>0.125</v>
      </c>
      <c r="M35" s="698">
        <f t="shared" si="0"/>
        <v>768.5</v>
      </c>
    </row>
    <row r="36" spans="1:13" ht="25.5" x14ac:dyDescent="0.2">
      <c r="A36" s="695">
        <v>29</v>
      </c>
      <c r="B36" s="613" t="s">
        <v>295</v>
      </c>
      <c r="C36" s="437" t="s">
        <v>288</v>
      </c>
      <c r="D36" s="437" t="s">
        <v>287</v>
      </c>
      <c r="E36" s="437">
        <v>31</v>
      </c>
      <c r="F36" s="437">
        <v>3</v>
      </c>
      <c r="G36" s="437">
        <v>11</v>
      </c>
      <c r="H36" s="435">
        <v>1.92</v>
      </c>
      <c r="I36" s="435">
        <v>0</v>
      </c>
      <c r="J36" s="435"/>
      <c r="K36" s="437"/>
      <c r="L36" s="437"/>
      <c r="M36" s="698">
        <f t="shared" si="0"/>
        <v>333</v>
      </c>
    </row>
    <row r="37" spans="1:13" hidden="1" x14ac:dyDescent="0.2">
      <c r="A37" s="695">
        <v>30</v>
      </c>
      <c r="B37" s="613" t="s">
        <v>383</v>
      </c>
      <c r="C37" s="437" t="s">
        <v>384</v>
      </c>
      <c r="D37" s="437" t="s">
        <v>287</v>
      </c>
      <c r="E37" s="437">
        <v>211</v>
      </c>
      <c r="F37" s="437">
        <v>32</v>
      </c>
      <c r="G37" s="437">
        <v>86</v>
      </c>
      <c r="H37" s="435">
        <v>6.07</v>
      </c>
      <c r="I37" s="435"/>
      <c r="J37" s="435"/>
      <c r="K37" s="437">
        <v>0.125</v>
      </c>
      <c r="L37" s="437">
        <v>0.125</v>
      </c>
      <c r="M37" s="698">
        <f t="shared" si="0"/>
        <v>1474.5</v>
      </c>
    </row>
    <row r="38" spans="1:13" x14ac:dyDescent="0.2">
      <c r="A38" s="695">
        <v>31</v>
      </c>
      <c r="B38" s="613" t="s">
        <v>296</v>
      </c>
      <c r="C38" s="437" t="s">
        <v>297</v>
      </c>
      <c r="D38" s="437" t="s">
        <v>287</v>
      </c>
      <c r="E38" s="437">
        <v>1016</v>
      </c>
      <c r="F38" s="437">
        <v>256</v>
      </c>
      <c r="G38" s="437">
        <v>351</v>
      </c>
      <c r="H38" s="435">
        <v>8.67</v>
      </c>
      <c r="I38" s="435"/>
      <c r="J38" s="435"/>
      <c r="K38" s="437">
        <v>0.125</v>
      </c>
      <c r="L38" s="437"/>
      <c r="M38" s="698">
        <f t="shared" si="0"/>
        <v>3061</v>
      </c>
    </row>
    <row r="39" spans="1:13" x14ac:dyDescent="0.2">
      <c r="A39" s="695">
        <v>32</v>
      </c>
      <c r="B39" s="613" t="s">
        <v>310</v>
      </c>
      <c r="C39" s="437" t="s">
        <v>311</v>
      </c>
      <c r="D39" s="437" t="s">
        <v>287</v>
      </c>
      <c r="E39" s="437">
        <v>775</v>
      </c>
      <c r="F39" s="437">
        <v>119</v>
      </c>
      <c r="G39" s="437">
        <v>298</v>
      </c>
      <c r="H39" s="435">
        <v>6.94</v>
      </c>
      <c r="I39" s="435"/>
      <c r="J39" s="435"/>
      <c r="K39" s="437">
        <v>0.125</v>
      </c>
      <c r="L39" s="437">
        <v>0.125</v>
      </c>
      <c r="M39" s="698">
        <f t="shared" si="0"/>
        <v>2468</v>
      </c>
    </row>
    <row r="40" spans="1:13" hidden="1" x14ac:dyDescent="0.2">
      <c r="A40" s="695">
        <v>33</v>
      </c>
      <c r="B40" s="613" t="s">
        <v>385</v>
      </c>
      <c r="C40" s="437" t="s">
        <v>386</v>
      </c>
      <c r="D40" s="437" t="s">
        <v>287</v>
      </c>
      <c r="E40" s="437">
        <v>1600</v>
      </c>
      <c r="F40" s="437">
        <v>267</v>
      </c>
      <c r="G40" s="437">
        <v>267</v>
      </c>
      <c r="H40" s="435">
        <v>7.84</v>
      </c>
      <c r="I40" s="435"/>
      <c r="J40" s="435"/>
      <c r="K40" s="437">
        <v>0.125</v>
      </c>
      <c r="L40" s="437">
        <v>0.125</v>
      </c>
      <c r="M40" s="698">
        <f t="shared" ref="M40:M56" si="1">E40+F40+G40+H40*$K$2+I40*$K$3+J40*$K$2+K40*$K$4+L40*$K$5</f>
        <v>3545</v>
      </c>
    </row>
    <row r="41" spans="1:13" hidden="1" x14ac:dyDescent="0.2">
      <c r="A41" s="695">
        <v>34</v>
      </c>
      <c r="B41" s="613" t="s">
        <v>298</v>
      </c>
      <c r="C41" s="437" t="s">
        <v>299</v>
      </c>
      <c r="D41" s="437" t="s">
        <v>287</v>
      </c>
      <c r="E41" s="437">
        <v>54</v>
      </c>
      <c r="F41" s="437">
        <v>9</v>
      </c>
      <c r="G41" s="437">
        <v>19</v>
      </c>
      <c r="H41" s="435">
        <v>1.46</v>
      </c>
      <c r="I41" s="435">
        <v>0</v>
      </c>
      <c r="J41" s="435"/>
      <c r="K41" s="437">
        <v>0.125</v>
      </c>
      <c r="L41" s="437"/>
      <c r="M41" s="698">
        <f t="shared" si="1"/>
        <v>438.5</v>
      </c>
    </row>
    <row r="42" spans="1:13" ht="25.5" x14ac:dyDescent="0.2">
      <c r="A42" s="695">
        <v>35</v>
      </c>
      <c r="B42" s="613" t="s">
        <v>300</v>
      </c>
      <c r="C42" s="437" t="s">
        <v>301</v>
      </c>
      <c r="D42" s="437" t="s">
        <v>287</v>
      </c>
      <c r="E42" s="437">
        <v>539</v>
      </c>
      <c r="F42" s="437">
        <v>57</v>
      </c>
      <c r="G42" s="437">
        <v>296</v>
      </c>
      <c r="H42" s="435">
        <v>8.19</v>
      </c>
      <c r="I42" s="435"/>
      <c r="J42" s="435"/>
      <c r="K42" s="437">
        <v>0.125</v>
      </c>
      <c r="L42" s="437"/>
      <c r="M42" s="698">
        <f t="shared" si="1"/>
        <v>2258</v>
      </c>
    </row>
    <row r="43" spans="1:13" x14ac:dyDescent="0.2">
      <c r="A43" s="695">
        <v>36</v>
      </c>
      <c r="B43" s="613" t="s">
        <v>387</v>
      </c>
      <c r="C43" s="437" t="s">
        <v>388</v>
      </c>
      <c r="D43" s="437" t="s">
        <v>287</v>
      </c>
      <c r="E43" s="437">
        <v>115</v>
      </c>
      <c r="F43" s="437">
        <v>25</v>
      </c>
      <c r="G43" s="437">
        <v>25</v>
      </c>
      <c r="H43" s="435">
        <v>4.25</v>
      </c>
      <c r="I43" s="435"/>
      <c r="J43" s="435">
        <v>20</v>
      </c>
      <c r="K43" s="437">
        <v>0.125</v>
      </c>
      <c r="L43" s="437">
        <v>0.125</v>
      </c>
      <c r="M43" s="698">
        <f t="shared" si="1"/>
        <v>4037.5</v>
      </c>
    </row>
    <row r="44" spans="1:13" hidden="1" x14ac:dyDescent="0.2">
      <c r="A44" s="695">
        <v>37</v>
      </c>
      <c r="B44" s="613" t="s">
        <v>389</v>
      </c>
      <c r="C44" s="437" t="s">
        <v>390</v>
      </c>
      <c r="D44" s="437" t="s">
        <v>287</v>
      </c>
      <c r="E44" s="437">
        <v>92</v>
      </c>
      <c r="F44" s="437">
        <v>8</v>
      </c>
      <c r="G44" s="437">
        <v>21</v>
      </c>
      <c r="H44" s="435">
        <v>1.3</v>
      </c>
      <c r="I44" s="435"/>
      <c r="J44" s="435"/>
      <c r="K44" s="437"/>
      <c r="L44" s="437"/>
      <c r="M44" s="698">
        <f t="shared" si="1"/>
        <v>316</v>
      </c>
    </row>
    <row r="45" spans="1:13" ht="25.5" hidden="1" x14ac:dyDescent="0.2">
      <c r="A45" s="695">
        <v>38</v>
      </c>
      <c r="B45" s="613" t="s">
        <v>391</v>
      </c>
      <c r="C45" s="437" t="s">
        <v>392</v>
      </c>
      <c r="D45" s="437" t="s">
        <v>287</v>
      </c>
      <c r="E45" s="437">
        <v>297</v>
      </c>
      <c r="F45" s="437">
        <v>34</v>
      </c>
      <c r="G45" s="437">
        <v>68</v>
      </c>
      <c r="H45" s="435">
        <v>6.4</v>
      </c>
      <c r="I45" s="435"/>
      <c r="J45" s="435"/>
      <c r="K45" s="437"/>
      <c r="L45" s="437"/>
      <c r="M45" s="698">
        <f t="shared" si="1"/>
        <v>1359</v>
      </c>
    </row>
    <row r="46" spans="1:13" x14ac:dyDescent="0.2">
      <c r="A46" s="695">
        <v>39</v>
      </c>
      <c r="B46" s="613" t="s">
        <v>393</v>
      </c>
      <c r="C46" s="437" t="s">
        <v>394</v>
      </c>
      <c r="D46" s="437" t="s">
        <v>287</v>
      </c>
      <c r="E46" s="437">
        <v>53</v>
      </c>
      <c r="F46" s="437"/>
      <c r="G46" s="437"/>
      <c r="H46" s="435"/>
      <c r="I46" s="435"/>
      <c r="J46" s="435"/>
      <c r="K46" s="437"/>
      <c r="L46" s="437"/>
      <c r="M46" s="698">
        <f t="shared" si="1"/>
        <v>53</v>
      </c>
    </row>
    <row r="47" spans="1:13" ht="25.5" x14ac:dyDescent="0.2">
      <c r="A47" s="695">
        <v>40</v>
      </c>
      <c r="B47" s="613" t="s">
        <v>302</v>
      </c>
      <c r="C47" s="437" t="s">
        <v>301</v>
      </c>
      <c r="D47" s="437" t="s">
        <v>287</v>
      </c>
      <c r="E47" s="437">
        <v>173</v>
      </c>
      <c r="F47" s="437">
        <v>13</v>
      </c>
      <c r="G47" s="437">
        <v>40</v>
      </c>
      <c r="H47" s="435">
        <v>5.4</v>
      </c>
      <c r="I47" s="435"/>
      <c r="J47" s="435"/>
      <c r="K47" s="437">
        <v>0.125</v>
      </c>
      <c r="L47" s="437"/>
      <c r="M47" s="698">
        <f t="shared" si="1"/>
        <v>1173.5</v>
      </c>
    </row>
    <row r="48" spans="1:13" x14ac:dyDescent="0.2">
      <c r="A48" s="695">
        <v>41</v>
      </c>
      <c r="B48" s="613" t="s">
        <v>395</v>
      </c>
      <c r="C48" s="437" t="s">
        <v>396</v>
      </c>
      <c r="D48" s="437" t="s">
        <v>287</v>
      </c>
      <c r="E48" s="437">
        <v>104</v>
      </c>
      <c r="F48" s="437">
        <v>8</v>
      </c>
      <c r="G48" s="437">
        <v>20</v>
      </c>
      <c r="H48" s="435"/>
      <c r="I48" s="435">
        <v>1</v>
      </c>
      <c r="J48" s="435"/>
      <c r="K48" s="437"/>
      <c r="L48" s="437"/>
      <c r="M48" s="698">
        <f t="shared" si="1"/>
        <v>143.5</v>
      </c>
    </row>
    <row r="49" spans="1:18" x14ac:dyDescent="0.2">
      <c r="A49" s="695">
        <v>42</v>
      </c>
      <c r="B49" s="613" t="s">
        <v>303</v>
      </c>
      <c r="C49" s="437" t="s">
        <v>304</v>
      </c>
      <c r="D49" s="437" t="s">
        <v>287</v>
      </c>
      <c r="E49" s="437">
        <v>148</v>
      </c>
      <c r="F49" s="437">
        <v>23</v>
      </c>
      <c r="G49" s="437">
        <v>55</v>
      </c>
      <c r="H49" s="435">
        <v>6.76</v>
      </c>
      <c r="I49" s="435"/>
      <c r="J49" s="435"/>
      <c r="K49" s="437">
        <v>0.125</v>
      </c>
      <c r="L49" s="437">
        <v>0.125</v>
      </c>
      <c r="M49" s="698">
        <f t="shared" si="1"/>
        <v>1475</v>
      </c>
    </row>
    <row r="50" spans="1:18" ht="25.5" x14ac:dyDescent="0.2">
      <c r="A50" s="695">
        <v>43</v>
      </c>
      <c r="B50" s="613" t="s">
        <v>305</v>
      </c>
      <c r="C50" s="437" t="s">
        <v>306</v>
      </c>
      <c r="D50" s="437" t="s">
        <v>287</v>
      </c>
      <c r="E50" s="437">
        <v>83</v>
      </c>
      <c r="F50" s="437">
        <v>13</v>
      </c>
      <c r="G50" s="437">
        <v>33</v>
      </c>
      <c r="H50" s="435">
        <v>4.5</v>
      </c>
      <c r="I50" s="435"/>
      <c r="J50" s="435"/>
      <c r="K50" s="437">
        <v>0.125</v>
      </c>
      <c r="L50" s="437">
        <v>0.125</v>
      </c>
      <c r="M50" s="698">
        <f t="shared" si="1"/>
        <v>1039</v>
      </c>
    </row>
    <row r="51" spans="1:18" x14ac:dyDescent="0.2">
      <c r="A51" s="695">
        <v>44</v>
      </c>
      <c r="B51" s="613" t="s">
        <v>397</v>
      </c>
      <c r="C51" s="437" t="s">
        <v>398</v>
      </c>
      <c r="D51" s="437" t="s">
        <v>287</v>
      </c>
      <c r="E51" s="437">
        <v>532</v>
      </c>
      <c r="F51" s="437">
        <v>37</v>
      </c>
      <c r="G51" s="437">
        <v>153</v>
      </c>
      <c r="H51" s="435">
        <v>10.8</v>
      </c>
      <c r="I51" s="435"/>
      <c r="J51" s="435"/>
      <c r="K51" s="437">
        <v>0.125</v>
      </c>
      <c r="L51" s="437">
        <v>0.125</v>
      </c>
      <c r="M51" s="698">
        <f t="shared" si="1"/>
        <v>2577</v>
      </c>
    </row>
    <row r="52" spans="1:18" x14ac:dyDescent="0.2">
      <c r="A52" s="695">
        <v>45</v>
      </c>
      <c r="B52" s="613" t="s">
        <v>313</v>
      </c>
      <c r="C52" s="437" t="s">
        <v>301</v>
      </c>
      <c r="D52" s="437" t="s">
        <v>287</v>
      </c>
      <c r="E52" s="437">
        <v>461</v>
      </c>
      <c r="F52" s="437">
        <v>66</v>
      </c>
      <c r="G52" s="437">
        <v>159</v>
      </c>
      <c r="H52" s="435">
        <v>7.28</v>
      </c>
      <c r="I52" s="435"/>
      <c r="J52" s="435"/>
      <c r="K52" s="437">
        <v>0.125</v>
      </c>
      <c r="L52" s="437"/>
      <c r="M52" s="698">
        <f t="shared" si="1"/>
        <v>1915.5</v>
      </c>
    </row>
    <row r="53" spans="1:18" x14ac:dyDescent="0.2">
      <c r="A53" s="695">
        <v>46</v>
      </c>
      <c r="B53" s="613" t="s">
        <v>399</v>
      </c>
      <c r="C53" s="437" t="s">
        <v>400</v>
      </c>
      <c r="D53" s="437" t="s">
        <v>287</v>
      </c>
      <c r="E53" s="437">
        <v>270</v>
      </c>
      <c r="F53" s="437">
        <v>38</v>
      </c>
      <c r="G53" s="437">
        <v>110</v>
      </c>
      <c r="H53" s="435">
        <v>4.32</v>
      </c>
      <c r="I53" s="435"/>
      <c r="J53" s="435"/>
      <c r="K53" s="437">
        <v>0.125</v>
      </c>
      <c r="L53" s="437"/>
      <c r="M53" s="698">
        <f t="shared" si="1"/>
        <v>1203.5</v>
      </c>
    </row>
    <row r="54" spans="1:18" hidden="1" x14ac:dyDescent="0.2">
      <c r="A54" s="695">
        <v>47</v>
      </c>
      <c r="B54" s="613" t="s">
        <v>401</v>
      </c>
      <c r="C54" s="437" t="s">
        <v>402</v>
      </c>
      <c r="D54" s="437" t="s">
        <v>287</v>
      </c>
      <c r="E54" s="437">
        <v>433</v>
      </c>
      <c r="F54" s="437">
        <v>67</v>
      </c>
      <c r="G54" s="437">
        <v>100</v>
      </c>
      <c r="H54" s="435"/>
      <c r="I54" s="435">
        <v>30</v>
      </c>
      <c r="J54" s="435"/>
      <c r="K54" s="437">
        <v>0.125</v>
      </c>
      <c r="L54" s="437"/>
      <c r="M54" s="698">
        <f t="shared" si="1"/>
        <v>1082.5</v>
      </c>
    </row>
    <row r="55" spans="1:18" ht="25.5" hidden="1" x14ac:dyDescent="0.2">
      <c r="A55" s="695">
        <v>48</v>
      </c>
      <c r="B55" s="613" t="s">
        <v>403</v>
      </c>
      <c r="C55" s="437" t="s">
        <v>404</v>
      </c>
      <c r="D55" s="437" t="s">
        <v>287</v>
      </c>
      <c r="E55" s="437">
        <v>168</v>
      </c>
      <c r="F55" s="437">
        <v>8</v>
      </c>
      <c r="G55" s="437">
        <v>12</v>
      </c>
      <c r="H55" s="435">
        <v>1.22</v>
      </c>
      <c r="I55" s="435"/>
      <c r="J55" s="435"/>
      <c r="K55" s="437"/>
      <c r="L55" s="437"/>
      <c r="M55" s="698">
        <f t="shared" si="1"/>
        <v>371</v>
      </c>
    </row>
    <row r="56" spans="1:18" ht="15.75" thickBot="1" x14ac:dyDescent="0.3">
      <c r="A56" s="695">
        <v>49</v>
      </c>
      <c r="B56" s="619" t="s">
        <v>885</v>
      </c>
      <c r="C56" s="630" t="s">
        <v>886</v>
      </c>
      <c r="D56" s="630" t="s">
        <v>287</v>
      </c>
      <c r="E56" s="630">
        <v>500</v>
      </c>
      <c r="F56" s="630">
        <v>65</v>
      </c>
      <c r="G56" s="630">
        <v>150</v>
      </c>
      <c r="H56" s="632">
        <v>6.91</v>
      </c>
      <c r="I56" s="632"/>
      <c r="J56" s="632"/>
      <c r="K56" s="630">
        <v>0.125</v>
      </c>
      <c r="L56" s="630">
        <v>0.125</v>
      </c>
      <c r="M56" s="700">
        <f t="shared" si="1"/>
        <v>1986.5</v>
      </c>
      <c r="N56" s="701"/>
      <c r="O56" s="702"/>
      <c r="P56" s="703"/>
      <c r="Q56" s="702"/>
      <c r="R56" s="702"/>
    </row>
  </sheetData>
  <mergeCells count="11">
    <mergeCell ref="B1:I3"/>
    <mergeCell ref="M6:M7"/>
    <mergeCell ref="K6:L6"/>
    <mergeCell ref="A6:A7"/>
    <mergeCell ref="B6:B7"/>
    <mergeCell ref="C6:C7"/>
    <mergeCell ref="D6:D7"/>
    <mergeCell ref="E6:E7"/>
    <mergeCell ref="F6:F7"/>
    <mergeCell ref="G6:G7"/>
    <mergeCell ref="H6:J6"/>
  </mergeCells>
  <pageMargins left="0.7" right="0.7" top="0.75" bottom="0.75" header="0.3" footer="0.3"/>
  <pageSetup paperSize="9" scale="7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765</vt:i4>
      </vt:variant>
    </vt:vector>
  </HeadingPairs>
  <TitlesOfParts>
    <vt:vector size="780" baseType="lpstr">
      <vt:lpstr>Input for Superstructure</vt:lpstr>
      <vt:lpstr>Input for Pier</vt:lpstr>
      <vt:lpstr>Input for abutment</vt:lpstr>
      <vt:lpstr>Cover</vt:lpstr>
      <vt:lpstr>Summary</vt:lpstr>
      <vt:lpstr>Bill of quantities</vt:lpstr>
      <vt:lpstr>Quantity_estimate</vt:lpstr>
      <vt:lpstr>road earthwork</vt:lpstr>
      <vt:lpstr>Summary of rates</vt:lpstr>
      <vt:lpstr>Rate Analysis</vt:lpstr>
      <vt:lpstr>Basic Rate</vt:lpstr>
      <vt:lpstr>Collection</vt:lpstr>
      <vt:lpstr>transportation</vt:lpstr>
      <vt:lpstr>District Rate</vt:lpstr>
      <vt:lpstr>DoR equipment rate</vt:lpstr>
      <vt:lpstr>abutment_breadth</vt:lpstr>
      <vt:lpstr>abutment_footingheight_I</vt:lpstr>
      <vt:lpstr>abutment_footingheight_II</vt:lpstr>
      <vt:lpstr>abutment_heel_I</vt:lpstr>
      <vt:lpstr>abutment_heel_II</vt:lpstr>
      <vt:lpstr>abutment_neck_I</vt:lpstr>
      <vt:lpstr>abutment_neck_II</vt:lpstr>
      <vt:lpstr>abutment_stem_base</vt:lpstr>
      <vt:lpstr>abutment_toe_I</vt:lpstr>
      <vt:lpstr>abutment_toe_II</vt:lpstr>
      <vt:lpstr>abutment_width_I</vt:lpstr>
      <vt:lpstr>'Bill of quantities'!abutment_width_II</vt:lpstr>
      <vt:lpstr>Quantity_estimate!abutment_width_II</vt:lpstr>
      <vt:lpstr>Summary!abutment_width_II</vt:lpstr>
      <vt:lpstr>abutment_width_II</vt:lpstr>
      <vt:lpstr>admixture</vt:lpstr>
      <vt:lpstr>aggregate10mm</vt:lpstr>
      <vt:lpstr>aggregate20mm</vt:lpstr>
      <vt:lpstr>aggregate40mm</vt:lpstr>
      <vt:lpstr>aircompressor</vt:lpstr>
      <vt:lpstr>anchorageset</vt:lpstr>
      <vt:lpstr>angle100mm</vt:lpstr>
      <vt:lpstr>'Bill of quantities'!area_kerb</vt:lpstr>
      <vt:lpstr>'Input for abutment'!area_kerb</vt:lpstr>
      <vt:lpstr>'Input for Pier'!area_kerb</vt:lpstr>
      <vt:lpstr>Quantity_estimate!area_kerb</vt:lpstr>
      <vt:lpstr>Summary!area_kerb</vt:lpstr>
      <vt:lpstr>area_kerb</vt:lpstr>
      <vt:lpstr>'Bill of quantities'!area_railingpostbase</vt:lpstr>
      <vt:lpstr>'Input for abutment'!area_railingpostbase</vt:lpstr>
      <vt:lpstr>'Input for Pier'!area_railingpostbase</vt:lpstr>
      <vt:lpstr>Quantity_estimate!area_railingpostbase</vt:lpstr>
      <vt:lpstr>Summary!area_railingpostbase</vt:lpstr>
      <vt:lpstr>area_railingpostbase</vt:lpstr>
      <vt:lpstr>'Bill of quantities'!area_tendon</vt:lpstr>
      <vt:lpstr>'Input for abutment'!area_tendon</vt:lpstr>
      <vt:lpstr>'Input for Pier'!area_tendon</vt:lpstr>
      <vt:lpstr>Quantity_estimate!area_tendon</vt:lpstr>
      <vt:lpstr>Summary!area_tendon</vt:lpstr>
      <vt:lpstr>area_tendon</vt:lpstr>
      <vt:lpstr>asphaltconcrete</vt:lpstr>
      <vt:lpstr>backfilling_filter</vt:lpstr>
      <vt:lpstr>backfilling_granular</vt:lpstr>
      <vt:lpstr>batchingplant</vt:lpstr>
      <vt:lpstr>batchmixhmp</vt:lpstr>
      <vt:lpstr>bearing_elastomeric</vt:lpstr>
      <vt:lpstr>bearing_pot_fixed</vt:lpstr>
      <vt:lpstr>bearing_pot_sliding</vt:lpstr>
      <vt:lpstr>bearing_ptfe</vt:lpstr>
      <vt:lpstr>bentonite</vt:lpstr>
      <vt:lpstr>bentonitepump</vt:lpstr>
      <vt:lpstr>'Bill of quantities'!bindingwireblack</vt:lpstr>
      <vt:lpstr>'Input for abutment'!bindingwireblack</vt:lpstr>
      <vt:lpstr>'Input for Pier'!bindingwireblack</vt:lpstr>
      <vt:lpstr>'Input for Superstructure'!bindingwireblack</vt:lpstr>
      <vt:lpstr>Quantity_estimate!bindingwireblack</vt:lpstr>
      <vt:lpstr>Summary!bindingwireblack</vt:lpstr>
      <vt:lpstr>bindingwireblack</vt:lpstr>
      <vt:lpstr>bindingwirewhite</vt:lpstr>
      <vt:lpstr>bitumen80_100</vt:lpstr>
      <vt:lpstr>bitumenboiler</vt:lpstr>
      <vt:lpstr>bitumensprayer</vt:lpstr>
      <vt:lpstr>'Bill of quantities'!borrowpitmaterial</vt:lpstr>
      <vt:lpstr>'Input for abutment'!borrowpitmaterial</vt:lpstr>
      <vt:lpstr>'Input for Pier'!borrowpitmaterial</vt:lpstr>
      <vt:lpstr>'Input for Superstructure'!borrowpitmaterial</vt:lpstr>
      <vt:lpstr>Quantity_estimate!borrowpitmaterial</vt:lpstr>
      <vt:lpstr>Summary!borrowpitmaterial</vt:lpstr>
      <vt:lpstr>borrowpitmaterial</vt:lpstr>
      <vt:lpstr>boulderapron_200kg</vt:lpstr>
      <vt:lpstr>boulderapron_40kg</vt:lpstr>
      <vt:lpstr>'Bill of quantities'!cantilever_thicknessvariation</vt:lpstr>
      <vt:lpstr>'Input for abutment'!cantilever_thicknessvariation</vt:lpstr>
      <vt:lpstr>'Input for Pier'!cantilever_thicknessvariation</vt:lpstr>
      <vt:lpstr>Quantity_estimate!cantilever_thicknessvariation</vt:lpstr>
      <vt:lpstr>Summary!cantilever_thicknessvariation</vt:lpstr>
      <vt:lpstr>cantilever_thicknessvariation</vt:lpstr>
      <vt:lpstr>'Bill of quantities'!carriagewaywidth</vt:lpstr>
      <vt:lpstr>'Input for abutment'!carriagewaywidth</vt:lpstr>
      <vt:lpstr>'Input for Pier'!carriagewaywidth</vt:lpstr>
      <vt:lpstr>Quantity_estimate!carriagewaywidth</vt:lpstr>
      <vt:lpstr>Summary!carriagewaywidth</vt:lpstr>
      <vt:lpstr>carriagewaywidth</vt:lpstr>
      <vt:lpstr>'Bill of quantities'!cement</vt:lpstr>
      <vt:lpstr>'Input for abutment'!cement</vt:lpstr>
      <vt:lpstr>'Input for Pier'!cement</vt:lpstr>
      <vt:lpstr>'Input for Superstructure'!cement</vt:lpstr>
      <vt:lpstr>Quantity_estimate!cement</vt:lpstr>
      <vt:lpstr>Summary!cement</vt:lpstr>
      <vt:lpstr>cement</vt:lpstr>
      <vt:lpstr>'Bill of quantities'!centraldistance_IG</vt:lpstr>
      <vt:lpstr>'Input for abutment'!centraldistance_IG</vt:lpstr>
      <vt:lpstr>'Input for Pier'!centraldistance_IG</vt:lpstr>
      <vt:lpstr>Quantity_estimate!centraldistance_IG</vt:lpstr>
      <vt:lpstr>Summary!centraldistance_IG</vt:lpstr>
      <vt:lpstr>centraldistance_IG</vt:lpstr>
      <vt:lpstr>'Bill of quantities'!centraldistance_MG</vt:lpstr>
      <vt:lpstr>'Input for abutment'!centraldistance_MG</vt:lpstr>
      <vt:lpstr>'Input for Pier'!centraldistance_MG</vt:lpstr>
      <vt:lpstr>Quantity_estimate!centraldistance_MG</vt:lpstr>
      <vt:lpstr>Summary!centraldistance_MG</vt:lpstr>
      <vt:lpstr>centraldistance_MG</vt:lpstr>
      <vt:lpstr>chipspreader</vt:lpstr>
      <vt:lpstr>'Bill of quantities'!clamps</vt:lpstr>
      <vt:lpstr>'Input for abutment'!clamps</vt:lpstr>
      <vt:lpstr>'Input for Pier'!clamps</vt:lpstr>
      <vt:lpstr>'Input for Superstructure'!clamps</vt:lpstr>
      <vt:lpstr>Quantity_estimate!clamps</vt:lpstr>
      <vt:lpstr>Summary!clamps</vt:lpstr>
      <vt:lpstr>clamps</vt:lpstr>
      <vt:lpstr>clearinggrass</vt:lpstr>
      <vt:lpstr>coldmixplant</vt:lpstr>
      <vt:lpstr>compressionsealjoint</vt:lpstr>
      <vt:lpstr>compressiveseal</vt:lpstr>
      <vt:lpstr>concret_m35_superstructure</vt:lpstr>
      <vt:lpstr>concrete_m10</vt:lpstr>
      <vt:lpstr>concrete_m15_foundation</vt:lpstr>
      <vt:lpstr>concrete_M20_foundation</vt:lpstr>
      <vt:lpstr>concrete_M20_PCCgrade</vt:lpstr>
      <vt:lpstr>concrete_m20_substructure</vt:lpstr>
      <vt:lpstr>concrete_m20_superstructure</vt:lpstr>
      <vt:lpstr>concrete_m25_foundation</vt:lpstr>
      <vt:lpstr>concrete_m25_substructure</vt:lpstr>
      <vt:lpstr>concrete_m25_superstructure</vt:lpstr>
      <vt:lpstr>concrete_m30_foundation</vt:lpstr>
      <vt:lpstr>concrete_m30_superstructure</vt:lpstr>
      <vt:lpstr>concrete_m35_foundation</vt:lpstr>
      <vt:lpstr>concrete_m35_substructure</vt:lpstr>
      <vt:lpstr>concrete_m40_superstructure</vt:lpstr>
      <vt:lpstr>concrete_m45_superstructure</vt:lpstr>
      <vt:lpstr>concretepump</vt:lpstr>
      <vt:lpstr>crane</vt:lpstr>
      <vt:lpstr>crane15t</vt:lpstr>
      <vt:lpstr>crane3t</vt:lpstr>
      <vt:lpstr>crusher</vt:lpstr>
      <vt:lpstr>cutter</vt:lpstr>
      <vt:lpstr>detonator</vt:lpstr>
      <vt:lpstr>diesel</vt:lpstr>
      <vt:lpstr>dismantlingculvert</vt:lpstr>
      <vt:lpstr>dowelrod_20mm</vt:lpstr>
      <vt:lpstr>dowelrod_25mm</vt:lpstr>
      <vt:lpstr>dozer</vt:lpstr>
      <vt:lpstr>drainagespout</vt:lpstr>
      <vt:lpstr>dredgercrane</vt:lpstr>
      <vt:lpstr>drillingmachine</vt:lpstr>
      <vt:lpstr>elastomericbearing</vt:lpstr>
      <vt:lpstr>elastomericslabsteelexpjoint</vt:lpstr>
      <vt:lpstr>electricgenerator</vt:lpstr>
      <vt:lpstr>embankment_borrowpit</vt:lpstr>
      <vt:lpstr>embankment_rwcutting</vt:lpstr>
      <vt:lpstr>emulsionpressuredistributor</vt:lpstr>
      <vt:lpstr>enamel</vt:lpstr>
      <vt:lpstr>excavator</vt:lpstr>
      <vt:lpstr>expansionjoint</vt:lpstr>
      <vt:lpstr>filtermaterial</vt:lpstr>
      <vt:lpstr>filtermaterial_laying</vt:lpstr>
      <vt:lpstr>flatclamp</vt:lpstr>
      <vt:lpstr>'Bill of quantities'!footpathwidth</vt:lpstr>
      <vt:lpstr>'Input for abutment'!footpathwidth</vt:lpstr>
      <vt:lpstr>'Input for Pier'!footpathwidth</vt:lpstr>
      <vt:lpstr>Quantity_estimate!footpathwidth</vt:lpstr>
      <vt:lpstr>Summary!footpathwidth</vt:lpstr>
      <vt:lpstr>footpathwidth</vt:lpstr>
      <vt:lpstr>formwork_foundation</vt:lpstr>
      <vt:lpstr>formwork_superstructure</vt:lpstr>
      <vt:lpstr>formwork_vertical</vt:lpstr>
      <vt:lpstr>foundationexc_hrock</vt:lpstr>
      <vt:lpstr>foundationexc_orock</vt:lpstr>
      <vt:lpstr>'Bill of quantities'!foundationexc_soil</vt:lpstr>
      <vt:lpstr>'Input for abutment'!foundationexc_soil</vt:lpstr>
      <vt:lpstr>'Input for Pier'!foundationexc_soil</vt:lpstr>
      <vt:lpstr>'Input for Superstructure'!foundationexc_soil</vt:lpstr>
      <vt:lpstr>Quantity_estimate!foundationexc_soil</vt:lpstr>
      <vt:lpstr>Summary!foundationexc_soil</vt:lpstr>
      <vt:lpstr>foundationexc_soil</vt:lpstr>
      <vt:lpstr>fusewire</vt:lpstr>
      <vt:lpstr>gabionbox1.5</vt:lpstr>
      <vt:lpstr>gabionbox2</vt:lpstr>
      <vt:lpstr>gabionbox3</vt:lpstr>
      <vt:lpstr>gabionmattress_1</vt:lpstr>
      <vt:lpstr>gabionmattress_2</vt:lpstr>
      <vt:lpstr>gabionmattress_3</vt:lpstr>
      <vt:lpstr>gelatin</vt:lpstr>
      <vt:lpstr>geotextile</vt:lpstr>
      <vt:lpstr>geotextilelaying</vt:lpstr>
      <vt:lpstr>gi10gauge</vt:lpstr>
      <vt:lpstr>gi12gauge</vt:lpstr>
      <vt:lpstr>gi8gauge</vt:lpstr>
      <vt:lpstr>GIbarbedfence1.2m</vt:lpstr>
      <vt:lpstr>gibarbedwire_12g</vt:lpstr>
      <vt:lpstr>gibolt_10mm</vt:lpstr>
      <vt:lpstr>GIpipe_100mm</vt:lpstr>
      <vt:lpstr>gipipe50mm</vt:lpstr>
      <vt:lpstr>gipipe80mm</vt:lpstr>
      <vt:lpstr>gipiperailing</vt:lpstr>
      <vt:lpstr>granularmaterial</vt:lpstr>
      <vt:lpstr>groutingpump</vt:lpstr>
      <vt:lpstr>groutinjection</vt:lpstr>
      <vt:lpstr>hackingmachine</vt:lpstr>
      <vt:lpstr>handdriller</vt:lpstr>
      <vt:lpstr>hdpepipe_250mm</vt:lpstr>
      <vt:lpstr>HDPEpipe100mm</vt:lpstr>
      <vt:lpstr>heatingplate</vt:lpstr>
      <vt:lpstr>height_abutment</vt:lpstr>
      <vt:lpstr>'Bill of quantities'!height_abutment_sloping_I</vt:lpstr>
      <vt:lpstr>Quantity_estimate!height_abutment_sloping_I</vt:lpstr>
      <vt:lpstr>Summary!height_abutment_sloping_I</vt:lpstr>
      <vt:lpstr>height_abutment_slopingI</vt:lpstr>
      <vt:lpstr>'Bill of quantities'!height_abutment_slopingII</vt:lpstr>
      <vt:lpstr>Quantity_estimate!height_abutment_slopingII</vt:lpstr>
      <vt:lpstr>Summary!height_abutment_slopingII</vt:lpstr>
      <vt:lpstr>height_abutment_slopingII</vt:lpstr>
      <vt:lpstr>height_abutmentcap</vt:lpstr>
      <vt:lpstr>height_backwall</vt:lpstr>
      <vt:lpstr>'Bill of quantities'!height_EG</vt:lpstr>
      <vt:lpstr>'Input for abutment'!height_EG</vt:lpstr>
      <vt:lpstr>'Input for Pier'!height_EG</vt:lpstr>
      <vt:lpstr>Quantity_estimate!height_EG</vt:lpstr>
      <vt:lpstr>Summary!height_EG</vt:lpstr>
      <vt:lpstr>height_EG</vt:lpstr>
      <vt:lpstr>'Bill of quantities'!height_IG</vt:lpstr>
      <vt:lpstr>'Input for abutment'!height_IG</vt:lpstr>
      <vt:lpstr>'Input for Pier'!height_IG</vt:lpstr>
      <vt:lpstr>Quantity_estimate!height_IG</vt:lpstr>
      <vt:lpstr>Summary!height_IG</vt:lpstr>
      <vt:lpstr>height_IG</vt:lpstr>
      <vt:lpstr>'Bill of quantities'!height_MG_broadend</vt:lpstr>
      <vt:lpstr>'Input for abutment'!height_MG_broadend</vt:lpstr>
      <vt:lpstr>'Input for Pier'!height_MG_broadend</vt:lpstr>
      <vt:lpstr>Quantity_estimate!height_MG_broadend</vt:lpstr>
      <vt:lpstr>Summary!height_MG_broadend</vt:lpstr>
      <vt:lpstr>height_MG_broadend</vt:lpstr>
      <vt:lpstr>'Bill of quantities'!height_MG_rectangle_II</vt:lpstr>
      <vt:lpstr>'Input for abutment'!height_MG_rectangle_II</vt:lpstr>
      <vt:lpstr>'Input for Pier'!height_MG_rectangle_II</vt:lpstr>
      <vt:lpstr>Quantity_estimate!height_MG_rectangle_II</vt:lpstr>
      <vt:lpstr>Summary!height_MG_rectangle_II</vt:lpstr>
      <vt:lpstr>height_MG_rectangle_II</vt:lpstr>
      <vt:lpstr>'Bill of quantities'!height_MG_trapezoidal_II</vt:lpstr>
      <vt:lpstr>'Input for abutment'!height_MG_trapezoidal_II</vt:lpstr>
      <vt:lpstr>'Input for Pier'!height_MG_trapezoidal_II</vt:lpstr>
      <vt:lpstr>Quantity_estimate!height_MG_trapezoidal_II</vt:lpstr>
      <vt:lpstr>Summary!height_MG_trapezoidal_II</vt:lpstr>
      <vt:lpstr>height_MG_trapezoidal_II</vt:lpstr>
      <vt:lpstr>'Bill of quantities'!height_railing</vt:lpstr>
      <vt:lpstr>'Input for abutment'!height_railing</vt:lpstr>
      <vt:lpstr>'Input for Pier'!height_railing</vt:lpstr>
      <vt:lpstr>Quantity_estimate!height_railing</vt:lpstr>
      <vt:lpstr>Summary!height_railing</vt:lpstr>
      <vt:lpstr>height_railing</vt:lpstr>
      <vt:lpstr>height_seismicstopper_I</vt:lpstr>
      <vt:lpstr>height_seismicstopper_II</vt:lpstr>
      <vt:lpstr>height_slabseat_I</vt:lpstr>
      <vt:lpstr>height_slabseat_II</vt:lpstr>
      <vt:lpstr>'Bill of quantities'!height_wingwall_I</vt:lpstr>
      <vt:lpstr>Quantity_estimate!height_wingwall_I</vt:lpstr>
      <vt:lpstr>Summary!height_wingwall_I</vt:lpstr>
      <vt:lpstr>height_wingwall_I</vt:lpstr>
      <vt:lpstr>'Bill of quantities'!height_wingwall_II</vt:lpstr>
      <vt:lpstr>Quantity_estimate!height_wingwall_II</vt:lpstr>
      <vt:lpstr>Summary!height_wingwall_II</vt:lpstr>
      <vt:lpstr>height_wingwall_II</vt:lpstr>
      <vt:lpstr>hexanchorplate</vt:lpstr>
      <vt:lpstr>hexcoupling</vt:lpstr>
      <vt:lpstr>HTstrand</vt:lpstr>
      <vt:lpstr>humepipe900mm</vt:lpstr>
      <vt:lpstr>hunch_abutment_neckI</vt:lpstr>
      <vt:lpstr>hunch_abutment_neckII</vt:lpstr>
      <vt:lpstr>'Bill of quantities'!hunch_MG_broadend_I</vt:lpstr>
      <vt:lpstr>'Input for abutment'!hunch_MG_broadend_I</vt:lpstr>
      <vt:lpstr>'Input for Pier'!hunch_MG_broadend_I</vt:lpstr>
      <vt:lpstr>Quantity_estimate!hunch_MG_broadend_I</vt:lpstr>
      <vt:lpstr>Summary!hunch_MG_broadend_I</vt:lpstr>
      <vt:lpstr>hunch_MG_broadend_I</vt:lpstr>
      <vt:lpstr>'Bill of quantities'!hunch_MG_broadend_II</vt:lpstr>
      <vt:lpstr>'Input for abutment'!hunch_MG_broadend_II</vt:lpstr>
      <vt:lpstr>'Input for Pier'!hunch_MG_broadend_II</vt:lpstr>
      <vt:lpstr>Quantity_estimate!hunch_MG_broadend_II</vt:lpstr>
      <vt:lpstr>Summary!hunch_MG_broadend_II</vt:lpstr>
      <vt:lpstr>hunch_MG_broadend_II</vt:lpstr>
      <vt:lpstr>'Bill of quantities'!hunch_MG_narrowportion_I</vt:lpstr>
      <vt:lpstr>'Input for abutment'!hunch_MG_narrowportion_I</vt:lpstr>
      <vt:lpstr>'Input for Pier'!hunch_MG_narrowportion_I</vt:lpstr>
      <vt:lpstr>Quantity_estimate!hunch_MG_narrowportion_I</vt:lpstr>
      <vt:lpstr>Summary!hunch_MG_narrowportion_I</vt:lpstr>
      <vt:lpstr>hunch_MG_narrowportion_I</vt:lpstr>
      <vt:lpstr>'Bill of quantities'!hunch_MG_narrowportion_II</vt:lpstr>
      <vt:lpstr>'Input for abutment'!hunch_MG_narrowportion_II</vt:lpstr>
      <vt:lpstr>'Input for Pier'!hunch_MG_narrowportion_II</vt:lpstr>
      <vt:lpstr>Quantity_estimate!hunch_MG_narrowportion_II</vt:lpstr>
      <vt:lpstr>Summary!hunch_MG_narrowportion_II</vt:lpstr>
      <vt:lpstr>hunch_MG_narrowportion_II</vt:lpstr>
      <vt:lpstr>'Bill of quantities'!hunch_wingwall_I</vt:lpstr>
      <vt:lpstr>Quantity_estimate!hunch_wingwall_I</vt:lpstr>
      <vt:lpstr>Summary!hunch_wingwall_I</vt:lpstr>
      <vt:lpstr>hunch_wingwall_I</vt:lpstr>
      <vt:lpstr>'Bill of quantities'!hunch_wingwall_II</vt:lpstr>
      <vt:lpstr>Quantity_estimate!hunch_wingwall_II</vt:lpstr>
      <vt:lpstr>Summary!hunch_wingwall_II</vt:lpstr>
      <vt:lpstr>hunch_wingwall_II</vt:lpstr>
      <vt:lpstr>hydraulicjack200t</vt:lpstr>
      <vt:lpstr>hydraulicjack40t</vt:lpstr>
      <vt:lpstr>jackhammer</vt:lpstr>
      <vt:lpstr>jute</vt:lpstr>
      <vt:lpstr>layingHDPE100mm</vt:lpstr>
      <vt:lpstr>layinghumepipe900mm</vt:lpstr>
      <vt:lpstr>layinghumepipe900mm_collar</vt:lpstr>
      <vt:lpstr>length_abutment_footing_I</vt:lpstr>
      <vt:lpstr>'Bill of quantities'!length_abutment_footing_II</vt:lpstr>
      <vt:lpstr>Quantity_estimate!length_abutment_footing_II</vt:lpstr>
      <vt:lpstr>Summary!length_abutment_footing_II</vt:lpstr>
      <vt:lpstr>length_abutment_footing_II</vt:lpstr>
      <vt:lpstr>length_abutmentcap_I</vt:lpstr>
      <vt:lpstr>'Bill of quantities'!length_abutmentcap_II</vt:lpstr>
      <vt:lpstr>Quantity_estimate!length_abutmentcap_II</vt:lpstr>
      <vt:lpstr>Summary!length_abutmentcap_II</vt:lpstr>
      <vt:lpstr>length_abutmentcap_II</vt:lpstr>
      <vt:lpstr>'Bill of quantities'!length_approachslab</vt:lpstr>
      <vt:lpstr>'Input for abutment'!length_approachslab</vt:lpstr>
      <vt:lpstr>'Input for Pier'!length_approachslab</vt:lpstr>
      <vt:lpstr>Quantity_estimate!length_approachslab</vt:lpstr>
      <vt:lpstr>Summary!length_approachslab</vt:lpstr>
      <vt:lpstr>length_approachslab</vt:lpstr>
      <vt:lpstr>'Bill of quantities'!length_EG_I</vt:lpstr>
      <vt:lpstr>'Input for abutment'!length_EG_I</vt:lpstr>
      <vt:lpstr>'Input for Pier'!length_EG_I</vt:lpstr>
      <vt:lpstr>Quantity_estimate!length_EG_I</vt:lpstr>
      <vt:lpstr>Summary!length_EG_I</vt:lpstr>
      <vt:lpstr>length_EG_I</vt:lpstr>
      <vt:lpstr>'Bill of quantities'!length_EG_II</vt:lpstr>
      <vt:lpstr>'Input for abutment'!length_EG_II</vt:lpstr>
      <vt:lpstr>'Input for Pier'!length_EG_II</vt:lpstr>
      <vt:lpstr>Quantity_estimate!length_EG_II</vt:lpstr>
      <vt:lpstr>Summary!length_EG_II</vt:lpstr>
      <vt:lpstr>length_EG_II</vt:lpstr>
      <vt:lpstr>length_footpathslab</vt:lpstr>
      <vt:lpstr>'Bill of quantities'!length_IG_I</vt:lpstr>
      <vt:lpstr>'Input for abutment'!length_IG_I</vt:lpstr>
      <vt:lpstr>'Input for Pier'!length_IG_I</vt:lpstr>
      <vt:lpstr>Quantity_estimate!length_IG_I</vt:lpstr>
      <vt:lpstr>Summary!length_IG_I</vt:lpstr>
      <vt:lpstr>length_IG_I</vt:lpstr>
      <vt:lpstr>'Bill of quantities'!length_IG_II</vt:lpstr>
      <vt:lpstr>'Input for abutment'!length_IG_II</vt:lpstr>
      <vt:lpstr>'Input for Pier'!length_IG_II</vt:lpstr>
      <vt:lpstr>Quantity_estimate!length_IG_II</vt:lpstr>
      <vt:lpstr>Summary!length_IG_II</vt:lpstr>
      <vt:lpstr>length_IG_II</vt:lpstr>
      <vt:lpstr>'Bill of quantities'!length_intermediatedeck</vt:lpstr>
      <vt:lpstr>'Input for abutment'!length_intermediatedeck</vt:lpstr>
      <vt:lpstr>'Input for Pier'!length_intermediatedeck</vt:lpstr>
      <vt:lpstr>Quantity_estimate!length_intermediatedeck</vt:lpstr>
      <vt:lpstr>Summary!length_intermediatedeck</vt:lpstr>
      <vt:lpstr>length_intermediatedeck</vt:lpstr>
      <vt:lpstr>'Bill of quantities'!length_MG</vt:lpstr>
      <vt:lpstr>'Input for abutment'!length_MG</vt:lpstr>
      <vt:lpstr>'Input for Pier'!length_MG</vt:lpstr>
      <vt:lpstr>Quantity_estimate!length_MG</vt:lpstr>
      <vt:lpstr>Summary!length_MG</vt:lpstr>
      <vt:lpstr>length_MG</vt:lpstr>
      <vt:lpstr>'Bill of quantities'!length_MG_broadend</vt:lpstr>
      <vt:lpstr>'Input for abutment'!length_MG_broadend</vt:lpstr>
      <vt:lpstr>'Input for Pier'!length_MG_broadend</vt:lpstr>
      <vt:lpstr>Quantity_estimate!length_MG_broadend</vt:lpstr>
      <vt:lpstr>Summary!length_MG_broadend</vt:lpstr>
      <vt:lpstr>length_MG_broadend</vt:lpstr>
      <vt:lpstr>'Bill of quantities'!length_MG_narrowportion</vt:lpstr>
      <vt:lpstr>'Input for abutment'!length_MG_narrowportion</vt:lpstr>
      <vt:lpstr>'Input for Pier'!length_MG_narrowportion</vt:lpstr>
      <vt:lpstr>Quantity_estimate!length_MG_narrowportion</vt:lpstr>
      <vt:lpstr>Summary!length_MG_narrowportion</vt:lpstr>
      <vt:lpstr>length_MG_narrowportion</vt:lpstr>
      <vt:lpstr>'Bill of quantities'!length_MG_transition</vt:lpstr>
      <vt:lpstr>'Input for abutment'!length_MG_transition</vt:lpstr>
      <vt:lpstr>'Input for Pier'!length_MG_transition</vt:lpstr>
      <vt:lpstr>Quantity_estimate!length_MG_transition</vt:lpstr>
      <vt:lpstr>Summary!length_MG_transition</vt:lpstr>
      <vt:lpstr>length_MG_transition</vt:lpstr>
      <vt:lpstr>'Bill of quantities'!length_seismicstopper_abutment</vt:lpstr>
      <vt:lpstr>Quantity_estimate!length_seismicstopper_abutment</vt:lpstr>
      <vt:lpstr>Summary!length_seismicstopper_abutment</vt:lpstr>
      <vt:lpstr>length_seismicstopper_abutment</vt:lpstr>
      <vt:lpstr>'Bill of quantities'!length_seismicstopper_pier</vt:lpstr>
      <vt:lpstr>'Input for abutment'!length_seismicstopper_pier</vt:lpstr>
      <vt:lpstr>Quantity_estimate!length_seismicstopper_pier</vt:lpstr>
      <vt:lpstr>Summary!length_seismicstopper_pier</vt:lpstr>
      <vt:lpstr>length_seismicstopper_pier</vt:lpstr>
      <vt:lpstr>'Bill of quantities'!length_slab_enddeck</vt:lpstr>
      <vt:lpstr>'Input for abutment'!length_slab_enddeck</vt:lpstr>
      <vt:lpstr>'Input for Pier'!length_slab_enddeck</vt:lpstr>
      <vt:lpstr>Quantity_estimate!length_slab_enddeck</vt:lpstr>
      <vt:lpstr>Summary!length_slab_enddeck</vt:lpstr>
      <vt:lpstr>length_slab_enddeck</vt:lpstr>
      <vt:lpstr>length_wingwall</vt:lpstr>
      <vt:lpstr>loader</vt:lpstr>
      <vt:lpstr>masonry_drystone</vt:lpstr>
      <vt:lpstr>masticcooker</vt:lpstr>
      <vt:lpstr>mixermachine</vt:lpstr>
      <vt:lpstr>mobileslurryseal</vt:lpstr>
      <vt:lpstr>motorgrader</vt:lpstr>
      <vt:lpstr>mspipe40mm</vt:lpstr>
      <vt:lpstr>mssteel</vt:lpstr>
      <vt:lpstr>nails</vt:lpstr>
      <vt:lpstr>'Bill of quantities'!number_abutment</vt:lpstr>
      <vt:lpstr>Quantity_estimate!number_abutment</vt:lpstr>
      <vt:lpstr>Summary!number_abutment</vt:lpstr>
      <vt:lpstr>number_abutment</vt:lpstr>
      <vt:lpstr>'Bill of quantities'!number_approachslab</vt:lpstr>
      <vt:lpstr>'Input for abutment'!number_approachslab</vt:lpstr>
      <vt:lpstr>'Input for Pier'!number_approachslab</vt:lpstr>
      <vt:lpstr>Quantity_estimate!number_approachslab</vt:lpstr>
      <vt:lpstr>Summary!number_approachslab</vt:lpstr>
      <vt:lpstr>number_approachslab</vt:lpstr>
      <vt:lpstr>'Bill of quantities'!number_ducts</vt:lpstr>
      <vt:lpstr>'Input for abutment'!number_ducts</vt:lpstr>
      <vt:lpstr>'Input for Pier'!number_ducts</vt:lpstr>
      <vt:lpstr>Quantity_estimate!number_ducts</vt:lpstr>
      <vt:lpstr>Summary!number_ducts</vt:lpstr>
      <vt:lpstr>number_ducts</vt:lpstr>
      <vt:lpstr>'Bill of quantities'!number_EG</vt:lpstr>
      <vt:lpstr>'Input for abutment'!number_EG</vt:lpstr>
      <vt:lpstr>'Input for Pier'!number_EG</vt:lpstr>
      <vt:lpstr>Quantity_estimate!number_EG</vt:lpstr>
      <vt:lpstr>Summary!number_EG</vt:lpstr>
      <vt:lpstr>number_EG</vt:lpstr>
      <vt:lpstr>number_enddeck</vt:lpstr>
      <vt:lpstr>'Bill of quantities'!number_IG</vt:lpstr>
      <vt:lpstr>'Input for abutment'!number_IG</vt:lpstr>
      <vt:lpstr>'Input for Pier'!number_IG</vt:lpstr>
      <vt:lpstr>Quantity_estimate!number_IG</vt:lpstr>
      <vt:lpstr>Summary!number_IG</vt:lpstr>
      <vt:lpstr>number_IG</vt:lpstr>
      <vt:lpstr>'Bill of quantities'!number_intermediatedeck</vt:lpstr>
      <vt:lpstr>'Input for abutment'!number_intermediatedeck</vt:lpstr>
      <vt:lpstr>'Input for Pier'!number_intermediatedeck</vt:lpstr>
      <vt:lpstr>Quantity_estimate!number_intermediatedeck</vt:lpstr>
      <vt:lpstr>Summary!number_intermediatedeck</vt:lpstr>
      <vt:lpstr>number_intermediatedeck</vt:lpstr>
      <vt:lpstr>'Bill of quantities'!number_MG</vt:lpstr>
      <vt:lpstr>'Input for abutment'!number_MG</vt:lpstr>
      <vt:lpstr>'Input for Pier'!number_MG</vt:lpstr>
      <vt:lpstr>Quantity_estimate!number_MG</vt:lpstr>
      <vt:lpstr>Summary!number_MG</vt:lpstr>
      <vt:lpstr>number_MG</vt:lpstr>
      <vt:lpstr>'Bill of quantities'!number_pedestal</vt:lpstr>
      <vt:lpstr>Quantity_estimate!number_pedestal</vt:lpstr>
      <vt:lpstr>Summary!number_pedestal</vt:lpstr>
      <vt:lpstr>number_pedestal</vt:lpstr>
      <vt:lpstr>'Bill of quantities'!number_pier</vt:lpstr>
      <vt:lpstr>'Input for abutment'!number_pier</vt:lpstr>
      <vt:lpstr>Quantity_estimate!number_pier</vt:lpstr>
      <vt:lpstr>Summary!number_pier</vt:lpstr>
      <vt:lpstr>number_pier</vt:lpstr>
      <vt:lpstr>'Bill of quantities'!number_railing_approachslab</vt:lpstr>
      <vt:lpstr>'Input for abutment'!number_railing_approachslab</vt:lpstr>
      <vt:lpstr>'Input for Pier'!number_railing_approachslab</vt:lpstr>
      <vt:lpstr>Quantity_estimate!number_railing_approachslab</vt:lpstr>
      <vt:lpstr>Summary!number_railing_approachslab</vt:lpstr>
      <vt:lpstr>number_railing_approachslab</vt:lpstr>
      <vt:lpstr>'Bill of quantities'!number_railing_deck</vt:lpstr>
      <vt:lpstr>'Input for abutment'!number_railing_deck</vt:lpstr>
      <vt:lpstr>'Input for Pier'!number_railing_deck</vt:lpstr>
      <vt:lpstr>Quantity_estimate!number_railing_deck</vt:lpstr>
      <vt:lpstr>Summary!number_railing_deck</vt:lpstr>
      <vt:lpstr>number_railing_deck</vt:lpstr>
      <vt:lpstr>'Bill of quantities'!number_seismicstopper</vt:lpstr>
      <vt:lpstr>'Input for Pier'!number_seismicstopper</vt:lpstr>
      <vt:lpstr>Quantity_estimate!number_seismicstopper</vt:lpstr>
      <vt:lpstr>Summary!number_seismicstopper</vt:lpstr>
      <vt:lpstr>number_seismicstopper</vt:lpstr>
      <vt:lpstr>'Bill of quantities'!number_wingwall</vt:lpstr>
      <vt:lpstr>Quantity_estimate!number_wingwall</vt:lpstr>
      <vt:lpstr>Summary!number_wingwall</vt:lpstr>
      <vt:lpstr>number_wingwall</vt:lpstr>
      <vt:lpstr>nutbolt</vt:lpstr>
      <vt:lpstr>nutbolt6mm</vt:lpstr>
      <vt:lpstr>'Bill of quantities'!offset_abutment</vt:lpstr>
      <vt:lpstr>'Input for abutment'!offset_abutment</vt:lpstr>
      <vt:lpstr>'Input for Pier'!offset_abutment</vt:lpstr>
      <vt:lpstr>Quantity_estimate!offset_abutment</vt:lpstr>
      <vt:lpstr>Summary!offset_abutment</vt:lpstr>
      <vt:lpstr>offset_abutment</vt:lpstr>
      <vt:lpstr>'Bill of quantities'!offset_pier</vt:lpstr>
      <vt:lpstr>'Input for abutment'!offset_pier</vt:lpstr>
      <vt:lpstr>'Input for Pier'!offset_pier</vt:lpstr>
      <vt:lpstr>Quantity_estimate!offset_pier</vt:lpstr>
      <vt:lpstr>Summary!offset_pier</vt:lpstr>
      <vt:lpstr>offset_pier</vt:lpstr>
      <vt:lpstr>painting_concrete</vt:lpstr>
      <vt:lpstr>paverfinisher</vt:lpstr>
      <vt:lpstr>'Bill of quantities'!pedestal_length</vt:lpstr>
      <vt:lpstr>'Input for abutment'!pedestal_length</vt:lpstr>
      <vt:lpstr>'Input for Pier'!pedestal_length</vt:lpstr>
      <vt:lpstr>'Input for Superstructure'!pedestal_length</vt:lpstr>
      <vt:lpstr>Quantity_estimate!pedestal_length</vt:lpstr>
      <vt:lpstr>Summary!pedestal_length</vt:lpstr>
      <vt:lpstr>'Bill of quantities'!pedestal_thickness</vt:lpstr>
      <vt:lpstr>Quantity_estimate!pedestal_thickness</vt:lpstr>
      <vt:lpstr>Summary!pedestal_thickness</vt:lpstr>
      <vt:lpstr>pedestal_thickness</vt:lpstr>
      <vt:lpstr>'Bill of quantities'!pedestal_width</vt:lpstr>
      <vt:lpstr>'Input for abutment'!pedestal_width</vt:lpstr>
      <vt:lpstr>'Input for Pier'!pedestal_width</vt:lpstr>
      <vt:lpstr>'Input for Superstructure'!pedestal_width</vt:lpstr>
      <vt:lpstr>Quantity_estimate!pedestal_width</vt:lpstr>
      <vt:lpstr>Summary!pedestal_width</vt:lpstr>
      <vt:lpstr>perforatedhdpe_250mm</vt:lpstr>
      <vt:lpstr>petrol</vt:lpstr>
      <vt:lpstr>piercap_height_rect</vt:lpstr>
      <vt:lpstr>piercap_height_trapezoidal</vt:lpstr>
      <vt:lpstr>piercap_length_rect</vt:lpstr>
      <vt:lpstr>'Bill of quantities'!piercap_length_trapezoidal</vt:lpstr>
      <vt:lpstr>'Input for abutment'!piercap_length_trapezoidal</vt:lpstr>
      <vt:lpstr>Quantity_estimate!piercap_length_trapezoidal</vt:lpstr>
      <vt:lpstr>Summary!piercap_length_trapezoidal</vt:lpstr>
      <vt:lpstr>piercap_length_trapezoidal</vt:lpstr>
      <vt:lpstr>piercap_width_rect</vt:lpstr>
      <vt:lpstr>piercap_width_trapezoidal</vt:lpstr>
      <vt:lpstr>pierfooting_height_rect</vt:lpstr>
      <vt:lpstr>pierfooting_height_trapezoidal</vt:lpstr>
      <vt:lpstr>pierfooting_length_rect</vt:lpstr>
      <vt:lpstr>pierfooting_length_trapezoidal</vt:lpstr>
      <vt:lpstr>pierfooting_width_rect</vt:lpstr>
      <vt:lpstr>pierfooting_width_trapezoidal</vt:lpstr>
      <vt:lpstr>pierstem_diameter</vt:lpstr>
      <vt:lpstr>pierstem_height</vt:lpstr>
      <vt:lpstr>piling_1200mm</vt:lpstr>
      <vt:lpstr>piling_600mm</vt:lpstr>
      <vt:lpstr>pilingrig</vt:lpstr>
      <vt:lpstr>planks38mm</vt:lpstr>
      <vt:lpstr>platecompactor</vt:lpstr>
      <vt:lpstr>plategirder</vt:lpstr>
      <vt:lpstr>plumconcrete_m15_30</vt:lpstr>
      <vt:lpstr>plumconcrete_m15_40</vt:lpstr>
      <vt:lpstr>plumconcrete_m20_30</vt:lpstr>
      <vt:lpstr>plumconcrete_m20_40</vt:lpstr>
      <vt:lpstr>plywood12mm</vt:lpstr>
      <vt:lpstr>pneumaticroller</vt:lpstr>
      <vt:lpstr>potbearing_fixed</vt:lpstr>
      <vt:lpstr>potbearing_sliding</vt:lpstr>
      <vt:lpstr>premixmixer</vt:lpstr>
      <vt:lpstr>prestressing</vt:lpstr>
      <vt:lpstr>'Bill of quantities'!prestressingspace</vt:lpstr>
      <vt:lpstr>'Input for abutment'!prestressingspace</vt:lpstr>
      <vt:lpstr>'Input for Pier'!prestressingspace</vt:lpstr>
      <vt:lpstr>Quantity_estimate!prestressingspace</vt:lpstr>
      <vt:lpstr>Summary!prestressingspace</vt:lpstr>
      <vt:lpstr>prestressingspace</vt:lpstr>
      <vt:lpstr>'Basic Rate'!Print_Area</vt:lpstr>
      <vt:lpstr>'Bill of quantities'!Print_Area</vt:lpstr>
      <vt:lpstr>Collection!Print_Area</vt:lpstr>
      <vt:lpstr>'District Rate'!Print_Area</vt:lpstr>
      <vt:lpstr>'DoR equipment rate'!Print_Area</vt:lpstr>
      <vt:lpstr>'Input for abutment'!Print_Area</vt:lpstr>
      <vt:lpstr>'Input for Pier'!Print_Area</vt:lpstr>
      <vt:lpstr>'Input for Superstructure'!Print_Area</vt:lpstr>
      <vt:lpstr>Quantity_estimate!Print_Area</vt:lpstr>
      <vt:lpstr>'Rate Analysis'!Print_Area</vt:lpstr>
      <vt:lpstr>'road earthwork'!Print_Area</vt:lpstr>
      <vt:lpstr>Summary!Print_Area</vt:lpstr>
      <vt:lpstr>transportation!Print_Area</vt:lpstr>
      <vt:lpstr>'Bill of quantities'!Print_Titles</vt:lpstr>
      <vt:lpstr>Collection!Print_Titles</vt:lpstr>
      <vt:lpstr>Quantity_estimate!Print_Titles</vt:lpstr>
      <vt:lpstr>'Summary of rates'!Print_Titles</vt:lpstr>
      <vt:lpstr>ptfeslidingplatebearing</vt:lpstr>
      <vt:lpstr>rcccollar_900mm</vt:lpstr>
      <vt:lpstr>rebar_foundation</vt:lpstr>
      <vt:lpstr>rebar_substructure</vt:lpstr>
      <vt:lpstr>rebar_superstructure</vt:lpstr>
      <vt:lpstr>reinforcement</vt:lpstr>
      <vt:lpstr>roaddelineator</vt:lpstr>
      <vt:lpstr>roadmarking</vt:lpstr>
      <vt:lpstr>roadsweeper</vt:lpstr>
      <vt:lpstr>roadwayexc_orock</vt:lpstr>
      <vt:lpstr>'Bill of quantities'!roadwayexc_soil</vt:lpstr>
      <vt:lpstr>'Input for abutment'!roadwayexc_soil</vt:lpstr>
      <vt:lpstr>'Input for Pier'!roadwayexc_soil</vt:lpstr>
      <vt:lpstr>'Input for Superstructure'!roadwayexc_soil</vt:lpstr>
      <vt:lpstr>Quantity_estimate!roadwayexc_soil</vt:lpstr>
      <vt:lpstr>Summary!roadwayexc_soil</vt:lpstr>
      <vt:lpstr>roadwayexc_soil</vt:lpstr>
      <vt:lpstr>rockbolts_25mm</vt:lpstr>
      <vt:lpstr>sand</vt:lpstr>
      <vt:lpstr>screwjack</vt:lpstr>
      <vt:lpstr>semiskilled</vt:lpstr>
      <vt:lpstr>sheathingpipe</vt:lpstr>
      <vt:lpstr>signboard_1.8x1.2</vt:lpstr>
      <vt:lpstr>siteclearance_mechanical</vt:lpstr>
      <vt:lpstr>'Bill of quantities'!size_railing_I</vt:lpstr>
      <vt:lpstr>'Input for abutment'!size_railing_I</vt:lpstr>
      <vt:lpstr>'Input for Pier'!size_railing_I</vt:lpstr>
      <vt:lpstr>Quantity_estimate!size_railing_I</vt:lpstr>
      <vt:lpstr>Summary!size_railing_I</vt:lpstr>
      <vt:lpstr>size_railing_I</vt:lpstr>
      <vt:lpstr>'Bill of quantities'!size_railing_II</vt:lpstr>
      <vt:lpstr>'Input for abutment'!size_railing_II</vt:lpstr>
      <vt:lpstr>'Input for Pier'!size_railing_II</vt:lpstr>
      <vt:lpstr>Quantity_estimate!size_railing_II</vt:lpstr>
      <vt:lpstr>Summary!size_railing_II</vt:lpstr>
      <vt:lpstr>size_railing_II</vt:lpstr>
      <vt:lpstr>skilled</vt:lpstr>
      <vt:lpstr>'Bill of quantities'!slabcantilever</vt:lpstr>
      <vt:lpstr>'Input for abutment'!slabcantilever</vt:lpstr>
      <vt:lpstr>'Input for Pier'!slabcantilever</vt:lpstr>
      <vt:lpstr>'Input for Superstructure'!slabcantilever</vt:lpstr>
      <vt:lpstr>Quantity_estimate!slabcantilever</vt:lpstr>
      <vt:lpstr>Summary!slabcantilever</vt:lpstr>
      <vt:lpstr>slabsealexpansionjoint</vt:lpstr>
      <vt:lpstr>smoothwheeledroller</vt:lpstr>
      <vt:lpstr>'Bill of quantities'!spanlength</vt:lpstr>
      <vt:lpstr>'Input for abutment'!spanlength</vt:lpstr>
      <vt:lpstr>'Input for Pier'!spanlength</vt:lpstr>
      <vt:lpstr>'Input for Superstructure'!spanlength</vt:lpstr>
      <vt:lpstr>Quantity_estimate!spanlength</vt:lpstr>
      <vt:lpstr>Summary!spanlength</vt:lpstr>
      <vt:lpstr>'Bill of quantities'!stem_height_MG</vt:lpstr>
      <vt:lpstr>'Input for abutment'!stem_height_MG</vt:lpstr>
      <vt:lpstr>'Input for Pier'!stem_height_MG</vt:lpstr>
      <vt:lpstr>Quantity_estimate!stem_height_MG</vt:lpstr>
      <vt:lpstr>Summary!stem_height_MG</vt:lpstr>
      <vt:lpstr>stem_height_MG</vt:lpstr>
      <vt:lpstr>'Bill of quantities'!stem_thickness_MG</vt:lpstr>
      <vt:lpstr>'Input for abutment'!stem_thickness_MG</vt:lpstr>
      <vt:lpstr>'Input for Pier'!stem_thickness_MG</vt:lpstr>
      <vt:lpstr>Quantity_estimate!stem_thickness_MG</vt:lpstr>
      <vt:lpstr>Summary!stem_thickness_MG</vt:lpstr>
      <vt:lpstr>stem_thickness_MG</vt:lpstr>
      <vt:lpstr>stone</vt:lpstr>
      <vt:lpstr>stonemasonry13_foundation</vt:lpstr>
      <vt:lpstr>stonemasonry13_structure</vt:lpstr>
      <vt:lpstr>stonemasonry14_foundation</vt:lpstr>
      <vt:lpstr>stonemasonry14_structure</vt:lpstr>
      <vt:lpstr>stonemasonry16_foundation</vt:lpstr>
      <vt:lpstr>stonemasonry16_structure</vt:lpstr>
      <vt:lpstr>stonepitching</vt:lpstr>
      <vt:lpstr>stonepitching_grouted</vt:lpstr>
      <vt:lpstr>stonesoling</vt:lpstr>
      <vt:lpstr>stressingjack</vt:lpstr>
      <vt:lpstr>stripsealexpansionjoint</vt:lpstr>
      <vt:lpstr>stripsealexpjoint_laying</vt:lpstr>
      <vt:lpstr>struts</vt:lpstr>
      <vt:lpstr>subbase</vt:lpstr>
      <vt:lpstr>subbaselaying</vt:lpstr>
      <vt:lpstr>subgradelaying</vt:lpstr>
      <vt:lpstr>subsurfacedrain_HDPE100</vt:lpstr>
      <vt:lpstr>technician</vt:lpstr>
      <vt:lpstr>'Bill of quantities'!thickness_approachslab</vt:lpstr>
      <vt:lpstr>'Input for abutment'!thickness_approachslab</vt:lpstr>
      <vt:lpstr>'Input for Pier'!thickness_approachslab</vt:lpstr>
      <vt:lpstr>Quantity_estimate!thickness_approachslab</vt:lpstr>
      <vt:lpstr>Summary!thickness_approachslab</vt:lpstr>
      <vt:lpstr>thickness_approachslab</vt:lpstr>
      <vt:lpstr>thickness_backwall</vt:lpstr>
      <vt:lpstr>'Bill of quantities'!thickness_cantilever_I</vt:lpstr>
      <vt:lpstr>'Input for abutment'!thickness_cantilever_I</vt:lpstr>
      <vt:lpstr>'Input for Pier'!thickness_cantilever_I</vt:lpstr>
      <vt:lpstr>Quantity_estimate!thickness_cantilever_I</vt:lpstr>
      <vt:lpstr>Summary!thickness_cantilever_I</vt:lpstr>
      <vt:lpstr>thickness_cantilever_I</vt:lpstr>
      <vt:lpstr>'Bill of quantities'!thickness_cantilever_II</vt:lpstr>
      <vt:lpstr>'Input for abutment'!thickness_cantilever_II</vt:lpstr>
      <vt:lpstr>'Input for Pier'!thickness_cantilever_II</vt:lpstr>
      <vt:lpstr>Quantity_estimate!thickness_cantilever_II</vt:lpstr>
      <vt:lpstr>Summary!thickness_cantilever_II</vt:lpstr>
      <vt:lpstr>thickness_cantilever_II</vt:lpstr>
      <vt:lpstr>'Bill of quantities'!thickness_deck</vt:lpstr>
      <vt:lpstr>'Input for abutment'!thickness_deck</vt:lpstr>
      <vt:lpstr>'Input for Pier'!thickness_deck</vt:lpstr>
      <vt:lpstr>Quantity_estimate!thickness_deck</vt:lpstr>
      <vt:lpstr>Summary!thickness_deck</vt:lpstr>
      <vt:lpstr>thickness_deck</vt:lpstr>
      <vt:lpstr>'Bill of quantities'!thickness_footpathslab</vt:lpstr>
      <vt:lpstr>'Input for abutment'!thickness_footpathslab</vt:lpstr>
      <vt:lpstr>'Input for Pier'!thickness_footpathslab</vt:lpstr>
      <vt:lpstr>Quantity_estimate!thickness_footpathslab</vt:lpstr>
      <vt:lpstr>Summary!thickness_footpathslab</vt:lpstr>
      <vt:lpstr>thickness_footpathslab</vt:lpstr>
      <vt:lpstr>'Bill of quantities'!thickness_slabseat</vt:lpstr>
      <vt:lpstr>Quantity_estimate!thickness_slabseat</vt:lpstr>
      <vt:lpstr>Summary!thickness_slabseat</vt:lpstr>
      <vt:lpstr>thickness_slabseat</vt:lpstr>
      <vt:lpstr>'Bill of quantities'!thickness_wingwall</vt:lpstr>
      <vt:lpstr>Quantity_estimate!thickness_wingwall</vt:lpstr>
      <vt:lpstr>Summary!thickness_wingwall</vt:lpstr>
      <vt:lpstr>thickness_wingwall</vt:lpstr>
      <vt:lpstr>timber</vt:lpstr>
      <vt:lpstr>tipper</vt:lpstr>
      <vt:lpstr>tractortrolley</vt:lpstr>
      <vt:lpstr>trailer</vt:lpstr>
      <vt:lpstr>truss</vt:lpstr>
      <vt:lpstr>unskilled</vt:lpstr>
      <vt:lpstr>vibratoryroller</vt:lpstr>
      <vt:lpstr>water</vt:lpstr>
      <vt:lpstr>watertanker</vt:lpstr>
      <vt:lpstr>wearingcoat_concrete</vt:lpstr>
      <vt:lpstr>weephole_HDPE100</vt:lpstr>
      <vt:lpstr>weephole_hdpe110</vt:lpstr>
      <vt:lpstr>wetmixplant</vt:lpstr>
      <vt:lpstr>width_abutment</vt:lpstr>
      <vt:lpstr>'Bill of quantities'!width_abutmentcap</vt:lpstr>
      <vt:lpstr>Quantity_estimate!width_abutmentcap</vt:lpstr>
      <vt:lpstr>Summary!width_abutmentcap</vt:lpstr>
      <vt:lpstr>width_abutmentcap</vt:lpstr>
      <vt:lpstr>'Bill of quantities'!width_approachslab</vt:lpstr>
      <vt:lpstr>'Input for abutment'!width_approachslab</vt:lpstr>
      <vt:lpstr>'Input for Pier'!width_approachslab</vt:lpstr>
      <vt:lpstr>Quantity_estimate!width_approachslab</vt:lpstr>
      <vt:lpstr>Summary!width_approachslab</vt:lpstr>
      <vt:lpstr>width_approachslab</vt:lpstr>
      <vt:lpstr>'Bill of quantities'!width_backwall</vt:lpstr>
      <vt:lpstr>Quantity_estimate!width_backwall</vt:lpstr>
      <vt:lpstr>Summary!width_backwall</vt:lpstr>
      <vt:lpstr>width_backwall</vt:lpstr>
      <vt:lpstr>'Bill of quantities'!width_EG</vt:lpstr>
      <vt:lpstr>'Input for abutment'!width_EG</vt:lpstr>
      <vt:lpstr>'Input for Pier'!width_EG</vt:lpstr>
      <vt:lpstr>Quantity_estimate!width_EG</vt:lpstr>
      <vt:lpstr>Summary!width_EG</vt:lpstr>
      <vt:lpstr>width_EG</vt:lpstr>
      <vt:lpstr>'Bill of quantities'!width_foothpathslab</vt:lpstr>
      <vt:lpstr>'Input for abutment'!width_foothpathslab</vt:lpstr>
      <vt:lpstr>'Input for Pier'!width_foothpathslab</vt:lpstr>
      <vt:lpstr>Quantity_estimate!width_foothpathslab</vt:lpstr>
      <vt:lpstr>Summary!width_foothpathslab</vt:lpstr>
      <vt:lpstr>width_foothpathslab</vt:lpstr>
      <vt:lpstr>'Bill of quantities'!width_IG</vt:lpstr>
      <vt:lpstr>'Input for abutment'!width_IG</vt:lpstr>
      <vt:lpstr>'Input for Pier'!width_IG</vt:lpstr>
      <vt:lpstr>Quantity_estimate!width_IG</vt:lpstr>
      <vt:lpstr>Summary!width_IG</vt:lpstr>
      <vt:lpstr>width_IG</vt:lpstr>
      <vt:lpstr>'Bill of quantities'!width_MG_broadend</vt:lpstr>
      <vt:lpstr>'Input for abutment'!width_MG_broadend</vt:lpstr>
      <vt:lpstr>'Input for Pier'!width_MG_broadend</vt:lpstr>
      <vt:lpstr>Quantity_estimate!width_MG_broadend</vt:lpstr>
      <vt:lpstr>Summary!width_MG_broadend</vt:lpstr>
      <vt:lpstr>width_MG_broadend</vt:lpstr>
      <vt:lpstr>'Bill of quantities'!width_MG_rectangle_I</vt:lpstr>
      <vt:lpstr>'Input for abutment'!width_MG_rectangle_I</vt:lpstr>
      <vt:lpstr>'Input for Pier'!width_MG_rectangle_I</vt:lpstr>
      <vt:lpstr>Quantity_estimate!width_MG_rectangle_I</vt:lpstr>
      <vt:lpstr>Summary!width_MG_rectangle_I</vt:lpstr>
      <vt:lpstr>width_MG_rectangle_I</vt:lpstr>
      <vt:lpstr>'Bill of quantities'!width_MG_trapezoidal_I</vt:lpstr>
      <vt:lpstr>'Input for abutment'!width_MG_trapezoidal_I</vt:lpstr>
      <vt:lpstr>'Input for Pier'!width_MG_trapezoidal_I</vt:lpstr>
      <vt:lpstr>Quantity_estimate!width_MG_trapezoidal_I</vt:lpstr>
      <vt:lpstr>Summary!width_MG_trapezoidal_I</vt:lpstr>
      <vt:lpstr>width_MG_trapezoidal_I</vt:lpstr>
      <vt:lpstr>'Bill of quantities'!width_seismicstopper_I</vt:lpstr>
      <vt:lpstr>Quantity_estimate!width_seismicstopper_I</vt:lpstr>
      <vt:lpstr>Summary!width_seismicstopper_I</vt:lpstr>
      <vt:lpstr>width_seismicstopper_I</vt:lpstr>
      <vt:lpstr>width_seismicstopper_II</vt:lpstr>
      <vt:lpstr>'Bill of quantities'!width_slab</vt:lpstr>
      <vt:lpstr>'Input for abutment'!width_slab</vt:lpstr>
      <vt:lpstr>'Input for Pier'!width_slab</vt:lpstr>
      <vt:lpstr>Quantity_estimate!width_slab</vt:lpstr>
      <vt:lpstr>Summary!width_slab</vt:lpstr>
      <vt:lpstr>width_slab</vt:lpstr>
      <vt:lpstr>'Bill of quantities'!width_slabseat</vt:lpstr>
      <vt:lpstr>Quantity_estimate!width_slabseat</vt:lpstr>
      <vt:lpstr>Summary!width_slabseat</vt:lpstr>
      <vt:lpstr>width_slabseat</vt:lpstr>
    </vt:vector>
  </TitlesOfParts>
  <Company>dr. koju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Pnet</dc:creator>
  <cp:lastModifiedBy>Samyak</cp:lastModifiedBy>
  <cp:lastPrinted>2024-09-26T12:03:03Z</cp:lastPrinted>
  <dcterms:created xsi:type="dcterms:W3CDTF">2007-06-06T12:12:40Z</dcterms:created>
  <dcterms:modified xsi:type="dcterms:W3CDTF">2025-03-27T11:04:59Z</dcterms:modified>
</cp:coreProperties>
</file>