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NET\"/>
    </mc:Choice>
  </mc:AlternateContent>
  <xr:revisionPtr revIDLastSave="0" documentId="13_ncr:1_{CDB9536B-AE90-4131-AF85-BD32700626BE}" xr6:coauthVersionLast="47" xr6:coauthVersionMax="47" xr10:uidLastSave="{00000000-0000-0000-0000-000000000000}"/>
  <bookViews>
    <workbookView xWindow="-120" yWindow="-120" windowWidth="20730" windowHeight="11160" activeTab="1" xr2:uid="{EEF168ED-7700-4734-9B6D-040CA6FFD03E}"/>
  </bookViews>
  <sheets>
    <sheet name="trapezoidal" sheetId="1" r:id="rId1"/>
    <sheet name="traffic cone sha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5" i="2"/>
  <c r="D23" i="2"/>
  <c r="C4" i="2"/>
  <c r="C44" i="2" s="1"/>
  <c r="B16" i="2"/>
  <c r="B15" i="2"/>
  <c r="B25" i="1"/>
  <c r="M15" i="2"/>
  <c r="E14" i="2"/>
  <c r="C3" i="1"/>
  <c r="O29" i="1" s="1"/>
  <c r="C28" i="1"/>
  <c r="C29" i="1"/>
  <c r="C27" i="1"/>
  <c r="B24" i="1"/>
  <c r="L24" i="1"/>
  <c r="E13" i="1"/>
  <c r="B29" i="1" s="1"/>
  <c r="B14" i="1"/>
  <c r="B27" i="1" s="1"/>
  <c r="C46" i="2" l="1"/>
  <c r="B41" i="2"/>
  <c r="B42" i="2"/>
  <c r="B44" i="2"/>
  <c r="B25" i="2"/>
  <c r="J28" i="2"/>
  <c r="K14" i="2"/>
  <c r="M14" i="2"/>
  <c r="M13" i="2"/>
  <c r="K13" i="2"/>
  <c r="B46" i="2"/>
  <c r="B26" i="2"/>
  <c r="B45" i="2" s="1"/>
  <c r="E45" i="2" s="1"/>
  <c r="D29" i="1"/>
  <c r="D27" i="1"/>
  <c r="J26" i="1"/>
  <c r="J31" i="1"/>
  <c r="C25" i="1"/>
  <c r="C24" i="1"/>
  <c r="E24" i="1" s="1"/>
  <c r="B15" i="1"/>
  <c r="N13" i="2" l="1"/>
  <c r="O13" i="2"/>
  <c r="D44" i="2"/>
  <c r="D46" i="2"/>
  <c r="E31" i="2"/>
  <c r="N14" i="2"/>
  <c r="L15" i="2"/>
  <c r="C43" i="2" s="1"/>
  <c r="L14" i="2"/>
  <c r="C42" i="2" s="1"/>
  <c r="B27" i="2"/>
  <c r="J27" i="1"/>
  <c r="B28" i="1" s="1"/>
  <c r="D28" i="1" s="1"/>
  <c r="D30" i="1" s="1"/>
  <c r="J32" i="1"/>
  <c r="D35" i="1"/>
  <c r="E25" i="1"/>
  <c r="E30" i="1" s="1"/>
  <c r="O14" i="2" l="1"/>
  <c r="D47" i="2"/>
  <c r="E42" i="2"/>
  <c r="K15" i="2"/>
  <c r="O15" i="2" s="1"/>
  <c r="L13" i="2"/>
  <c r="C41" i="2" s="1"/>
  <c r="E41" i="2" s="1"/>
  <c r="J28" i="1"/>
  <c r="B18" i="1" s="1"/>
  <c r="C32" i="1"/>
  <c r="D36" i="1"/>
  <c r="D37" i="1" s="1"/>
  <c r="D38" i="1" s="1"/>
  <c r="O16" i="2" l="1"/>
  <c r="N15" i="2"/>
  <c r="K16" i="2"/>
  <c r="B35" i="2" s="1"/>
  <c r="P18" i="2" l="1"/>
  <c r="D52" i="2" s="1"/>
  <c r="N16" i="2"/>
  <c r="B36" i="2" s="1"/>
  <c r="B43" i="2"/>
  <c r="E43" i="2" s="1"/>
  <c r="E47" i="2" s="1"/>
  <c r="C49" i="2" s="1"/>
  <c r="D53" i="2" l="1"/>
  <c r="D54" i="2" s="1"/>
  <c r="D55" i="2" s="1"/>
  <c r="B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Samyak</author>
  </authors>
  <commentList>
    <comment ref="L12" authorId="0" shapeId="0" xr:uid="{6D5AC58D-DE13-45B1-844B-CD96352B96BB}">
      <text>
        <r>
          <rPr>
            <b/>
            <sz val="9"/>
            <color indexed="81"/>
            <rFont val="Tahoma"/>
            <family val="2"/>
          </rPr>
          <t>Samyak:</t>
        </r>
        <r>
          <rPr>
            <sz val="9"/>
            <color indexed="81"/>
            <rFont val="Tahoma"/>
            <family val="2"/>
          </rPr>
          <t xml:space="preserve">
from toe</t>
        </r>
      </text>
    </comment>
  </commentList>
</comments>
</file>

<file path=xl/sharedStrings.xml><?xml version="1.0" encoding="utf-8"?>
<sst xmlns="http://schemas.openxmlformats.org/spreadsheetml/2006/main" count="151" uniqueCount="76">
  <si>
    <t>m</t>
  </si>
  <si>
    <t>soil characters</t>
  </si>
  <si>
    <t xml:space="preserve">φ </t>
  </si>
  <si>
    <t>deg</t>
  </si>
  <si>
    <t>γ  sat</t>
  </si>
  <si>
    <t>kN/m3</t>
  </si>
  <si>
    <t>passive soil</t>
  </si>
  <si>
    <t>φ</t>
  </si>
  <si>
    <t>γ  dry</t>
  </si>
  <si>
    <t>height of passive soil</t>
  </si>
  <si>
    <t>?</t>
  </si>
  <si>
    <t>base width of wall</t>
  </si>
  <si>
    <t>Ka</t>
  </si>
  <si>
    <t>Surcharge</t>
  </si>
  <si>
    <t>kN/m2</t>
  </si>
  <si>
    <t xml:space="preserve">surcharge </t>
  </si>
  <si>
    <t>Assume width in lateral direction =</t>
  </si>
  <si>
    <t xml:space="preserve">Assume top width </t>
  </si>
  <si>
    <t>kN/m</t>
  </si>
  <si>
    <t>FOS sliding</t>
  </si>
  <si>
    <t>FOS overturning</t>
  </si>
  <si>
    <t>FOS bearing</t>
  </si>
  <si>
    <t>= TAN(φ)</t>
  </si>
  <si>
    <t>1.5=</t>
  </si>
  <si>
    <t>friction coeff(mu)</t>
  </si>
  <si>
    <t>mu*Rv/Rh</t>
  </si>
  <si>
    <t>stone</t>
  </si>
  <si>
    <t xml:space="preserve">γ  </t>
  </si>
  <si>
    <t>Kp</t>
  </si>
  <si>
    <t>W=</t>
  </si>
  <si>
    <t>Rh=</t>
  </si>
  <si>
    <t>Pa=</t>
  </si>
  <si>
    <t>Pp=</t>
  </si>
  <si>
    <t>passive height</t>
  </si>
  <si>
    <t>Assume base</t>
  </si>
  <si>
    <t>0.4 to 0.6H</t>
  </si>
  <si>
    <t xml:space="preserve">take </t>
  </si>
  <si>
    <t>H</t>
  </si>
  <si>
    <t>Weight of retaining wall</t>
  </si>
  <si>
    <t>Fs=</t>
  </si>
  <si>
    <t>Overturning</t>
  </si>
  <si>
    <t>SN</t>
  </si>
  <si>
    <t>Resisting</t>
  </si>
  <si>
    <t>soil</t>
  </si>
  <si>
    <t>Force</t>
  </si>
  <si>
    <t>distance</t>
  </si>
  <si>
    <t>Moment</t>
  </si>
  <si>
    <t>masonry</t>
  </si>
  <si>
    <t>surcharge</t>
  </si>
  <si>
    <t>Fo</t>
  </si>
  <si>
    <t>pmax</t>
  </si>
  <si>
    <t>moment arm for trapezoial area</t>
  </si>
  <si>
    <t>area=</t>
  </si>
  <si>
    <t>x=</t>
  </si>
  <si>
    <t>e=</t>
  </si>
  <si>
    <t>pmax=</t>
  </si>
  <si>
    <t>passive</t>
  </si>
  <si>
    <t>height</t>
  </si>
  <si>
    <t>total h</t>
  </si>
  <si>
    <t>Assume trap base</t>
  </si>
  <si>
    <t xml:space="preserve">Assume toe length </t>
  </si>
  <si>
    <t>Assume heel length</t>
  </si>
  <si>
    <t>total base length</t>
  </si>
  <si>
    <t xml:space="preserve">Assume bottom slab depth </t>
  </si>
  <si>
    <t>&lt;=qa</t>
  </si>
  <si>
    <t>Weight calc</t>
  </si>
  <si>
    <t>Area</t>
  </si>
  <si>
    <t>center x</t>
  </si>
  <si>
    <t>center y</t>
  </si>
  <si>
    <t>Weight</t>
  </si>
  <si>
    <t>Sum</t>
  </si>
  <si>
    <t>base slab thichness</t>
  </si>
  <si>
    <t>total trap height</t>
  </si>
  <si>
    <t>b/h</t>
  </si>
  <si>
    <t>area*center x</t>
  </si>
  <si>
    <t>overall centroid 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</si>
</sst>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2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/>
    <xf numFmtId="0" fontId="5" fillId="0" borderId="0" xfId="0" applyFont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21</xdr:row>
      <xdr:rowOff>28575</xdr:rowOff>
    </xdr:from>
    <xdr:to>
      <xdr:col>7</xdr:col>
      <xdr:colOff>361950</xdr:colOff>
      <xdr:row>29</xdr:row>
      <xdr:rowOff>28575</xdr:rowOff>
    </xdr:to>
    <xdr:sp macro="" textlink="">
      <xdr:nvSpPr>
        <xdr:cNvPr id="12" name="Freeform: Shape 11">
          <a:extLst>
            <a:ext uri="{FF2B5EF4-FFF2-40B4-BE49-F238E27FC236}">
              <a16:creationId xmlns:a16="http://schemas.microsoft.com/office/drawing/2014/main" id="{0564E784-A2F7-47C8-A038-3C24C121AFFC}"/>
            </a:ext>
          </a:extLst>
        </xdr:cNvPr>
        <xdr:cNvSpPr/>
      </xdr:nvSpPr>
      <xdr:spPr>
        <a:xfrm>
          <a:off x="4000500" y="3838575"/>
          <a:ext cx="1219200" cy="1524000"/>
        </a:xfrm>
        <a:custGeom>
          <a:avLst/>
          <a:gdLst>
            <a:gd name="connsiteX0" fmla="*/ 0 w 1219200"/>
            <a:gd name="connsiteY0" fmla="*/ 0 h 1524000"/>
            <a:gd name="connsiteX1" fmla="*/ 619125 w 1219200"/>
            <a:gd name="connsiteY1" fmla="*/ 0 h 1524000"/>
            <a:gd name="connsiteX2" fmla="*/ 1219200 w 1219200"/>
            <a:gd name="connsiteY2" fmla="*/ 1524000 h 1524000"/>
            <a:gd name="connsiteX3" fmla="*/ 9525 w 1219200"/>
            <a:gd name="connsiteY3" fmla="*/ 1524000 h 1524000"/>
            <a:gd name="connsiteX4" fmla="*/ 0 w 1219200"/>
            <a:gd name="connsiteY4" fmla="*/ 0 h 1524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219200" h="1524000">
              <a:moveTo>
                <a:pt x="0" y="0"/>
              </a:moveTo>
              <a:lnTo>
                <a:pt x="619125" y="0"/>
              </a:lnTo>
              <a:lnTo>
                <a:pt x="1219200" y="1524000"/>
              </a:lnTo>
              <a:lnTo>
                <a:pt x="9525" y="1524000"/>
              </a:lnTo>
              <a:lnTo>
                <a:pt x="0" y="0"/>
              </a:lnTo>
              <a:close/>
            </a:path>
          </a:pathLst>
        </a:cu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371475</xdr:colOff>
      <xdr:row>21</xdr:row>
      <xdr:rowOff>28575</xdr:rowOff>
    </xdr:from>
    <xdr:to>
      <xdr:col>6</xdr:col>
      <xdr:colOff>390525</xdr:colOff>
      <xdr:row>29</xdr:row>
      <xdr:rowOff>66675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E29224E2-AFEE-4DB7-8086-EC81C9275C45}"/>
            </a:ext>
          </a:extLst>
        </xdr:cNvPr>
        <xdr:cNvCxnSpPr>
          <a:stCxn id="12" idx="1"/>
        </xdr:cNvCxnSpPr>
      </xdr:nvCxnSpPr>
      <xdr:spPr>
        <a:xfrm>
          <a:off x="4619625" y="3838575"/>
          <a:ext cx="19050" cy="1562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24</xdr:row>
      <xdr:rowOff>114300</xdr:rowOff>
    </xdr:from>
    <xdr:to>
      <xdr:col>6</xdr:col>
      <xdr:colOff>180975</xdr:colOff>
      <xdr:row>25</xdr:row>
      <xdr:rowOff>161925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770590-CB3A-4C8B-A573-89ABB18DC415}"/>
            </a:ext>
          </a:extLst>
        </xdr:cNvPr>
        <xdr:cNvSpPr txBox="1"/>
      </xdr:nvSpPr>
      <xdr:spPr>
        <a:xfrm>
          <a:off x="4171950" y="4495800"/>
          <a:ext cx="25717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6</xdr:col>
      <xdr:colOff>514350</xdr:colOff>
      <xdr:row>26</xdr:row>
      <xdr:rowOff>152400</xdr:rowOff>
    </xdr:from>
    <xdr:to>
      <xdr:col>7</xdr:col>
      <xdr:colOff>161925</xdr:colOff>
      <xdr:row>28</xdr:row>
      <xdr:rowOff>9525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B371970-21DE-438D-B19A-A1EFB0F3BB20}"/>
            </a:ext>
          </a:extLst>
        </xdr:cNvPr>
        <xdr:cNvSpPr txBox="1"/>
      </xdr:nvSpPr>
      <xdr:spPr>
        <a:xfrm>
          <a:off x="4762500" y="4914900"/>
          <a:ext cx="25717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14</xdr:row>
      <xdr:rowOff>161925</xdr:rowOff>
    </xdr:from>
    <xdr:to>
      <xdr:col>8</xdr:col>
      <xdr:colOff>57149</xdr:colOff>
      <xdr:row>24</xdr:row>
      <xdr:rowOff>171450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AF0E633-AD62-4470-8715-72F942AAC7D1}"/>
            </a:ext>
          </a:extLst>
        </xdr:cNvPr>
        <xdr:cNvGrpSpPr/>
      </xdr:nvGrpSpPr>
      <xdr:grpSpPr>
        <a:xfrm>
          <a:off x="3933824" y="2828925"/>
          <a:ext cx="1590675" cy="1914525"/>
          <a:chOff x="3838574" y="7648575"/>
          <a:chExt cx="1590675" cy="1914525"/>
        </a:xfrm>
      </xdr:grpSpPr>
      <xdr:sp macro="" textlink="">
        <xdr:nvSpPr>
          <xdr:cNvPr id="2" name="Freeform: Shape 1">
            <a:extLst>
              <a:ext uri="{FF2B5EF4-FFF2-40B4-BE49-F238E27FC236}">
                <a16:creationId xmlns:a16="http://schemas.microsoft.com/office/drawing/2014/main" id="{180EA6BA-375D-4726-9887-E26E37884B2B}"/>
              </a:ext>
            </a:extLst>
          </xdr:cNvPr>
          <xdr:cNvSpPr/>
        </xdr:nvSpPr>
        <xdr:spPr>
          <a:xfrm>
            <a:off x="4000500" y="7648575"/>
            <a:ext cx="1219200" cy="1524000"/>
          </a:xfrm>
          <a:custGeom>
            <a:avLst/>
            <a:gdLst>
              <a:gd name="connsiteX0" fmla="*/ 0 w 1219200"/>
              <a:gd name="connsiteY0" fmla="*/ 0 h 1524000"/>
              <a:gd name="connsiteX1" fmla="*/ 619125 w 1219200"/>
              <a:gd name="connsiteY1" fmla="*/ 0 h 1524000"/>
              <a:gd name="connsiteX2" fmla="*/ 1219200 w 1219200"/>
              <a:gd name="connsiteY2" fmla="*/ 1524000 h 1524000"/>
              <a:gd name="connsiteX3" fmla="*/ 9525 w 1219200"/>
              <a:gd name="connsiteY3" fmla="*/ 1524000 h 1524000"/>
              <a:gd name="connsiteX4" fmla="*/ 0 w 1219200"/>
              <a:gd name="connsiteY4" fmla="*/ 0 h 1524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219200" h="1524000">
                <a:moveTo>
                  <a:pt x="0" y="0"/>
                </a:moveTo>
                <a:lnTo>
                  <a:pt x="619125" y="0"/>
                </a:lnTo>
                <a:lnTo>
                  <a:pt x="1219200" y="1524000"/>
                </a:lnTo>
                <a:lnTo>
                  <a:pt x="9525" y="1524000"/>
                </a:lnTo>
                <a:lnTo>
                  <a:pt x="0" y="0"/>
                </a:lnTo>
                <a:close/>
              </a:path>
            </a:pathLst>
          </a:cu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8F240652-3B75-45A6-AC49-1E7C2893E205}"/>
              </a:ext>
            </a:extLst>
          </xdr:cNvPr>
          <xdr:cNvCxnSpPr>
            <a:stCxn id="2" idx="1"/>
          </xdr:cNvCxnSpPr>
        </xdr:nvCxnSpPr>
        <xdr:spPr>
          <a:xfrm>
            <a:off x="4619625" y="7648575"/>
            <a:ext cx="19050" cy="15621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C2F7DA83-278D-416B-B1AA-2B34F0594354}"/>
              </a:ext>
            </a:extLst>
          </xdr:cNvPr>
          <xdr:cNvSpPr txBox="1"/>
        </xdr:nvSpPr>
        <xdr:spPr>
          <a:xfrm>
            <a:off x="4171950" y="8305800"/>
            <a:ext cx="2571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1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484769E-A6BB-4F2F-84EC-29BFC81AE43E}"/>
              </a:ext>
            </a:extLst>
          </xdr:cNvPr>
          <xdr:cNvSpPr txBox="1"/>
        </xdr:nvSpPr>
        <xdr:spPr>
          <a:xfrm>
            <a:off x="4762500" y="8724900"/>
            <a:ext cx="2571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2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1361EEC6-C222-47C4-879E-A22F33125136}"/>
              </a:ext>
            </a:extLst>
          </xdr:cNvPr>
          <xdr:cNvSpPr/>
        </xdr:nvSpPr>
        <xdr:spPr>
          <a:xfrm>
            <a:off x="3838574" y="9172575"/>
            <a:ext cx="1590675" cy="39052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A17779AF-A8BD-44F0-A66F-82D82B38E6FE}"/>
              </a:ext>
            </a:extLst>
          </xdr:cNvPr>
          <xdr:cNvSpPr txBox="1"/>
        </xdr:nvSpPr>
        <xdr:spPr>
          <a:xfrm>
            <a:off x="4467225" y="9258300"/>
            <a:ext cx="2571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3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55EF-5B0C-4975-86D5-ED78C1E674E3}">
  <dimension ref="A1:O38"/>
  <sheetViews>
    <sheetView topLeftCell="A10" workbookViewId="0">
      <selection activeCell="F9" sqref="F9"/>
    </sheetView>
  </sheetViews>
  <sheetFormatPr defaultRowHeight="15" x14ac:dyDescent="0.25"/>
  <cols>
    <col min="1" max="1" width="9.7109375" customWidth="1"/>
    <col min="2" max="3" width="10.28515625" customWidth="1"/>
    <col min="4" max="4" width="13.85546875" customWidth="1"/>
    <col min="6" max="6" width="10.42578125" customWidth="1"/>
  </cols>
  <sheetData>
    <row r="1" spans="1:11" x14ac:dyDescent="0.25">
      <c r="A1" t="s">
        <v>57</v>
      </c>
      <c r="C1" s="1">
        <v>8</v>
      </c>
    </row>
    <row r="2" spans="1:11" x14ac:dyDescent="0.25">
      <c r="A2" t="s">
        <v>33</v>
      </c>
      <c r="B2" s="5"/>
      <c r="C2" s="1">
        <v>5</v>
      </c>
      <c r="E2" t="s">
        <v>9</v>
      </c>
      <c r="G2" t="s">
        <v>10</v>
      </c>
      <c r="I2" t="s">
        <v>19</v>
      </c>
      <c r="K2">
        <v>1.5</v>
      </c>
    </row>
    <row r="3" spans="1:11" x14ac:dyDescent="0.25">
      <c r="A3" t="s">
        <v>58</v>
      </c>
      <c r="C3" s="1">
        <f>C1+C2</f>
        <v>13</v>
      </c>
      <c r="D3" t="s">
        <v>0</v>
      </c>
      <c r="E3" t="s">
        <v>11</v>
      </c>
      <c r="G3" t="s">
        <v>10</v>
      </c>
      <c r="I3" t="s">
        <v>20</v>
      </c>
      <c r="K3">
        <v>1.5</v>
      </c>
    </row>
    <row r="4" spans="1:11" x14ac:dyDescent="0.25">
      <c r="A4" t="s">
        <v>1</v>
      </c>
      <c r="B4" s="2"/>
      <c r="I4" t="s">
        <v>21</v>
      </c>
      <c r="K4">
        <v>3</v>
      </c>
    </row>
    <row r="5" spans="1:11" x14ac:dyDescent="0.25">
      <c r="A5" t="s">
        <v>2</v>
      </c>
      <c r="B5" s="1">
        <v>35</v>
      </c>
      <c r="C5" t="s">
        <v>3</v>
      </c>
    </row>
    <row r="6" spans="1:11" x14ac:dyDescent="0.25">
      <c r="A6" t="s">
        <v>4</v>
      </c>
      <c r="B6" s="1">
        <v>22</v>
      </c>
      <c r="C6" t="s">
        <v>5</v>
      </c>
    </row>
    <row r="7" spans="1:11" x14ac:dyDescent="0.25">
      <c r="B7" s="2"/>
      <c r="E7" t="s">
        <v>26</v>
      </c>
    </row>
    <row r="8" spans="1:11" x14ac:dyDescent="0.25">
      <c r="A8" t="s">
        <v>6</v>
      </c>
      <c r="B8" s="2"/>
      <c r="E8" t="s">
        <v>27</v>
      </c>
      <c r="F8" s="1">
        <v>22</v>
      </c>
    </row>
    <row r="9" spans="1:11" x14ac:dyDescent="0.25">
      <c r="A9" t="s">
        <v>7</v>
      </c>
      <c r="B9" s="1">
        <v>35</v>
      </c>
      <c r="C9" t="s">
        <v>3</v>
      </c>
    </row>
    <row r="10" spans="1:11" x14ac:dyDescent="0.25">
      <c r="A10" t="s">
        <v>8</v>
      </c>
      <c r="B10" s="1">
        <v>19</v>
      </c>
      <c r="C10" t="s">
        <v>3</v>
      </c>
    </row>
    <row r="11" spans="1:11" x14ac:dyDescent="0.25">
      <c r="B11" s="2"/>
    </row>
    <row r="12" spans="1:11" x14ac:dyDescent="0.25">
      <c r="A12" t="s">
        <v>13</v>
      </c>
      <c r="B12" s="1">
        <v>10</v>
      </c>
      <c r="C12" t="s">
        <v>14</v>
      </c>
      <c r="E12" s="1">
        <v>1</v>
      </c>
      <c r="F12" t="s">
        <v>0</v>
      </c>
    </row>
    <row r="13" spans="1:11" x14ac:dyDescent="0.25">
      <c r="B13" t="s">
        <v>16</v>
      </c>
      <c r="D13" t="s">
        <v>15</v>
      </c>
      <c r="E13">
        <f xml:space="preserve"> B12*E12</f>
        <v>10</v>
      </c>
      <c r="F13" t="s">
        <v>18</v>
      </c>
    </row>
    <row r="14" spans="1:11" x14ac:dyDescent="0.25">
      <c r="A14" t="s">
        <v>12</v>
      </c>
      <c r="B14" s="4">
        <f>(1-SIN(RADIANS(B5))/(1+SIN(RADIANS(B5))))</f>
        <v>0.63549502706007222</v>
      </c>
    </row>
    <row r="15" spans="1:11" x14ac:dyDescent="0.25">
      <c r="A15" t="s">
        <v>28</v>
      </c>
      <c r="B15" s="4">
        <f>1/B14</f>
        <v>1.573576436351046</v>
      </c>
    </row>
    <row r="18" spans="1:15" x14ac:dyDescent="0.25">
      <c r="A18" t="s">
        <v>39</v>
      </c>
      <c r="B18" s="7">
        <f>L24*J32/J28</f>
        <v>1.5062018830552077</v>
      </c>
    </row>
    <row r="21" spans="1:15" x14ac:dyDescent="0.25">
      <c r="A21" t="s">
        <v>40</v>
      </c>
    </row>
    <row r="22" spans="1:15" x14ac:dyDescent="0.25">
      <c r="A22" s="8" t="s">
        <v>41</v>
      </c>
      <c r="B22" s="11" t="s">
        <v>44</v>
      </c>
      <c r="C22" s="11" t="s">
        <v>45</v>
      </c>
      <c r="D22" s="9" t="s">
        <v>46</v>
      </c>
      <c r="E22" s="10"/>
      <c r="J22" t="s">
        <v>17</v>
      </c>
      <c r="M22" s="1">
        <v>1</v>
      </c>
      <c r="N22" t="s">
        <v>0</v>
      </c>
    </row>
    <row r="23" spans="1:15" x14ac:dyDescent="0.25">
      <c r="A23" s="8" t="s">
        <v>47</v>
      </c>
      <c r="B23" s="12"/>
      <c r="C23" s="12"/>
      <c r="D23" s="8" t="s">
        <v>40</v>
      </c>
      <c r="E23" s="8" t="s">
        <v>42</v>
      </c>
    </row>
    <row r="24" spans="1:15" x14ac:dyDescent="0.25">
      <c r="A24" s="8">
        <v>1</v>
      </c>
      <c r="B24" s="8">
        <f>M22*C3*F8</f>
        <v>286</v>
      </c>
      <c r="C24" s="8">
        <f>O29-M22/2</f>
        <v>11.891975463812685</v>
      </c>
      <c r="D24" s="8"/>
      <c r="E24" s="8">
        <f>B24*C24</f>
        <v>3401.1049826504277</v>
      </c>
      <c r="I24" t="s">
        <v>24</v>
      </c>
      <c r="K24" s="6" t="s">
        <v>22</v>
      </c>
      <c r="L24">
        <f>TAN(RADIANS(B9))</f>
        <v>0.70020753820970971</v>
      </c>
    </row>
    <row r="25" spans="1:15" x14ac:dyDescent="0.25">
      <c r="A25" s="8">
        <v>2</v>
      </c>
      <c r="B25" s="8">
        <f>1/2*(O29-M22)*C3*F8</f>
        <v>1629.0524913252139</v>
      </c>
      <c r="C25" s="8">
        <f>2/3*(O29-M22)</f>
        <v>7.5946503092084559</v>
      </c>
      <c r="D25" s="8"/>
      <c r="E25" s="8">
        <f>C25*B25</f>
        <v>12372.08400695984</v>
      </c>
      <c r="I25" t="s">
        <v>23</v>
      </c>
      <c r="J25" t="s">
        <v>25</v>
      </c>
    </row>
    <row r="26" spans="1:15" x14ac:dyDescent="0.25">
      <c r="A26" s="8"/>
      <c r="B26" s="8"/>
      <c r="C26" s="8"/>
      <c r="D26" s="8"/>
      <c r="E26" s="8"/>
      <c r="I26" t="s">
        <v>31</v>
      </c>
      <c r="J26" s="3">
        <f>1/2*B14*B6*C3^2+E13*B14*C3</f>
        <v>1263.9996088224837</v>
      </c>
      <c r="L26" s="6"/>
    </row>
    <row r="27" spans="1:15" x14ac:dyDescent="0.25">
      <c r="A27" s="8" t="s">
        <v>43</v>
      </c>
      <c r="B27" s="8">
        <f>1/2*B14*B6*C3^2</f>
        <v>1181.3852553046743</v>
      </c>
      <c r="C27" s="8">
        <f>1/3*C3</f>
        <v>4.333333333333333</v>
      </c>
      <c r="D27" s="8">
        <f>C27*B27</f>
        <v>5119.3361063202547</v>
      </c>
      <c r="E27" s="8"/>
      <c r="I27" t="s">
        <v>32</v>
      </c>
      <c r="J27" s="3">
        <f>B15*1/2*C2^2*B10</f>
        <v>373.72440363337347</v>
      </c>
    </row>
    <row r="28" spans="1:15" x14ac:dyDescent="0.25">
      <c r="A28" s="8" t="s">
        <v>56</v>
      </c>
      <c r="B28" s="8">
        <f>J27</f>
        <v>373.72440363337347</v>
      </c>
      <c r="C28" s="8">
        <f>C2/3</f>
        <v>1.6666666666666667</v>
      </c>
      <c r="D28" s="8">
        <f>C28*B28</f>
        <v>622.87400605562243</v>
      </c>
      <c r="E28" s="8"/>
      <c r="I28" t="s">
        <v>30</v>
      </c>
      <c r="J28" s="3">
        <f>J26-J27</f>
        <v>890.27520518911024</v>
      </c>
    </row>
    <row r="29" spans="1:15" x14ac:dyDescent="0.25">
      <c r="A29" s="8" t="s">
        <v>48</v>
      </c>
      <c r="B29" s="8">
        <f>E13*C3</f>
        <v>130</v>
      </c>
      <c r="C29" s="8">
        <f>C3/2</f>
        <v>6.5</v>
      </c>
      <c r="D29" s="8">
        <f>C29*B29</f>
        <v>845</v>
      </c>
      <c r="E29" s="8"/>
      <c r="I29" t="s">
        <v>34</v>
      </c>
      <c r="K29" t="s">
        <v>35</v>
      </c>
      <c r="L29" t="s">
        <v>36</v>
      </c>
      <c r="M29" s="1">
        <v>0.95322888183174503</v>
      </c>
      <c r="N29" t="s">
        <v>37</v>
      </c>
      <c r="O29" s="3">
        <f>M29*C3</f>
        <v>12.391975463812685</v>
      </c>
    </row>
    <row r="30" spans="1:15" x14ac:dyDescent="0.25">
      <c r="A30" s="8"/>
      <c r="B30" s="8"/>
      <c r="C30" s="8"/>
      <c r="D30" s="13">
        <f>SUM(D24:D29)</f>
        <v>6587.2101123758766</v>
      </c>
      <c r="E30" s="13">
        <f>SUM(E24:E29)</f>
        <v>15773.188989610268</v>
      </c>
      <c r="I30" t="s">
        <v>38</v>
      </c>
    </row>
    <row r="31" spans="1:15" x14ac:dyDescent="0.25">
      <c r="I31" t="s">
        <v>52</v>
      </c>
      <c r="J31">
        <f>(M22*C3+1/2*(O29-M22)*C3)</f>
        <v>87.04784051478245</v>
      </c>
    </row>
    <row r="32" spans="1:15" x14ac:dyDescent="0.25">
      <c r="B32" t="s">
        <v>49</v>
      </c>
      <c r="C32" s="7">
        <f>E30/D30</f>
        <v>2.3945173632728087</v>
      </c>
      <c r="I32" t="s">
        <v>29</v>
      </c>
      <c r="J32">
        <f>F8*J31</f>
        <v>1915.0524913252139</v>
      </c>
    </row>
    <row r="34" spans="1:4" x14ac:dyDescent="0.25">
      <c r="A34" t="s">
        <v>50</v>
      </c>
    </row>
    <row r="35" spans="1:4" x14ac:dyDescent="0.25">
      <c r="A35" t="s">
        <v>51</v>
      </c>
      <c r="D35">
        <f>(M22*C3*(O29-1/2*M22)+1/2*(O29-M22)*C3*2/3*O29)/J31</f>
        <v>8.8035310051269242</v>
      </c>
    </row>
    <row r="36" spans="1:4" x14ac:dyDescent="0.25">
      <c r="A36" t="s">
        <v>53</v>
      </c>
      <c r="D36">
        <f>(J32*D35-J26*C3/3)/J32</f>
        <v>5.9433840049575144</v>
      </c>
    </row>
    <row r="37" spans="1:4" x14ac:dyDescent="0.25">
      <c r="A37" t="s">
        <v>54</v>
      </c>
      <c r="D37">
        <f>O29/2-D36</f>
        <v>0.25260372694882793</v>
      </c>
    </row>
    <row r="38" spans="1:4" x14ac:dyDescent="0.25">
      <c r="A38" t="s">
        <v>55</v>
      </c>
      <c r="D38">
        <f>J32/O29*(1+6*D37/O29)</f>
        <v>173.44097895606714</v>
      </c>
    </row>
  </sheetData>
  <mergeCells count="3">
    <mergeCell ref="D22:E22"/>
    <mergeCell ref="B22:B23"/>
    <mergeCell ref="C22:C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DAE5-B40B-4DEB-A7ED-C78F520A8F10}">
  <dimension ref="A1:P55"/>
  <sheetViews>
    <sheetView tabSelected="1" topLeftCell="A40" workbookViewId="0">
      <selection activeCell="E31" sqref="E31"/>
    </sheetView>
  </sheetViews>
  <sheetFormatPr defaultRowHeight="15" x14ac:dyDescent="0.25"/>
  <cols>
    <col min="1" max="1" width="9.7109375" customWidth="1"/>
    <col min="2" max="3" width="10.28515625" customWidth="1"/>
    <col min="4" max="4" width="13.85546875" customWidth="1"/>
    <col min="6" max="6" width="10.42578125" customWidth="1"/>
  </cols>
  <sheetData>
    <row r="1" spans="1:15" x14ac:dyDescent="0.25">
      <c r="A1" t="s">
        <v>57</v>
      </c>
      <c r="C1" s="1">
        <v>8</v>
      </c>
    </row>
    <row r="2" spans="1:15" x14ac:dyDescent="0.25">
      <c r="A2" t="s">
        <v>33</v>
      </c>
      <c r="B2" s="5"/>
      <c r="C2" s="1">
        <v>1</v>
      </c>
      <c r="E2" t="s">
        <v>9</v>
      </c>
      <c r="G2" t="s">
        <v>10</v>
      </c>
      <c r="I2" t="s">
        <v>19</v>
      </c>
      <c r="K2">
        <v>1.5</v>
      </c>
    </row>
    <row r="3" spans="1:15" x14ac:dyDescent="0.25">
      <c r="A3" t="s">
        <v>71</v>
      </c>
      <c r="B3" s="5"/>
      <c r="C3" s="2">
        <f>E32</f>
        <v>1</v>
      </c>
      <c r="E3" t="s">
        <v>11</v>
      </c>
      <c r="G3" t="s">
        <v>10</v>
      </c>
      <c r="I3" t="s">
        <v>20</v>
      </c>
      <c r="K3">
        <v>2</v>
      </c>
    </row>
    <row r="4" spans="1:15" x14ac:dyDescent="0.25">
      <c r="A4" t="s">
        <v>72</v>
      </c>
      <c r="C4" s="1">
        <f>C1+C2-C3</f>
        <v>8</v>
      </c>
      <c r="D4" t="s">
        <v>0</v>
      </c>
      <c r="I4" t="s">
        <v>21</v>
      </c>
      <c r="K4" t="s">
        <v>64</v>
      </c>
    </row>
    <row r="5" spans="1:15" x14ac:dyDescent="0.25">
      <c r="A5" s="14" t="s">
        <v>1</v>
      </c>
      <c r="B5" s="2"/>
    </row>
    <row r="6" spans="1:15" x14ac:dyDescent="0.25">
      <c r="A6" t="s">
        <v>2</v>
      </c>
      <c r="B6" s="1">
        <v>35</v>
      </c>
      <c r="C6" t="s">
        <v>3</v>
      </c>
    </row>
    <row r="7" spans="1:15" x14ac:dyDescent="0.25">
      <c r="A7" t="s">
        <v>4</v>
      </c>
      <c r="B7" s="1">
        <v>22</v>
      </c>
      <c r="C7" t="s">
        <v>5</v>
      </c>
    </row>
    <row r="8" spans="1:15" x14ac:dyDescent="0.25">
      <c r="B8" s="2"/>
      <c r="E8" t="s">
        <v>26</v>
      </c>
    </row>
    <row r="9" spans="1:15" x14ac:dyDescent="0.25">
      <c r="A9" s="14" t="s">
        <v>6</v>
      </c>
      <c r="B9" s="2"/>
      <c r="E9" t="s">
        <v>27</v>
      </c>
      <c r="F9" s="1">
        <v>25</v>
      </c>
    </row>
    <row r="10" spans="1:15" x14ac:dyDescent="0.25">
      <c r="A10" t="s">
        <v>7</v>
      </c>
      <c r="B10" s="1">
        <v>35</v>
      </c>
      <c r="C10" t="s">
        <v>3</v>
      </c>
    </row>
    <row r="11" spans="1:15" x14ac:dyDescent="0.25">
      <c r="A11" t="s">
        <v>8</v>
      </c>
      <c r="B11" s="1">
        <v>19</v>
      </c>
      <c r="C11" t="s">
        <v>5</v>
      </c>
      <c r="J11" t="s">
        <v>65</v>
      </c>
    </row>
    <row r="12" spans="1:15" x14ac:dyDescent="0.25">
      <c r="B12" s="2"/>
      <c r="J12" s="8" t="s">
        <v>41</v>
      </c>
      <c r="K12" s="8" t="s">
        <v>66</v>
      </c>
      <c r="L12" s="8" t="s">
        <v>67</v>
      </c>
      <c r="M12" s="8" t="s">
        <v>68</v>
      </c>
      <c r="N12" s="8" t="s">
        <v>69</v>
      </c>
      <c r="O12" s="15" t="s">
        <v>74</v>
      </c>
    </row>
    <row r="13" spans="1:15" x14ac:dyDescent="0.25">
      <c r="A13" s="14" t="s">
        <v>13</v>
      </c>
      <c r="B13" s="1">
        <v>10</v>
      </c>
      <c r="C13" t="s">
        <v>14</v>
      </c>
      <c r="E13" s="1">
        <v>1</v>
      </c>
      <c r="F13" t="s">
        <v>0</v>
      </c>
      <c r="J13" s="8">
        <v>1</v>
      </c>
      <c r="K13" s="8">
        <f>E21*(C4)</f>
        <v>8</v>
      </c>
      <c r="L13" s="8">
        <f>E31-E30-E21/2</f>
        <v>6</v>
      </c>
      <c r="M13" s="8">
        <f>E32+C4/2</f>
        <v>5</v>
      </c>
      <c r="N13" s="8">
        <f>K13*F9</f>
        <v>200</v>
      </c>
      <c r="O13">
        <f>K13*M13</f>
        <v>40</v>
      </c>
    </row>
    <row r="14" spans="1:15" x14ac:dyDescent="0.25">
      <c r="B14" t="s">
        <v>16</v>
      </c>
      <c r="D14" t="s">
        <v>15</v>
      </c>
      <c r="E14">
        <f xml:space="preserve"> B13*E13</f>
        <v>10</v>
      </c>
      <c r="F14" t="s">
        <v>18</v>
      </c>
      <c r="J14" s="8">
        <v>2</v>
      </c>
      <c r="K14" s="8">
        <f>1/2*(G28-E21)*C4</f>
        <v>20</v>
      </c>
      <c r="L14" s="8">
        <f>E29+2/3*(G28-E21)</f>
        <v>3.833333333333333</v>
      </c>
      <c r="M14" s="8">
        <f>E32+1/3*C4</f>
        <v>3.6666666666666665</v>
      </c>
      <c r="N14" s="8">
        <f>K14*F9</f>
        <v>500</v>
      </c>
      <c r="O14">
        <f>K14*L14</f>
        <v>76.666666666666657</v>
      </c>
    </row>
    <row r="15" spans="1:15" x14ac:dyDescent="0.25">
      <c r="A15" t="s">
        <v>12</v>
      </c>
      <c r="B15" s="4">
        <f>(1-SIN(RADIANS(B6)))/(1+SIN(RADIANS(B6)))</f>
        <v>0.27099005412014443</v>
      </c>
      <c r="J15" s="8">
        <v>3</v>
      </c>
      <c r="K15" s="8">
        <f>E31*E32</f>
        <v>7</v>
      </c>
      <c r="L15" s="8">
        <f>E29+G28/2</f>
        <v>3.5</v>
      </c>
      <c r="M15" s="8">
        <f>E32/2</f>
        <v>0.5</v>
      </c>
      <c r="N15" s="8">
        <f>K15*F9</f>
        <v>175</v>
      </c>
      <c r="O15">
        <f>K15*L15</f>
        <v>24.5</v>
      </c>
    </row>
    <row r="16" spans="1:15" x14ac:dyDescent="0.25">
      <c r="A16" t="s">
        <v>28</v>
      </c>
      <c r="B16" s="4">
        <f>(1+SIN(RADIANS(B10)))/(1-SIN(RADIANS(B10)))</f>
        <v>3.6901723321426636</v>
      </c>
      <c r="J16" s="8" t="s">
        <v>70</v>
      </c>
      <c r="K16" s="8">
        <f>SUM(K13:K15)</f>
        <v>35</v>
      </c>
      <c r="L16" s="8"/>
      <c r="M16" s="8"/>
      <c r="N16" s="8">
        <f>SUM(N13:N15)</f>
        <v>875</v>
      </c>
      <c r="O16">
        <f>SUM(O13:O15)</f>
        <v>141.16666666666666</v>
      </c>
    </row>
    <row r="18" spans="1:16" x14ac:dyDescent="0.25">
      <c r="N18" t="s">
        <v>75</v>
      </c>
      <c r="P18">
        <f>O16/K16</f>
        <v>4.0333333333333332</v>
      </c>
    </row>
    <row r="19" spans="1:16" x14ac:dyDescent="0.25">
      <c r="A19" t="s">
        <v>39</v>
      </c>
      <c r="B19" s="7">
        <f>D23*B36/B27</f>
        <v>2.1276160209668631</v>
      </c>
    </row>
    <row r="21" spans="1:16" x14ac:dyDescent="0.25">
      <c r="B21" t="s">
        <v>17</v>
      </c>
      <c r="E21" s="1">
        <v>1</v>
      </c>
      <c r="F21" t="s">
        <v>0</v>
      </c>
    </row>
    <row r="23" spans="1:16" x14ac:dyDescent="0.25">
      <c r="A23" t="s">
        <v>24</v>
      </c>
      <c r="C23" s="6" t="s">
        <v>22</v>
      </c>
      <c r="D23">
        <f>TAN(RADIANS(2/3*B10))</f>
        <v>0.43135789393291657</v>
      </c>
    </row>
    <row r="24" spans="1:16" x14ac:dyDescent="0.25">
      <c r="A24" t="s">
        <v>23</v>
      </c>
      <c r="B24" t="s">
        <v>25</v>
      </c>
    </row>
    <row r="25" spans="1:16" x14ac:dyDescent="0.25">
      <c r="A25" t="s">
        <v>31</v>
      </c>
      <c r="B25" s="3">
        <f>1/2*B15*B7*C4^2+E14*B15*C4</f>
        <v>212.45620243019326</v>
      </c>
      <c r="D25" s="6"/>
    </row>
    <row r="26" spans="1:16" x14ac:dyDescent="0.25">
      <c r="A26" t="s">
        <v>32</v>
      </c>
      <c r="B26" s="3">
        <f>B16*1/2*C2^2*B11</f>
        <v>35.056637155355304</v>
      </c>
    </row>
    <row r="27" spans="1:16" x14ac:dyDescent="0.25">
      <c r="A27" t="s">
        <v>30</v>
      </c>
      <c r="B27" s="3">
        <f>B25-B26</f>
        <v>177.39956527483795</v>
      </c>
    </row>
    <row r="28" spans="1:16" x14ac:dyDescent="0.25">
      <c r="A28" t="s">
        <v>59</v>
      </c>
      <c r="C28" t="s">
        <v>35</v>
      </c>
      <c r="D28" t="s">
        <v>36</v>
      </c>
      <c r="E28" s="1">
        <v>0.75</v>
      </c>
      <c r="F28" t="s">
        <v>37</v>
      </c>
      <c r="G28" s="3">
        <v>6</v>
      </c>
      <c r="H28" t="s">
        <v>0</v>
      </c>
      <c r="I28" t="s">
        <v>73</v>
      </c>
      <c r="J28">
        <f>G28/C1</f>
        <v>0.75</v>
      </c>
    </row>
    <row r="29" spans="1:16" x14ac:dyDescent="0.25">
      <c r="A29" t="s">
        <v>60</v>
      </c>
      <c r="E29" s="1">
        <v>0.5</v>
      </c>
      <c r="F29" t="s">
        <v>0</v>
      </c>
    </row>
    <row r="30" spans="1:16" x14ac:dyDescent="0.25">
      <c r="A30" t="s">
        <v>61</v>
      </c>
      <c r="E30" s="1">
        <v>0.5</v>
      </c>
      <c r="F30" t="s">
        <v>0</v>
      </c>
    </row>
    <row r="31" spans="1:16" x14ac:dyDescent="0.25">
      <c r="A31" t="s">
        <v>62</v>
      </c>
      <c r="E31" s="3">
        <f>G28+E29+E30</f>
        <v>7</v>
      </c>
      <c r="F31" t="s">
        <v>0</v>
      </c>
    </row>
    <row r="32" spans="1:16" x14ac:dyDescent="0.25">
      <c r="A32" t="s">
        <v>63</v>
      </c>
      <c r="E32" s="1">
        <v>1</v>
      </c>
      <c r="F32" t="s">
        <v>0</v>
      </c>
    </row>
    <row r="34" spans="1:5" x14ac:dyDescent="0.25">
      <c r="A34" t="s">
        <v>38</v>
      </c>
    </row>
    <row r="35" spans="1:5" x14ac:dyDescent="0.25">
      <c r="A35" t="s">
        <v>52</v>
      </c>
      <c r="B35">
        <f>K16</f>
        <v>35</v>
      </c>
    </row>
    <row r="36" spans="1:5" x14ac:dyDescent="0.25">
      <c r="A36" t="s">
        <v>29</v>
      </c>
      <c r="B36">
        <f>N16</f>
        <v>875</v>
      </c>
    </row>
    <row r="38" spans="1:5" x14ac:dyDescent="0.25">
      <c r="A38" s="14" t="s">
        <v>40</v>
      </c>
    </row>
    <row r="39" spans="1:5" x14ac:dyDescent="0.25">
      <c r="A39" s="8" t="s">
        <v>41</v>
      </c>
      <c r="B39" s="11" t="s">
        <v>44</v>
      </c>
      <c r="C39" s="11" t="s">
        <v>45</v>
      </c>
      <c r="D39" s="9" t="s">
        <v>46</v>
      </c>
      <c r="E39" s="10"/>
    </row>
    <row r="40" spans="1:5" x14ac:dyDescent="0.25">
      <c r="A40" s="8" t="s">
        <v>47</v>
      </c>
      <c r="B40" s="12"/>
      <c r="C40" s="12"/>
      <c r="D40" s="8" t="s">
        <v>40</v>
      </c>
      <c r="E40" s="8" t="s">
        <v>42</v>
      </c>
    </row>
    <row r="41" spans="1:5" x14ac:dyDescent="0.25">
      <c r="A41" s="8">
        <v>1</v>
      </c>
      <c r="B41" s="8">
        <f>E21*C4*F9</f>
        <v>200</v>
      </c>
      <c r="C41" s="8">
        <f>L13</f>
        <v>6</v>
      </c>
      <c r="D41" s="8"/>
      <c r="E41" s="8">
        <f>B41*C41</f>
        <v>1200</v>
      </c>
    </row>
    <row r="42" spans="1:5" x14ac:dyDescent="0.25">
      <c r="A42" s="8">
        <v>2</v>
      </c>
      <c r="B42" s="8">
        <f>1/2*(G28-E21)*C4*F9</f>
        <v>500</v>
      </c>
      <c r="C42" s="8">
        <f>L14</f>
        <v>3.833333333333333</v>
      </c>
      <c r="D42" s="8"/>
      <c r="E42" s="8">
        <f>B42*C42</f>
        <v>1916.6666666666665</v>
      </c>
    </row>
    <row r="43" spans="1:5" x14ac:dyDescent="0.25">
      <c r="A43" s="8">
        <v>3</v>
      </c>
      <c r="B43" s="8">
        <f>N15</f>
        <v>175</v>
      </c>
      <c r="C43" s="8">
        <f>L15</f>
        <v>3.5</v>
      </c>
      <c r="D43" s="8"/>
      <c r="E43" s="8">
        <f>B43*C43</f>
        <v>612.5</v>
      </c>
    </row>
    <row r="44" spans="1:5" x14ac:dyDescent="0.25">
      <c r="A44" s="8" t="s">
        <v>43</v>
      </c>
      <c r="B44" s="8">
        <f>1/2*B15*B7*(C4+E32)^2</f>
        <v>241.4521382210487</v>
      </c>
      <c r="C44" s="8">
        <f>1/3*C4+E32</f>
        <v>3.6666666666666665</v>
      </c>
      <c r="D44" s="8">
        <f>C44*B44</f>
        <v>885.32450681051182</v>
      </c>
      <c r="E44" s="8"/>
    </row>
    <row r="45" spans="1:5" x14ac:dyDescent="0.25">
      <c r="A45" s="8" t="s">
        <v>56</v>
      </c>
      <c r="B45" s="8">
        <f>B26</f>
        <v>35.056637155355304</v>
      </c>
      <c r="C45" s="8">
        <f>(C1+C2)/3</f>
        <v>3</v>
      </c>
      <c r="E45" s="8">
        <f>C45*B45</f>
        <v>105.16991146606591</v>
      </c>
    </row>
    <row r="46" spans="1:5" x14ac:dyDescent="0.25">
      <c r="A46" s="8" t="s">
        <v>48</v>
      </c>
      <c r="B46" s="8">
        <f>E14*C4</f>
        <v>80</v>
      </c>
      <c r="C46" s="8">
        <f>C4/2+E32</f>
        <v>5</v>
      </c>
      <c r="D46" s="8">
        <f>C46*B46</f>
        <v>400</v>
      </c>
      <c r="E46" s="8"/>
    </row>
    <row r="47" spans="1:5" x14ac:dyDescent="0.25">
      <c r="A47" s="8"/>
      <c r="B47" s="8"/>
      <c r="C47" s="8"/>
      <c r="D47" s="13">
        <f>SUM(D41:D46)</f>
        <v>1285.3245068105118</v>
      </c>
      <c r="E47" s="13">
        <f>SUM(E41:E46)</f>
        <v>3834.3365781327325</v>
      </c>
    </row>
    <row r="49" spans="1:4" x14ac:dyDescent="0.25">
      <c r="B49" t="s">
        <v>49</v>
      </c>
      <c r="C49" s="7">
        <f>E47/D47</f>
        <v>2.9831661637320726</v>
      </c>
    </row>
    <row r="51" spans="1:4" x14ac:dyDescent="0.25">
      <c r="A51" t="s">
        <v>50</v>
      </c>
    </row>
    <row r="52" spans="1:4" x14ac:dyDescent="0.25">
      <c r="A52" t="s">
        <v>51</v>
      </c>
      <c r="D52">
        <f>P18</f>
        <v>4.0333333333333332</v>
      </c>
    </row>
    <row r="53" spans="1:4" x14ac:dyDescent="0.25">
      <c r="A53" t="s">
        <v>53</v>
      </c>
      <c r="D53">
        <f>(B36*D52-B25*C4/3+B26*1/3*C2)/B36</f>
        <v>3.3992026734147847</v>
      </c>
    </row>
    <row r="54" spans="1:4" x14ac:dyDescent="0.25">
      <c r="A54" t="s">
        <v>54</v>
      </c>
      <c r="D54">
        <f>E31/2-D53</f>
        <v>0.10079732658521534</v>
      </c>
    </row>
    <row r="55" spans="1:4" x14ac:dyDescent="0.25">
      <c r="A55" t="s">
        <v>55</v>
      </c>
      <c r="D55">
        <f>B36/G28*(1+6*D54/G28)</f>
        <v>160.53294346034392</v>
      </c>
    </row>
  </sheetData>
  <mergeCells count="3">
    <mergeCell ref="B39:B40"/>
    <mergeCell ref="C39:C40"/>
    <mergeCell ref="D39:E3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trapezoidal</vt:lpstr>
      <vt:lpstr>traffic cone 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Samyak</dc:creator>
  <cp:lastModifiedBy>Samyak</cp:lastModifiedBy>
  <dcterms:created xsi:type="dcterms:W3CDTF">2025-03-02T09:10:21Z</dcterms:created>
  <dcterms:modified xsi:type="dcterms:W3CDTF">2025-03-03T09:56:40Z</dcterms:modified>
</cp:coreProperties>
</file>