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NET\"/>
    </mc:Choice>
  </mc:AlternateContent>
  <xr:revisionPtr revIDLastSave="0" documentId="13_ncr:1_{EE865E89-86FD-4D6A-8F0E-55CB36793887}" xr6:coauthVersionLast="47" xr6:coauthVersionMax="47" xr10:uidLastSave="{00000000-0000-0000-0000-000000000000}"/>
  <bookViews>
    <workbookView xWindow="-120" yWindow="-120" windowWidth="20730" windowHeight="11160" firstSheet="2" activeTab="5" xr2:uid="{1A9AAD2F-9471-483B-805C-3A8547978617}"/>
  </bookViews>
  <sheets>
    <sheet name="intermittent flushing" sheetId="1" r:id="rId1"/>
    <sheet name="continuous flushing" sheetId="2" r:id="rId2"/>
    <sheet name="Sheet1" sheetId="3" r:id="rId3"/>
    <sheet name="Sheet2" sheetId="4" r:id="rId4"/>
    <sheet name="Sheet3" sheetId="5" r:id="rId5"/>
    <sheet name="Sheet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6" l="1"/>
  <c r="I12" i="6"/>
  <c r="J12" i="6" s="1"/>
  <c r="O10" i="6"/>
  <c r="O11" i="6" s="1"/>
  <c r="N5" i="6"/>
  <c r="N4" i="6"/>
  <c r="C3" i="6"/>
  <c r="N9" i="5"/>
  <c r="G10" i="5"/>
  <c r="G11" i="5"/>
  <c r="G12" i="5"/>
  <c r="G14" i="5"/>
  <c r="G15" i="5"/>
  <c r="G16" i="5"/>
  <c r="G17" i="5"/>
  <c r="G18" i="5"/>
  <c r="G19" i="5"/>
  <c r="G9" i="5"/>
  <c r="N12" i="6" l="1"/>
  <c r="C5" i="6"/>
  <c r="C6" i="6" s="1"/>
  <c r="O12" i="6"/>
  <c r="G12" i="6" l="1"/>
  <c r="E9" i="6"/>
  <c r="F9" i="6" s="1"/>
  <c r="E19" i="6"/>
  <c r="F19" i="6" s="1"/>
  <c r="E17" i="6"/>
  <c r="F17" i="6" s="1"/>
  <c r="E16" i="6"/>
  <c r="F16" i="6" s="1"/>
  <c r="E15" i="6"/>
  <c r="F15" i="6" s="1"/>
  <c r="E13" i="6"/>
  <c r="F13" i="6" s="1"/>
  <c r="G13" i="6" s="1"/>
  <c r="G19" i="6"/>
  <c r="E12" i="6"/>
  <c r="E11" i="6"/>
  <c r="F11" i="6" s="1"/>
  <c r="E10" i="6"/>
  <c r="F10" i="6" s="1"/>
  <c r="G10" i="6" s="1"/>
  <c r="E18" i="6"/>
  <c r="F18" i="6" s="1"/>
  <c r="G18" i="6" s="1"/>
  <c r="E14" i="6"/>
  <c r="F14" i="6" s="1"/>
  <c r="G14" i="6" s="1"/>
  <c r="P12" i="6"/>
  <c r="O13" i="6"/>
  <c r="H10" i="6" l="1"/>
  <c r="I10" i="6"/>
  <c r="J10" i="6" s="1"/>
  <c r="K10" i="6" s="1"/>
  <c r="H14" i="6"/>
  <c r="H18" i="6"/>
  <c r="I15" i="6"/>
  <c r="J15" i="6" s="1"/>
  <c r="I9" i="6"/>
  <c r="J9" i="6" s="1"/>
  <c r="I14" i="6"/>
  <c r="J14" i="6" s="1"/>
  <c r="K14" i="6" s="1"/>
  <c r="I11" i="6"/>
  <c r="J11" i="6" s="1"/>
  <c r="G15" i="6"/>
  <c r="H19" i="6"/>
  <c r="I16" i="6"/>
  <c r="J16" i="6" s="1"/>
  <c r="K12" i="6"/>
  <c r="H12" i="6"/>
  <c r="O14" i="6"/>
  <c r="I18" i="6"/>
  <c r="J18" i="6" s="1"/>
  <c r="K18" i="6" s="1"/>
  <c r="G16" i="6"/>
  <c r="G11" i="6"/>
  <c r="I17" i="6"/>
  <c r="J17" i="6" s="1"/>
  <c r="Q12" i="6"/>
  <c r="R12" i="6"/>
  <c r="G9" i="6"/>
  <c r="H13" i="6"/>
  <c r="G17" i="6"/>
  <c r="I13" i="6"/>
  <c r="J13" i="6" s="1"/>
  <c r="K13" i="6" s="1"/>
  <c r="I19" i="6"/>
  <c r="J19" i="6" s="1"/>
  <c r="K19" i="6" s="1"/>
  <c r="K9" i="6" l="1"/>
  <c r="H9" i="6"/>
  <c r="L9" i="6" s="1"/>
  <c r="L19" i="6"/>
  <c r="H17" i="6"/>
  <c r="L17" i="6" s="1"/>
  <c r="K17" i="6"/>
  <c r="T12" i="6"/>
  <c r="S12" i="6"/>
  <c r="H11" i="6"/>
  <c r="L11" i="6" s="1"/>
  <c r="K11" i="6"/>
  <c r="O15" i="6"/>
  <c r="H15" i="6"/>
  <c r="K15" i="6"/>
  <c r="L14" i="6"/>
  <c r="L10" i="6"/>
  <c r="H16" i="6"/>
  <c r="K16" i="6"/>
  <c r="L13" i="6"/>
  <c r="L18" i="6"/>
  <c r="L16" i="6" l="1"/>
  <c r="L15" i="6"/>
  <c r="M15" i="6" s="1"/>
  <c r="N11" i="6"/>
  <c r="P11" i="6" s="1"/>
  <c r="M11" i="6"/>
  <c r="M18" i="6"/>
  <c r="N18" i="6"/>
  <c r="N10" i="6"/>
  <c r="P10" i="6" s="1"/>
  <c r="M10" i="6"/>
  <c r="O16" i="6"/>
  <c r="N19" i="6"/>
  <c r="M19" i="6"/>
  <c r="M16" i="6"/>
  <c r="N16" i="6"/>
  <c r="M17" i="6"/>
  <c r="N17" i="6"/>
  <c r="N14" i="6"/>
  <c r="P14" i="6" s="1"/>
  <c r="M14" i="6"/>
  <c r="M9" i="6"/>
  <c r="N9" i="6"/>
  <c r="P9" i="6" s="1"/>
  <c r="N15" i="6"/>
  <c r="P15" i="6" s="1"/>
  <c r="N13" i="6"/>
  <c r="P13" i="6" s="1"/>
  <c r="M13" i="6"/>
  <c r="Q15" i="6" l="1"/>
  <c r="R15" i="6"/>
  <c r="P16" i="6"/>
  <c r="O17" i="6"/>
  <c r="Q14" i="6"/>
  <c r="R14" i="6"/>
  <c r="Q9" i="6"/>
  <c r="R9" i="6"/>
  <c r="Q13" i="6"/>
  <c r="R13" i="6"/>
  <c r="Q10" i="6"/>
  <c r="R10" i="6"/>
  <c r="Q11" i="6"/>
  <c r="R11" i="6"/>
  <c r="T11" i="6" l="1"/>
  <c r="S11" i="6"/>
  <c r="T13" i="6"/>
  <c r="S13" i="6"/>
  <c r="T14" i="6"/>
  <c r="S14" i="6"/>
  <c r="T15" i="6"/>
  <c r="S15" i="6"/>
  <c r="T10" i="6"/>
  <c r="S10" i="6"/>
  <c r="S9" i="6"/>
  <c r="T9" i="6"/>
  <c r="P17" i="6"/>
  <c r="O18" i="6"/>
  <c r="Q16" i="6"/>
  <c r="R16" i="6"/>
  <c r="P18" i="6" l="1"/>
  <c r="O19" i="6"/>
  <c r="P19" i="6" s="1"/>
  <c r="Q17" i="6"/>
  <c r="R17" i="6"/>
  <c r="T16" i="6"/>
  <c r="S16" i="6"/>
  <c r="Q19" i="6" l="1"/>
  <c r="R19" i="6"/>
  <c r="Q18" i="6"/>
  <c r="R18" i="6"/>
  <c r="T17" i="6"/>
  <c r="S17" i="6"/>
  <c r="T19" i="6" l="1"/>
  <c r="S19" i="6"/>
  <c r="T18" i="6"/>
  <c r="S18" i="6"/>
  <c r="R9" i="4" l="1"/>
  <c r="N5" i="5"/>
  <c r="N4" i="5"/>
  <c r="C3" i="5"/>
  <c r="B53" i="5"/>
  <c r="D51" i="5"/>
  <c r="D50" i="5" s="1"/>
  <c r="M12" i="4"/>
  <c r="N4" i="4"/>
  <c r="N5" i="4" s="1"/>
  <c r="O10" i="4"/>
  <c r="O11" i="4" s="1"/>
  <c r="O12" i="4" s="1"/>
  <c r="O13" i="4" s="1"/>
  <c r="O14" i="4" s="1"/>
  <c r="O15" i="4" s="1"/>
  <c r="O16" i="4" s="1"/>
  <c r="O17" i="4" s="1"/>
  <c r="O18" i="4" s="1"/>
  <c r="O19" i="4" s="1"/>
  <c r="D15" i="3"/>
  <c r="C3" i="4"/>
  <c r="C5" i="4" s="1"/>
  <c r="C6" i="4" s="1"/>
  <c r="G12" i="4" s="1"/>
  <c r="J28" i="3"/>
  <c r="F11" i="3"/>
  <c r="D8" i="3"/>
  <c r="F8" i="3" s="1"/>
  <c r="F9" i="3" s="1"/>
  <c r="D3" i="3"/>
  <c r="D15" i="2"/>
  <c r="D17" i="2"/>
  <c r="F17" i="2"/>
  <c r="F11" i="2"/>
  <c r="R29" i="2"/>
  <c r="R28" i="2"/>
  <c r="R27" i="2"/>
  <c r="G26" i="2"/>
  <c r="D8" i="2"/>
  <c r="F8" i="2" s="1"/>
  <c r="F9" i="2" s="1"/>
  <c r="D3" i="2"/>
  <c r="P7" i="2" s="1"/>
  <c r="Q10" i="1"/>
  <c r="D13" i="1"/>
  <c r="D14" i="1" s="1"/>
  <c r="D25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D3" i="1"/>
  <c r="D8" i="1"/>
  <c r="F8" i="1" s="1"/>
  <c r="F9" i="1" s="1"/>
  <c r="D23" i="1"/>
  <c r="B30" i="1" s="1"/>
  <c r="M9" i="5" l="1"/>
  <c r="B54" i="5"/>
  <c r="E51" i="5"/>
  <c r="C5" i="5"/>
  <c r="M19" i="5"/>
  <c r="M14" i="5"/>
  <c r="E17" i="4"/>
  <c r="F17" i="4" s="1"/>
  <c r="G17" i="4" s="1"/>
  <c r="E9" i="4"/>
  <c r="F9" i="4" s="1"/>
  <c r="G9" i="4" s="1"/>
  <c r="E16" i="4"/>
  <c r="F16" i="4" s="1"/>
  <c r="E10" i="4"/>
  <c r="F10" i="4" s="1"/>
  <c r="I10" i="4" s="1"/>
  <c r="J10" i="4" s="1"/>
  <c r="E13" i="4"/>
  <c r="E12" i="4"/>
  <c r="E19" i="4"/>
  <c r="F19" i="4" s="1"/>
  <c r="I19" i="4" s="1"/>
  <c r="J19" i="4" s="1"/>
  <c r="E15" i="4"/>
  <c r="F15" i="4" s="1"/>
  <c r="I15" i="4" s="1"/>
  <c r="J15" i="4" s="1"/>
  <c r="E11" i="4"/>
  <c r="F11" i="4" s="1"/>
  <c r="I11" i="4" s="1"/>
  <c r="E18" i="4"/>
  <c r="F18" i="4" s="1"/>
  <c r="I18" i="4" s="1"/>
  <c r="J18" i="4" s="1"/>
  <c r="E14" i="4"/>
  <c r="F14" i="4" s="1"/>
  <c r="I14" i="4" s="1"/>
  <c r="J14" i="4" s="1"/>
  <c r="D14" i="3"/>
  <c r="T32" i="3"/>
  <c r="R30" i="2"/>
  <c r="R32" i="2" s="1"/>
  <c r="T32" i="2" s="1"/>
  <c r="D14" i="2"/>
  <c r="F15" i="2" s="1"/>
  <c r="Q7" i="2" s="1"/>
  <c r="C41" i="1"/>
  <c r="D30" i="1"/>
  <c r="E30" i="1" s="1"/>
  <c r="F30" i="1" s="1"/>
  <c r="B31" i="1"/>
  <c r="D16" i="1"/>
  <c r="M18" i="5" l="1"/>
  <c r="M12" i="5"/>
  <c r="M13" i="5"/>
  <c r="C6" i="5"/>
  <c r="E14" i="5" s="1"/>
  <c r="F14" i="5" s="1"/>
  <c r="N14" i="5" s="1"/>
  <c r="M17" i="5"/>
  <c r="M11" i="5"/>
  <c r="M16" i="5"/>
  <c r="M10" i="5"/>
  <c r="M15" i="5"/>
  <c r="E18" i="5"/>
  <c r="F18" i="5" s="1"/>
  <c r="E10" i="5"/>
  <c r="F10" i="5" s="1"/>
  <c r="E13" i="5"/>
  <c r="H13" i="5" s="1"/>
  <c r="I13" i="5" s="1"/>
  <c r="F13" i="4"/>
  <c r="I13" i="4" s="1"/>
  <c r="J13" i="4" s="1"/>
  <c r="G14" i="4"/>
  <c r="K14" i="4" s="1"/>
  <c r="I9" i="4"/>
  <c r="J9" i="4" s="1"/>
  <c r="K9" i="4" s="1"/>
  <c r="G11" i="4"/>
  <c r="G13" i="4"/>
  <c r="G15" i="4"/>
  <c r="I17" i="4"/>
  <c r="J17" i="4" s="1"/>
  <c r="K17" i="4" s="1"/>
  <c r="J11" i="4"/>
  <c r="G18" i="4"/>
  <c r="I16" i="4"/>
  <c r="J16" i="4" s="1"/>
  <c r="G10" i="4"/>
  <c r="G16" i="4"/>
  <c r="G19" i="4"/>
  <c r="H17" i="4"/>
  <c r="H9" i="4"/>
  <c r="H12" i="4"/>
  <c r="I12" i="4"/>
  <c r="J12" i="4" s="1"/>
  <c r="K12" i="4" s="1"/>
  <c r="D19" i="2"/>
  <c r="D18" i="2" s="1"/>
  <c r="D21" i="2" s="1"/>
  <c r="F21" i="2" s="1"/>
  <c r="P8" i="2" s="1"/>
  <c r="Q8" i="2" s="1"/>
  <c r="D17" i="1"/>
  <c r="D19" i="1" s="1"/>
  <c r="E20" i="1" s="1"/>
  <c r="C42" i="1"/>
  <c r="D31" i="1"/>
  <c r="B32" i="1"/>
  <c r="E15" i="5" l="1"/>
  <c r="F15" i="5" s="1"/>
  <c r="E11" i="5"/>
  <c r="F11" i="5" s="1"/>
  <c r="H11" i="5" s="1"/>
  <c r="I11" i="5" s="1"/>
  <c r="E19" i="5"/>
  <c r="F19" i="5" s="1"/>
  <c r="N19" i="5" s="1"/>
  <c r="N13" i="5"/>
  <c r="G13" i="5" s="1"/>
  <c r="E12" i="5"/>
  <c r="F12" i="5" s="1"/>
  <c r="J12" i="5" s="1"/>
  <c r="K12" i="5" s="1"/>
  <c r="E9" i="5"/>
  <c r="F9" i="5" s="1"/>
  <c r="J9" i="5" s="1"/>
  <c r="E16" i="5"/>
  <c r="F16" i="5" s="1"/>
  <c r="E17" i="5"/>
  <c r="F17" i="5" s="1"/>
  <c r="H17" i="5" s="1"/>
  <c r="I17" i="5" s="1"/>
  <c r="N18" i="5"/>
  <c r="N16" i="5"/>
  <c r="N15" i="5"/>
  <c r="N10" i="5"/>
  <c r="H10" i="5"/>
  <c r="I10" i="5" s="1"/>
  <c r="H16" i="5"/>
  <c r="I16" i="5" s="1"/>
  <c r="H12" i="5"/>
  <c r="I12" i="5" s="1"/>
  <c r="H18" i="5"/>
  <c r="I18" i="5" s="1"/>
  <c r="H14" i="5"/>
  <c r="I14" i="5" s="1"/>
  <c r="H19" i="5"/>
  <c r="I19" i="5" s="1"/>
  <c r="H15" i="5"/>
  <c r="I15" i="5" s="1"/>
  <c r="J18" i="5"/>
  <c r="K18" i="5" s="1"/>
  <c r="J16" i="5"/>
  <c r="K16" i="5" s="1"/>
  <c r="J19" i="5"/>
  <c r="K19" i="5" s="1"/>
  <c r="L19" i="5" s="1"/>
  <c r="J15" i="5"/>
  <c r="K15" i="5" s="1"/>
  <c r="J10" i="5"/>
  <c r="K10" i="5" s="1"/>
  <c r="L10" i="5" s="1"/>
  <c r="J13" i="5"/>
  <c r="K13" i="5" s="1"/>
  <c r="J14" i="5"/>
  <c r="K14" i="5" s="1"/>
  <c r="L14" i="5" s="1"/>
  <c r="H10" i="4"/>
  <c r="H15" i="4"/>
  <c r="H14" i="4"/>
  <c r="L14" i="4" s="1"/>
  <c r="M14" i="4" s="1"/>
  <c r="K19" i="4"/>
  <c r="H18" i="4"/>
  <c r="H13" i="4"/>
  <c r="H16" i="4"/>
  <c r="H11" i="4"/>
  <c r="K10" i="4"/>
  <c r="K11" i="4"/>
  <c r="K13" i="4"/>
  <c r="K15" i="4"/>
  <c r="L9" i="4"/>
  <c r="M9" i="4" s="1"/>
  <c r="H19" i="4"/>
  <c r="K16" i="4"/>
  <c r="K18" i="4"/>
  <c r="L17" i="4"/>
  <c r="M17" i="4" s="1"/>
  <c r="F15" i="3"/>
  <c r="J27" i="3" s="1"/>
  <c r="D16" i="3"/>
  <c r="D17" i="3"/>
  <c r="D19" i="3"/>
  <c r="D18" i="3" s="1"/>
  <c r="D21" i="3" s="1"/>
  <c r="F21" i="3" s="1"/>
  <c r="Q26" i="3" s="1"/>
  <c r="D23" i="3"/>
  <c r="F23" i="3" s="1"/>
  <c r="D22" i="3"/>
  <c r="F22" i="3" s="1"/>
  <c r="G25" i="2"/>
  <c r="G24" i="2"/>
  <c r="E31" i="1"/>
  <c r="F31" i="1" s="1"/>
  <c r="G31" i="1"/>
  <c r="C43" i="1"/>
  <c r="D32" i="1"/>
  <c r="B33" i="1"/>
  <c r="J11" i="5" l="1"/>
  <c r="K11" i="5" s="1"/>
  <c r="L11" i="5" s="1"/>
  <c r="N12" i="5"/>
  <c r="K9" i="5"/>
  <c r="N11" i="5"/>
  <c r="N17" i="5"/>
  <c r="J17" i="5"/>
  <c r="K17" i="5" s="1"/>
  <c r="L17" i="5" s="1"/>
  <c r="H9" i="5"/>
  <c r="I9" i="5" s="1"/>
  <c r="L12" i="5"/>
  <c r="L15" i="5"/>
  <c r="L9" i="5"/>
  <c r="L18" i="5"/>
  <c r="L16" i="5"/>
  <c r="L13" i="5"/>
  <c r="L19" i="4"/>
  <c r="M19" i="4" s="1"/>
  <c r="L10" i="4"/>
  <c r="M10" i="4" s="1"/>
  <c r="N14" i="4"/>
  <c r="P14" i="4" s="1"/>
  <c r="N17" i="4"/>
  <c r="P17" i="4" s="1"/>
  <c r="N9" i="4"/>
  <c r="P9" i="4" s="1"/>
  <c r="N12" i="4"/>
  <c r="P12" i="4" s="1"/>
  <c r="L13" i="4"/>
  <c r="L15" i="4"/>
  <c r="M15" i="4" s="1"/>
  <c r="L16" i="4"/>
  <c r="M16" i="4" s="1"/>
  <c r="L18" i="4"/>
  <c r="M18" i="4" s="1"/>
  <c r="L11" i="4"/>
  <c r="M11" i="4" s="1"/>
  <c r="J26" i="3"/>
  <c r="B30" i="3" s="1"/>
  <c r="B38" i="3" s="1"/>
  <c r="B30" i="2"/>
  <c r="D30" i="2" s="1"/>
  <c r="E32" i="1"/>
  <c r="F32" i="1" s="1"/>
  <c r="G32" i="1"/>
  <c r="B34" i="1"/>
  <c r="D33" i="1"/>
  <c r="N13" i="4" l="1"/>
  <c r="P13" i="4" s="1"/>
  <c r="R13" i="4" s="1"/>
  <c r="M13" i="4"/>
  <c r="Q14" i="4"/>
  <c r="R14" i="4"/>
  <c r="T14" i="4" s="1"/>
  <c r="Q17" i="4"/>
  <c r="R17" i="4"/>
  <c r="T17" i="4" s="1"/>
  <c r="Q9" i="4"/>
  <c r="T9" i="4"/>
  <c r="Q12" i="4"/>
  <c r="R12" i="4"/>
  <c r="S12" i="4" s="1"/>
  <c r="N19" i="4"/>
  <c r="P19" i="4" s="1"/>
  <c r="N10" i="4"/>
  <c r="P10" i="4" s="1"/>
  <c r="T13" i="4"/>
  <c r="N15" i="4"/>
  <c r="P15" i="4" s="1"/>
  <c r="N18" i="4"/>
  <c r="P18" i="4" s="1"/>
  <c r="N16" i="4"/>
  <c r="P16" i="4" s="1"/>
  <c r="N11" i="4"/>
  <c r="P11" i="4" s="1"/>
  <c r="B35" i="3"/>
  <c r="B39" i="3"/>
  <c r="B37" i="3"/>
  <c r="R7" i="3"/>
  <c r="S7" i="3" s="1"/>
  <c r="B36" i="3"/>
  <c r="B41" i="3"/>
  <c r="B40" i="3"/>
  <c r="B42" i="3"/>
  <c r="R8" i="3" s="1"/>
  <c r="S8" i="3" s="1"/>
  <c r="D30" i="3"/>
  <c r="B39" i="2"/>
  <c r="B37" i="2"/>
  <c r="B42" i="2"/>
  <c r="B38" i="2"/>
  <c r="B35" i="2"/>
  <c r="B41" i="2"/>
  <c r="B40" i="2"/>
  <c r="B36" i="2"/>
  <c r="E33" i="1"/>
  <c r="F33" i="1" s="1"/>
  <c r="G33" i="1"/>
  <c r="B35" i="1"/>
  <c r="D34" i="1"/>
  <c r="Q13" i="4" l="1"/>
  <c r="S14" i="4"/>
  <c r="S9" i="4"/>
  <c r="Q16" i="4"/>
  <c r="R16" i="4"/>
  <c r="S16" i="4" s="1"/>
  <c r="Q15" i="4"/>
  <c r="R15" i="4"/>
  <c r="S15" i="4" s="1"/>
  <c r="T12" i="4"/>
  <c r="S17" i="4"/>
  <c r="Q18" i="4"/>
  <c r="R18" i="4"/>
  <c r="T18" i="4" s="1"/>
  <c r="Q10" i="4"/>
  <c r="R10" i="4"/>
  <c r="T10" i="4" s="1"/>
  <c r="Q11" i="4"/>
  <c r="R11" i="4"/>
  <c r="S11" i="4" s="1"/>
  <c r="Q19" i="4"/>
  <c r="R19" i="4"/>
  <c r="S13" i="4"/>
  <c r="S18" i="4"/>
  <c r="T11" i="4"/>
  <c r="E34" i="1"/>
  <c r="F34" i="1" s="1"/>
  <c r="G34" i="1"/>
  <c r="B36" i="1"/>
  <c r="D35" i="1"/>
  <c r="T16" i="4" l="1"/>
  <c r="S10" i="4"/>
  <c r="T15" i="4"/>
  <c r="S19" i="4"/>
  <c r="T19" i="4"/>
  <c r="E35" i="1"/>
  <c r="F35" i="1" s="1"/>
  <c r="G35" i="1"/>
  <c r="B37" i="1"/>
  <c r="D36" i="1"/>
  <c r="E36" i="1" l="1"/>
  <c r="F36" i="1" s="1"/>
  <c r="G36" i="1"/>
  <c r="B38" i="1"/>
  <c r="D37" i="1"/>
  <c r="E37" i="1" l="1"/>
  <c r="F37" i="1" s="1"/>
  <c r="G37" i="1"/>
  <c r="B39" i="1"/>
  <c r="D38" i="1"/>
  <c r="D39" i="1" l="1"/>
  <c r="G39" i="1" s="1"/>
  <c r="B40" i="1"/>
  <c r="E38" i="1"/>
  <c r="F38" i="1" s="1"/>
  <c r="G38" i="1"/>
  <c r="E39" i="1"/>
  <c r="F39" i="1" s="1"/>
  <c r="B41" i="1" l="1"/>
  <c r="D40" i="1"/>
  <c r="B42" i="1" l="1"/>
  <c r="D41" i="1"/>
  <c r="G40" i="1"/>
  <c r="E40" i="1"/>
  <c r="F40" i="1" s="1"/>
  <c r="B43" i="1" l="1"/>
  <c r="D43" i="1" s="1"/>
  <c r="D42" i="1"/>
  <c r="G41" i="1"/>
  <c r="E41" i="1"/>
  <c r="F41" i="1" s="1"/>
  <c r="G43" i="1" l="1"/>
  <c r="E43" i="1"/>
  <c r="F43" i="1" s="1"/>
  <c r="G42" i="1"/>
  <c r="E42" i="1"/>
  <c r="F42" i="1" s="1"/>
</calcChain>
</file>

<file path=xl/sharedStrings.xml><?xml version="1.0" encoding="utf-8"?>
<sst xmlns="http://schemas.openxmlformats.org/spreadsheetml/2006/main" count="230" uniqueCount="94">
  <si>
    <t>m3/s</t>
  </si>
  <si>
    <t>particle size</t>
  </si>
  <si>
    <t>mm</t>
  </si>
  <si>
    <t>Particle size</t>
  </si>
  <si>
    <t>Settling velocity</t>
  </si>
  <si>
    <t>mm/s</t>
  </si>
  <si>
    <t>temperature</t>
  </si>
  <si>
    <t>C</t>
  </si>
  <si>
    <t xml:space="preserve">take </t>
  </si>
  <si>
    <t>m/s</t>
  </si>
  <si>
    <t>0.2-0.3</t>
  </si>
  <si>
    <t>mean longitudinal velocity(Vm)</t>
  </si>
  <si>
    <t>Design flow(Qd=Qc)</t>
  </si>
  <si>
    <r>
      <t>settling velocity(</t>
    </r>
    <r>
      <rPr>
        <sz val="11"/>
        <color theme="1"/>
        <rFont val="Calibri"/>
        <family val="2"/>
      </rPr>
      <t>ω)</t>
    </r>
  </si>
  <si>
    <t>Cross sectional Area(Adb)</t>
  </si>
  <si>
    <t>m2</t>
  </si>
  <si>
    <t>Chamber width(Bdb)</t>
  </si>
  <si>
    <t>assumed mean height(Hm)</t>
  </si>
  <si>
    <t>m</t>
  </si>
  <si>
    <t>settling phase</t>
  </si>
  <si>
    <t>hydraulic mean radius(R)</t>
  </si>
  <si>
    <t>shear velocity(u)</t>
  </si>
  <si>
    <t>Factor of safety(k)</t>
  </si>
  <si>
    <t>1.2-1.4</t>
  </si>
  <si>
    <t>Length of channel(Lch)</t>
  </si>
  <si>
    <t>flushing phase</t>
  </si>
  <si>
    <t>?</t>
  </si>
  <si>
    <t>flushing flow(Qf)</t>
  </si>
  <si>
    <t>Flushing velocity(Vf)</t>
  </si>
  <si>
    <t>(trial)</t>
  </si>
  <si>
    <t>Bch</t>
  </si>
  <si>
    <t>(same as Bdb)?</t>
  </si>
  <si>
    <t>(10-25% of Qd in continuous type)</t>
  </si>
  <si>
    <t>(0.3-0.8m/s for scour from pg 62 in water conveyance guideline, &gt;1.2m/s?)</t>
  </si>
  <si>
    <t>trial of Vf</t>
  </si>
  <si>
    <t>Qf</t>
  </si>
  <si>
    <t>hf</t>
  </si>
  <si>
    <t>sch</t>
  </si>
  <si>
    <t>mannings</t>
  </si>
  <si>
    <t>(assumed for concrete lining (0.013-0.017))</t>
  </si>
  <si>
    <t>Dimensions</t>
  </si>
  <si>
    <t>R</t>
  </si>
  <si>
    <t>sediment transported in kg</t>
  </si>
  <si>
    <t xml:space="preserve">efficiency </t>
  </si>
  <si>
    <t>%</t>
  </si>
  <si>
    <t>Adb =</t>
  </si>
  <si>
    <t>No of bay</t>
  </si>
  <si>
    <t>no.</t>
  </si>
  <si>
    <t>flow per bay  (Qd')</t>
  </si>
  <si>
    <t>assume flushing flow</t>
  </si>
  <si>
    <t>10-25%</t>
  </si>
  <si>
    <t>Length of desander</t>
  </si>
  <si>
    <t>flushing flow</t>
  </si>
  <si>
    <t>Bm</t>
  </si>
  <si>
    <t>u</t>
  </si>
  <si>
    <t xml:space="preserve">therefore, take </t>
  </si>
  <si>
    <t>L=</t>
  </si>
  <si>
    <t>B=</t>
  </si>
  <si>
    <t>H=</t>
  </si>
  <si>
    <r>
      <t>Hydr</t>
    </r>
    <r>
      <rPr>
        <sz val="11"/>
        <color theme="1"/>
        <rFont val="Calibri"/>
        <family val="2"/>
        <scheme val="minor"/>
      </rPr>
      <t>aulic mean radius</t>
    </r>
  </si>
  <si>
    <t>shear vel</t>
  </si>
  <si>
    <t>Design of sediment settling</t>
  </si>
  <si>
    <t>h=</t>
  </si>
  <si>
    <t>p' for particle size</t>
  </si>
  <si>
    <t>% deposited</t>
  </si>
  <si>
    <t>As</t>
  </si>
  <si>
    <t>e</t>
  </si>
  <si>
    <t>10</t>
  </si>
  <si>
    <t>15</t>
  </si>
  <si>
    <t>20</t>
  </si>
  <si>
    <t>25</t>
  </si>
  <si>
    <t>30</t>
  </si>
  <si>
    <t>L/B</t>
  </si>
  <si>
    <t>trial V</t>
  </si>
  <si>
    <t>Qd</t>
  </si>
  <si>
    <t>Design flow(Qc)</t>
  </si>
  <si>
    <t>H</t>
  </si>
  <si>
    <t>A</t>
  </si>
  <si>
    <t>Vm</t>
  </si>
  <si>
    <t>B</t>
  </si>
  <si>
    <t>Vm'</t>
  </si>
  <si>
    <t>L no flushing</t>
  </si>
  <si>
    <t>L flushing</t>
  </si>
  <si>
    <t>P</t>
  </si>
  <si>
    <t>k</t>
  </si>
  <si>
    <t>k*As</t>
  </si>
  <si>
    <t>w*As/Q</t>
  </si>
  <si>
    <t>w/u*</t>
  </si>
  <si>
    <t>efficiency</t>
  </si>
  <si>
    <t>w</t>
  </si>
  <si>
    <t>A cross</t>
  </si>
  <si>
    <t>A sur</t>
  </si>
  <si>
    <t>L vetter</t>
  </si>
  <si>
    <t>VETTERS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</si>
</sst>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0" fontId="1" fillId="0" borderId="1" xfId="0" applyFont="1" applyBorder="1"/>
    <xf numFmtId="165" fontId="1" fillId="0" borderId="1" xfId="0" applyNumberFormat="1" applyFont="1" applyBorder="1"/>
    <xf numFmtId="0" fontId="0" fillId="2" borderId="0" xfId="0" applyFill="1"/>
    <xf numFmtId="0" fontId="0" fillId="0" borderId="5" xfId="0" applyBorder="1"/>
    <xf numFmtId="2" fontId="0" fillId="0" borderId="5" xfId="0" applyNumberFormat="1" applyBorder="1"/>
    <xf numFmtId="164" fontId="0" fillId="0" borderId="5" xfId="0" applyNumberFormat="1" applyBorder="1"/>
    <xf numFmtId="166" fontId="0" fillId="0" borderId="5" xfId="0" applyNumberFormat="1" applyBorder="1"/>
    <xf numFmtId="0" fontId="0" fillId="0" borderId="6" xfId="0" applyBorder="1"/>
    <xf numFmtId="2" fontId="0" fillId="0" borderId="6" xfId="0" applyNumberFormat="1" applyBorder="1"/>
    <xf numFmtId="164" fontId="0" fillId="0" borderId="6" xfId="0" applyNumberFormat="1" applyBorder="1"/>
    <xf numFmtId="166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164" fontId="0" fillId="0" borderId="8" xfId="0" applyNumberFormat="1" applyBorder="1"/>
    <xf numFmtId="166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164" fontId="0" fillId="0" borderId="11" xfId="0" applyNumberFormat="1" applyBorder="1"/>
    <xf numFmtId="166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" fontId="0" fillId="0" borderId="0" xfId="0" applyNumberForma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4" fillId="0" borderId="0" xfId="0" applyFont="1"/>
    <xf numFmtId="0" fontId="4" fillId="0" borderId="1" xfId="0" applyFont="1" applyBorder="1"/>
    <xf numFmtId="0" fontId="0" fillId="2" borderId="1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165" fontId="0" fillId="0" borderId="1" xfId="0" applyNumberFormat="1" applyBorder="1"/>
    <xf numFmtId="165" fontId="0" fillId="0" borderId="0" xfId="0" applyNumberFormat="1"/>
    <xf numFmtId="11" fontId="0" fillId="0" borderId="0" xfId="0" applyNumberFormat="1"/>
    <xf numFmtId="165" fontId="1" fillId="0" borderId="4" xfId="0" applyNumberFormat="1" applyFont="1" applyBorder="1"/>
    <xf numFmtId="164" fontId="0" fillId="0" borderId="2" xfId="0" applyNumberFormat="1" applyBorder="1"/>
    <xf numFmtId="0" fontId="1" fillId="0" borderId="20" xfId="0" applyFont="1" applyBorder="1"/>
    <xf numFmtId="0" fontId="1" fillId="0" borderId="6" xfId="0" applyFont="1" applyBorder="1"/>
    <xf numFmtId="0" fontId="1" fillId="0" borderId="19" xfId="0" applyFont="1" applyBorder="1"/>
    <xf numFmtId="165" fontId="1" fillId="0" borderId="16" xfId="0" applyNumberFormat="1" applyFont="1" applyBorder="1"/>
    <xf numFmtId="164" fontId="0" fillId="0" borderId="15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right"/>
    </xf>
    <xf numFmtId="0" fontId="0" fillId="0" borderId="27" xfId="0" applyBorder="1"/>
    <xf numFmtId="0" fontId="0" fillId="0" borderId="28" xfId="0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0" xfId="0" applyFill="1"/>
    <xf numFmtId="165" fontId="0" fillId="0" borderId="0" xfId="0" applyNumberFormat="1" applyFill="1"/>
    <xf numFmtId="0" fontId="0" fillId="0" borderId="0" xfId="0" applyFill="1" applyBorder="1"/>
    <xf numFmtId="2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1" fillId="0" borderId="0" xfId="0" applyFont="1" applyFill="1"/>
    <xf numFmtId="164" fontId="0" fillId="0" borderId="0" xfId="0" applyNumberFormat="1" applyFill="1" applyBorder="1"/>
    <xf numFmtId="164" fontId="0" fillId="0" borderId="0" xfId="0" applyNumberFormat="1" applyBorder="1"/>
    <xf numFmtId="167" fontId="0" fillId="0" borderId="0" xfId="0" applyNumberFormat="1"/>
    <xf numFmtId="167" fontId="0" fillId="0" borderId="0" xfId="0" applyNumberFormat="1" applyFill="1" applyBorder="1"/>
    <xf numFmtId="167" fontId="0" fillId="0" borderId="0" xfId="0" applyNumberFormat="1" applyBorder="1"/>
  </cellXfs>
  <cellStyles count="1">
    <cellStyle name="Normal" xfId="0" builtinId="0"/>
  </cellStyles>
  <dxfs count="20"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800100</xdr:colOff>
      <xdr:row>28</xdr:row>
      <xdr:rowOff>9525</xdr:rowOff>
    </xdr:from>
    <xdr:to>
      <xdr:col>15</xdr:col>
      <xdr:colOff>477093</xdr:colOff>
      <xdr:row>33</xdr:row>
      <xdr:rowOff>57290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0F0B37-0DD7-4004-B815-2CF1AAED3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5" y="5343525"/>
          <a:ext cx="6039693" cy="1000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200025</xdr:colOff>
      <xdr:row>14</xdr:row>
      <xdr:rowOff>47625</xdr:rowOff>
    </xdr:from>
    <xdr:to>
      <xdr:col>8</xdr:col>
      <xdr:colOff>419301</xdr:colOff>
      <xdr:row>17</xdr:row>
      <xdr:rowOff>28652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9E22BC-15A6-4744-BD5B-09D90661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6275" y="2714625"/>
          <a:ext cx="1438476" cy="55252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180975</xdr:colOff>
      <xdr:row>18</xdr:row>
      <xdr:rowOff>47625</xdr:rowOff>
    </xdr:from>
    <xdr:to>
      <xdr:col>9</xdr:col>
      <xdr:colOff>257441</xdr:colOff>
      <xdr:row>21</xdr:row>
      <xdr:rowOff>28652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F4F70D-CC89-40C8-949E-25A68D294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4350" y="3476625"/>
          <a:ext cx="1905266" cy="55252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66675</xdr:colOff>
      <xdr:row>34</xdr:row>
      <xdr:rowOff>38100</xdr:rowOff>
    </xdr:from>
    <xdr:to>
      <xdr:col>12</xdr:col>
      <xdr:colOff>267531</xdr:colOff>
      <xdr:row>39</xdr:row>
      <xdr:rowOff>85865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C3867E-E117-4C8C-AECC-7B1F2DCA3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14575" y="6515100"/>
          <a:ext cx="5953956" cy="1000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104775</xdr:colOff>
      <xdr:row>15</xdr:row>
      <xdr:rowOff>161925</xdr:rowOff>
    </xdr:from>
    <xdr:to>
      <xdr:col>22</xdr:col>
      <xdr:colOff>96189</xdr:colOff>
      <xdr:row>22</xdr:row>
      <xdr:rowOff>162111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756B0-D585-43C9-A08F-DD8FB46A3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67600" y="3019425"/>
          <a:ext cx="6725589" cy="13336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28</xdr:row>
      <xdr:rowOff>85725</xdr:rowOff>
    </xdr:from>
    <xdr:to>
      <xdr:col>14</xdr:col>
      <xdr:colOff>143718</xdr:colOff>
      <xdr:row>33</xdr:row>
      <xdr:rowOff>133490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9A6F6-C766-4E64-9807-941C8E403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5419725"/>
          <a:ext cx="6039693" cy="1000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200025</xdr:colOff>
      <xdr:row>14</xdr:row>
      <xdr:rowOff>47625</xdr:rowOff>
    </xdr:from>
    <xdr:to>
      <xdr:col>8</xdr:col>
      <xdr:colOff>419301</xdr:colOff>
      <xdr:row>17</xdr:row>
      <xdr:rowOff>28652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AED1B0-5ACE-4004-BC0A-CCAC5A6E3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6275" y="2714625"/>
          <a:ext cx="1438476" cy="55252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180975</xdr:colOff>
      <xdr:row>18</xdr:row>
      <xdr:rowOff>47625</xdr:rowOff>
    </xdr:from>
    <xdr:to>
      <xdr:col>9</xdr:col>
      <xdr:colOff>257441</xdr:colOff>
      <xdr:row>21</xdr:row>
      <xdr:rowOff>28652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BA39FF-53B6-442F-910F-6429E3774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7225" y="3476625"/>
          <a:ext cx="1905266" cy="55252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66675</xdr:colOff>
      <xdr:row>34</xdr:row>
      <xdr:rowOff>38100</xdr:rowOff>
    </xdr:from>
    <xdr:to>
      <xdr:col>12</xdr:col>
      <xdr:colOff>267531</xdr:colOff>
      <xdr:row>39</xdr:row>
      <xdr:rowOff>85865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193124-0477-419F-ADF7-2DC0019F1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14575" y="6515100"/>
          <a:ext cx="5953956" cy="1000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104775</xdr:colOff>
      <xdr:row>15</xdr:row>
      <xdr:rowOff>161925</xdr:rowOff>
    </xdr:from>
    <xdr:to>
      <xdr:col>22</xdr:col>
      <xdr:colOff>96189</xdr:colOff>
      <xdr:row>22</xdr:row>
      <xdr:rowOff>162111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F3B6CC-41B1-4435-B815-655875A1C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67600" y="3019425"/>
          <a:ext cx="6725589" cy="13336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601614</xdr:colOff>
      <xdr:row>25</xdr:row>
      <xdr:rowOff>123825</xdr:rowOff>
    </xdr:from>
    <xdr:to>
      <xdr:col>10</xdr:col>
      <xdr:colOff>380399</xdr:colOff>
      <xdr:row>32</xdr:row>
      <xdr:rowOff>124011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196D12-D80C-435A-83C1-76DF699A4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01614" y="4886325"/>
          <a:ext cx="5046110" cy="13336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515889</xdr:colOff>
      <xdr:row>29</xdr:row>
      <xdr:rowOff>28575</xdr:rowOff>
    </xdr:from>
    <xdr:to>
      <xdr:col>21</xdr:col>
      <xdr:colOff>304199</xdr:colOff>
      <xdr:row>36</xdr:row>
      <xdr:rowOff>28761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BA355-9EC1-4899-B794-62A3BE41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92789" y="5553075"/>
          <a:ext cx="5046110" cy="13336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21</xdr:col>
      <xdr:colOff>494109</xdr:colOff>
      <xdr:row>2</xdr:row>
      <xdr:rowOff>112171</xdr:rowOff>
    </xdr:from>
    <xdr:to>
      <xdr:col>28</xdr:col>
      <xdr:colOff>492494</xdr:colOff>
      <xdr:row>20</xdr:row>
      <xdr:rowOff>58431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90C35C-1D3A-41E4-A009-6DE6759BC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326675" y="471605"/>
          <a:ext cx="4275649" cy="318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593270</xdr:colOff>
      <xdr:row>6</xdr:row>
      <xdr:rowOff>187778</xdr:rowOff>
    </xdr:from>
    <xdr:to>
      <xdr:col>30</xdr:col>
      <xdr:colOff>89809</xdr:colOff>
      <xdr:row>30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7A5085-F9E3-4B31-AFE8-7D5DF2805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8095" y="1330778"/>
          <a:ext cx="5592539" cy="43937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601614</xdr:colOff>
      <xdr:row>25</xdr:row>
      <xdr:rowOff>123825</xdr:rowOff>
    </xdr:from>
    <xdr:to>
      <xdr:col>10</xdr:col>
      <xdr:colOff>380399</xdr:colOff>
      <xdr:row>32</xdr:row>
      <xdr:rowOff>124011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8E753-13C3-4294-A917-ED7FCF4FA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01614" y="4886325"/>
          <a:ext cx="5046110" cy="13336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515889</xdr:colOff>
      <xdr:row>29</xdr:row>
      <xdr:rowOff>28575</xdr:rowOff>
    </xdr:from>
    <xdr:to>
      <xdr:col>21</xdr:col>
      <xdr:colOff>304199</xdr:colOff>
      <xdr:row>36</xdr:row>
      <xdr:rowOff>28761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AFD266-137D-43F0-933E-C48BF8A1B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802514" y="5553075"/>
          <a:ext cx="5046110" cy="13336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21</xdr:col>
      <xdr:colOff>494109</xdr:colOff>
      <xdr:row>2</xdr:row>
      <xdr:rowOff>112171</xdr:rowOff>
    </xdr:from>
    <xdr:to>
      <xdr:col>28</xdr:col>
      <xdr:colOff>492494</xdr:colOff>
      <xdr:row>20</xdr:row>
      <xdr:rowOff>58431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70141D-18DA-4561-8F43-12104EE33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038534" y="493171"/>
          <a:ext cx="4265585" cy="33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593270</xdr:colOff>
      <xdr:row>6</xdr:row>
      <xdr:rowOff>187778</xdr:rowOff>
    </xdr:from>
    <xdr:to>
      <xdr:col>30</xdr:col>
      <xdr:colOff>89809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08857C-D2D6-4CBF-B107-9E68BE96A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8095" y="1330778"/>
          <a:ext cx="5592539" cy="43937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361148-6778-4EC1-BB75-E5E6BCF5B472}" name="Table2" displayName="Table2" ref="I2:N14" totalsRowShown="0" headerRowDxfId="19" headerRowBorderDxfId="18" tableBorderDxfId="17" totalsRowBorderDxfId="16">
  <autoFilter ref="I2:N14" xr:uid="{2D361148-6778-4EC1-BB75-E5E6BCF5B472}"/>
  <tableColumns count="6">
    <tableColumn id="1" xr3:uid="{379D2C9A-3048-4EAF-9FF2-CC69E6B4ED55}" name="mm" dataDxfId="15"/>
    <tableColumn id="2" xr3:uid="{B2A0B26D-EC69-4D8A-9F17-C5BEA1C16883}" name="10" dataDxfId="14"/>
    <tableColumn id="3" xr3:uid="{7093D385-75D1-46E7-9E2E-8D7621918043}" name="15" dataDxfId="13"/>
    <tableColumn id="4" xr3:uid="{D2DEE6C6-40DE-4B02-A7AA-FF55111812FE}" name="20" dataDxfId="12"/>
    <tableColumn id="5" xr3:uid="{8CD3E778-44B4-4093-A8D7-AC95316266F8}" name="25" dataDxfId="11"/>
    <tableColumn id="6" xr3:uid="{9903E8F5-1524-437C-86C0-AAA5AB40406A}" name="30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F6EB91-DE98-41DC-A2E0-4354644F7E8E}" name="Table24" displayName="Table24" ref="I2:N14" totalsRowShown="0" headerRowDxfId="9" headerRowBorderDxfId="8" tableBorderDxfId="7" totalsRowBorderDxfId="6">
  <autoFilter ref="I2:N14" xr:uid="{01F6EB91-DE98-41DC-A2E0-4354644F7E8E}"/>
  <tableColumns count="6">
    <tableColumn id="1" xr3:uid="{9EE1C285-E593-4AA2-A8C7-5E428D35B443}" name="mm" dataDxfId="5"/>
    <tableColumn id="2" xr3:uid="{C3B2EA4A-0D34-4582-A312-1542A805D0EA}" name="10" dataDxfId="4"/>
    <tableColumn id="3" xr3:uid="{87DFC081-FA39-4BB5-A2A6-C7F57A121184}" name="15" dataDxfId="3"/>
    <tableColumn id="4" xr3:uid="{DFF96E80-675F-49BD-9DE9-100FAE63F9AD}" name="20" dataDxfId="2"/>
    <tableColumn id="5" xr3:uid="{822B5B5D-6632-43BA-8425-0A350D49D0D5}" name="25" dataDxfId="1"/>
    <tableColumn id="6" xr3:uid="{B3033897-EA31-42B2-A4B0-698990AE2F6A}" name="3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1C40-513F-41AE-9BB4-F5E358AF30B2}">
  <dimension ref="A1:Q43"/>
  <sheetViews>
    <sheetView workbookViewId="0">
      <selection activeCell="D19" sqref="D19"/>
    </sheetView>
  </sheetViews>
  <sheetFormatPr defaultRowHeight="15" x14ac:dyDescent="0.25"/>
  <cols>
    <col min="3" max="3" width="10.85546875" customWidth="1"/>
    <col min="6" max="6" width="12.28515625" bestFit="1" customWidth="1"/>
    <col min="11" max="12" width="9.5703125" bestFit="1" customWidth="1"/>
  </cols>
  <sheetData>
    <row r="1" spans="1:17" x14ac:dyDescent="0.25">
      <c r="A1" t="s">
        <v>12</v>
      </c>
      <c r="D1" s="11">
        <v>106</v>
      </c>
      <c r="E1" t="s">
        <v>0</v>
      </c>
      <c r="I1" s="9" t="s">
        <v>3</v>
      </c>
      <c r="J1" s="9"/>
      <c r="K1" s="9" t="s">
        <v>4</v>
      </c>
      <c r="L1" s="9"/>
      <c r="M1" s="9" t="s">
        <v>5</v>
      </c>
      <c r="N1" s="9"/>
    </row>
    <row r="2" spans="1:17" x14ac:dyDescent="0.25">
      <c r="A2" t="s">
        <v>46</v>
      </c>
      <c r="D2" s="11">
        <v>2</v>
      </c>
      <c r="E2" t="s">
        <v>47</v>
      </c>
      <c r="I2" s="9" t="s">
        <v>2</v>
      </c>
      <c r="J2" s="9">
        <v>10</v>
      </c>
      <c r="K2" s="9">
        <v>15</v>
      </c>
      <c r="L2" s="9">
        <v>20</v>
      </c>
      <c r="M2" s="9">
        <v>25</v>
      </c>
      <c r="N2" s="9">
        <v>30</v>
      </c>
    </row>
    <row r="3" spans="1:17" x14ac:dyDescent="0.25">
      <c r="A3" t="s">
        <v>48</v>
      </c>
      <c r="D3" s="11">
        <f>D1/D2</f>
        <v>53</v>
      </c>
      <c r="E3" t="s">
        <v>0</v>
      </c>
      <c r="I3" s="10">
        <v>1E-3</v>
      </c>
      <c r="J3" s="7">
        <v>6.9999999999999999E-4</v>
      </c>
      <c r="K3" s="5">
        <v>8.0000000000000004E-4</v>
      </c>
      <c r="L3" s="7">
        <v>8.9999999999999998E-4</v>
      </c>
      <c r="M3" s="7">
        <v>1E-3</v>
      </c>
      <c r="N3" s="7">
        <v>1.1000000000000001E-3</v>
      </c>
    </row>
    <row r="4" spans="1:17" x14ac:dyDescent="0.25">
      <c r="A4" t="s">
        <v>1</v>
      </c>
      <c r="D4" s="11">
        <v>0.2</v>
      </c>
      <c r="E4" t="s">
        <v>2</v>
      </c>
      <c r="I4" s="10">
        <v>0.01</v>
      </c>
      <c r="J4" s="7">
        <v>6.8000000000000005E-2</v>
      </c>
      <c r="K4" s="5">
        <v>7.9000000000000001E-2</v>
      </c>
      <c r="L4" s="7">
        <v>0.09</v>
      </c>
      <c r="M4" s="7">
        <v>0.1</v>
      </c>
      <c r="N4" s="7">
        <v>0.11</v>
      </c>
    </row>
    <row r="5" spans="1:17" x14ac:dyDescent="0.25">
      <c r="A5" t="s">
        <v>6</v>
      </c>
      <c r="D5" s="11">
        <v>15</v>
      </c>
      <c r="E5" t="s">
        <v>7</v>
      </c>
      <c r="I5" s="10">
        <v>0.02</v>
      </c>
      <c r="J5" s="7">
        <v>0.27400000000000002</v>
      </c>
      <c r="K5" s="5">
        <v>0.316</v>
      </c>
      <c r="L5" s="7">
        <v>0.36</v>
      </c>
      <c r="M5" s="7">
        <v>0.4</v>
      </c>
      <c r="N5" s="7">
        <v>0.45</v>
      </c>
    </row>
    <row r="6" spans="1:17" x14ac:dyDescent="0.25">
      <c r="A6" t="s">
        <v>43</v>
      </c>
      <c r="D6" s="11">
        <v>90</v>
      </c>
      <c r="E6" t="s">
        <v>44</v>
      </c>
      <c r="I6" s="10">
        <v>0.03</v>
      </c>
      <c r="J6" s="7">
        <v>0.61799999999999999</v>
      </c>
      <c r="K6" s="5">
        <v>0.71</v>
      </c>
      <c r="L6" s="7">
        <v>0.81</v>
      </c>
      <c r="M6" s="7">
        <v>0.9</v>
      </c>
      <c r="N6" s="7">
        <v>1.012</v>
      </c>
    </row>
    <row r="7" spans="1:17" x14ac:dyDescent="0.25">
      <c r="D7" s="11"/>
      <c r="I7" s="10">
        <v>0.05</v>
      </c>
      <c r="J7" s="7">
        <v>1.7170000000000001</v>
      </c>
      <c r="K7" s="5">
        <v>1.9730000000000001</v>
      </c>
      <c r="L7" s="7">
        <v>2.27</v>
      </c>
      <c r="M7" s="7">
        <v>2.5</v>
      </c>
      <c r="N7" s="7">
        <v>2.8119999999999998</v>
      </c>
    </row>
    <row r="8" spans="1:17" x14ac:dyDescent="0.25">
      <c r="A8" t="s">
        <v>13</v>
      </c>
      <c r="D8">
        <f>VLOOKUP(D4,I2:N14,3)</f>
        <v>18.760000000000002</v>
      </c>
      <c r="E8" t="s">
        <v>8</v>
      </c>
      <c r="F8">
        <f>D8</f>
        <v>18.760000000000002</v>
      </c>
      <c r="G8" t="s">
        <v>5</v>
      </c>
      <c r="I8" s="10">
        <v>7.0000000000000007E-2</v>
      </c>
      <c r="J8" s="7">
        <v>2.5099999999999998</v>
      </c>
      <c r="K8" s="5">
        <v>2.88</v>
      </c>
      <c r="L8" s="7">
        <v>3.25</v>
      </c>
      <c r="M8" s="7">
        <v>3.65</v>
      </c>
      <c r="N8" s="7">
        <v>4.0999999999999996</v>
      </c>
    </row>
    <row r="9" spans="1:17" x14ac:dyDescent="0.25">
      <c r="F9">
        <f>F8/1000</f>
        <v>1.8760000000000002E-2</v>
      </c>
      <c r="G9" t="s">
        <v>9</v>
      </c>
      <c r="I9" s="10">
        <v>0.1</v>
      </c>
      <c r="J9" s="7">
        <v>5.12</v>
      </c>
      <c r="K9" s="5">
        <v>5.88</v>
      </c>
      <c r="L9" s="7">
        <v>6.63</v>
      </c>
      <c r="M9" s="7">
        <v>7.44</v>
      </c>
      <c r="N9" s="7">
        <v>8.3699999999999992</v>
      </c>
    </row>
    <row r="10" spans="1:17" x14ac:dyDescent="0.25">
      <c r="A10" t="s">
        <v>17</v>
      </c>
      <c r="D10" s="11">
        <v>9.5</v>
      </c>
      <c r="E10" t="s">
        <v>18</v>
      </c>
      <c r="I10" s="10">
        <v>0.2</v>
      </c>
      <c r="J10" s="7">
        <v>17.11</v>
      </c>
      <c r="K10" s="5">
        <v>18.760000000000002</v>
      </c>
      <c r="L10" s="7">
        <v>20.420000000000002</v>
      </c>
      <c r="M10" s="7">
        <v>22.06</v>
      </c>
      <c r="N10" s="7">
        <v>23.72</v>
      </c>
      <c r="P10" t="s">
        <v>45</v>
      </c>
      <c r="Q10">
        <f>D3/F9*(LN(1/(1-D6/100)))</f>
        <v>6505.171104940534</v>
      </c>
    </row>
    <row r="11" spans="1:17" x14ac:dyDescent="0.25">
      <c r="I11" s="10">
        <v>0.3</v>
      </c>
      <c r="J11" s="7">
        <v>28.31</v>
      </c>
      <c r="K11" s="5">
        <v>29.96</v>
      </c>
      <c r="L11" s="7">
        <v>31.62</v>
      </c>
      <c r="M11" s="7">
        <v>33.26</v>
      </c>
      <c r="N11" s="7">
        <v>34.92</v>
      </c>
    </row>
    <row r="12" spans="1:17" x14ac:dyDescent="0.25">
      <c r="A12" t="s">
        <v>11</v>
      </c>
      <c r="D12" s="11">
        <v>0.2</v>
      </c>
      <c r="E12" t="s">
        <v>9</v>
      </c>
      <c r="F12" t="s">
        <v>10</v>
      </c>
      <c r="G12" t="s">
        <v>9</v>
      </c>
      <c r="I12" s="10">
        <v>0.5</v>
      </c>
      <c r="J12" s="7">
        <v>50.71</v>
      </c>
      <c r="K12" s="5">
        <v>52.36</v>
      </c>
      <c r="L12" s="7">
        <v>54.02</v>
      </c>
      <c r="M12" s="7">
        <v>55.66</v>
      </c>
      <c r="N12" s="7">
        <v>57.32</v>
      </c>
    </row>
    <row r="13" spans="1:17" x14ac:dyDescent="0.25">
      <c r="A13" t="s">
        <v>14</v>
      </c>
      <c r="D13">
        <f>D1/D12</f>
        <v>530</v>
      </c>
      <c r="E13" t="s">
        <v>15</v>
      </c>
      <c r="I13" s="10">
        <v>1</v>
      </c>
      <c r="J13" s="7">
        <v>106.71</v>
      </c>
      <c r="K13" s="5">
        <v>108.36</v>
      </c>
      <c r="L13" s="7">
        <v>110.02</v>
      </c>
      <c r="M13" s="7">
        <v>111.66</v>
      </c>
      <c r="N13" s="7">
        <v>113.32</v>
      </c>
    </row>
    <row r="14" spans="1:17" x14ac:dyDescent="0.25">
      <c r="A14" t="s">
        <v>16</v>
      </c>
      <c r="D14">
        <f>D13/D10</f>
        <v>55.789473684210527</v>
      </c>
      <c r="E14" t="s">
        <v>18</v>
      </c>
      <c r="I14" s="10">
        <v>1.5</v>
      </c>
      <c r="J14" s="7">
        <v>162.71</v>
      </c>
      <c r="K14" s="5">
        <v>164.36</v>
      </c>
      <c r="L14" s="7">
        <v>166.02</v>
      </c>
      <c r="M14" s="7">
        <v>167.66</v>
      </c>
      <c r="N14" s="7">
        <v>169.32</v>
      </c>
    </row>
    <row r="15" spans="1:17" x14ac:dyDescent="0.25">
      <c r="A15" s="1" t="s">
        <v>19</v>
      </c>
    </row>
    <row r="16" spans="1:17" x14ac:dyDescent="0.25">
      <c r="A16" t="s">
        <v>20</v>
      </c>
      <c r="D16">
        <f>D13/(D14+D10*2)</f>
        <v>7.0865587614356089</v>
      </c>
    </row>
    <row r="17" spans="1:8" x14ac:dyDescent="0.25">
      <c r="A17" t="s">
        <v>21</v>
      </c>
      <c r="D17">
        <f>0.042*D12/(D16^(1/6))</f>
        <v>6.0609409658093083E-3</v>
      </c>
    </row>
    <row r="18" spans="1:8" x14ac:dyDescent="0.25">
      <c r="A18" t="s">
        <v>22</v>
      </c>
      <c r="D18" s="11">
        <v>1.2</v>
      </c>
      <c r="F18" t="s">
        <v>23</v>
      </c>
    </row>
    <row r="19" spans="1:8" x14ac:dyDescent="0.25">
      <c r="A19" t="s">
        <v>24</v>
      </c>
      <c r="D19">
        <f>D18*D10*D12/(F9-D17)</f>
        <v>179.54086156000798</v>
      </c>
    </row>
    <row r="20" spans="1:8" x14ac:dyDescent="0.25">
      <c r="C20" s="2" t="s">
        <v>40</v>
      </c>
      <c r="D20" s="3"/>
      <c r="E20" s="3" t="str">
        <f>_xlfn.CONCAT("L=  ",TEXT(D19,"0"),"m, B=  ",TEXT(D14,"0.00"),"m, h=  ",TEXT(D10,"0"),"m")</f>
        <v>L=  180m, B=  55.79m, h=  10m</v>
      </c>
      <c r="F20" s="3"/>
      <c r="G20" s="4"/>
    </row>
    <row r="22" spans="1:8" x14ac:dyDescent="0.25">
      <c r="A22" s="1" t="s">
        <v>25</v>
      </c>
      <c r="H22" t="s">
        <v>33</v>
      </c>
    </row>
    <row r="23" spans="1:8" x14ac:dyDescent="0.25">
      <c r="A23" t="s">
        <v>27</v>
      </c>
      <c r="D23">
        <f>0.25*D1</f>
        <v>26.5</v>
      </c>
      <c r="F23" t="s">
        <v>26</v>
      </c>
      <c r="G23" t="s">
        <v>32</v>
      </c>
    </row>
    <row r="24" spans="1:8" x14ac:dyDescent="0.25">
      <c r="A24" t="s">
        <v>28</v>
      </c>
      <c r="D24">
        <v>0.3</v>
      </c>
      <c r="F24" t="s">
        <v>26</v>
      </c>
      <c r="G24" t="s">
        <v>29</v>
      </c>
    </row>
    <row r="25" spans="1:8" x14ac:dyDescent="0.25">
      <c r="A25" t="s">
        <v>30</v>
      </c>
      <c r="D25">
        <f>D14</f>
        <v>55.789473684210527</v>
      </c>
      <c r="G25" t="s">
        <v>31</v>
      </c>
    </row>
    <row r="27" spans="1:8" x14ac:dyDescent="0.25">
      <c r="A27" t="s">
        <v>38</v>
      </c>
      <c r="D27">
        <v>1.4999999999999999E-2</v>
      </c>
      <c r="G27" t="s">
        <v>39</v>
      </c>
    </row>
    <row r="29" spans="1:8" x14ac:dyDescent="0.25">
      <c r="A29" s="9" t="s">
        <v>34</v>
      </c>
      <c r="B29" s="9" t="s">
        <v>35</v>
      </c>
      <c r="C29" s="9" t="s">
        <v>30</v>
      </c>
      <c r="D29" s="9" t="s">
        <v>36</v>
      </c>
      <c r="E29" s="9" t="s">
        <v>41</v>
      </c>
      <c r="F29" s="9" t="s">
        <v>37</v>
      </c>
      <c r="G29" s="9" t="s">
        <v>42</v>
      </c>
    </row>
    <row r="30" spans="1:8" x14ac:dyDescent="0.25">
      <c r="A30" s="5">
        <v>0.3</v>
      </c>
      <c r="B30" s="5">
        <f>D23</f>
        <v>26.5</v>
      </c>
      <c r="C30" s="5">
        <f>D25</f>
        <v>55.789473684210527</v>
      </c>
      <c r="D30" s="6">
        <f>B30/(A30*C30)</f>
        <v>1.5833333333333333</v>
      </c>
      <c r="E30" s="7">
        <f>C30*D30/(C30+2*D30)</f>
        <v>1.4982889450974557</v>
      </c>
      <c r="F30" s="8">
        <f>$D$27^2*A30^2/E30^(4/3)</f>
        <v>1.1811297104709269E-5</v>
      </c>
      <c r="G30" s="5"/>
    </row>
    <row r="31" spans="1:8" x14ac:dyDescent="0.25">
      <c r="A31" s="5">
        <v>0.4</v>
      </c>
      <c r="B31" s="5">
        <f>B30</f>
        <v>26.5</v>
      </c>
      <c r="C31" s="5">
        <f>C30</f>
        <v>55.789473684210527</v>
      </c>
      <c r="D31" s="6">
        <f t="shared" ref="D31:D39" si="0">B31/(A31*C31)</f>
        <v>1.1875</v>
      </c>
      <c r="E31" s="7">
        <f t="shared" ref="E31:E39" si="1">C31*D31/(C31+2*D31)</f>
        <v>1.1390114240470535</v>
      </c>
      <c r="F31" s="8">
        <f t="shared" ref="F31:F39" si="2">$D$27^2*A31^2/E31^(4/3)</f>
        <v>3.0264376245889174E-5</v>
      </c>
      <c r="G31" s="7">
        <f>(A31-0.35)^3/D31^2</f>
        <v>8.864265927977862E-5</v>
      </c>
    </row>
    <row r="32" spans="1:8" x14ac:dyDescent="0.25">
      <c r="A32" s="5">
        <v>0.5</v>
      </c>
      <c r="B32" s="5">
        <f t="shared" ref="B32:B39" si="3">B31</f>
        <v>26.5</v>
      </c>
      <c r="C32" s="5">
        <f t="shared" ref="C32:C39" si="4">C31</f>
        <v>55.789473684210527</v>
      </c>
      <c r="D32" s="6">
        <f t="shared" si="0"/>
        <v>0.95</v>
      </c>
      <c r="E32" s="7">
        <f t="shared" si="1"/>
        <v>0.9187117963689444</v>
      </c>
      <c r="F32" s="8">
        <f t="shared" si="2"/>
        <v>6.2982051549127544E-5</v>
      </c>
      <c r="G32" s="7">
        <f t="shared" ref="G32:G39" si="5">(A32-0.35)^3/D32^2</f>
        <v>3.7396121883656523E-3</v>
      </c>
    </row>
    <row r="33" spans="1:7" x14ac:dyDescent="0.25">
      <c r="A33" s="5">
        <v>0.6</v>
      </c>
      <c r="B33" s="5">
        <f t="shared" si="3"/>
        <v>26.5</v>
      </c>
      <c r="C33" s="5">
        <f t="shared" si="4"/>
        <v>55.789473684210527</v>
      </c>
      <c r="D33" s="6">
        <f t="shared" si="0"/>
        <v>0.79166666666666663</v>
      </c>
      <c r="E33" s="7">
        <f t="shared" si="1"/>
        <v>0.76981882119104039</v>
      </c>
      <c r="F33" s="8">
        <f t="shared" si="2"/>
        <v>1.148066344172436E-4</v>
      </c>
      <c r="G33" s="7">
        <f t="shared" si="5"/>
        <v>2.4930747922437674E-2</v>
      </c>
    </row>
    <row r="34" spans="1:7" x14ac:dyDescent="0.25">
      <c r="A34" s="5">
        <v>0.7</v>
      </c>
      <c r="B34" s="5">
        <f t="shared" si="3"/>
        <v>26.5</v>
      </c>
      <c r="C34" s="5">
        <f t="shared" si="4"/>
        <v>55.789473684210527</v>
      </c>
      <c r="D34" s="6">
        <f t="shared" si="0"/>
        <v>0.67857142857142849</v>
      </c>
      <c r="E34" s="7">
        <f t="shared" si="1"/>
        <v>0.66245641734096439</v>
      </c>
      <c r="F34" s="8">
        <f t="shared" si="2"/>
        <v>1.9091300611077868E-4</v>
      </c>
      <c r="G34" s="7">
        <f t="shared" si="5"/>
        <v>9.3113573407202221E-2</v>
      </c>
    </row>
    <row r="35" spans="1:7" x14ac:dyDescent="0.25">
      <c r="A35" s="5">
        <v>0.8</v>
      </c>
      <c r="B35" s="5">
        <f t="shared" si="3"/>
        <v>26.5</v>
      </c>
      <c r="C35" s="5">
        <f t="shared" si="4"/>
        <v>55.789473684210527</v>
      </c>
      <c r="D35" s="6">
        <f t="shared" si="0"/>
        <v>0.59375</v>
      </c>
      <c r="E35" s="7">
        <f t="shared" si="1"/>
        <v>0.5813752092835287</v>
      </c>
      <c r="F35" s="8">
        <f t="shared" si="2"/>
        <v>2.9677033045423079E-4</v>
      </c>
      <c r="G35" s="7">
        <f t="shared" si="5"/>
        <v>0.25848199445983389</v>
      </c>
    </row>
    <row r="36" spans="1:7" ht="15.75" thickBot="1" x14ac:dyDescent="0.3">
      <c r="A36" s="12">
        <v>0.9</v>
      </c>
      <c r="B36" s="12">
        <f t="shared" si="3"/>
        <v>26.5</v>
      </c>
      <c r="C36" s="12">
        <f t="shared" si="4"/>
        <v>55.789473684210527</v>
      </c>
      <c r="D36" s="13">
        <f t="shared" si="0"/>
        <v>0.52777777777777779</v>
      </c>
      <c r="E36" s="14">
        <f t="shared" si="1"/>
        <v>0.51797747029473795</v>
      </c>
      <c r="F36" s="15">
        <f t="shared" si="2"/>
        <v>4.3811323862387664E-4</v>
      </c>
      <c r="G36" s="14">
        <f t="shared" si="5"/>
        <v>0.59729085872576193</v>
      </c>
    </row>
    <row r="37" spans="1:7" x14ac:dyDescent="0.25">
      <c r="A37" s="20">
        <v>1</v>
      </c>
      <c r="B37" s="21">
        <f t="shared" si="3"/>
        <v>26.5</v>
      </c>
      <c r="C37" s="21">
        <f t="shared" si="4"/>
        <v>55.789473684210527</v>
      </c>
      <c r="D37" s="22">
        <f t="shared" si="0"/>
        <v>0.47499999999999998</v>
      </c>
      <c r="E37" s="23">
        <f t="shared" si="1"/>
        <v>0.46704698297852604</v>
      </c>
      <c r="F37" s="24">
        <f t="shared" si="2"/>
        <v>6.2091920125612694E-4</v>
      </c>
      <c r="G37" s="31">
        <f t="shared" si="5"/>
        <v>1.2171745152354574</v>
      </c>
    </row>
    <row r="38" spans="1:7" x14ac:dyDescent="0.25">
      <c r="A38" s="25">
        <v>1.1000000000000001</v>
      </c>
      <c r="B38" s="5">
        <f t="shared" si="3"/>
        <v>26.5</v>
      </c>
      <c r="C38" s="5">
        <f t="shared" si="4"/>
        <v>55.789473684210527</v>
      </c>
      <c r="D38" s="6">
        <f t="shared" si="0"/>
        <v>0.43181818181818177</v>
      </c>
      <c r="E38" s="7">
        <f t="shared" si="1"/>
        <v>0.42523542080148635</v>
      </c>
      <c r="F38" s="8">
        <f t="shared" si="2"/>
        <v>8.5139019583090091E-4</v>
      </c>
      <c r="G38" s="32">
        <f t="shared" si="5"/>
        <v>2.2624653739612208</v>
      </c>
    </row>
    <row r="39" spans="1:7" ht="15.75" thickBot="1" x14ac:dyDescent="0.3">
      <c r="A39" s="26">
        <v>1.2</v>
      </c>
      <c r="B39" s="27">
        <f t="shared" si="3"/>
        <v>26.5</v>
      </c>
      <c r="C39" s="27">
        <f t="shared" si="4"/>
        <v>55.789473684210527</v>
      </c>
      <c r="D39" s="28">
        <f t="shared" si="0"/>
        <v>0.39583333333333331</v>
      </c>
      <c r="E39" s="29">
        <f t="shared" si="1"/>
        <v>0.39029494980814694</v>
      </c>
      <c r="F39" s="30">
        <f t="shared" si="2"/>
        <v>1.1359374937276237E-3</v>
      </c>
      <c r="G39" s="33">
        <f t="shared" si="5"/>
        <v>3.9195124653739613</v>
      </c>
    </row>
    <row r="40" spans="1:7" x14ac:dyDescent="0.25">
      <c r="A40" s="16">
        <v>1.3</v>
      </c>
      <c r="B40" s="16">
        <f t="shared" ref="B40:C43" si="6">B39</f>
        <v>26.5</v>
      </c>
      <c r="C40" s="16">
        <f t="shared" si="6"/>
        <v>55.789473684210527</v>
      </c>
      <c r="D40" s="17">
        <f>B40/(A40*C40)</f>
        <v>0.36538461538461536</v>
      </c>
      <c r="E40" s="18">
        <f>C40*D40/(C40+2*D40)</f>
        <v>0.36066043479818055</v>
      </c>
      <c r="F40" s="19">
        <f>$D$27^2*A40^2/E40^(4/3)</f>
        <v>1.4811687938465891E-3</v>
      </c>
      <c r="G40" s="18">
        <f>(A40-0.35)^3/D40^2</f>
        <v>6.4220000000000024</v>
      </c>
    </row>
    <row r="41" spans="1:7" x14ac:dyDescent="0.25">
      <c r="A41" s="5">
        <v>1.4</v>
      </c>
      <c r="B41" s="5">
        <f t="shared" si="6"/>
        <v>26.5</v>
      </c>
      <c r="C41" s="5">
        <f t="shared" si="6"/>
        <v>55.789473684210527</v>
      </c>
      <c r="D41" s="6">
        <f>B41/(A41*C41)</f>
        <v>0.33928571428571425</v>
      </c>
      <c r="E41" s="7">
        <f>C41*D41/(C41+2*D41)</f>
        <v>0.33520854831729963</v>
      </c>
      <c r="F41" s="8">
        <f>$D$27^2*A41^2/E41^(4/3)</f>
        <v>1.8938771713531801E-3</v>
      </c>
      <c r="G41" s="7">
        <f>(A41-0.35)^3/D41^2</f>
        <v>10.056265927977837</v>
      </c>
    </row>
    <row r="42" spans="1:7" x14ac:dyDescent="0.25">
      <c r="A42" s="5">
        <v>1.5</v>
      </c>
      <c r="B42" s="5">
        <f t="shared" si="6"/>
        <v>26.5</v>
      </c>
      <c r="C42" s="5">
        <f t="shared" si="6"/>
        <v>55.789473684210527</v>
      </c>
      <c r="D42" s="6">
        <f>B42/(A42*C42)</f>
        <v>0.31666666666666665</v>
      </c>
      <c r="E42" s="7">
        <f>C42*D42/(C42+2*D42)</f>
        <v>0.31311215447280871</v>
      </c>
      <c r="F42" s="8">
        <f>$D$27^2*A42^2/E42^(4/3)</f>
        <v>2.3810314629788575E-3</v>
      </c>
      <c r="G42" s="7">
        <f>(A42-0.35)^3/D42^2</f>
        <v>15.166620498614956</v>
      </c>
    </row>
    <row r="43" spans="1:7" x14ac:dyDescent="0.25">
      <c r="A43" s="5">
        <v>1.6</v>
      </c>
      <c r="B43" s="5">
        <f t="shared" si="6"/>
        <v>26.5</v>
      </c>
      <c r="C43" s="5">
        <f t="shared" si="6"/>
        <v>55.789473684210527</v>
      </c>
      <c r="D43" s="6">
        <f>B43/(A43*C43)</f>
        <v>0.296875</v>
      </c>
      <c r="E43" s="7">
        <f>C43*D43/(C43+2*D43)</f>
        <v>0.29374872378285349</v>
      </c>
      <c r="F43" s="8">
        <f>$D$27^2*A43^2/E43^(4/3)</f>
        <v>2.9497678111914025E-3</v>
      </c>
      <c r="G43" s="7">
        <f>(A43-0.35)^3/D43^2</f>
        <v>22.1606648199446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A574D-8197-47D1-B374-B1340BB7BBD7}">
  <dimension ref="A1:T48"/>
  <sheetViews>
    <sheetView topLeftCell="C22" workbookViewId="0">
      <selection activeCell="J43" sqref="J43"/>
    </sheetView>
  </sheetViews>
  <sheetFormatPr defaultRowHeight="15" x14ac:dyDescent="0.25"/>
  <cols>
    <col min="1" max="1" width="11.28515625" customWidth="1"/>
    <col min="2" max="2" width="11.5703125" customWidth="1"/>
    <col min="3" max="3" width="10.85546875" customWidth="1"/>
    <col min="6" max="6" width="12.28515625" bestFit="1" customWidth="1"/>
    <col min="11" max="12" width="9.5703125" bestFit="1" customWidth="1"/>
  </cols>
  <sheetData>
    <row r="1" spans="1:17" x14ac:dyDescent="0.25">
      <c r="A1" t="s">
        <v>12</v>
      </c>
      <c r="D1" s="40">
        <v>106</v>
      </c>
      <c r="E1" t="s">
        <v>0</v>
      </c>
      <c r="I1" s="9" t="s">
        <v>3</v>
      </c>
      <c r="J1" s="9"/>
      <c r="K1" s="9" t="s">
        <v>4</v>
      </c>
      <c r="L1" s="9"/>
      <c r="M1" s="9" t="s">
        <v>5</v>
      </c>
      <c r="N1" s="9"/>
    </row>
    <row r="2" spans="1:17" x14ac:dyDescent="0.25">
      <c r="A2" t="s">
        <v>46</v>
      </c>
      <c r="D2" s="40">
        <v>2</v>
      </c>
      <c r="E2" t="s">
        <v>47</v>
      </c>
      <c r="I2" s="55" t="s">
        <v>2</v>
      </c>
      <c r="J2" s="56" t="s">
        <v>67</v>
      </c>
      <c r="K2" s="56" t="s">
        <v>68</v>
      </c>
      <c r="L2" s="56" t="s">
        <v>69</v>
      </c>
      <c r="M2" s="56" t="s">
        <v>70</v>
      </c>
      <c r="N2" s="57" t="s">
        <v>71</v>
      </c>
    </row>
    <row r="3" spans="1:17" x14ac:dyDescent="0.25">
      <c r="A3" t="s">
        <v>48</v>
      </c>
      <c r="D3" s="40">
        <f>D1/D2</f>
        <v>53</v>
      </c>
      <c r="E3" t="s">
        <v>0</v>
      </c>
      <c r="I3" s="53">
        <v>1E-3</v>
      </c>
      <c r="J3" s="7">
        <v>6.9999999999999999E-4</v>
      </c>
      <c r="K3" s="7">
        <v>8.0000000000000004E-4</v>
      </c>
      <c r="L3" s="7">
        <v>8.9999999999999998E-4</v>
      </c>
      <c r="M3" s="7">
        <v>1E-3</v>
      </c>
      <c r="N3" s="54">
        <v>1.1000000000000001E-3</v>
      </c>
    </row>
    <row r="4" spans="1:17" x14ac:dyDescent="0.25">
      <c r="A4" t="s">
        <v>1</v>
      </c>
      <c r="D4" s="40">
        <v>0.2</v>
      </c>
      <c r="E4" t="s">
        <v>2</v>
      </c>
      <c r="I4" s="53">
        <v>0.01</v>
      </c>
      <c r="J4" s="7">
        <v>6.8000000000000005E-2</v>
      </c>
      <c r="K4" s="7">
        <v>7.9000000000000001E-2</v>
      </c>
      <c r="L4" s="7">
        <v>0.09</v>
      </c>
      <c r="M4" s="7">
        <v>0.1</v>
      </c>
      <c r="N4" s="54">
        <v>0.11</v>
      </c>
    </row>
    <row r="5" spans="1:17" x14ac:dyDescent="0.25">
      <c r="A5" t="s">
        <v>6</v>
      </c>
      <c r="D5" s="40">
        <v>15</v>
      </c>
      <c r="E5" t="s">
        <v>7</v>
      </c>
      <c r="I5" s="53">
        <v>0.02</v>
      </c>
      <c r="J5" s="7">
        <v>0.27400000000000002</v>
      </c>
      <c r="K5" s="7">
        <v>0.316</v>
      </c>
      <c r="L5" s="7">
        <v>0.36</v>
      </c>
      <c r="M5" s="7">
        <v>0.4</v>
      </c>
      <c r="N5" s="54">
        <v>0.45</v>
      </c>
    </row>
    <row r="6" spans="1:17" x14ac:dyDescent="0.25">
      <c r="A6" t="s">
        <v>43</v>
      </c>
      <c r="D6" s="40">
        <v>90</v>
      </c>
      <c r="E6" t="s">
        <v>44</v>
      </c>
      <c r="I6" s="53">
        <v>0.03</v>
      </c>
      <c r="J6" s="7">
        <v>0.61799999999999999</v>
      </c>
      <c r="K6" s="7">
        <v>0.71</v>
      </c>
      <c r="L6" s="7">
        <v>0.81</v>
      </c>
      <c r="M6" s="7">
        <v>0.9</v>
      </c>
      <c r="N6" s="54">
        <v>1.012</v>
      </c>
    </row>
    <row r="7" spans="1:17" x14ac:dyDescent="0.25">
      <c r="D7" s="39"/>
      <c r="I7" s="53">
        <v>0.05</v>
      </c>
      <c r="J7" s="7">
        <v>1.7170000000000001</v>
      </c>
      <c r="K7" s="7">
        <v>1.9730000000000001</v>
      </c>
      <c r="L7" s="7">
        <v>2.27</v>
      </c>
      <c r="M7" s="7">
        <v>2.5</v>
      </c>
      <c r="N7" s="54">
        <v>2.8119999999999998</v>
      </c>
      <c r="P7">
        <f>4.75*SQRT(D3)</f>
        <v>34.580521974082458</v>
      </c>
      <c r="Q7" t="b">
        <f>D17&gt;P7</f>
        <v>0</v>
      </c>
    </row>
    <row r="8" spans="1:17" x14ac:dyDescent="0.25">
      <c r="A8" t="s">
        <v>13</v>
      </c>
      <c r="D8">
        <f>VLOOKUP(D4,I2:N14,3)</f>
        <v>18.760000000000002</v>
      </c>
      <c r="E8" t="s">
        <v>8</v>
      </c>
      <c r="F8">
        <f>D8</f>
        <v>18.760000000000002</v>
      </c>
      <c r="G8" t="s">
        <v>5</v>
      </c>
      <c r="I8" s="53">
        <v>7.0000000000000007E-2</v>
      </c>
      <c r="J8" s="7">
        <v>2.5099999999999998</v>
      </c>
      <c r="K8" s="7">
        <v>2.88</v>
      </c>
      <c r="L8" s="7">
        <v>3.25</v>
      </c>
      <c r="M8" s="7">
        <v>3.65</v>
      </c>
      <c r="N8" s="54">
        <v>4.0999999999999996</v>
      </c>
      <c r="O8" t="s">
        <v>72</v>
      </c>
      <c r="P8">
        <f>F21/F17</f>
        <v>2.6666666666666665</v>
      </c>
      <c r="Q8" t="b">
        <f>AND(P8&gt;=4,P8&lt;=10)</f>
        <v>0</v>
      </c>
    </row>
    <row r="9" spans="1:17" x14ac:dyDescent="0.25">
      <c r="F9">
        <f>F8/1000</f>
        <v>1.8760000000000002E-2</v>
      </c>
      <c r="G9" t="s">
        <v>9</v>
      </c>
      <c r="I9" s="53">
        <v>0.1</v>
      </c>
      <c r="J9" s="7">
        <v>5.12</v>
      </c>
      <c r="K9" s="7">
        <v>5.88</v>
      </c>
      <c r="L9" s="7">
        <v>6.63</v>
      </c>
      <c r="M9" s="7">
        <v>7.44</v>
      </c>
      <c r="N9" s="54">
        <v>8.3699999999999992</v>
      </c>
    </row>
    <row r="10" spans="1:17" x14ac:dyDescent="0.25">
      <c r="A10" t="s">
        <v>17</v>
      </c>
      <c r="D10" s="41">
        <v>10</v>
      </c>
      <c r="E10" t="s">
        <v>18</v>
      </c>
      <c r="I10" s="53">
        <v>0.2</v>
      </c>
      <c r="J10" s="7">
        <v>17.11</v>
      </c>
      <c r="K10" s="7">
        <v>18.760000000000002</v>
      </c>
      <c r="L10" s="7">
        <v>20.420000000000002</v>
      </c>
      <c r="M10" s="7">
        <v>22.06</v>
      </c>
      <c r="N10" s="54">
        <v>23.72</v>
      </c>
    </row>
    <row r="11" spans="1:17" x14ac:dyDescent="0.25">
      <c r="F11">
        <f>0.44*SQRT(D4)</f>
        <v>0.1967739820199815</v>
      </c>
      <c r="I11" s="53">
        <v>0.3</v>
      </c>
      <c r="J11" s="7">
        <v>28.31</v>
      </c>
      <c r="K11" s="7">
        <v>29.96</v>
      </c>
      <c r="L11" s="7">
        <v>31.62</v>
      </c>
      <c r="M11" s="7">
        <v>33.26</v>
      </c>
      <c r="N11" s="54">
        <v>34.92</v>
      </c>
    </row>
    <row r="12" spans="1:17" x14ac:dyDescent="0.25">
      <c r="A12" t="s">
        <v>11</v>
      </c>
      <c r="D12" s="5">
        <v>0.2</v>
      </c>
      <c r="E12" t="s">
        <v>9</v>
      </c>
      <c r="F12" t="s">
        <v>10</v>
      </c>
      <c r="G12" t="s">
        <v>9</v>
      </c>
      <c r="I12" s="53">
        <v>0.5</v>
      </c>
      <c r="J12" s="7">
        <v>50.71</v>
      </c>
      <c r="K12" s="7">
        <v>52.36</v>
      </c>
      <c r="L12" s="7">
        <v>54.02</v>
      </c>
      <c r="M12" s="7">
        <v>55.66</v>
      </c>
      <c r="N12" s="54">
        <v>57.32</v>
      </c>
    </row>
    <row r="13" spans="1:17" x14ac:dyDescent="0.25">
      <c r="A13" t="s">
        <v>49</v>
      </c>
      <c r="D13" s="5">
        <v>20</v>
      </c>
      <c r="E13" t="s">
        <v>44</v>
      </c>
      <c r="F13" s="34" t="s">
        <v>50</v>
      </c>
      <c r="I13" s="53">
        <v>1</v>
      </c>
      <c r="J13" s="7">
        <v>106.71</v>
      </c>
      <c r="K13" s="7">
        <v>108.36</v>
      </c>
      <c r="L13" s="7">
        <v>110.02</v>
      </c>
      <c r="M13" s="7">
        <v>111.66</v>
      </c>
      <c r="N13" s="54">
        <v>113.32</v>
      </c>
    </row>
    <row r="14" spans="1:17" x14ac:dyDescent="0.25">
      <c r="A14" t="s">
        <v>52</v>
      </c>
      <c r="D14">
        <f>D13/100*D3</f>
        <v>10.600000000000001</v>
      </c>
      <c r="F14" s="34"/>
      <c r="I14" s="58">
        <v>1.5</v>
      </c>
      <c r="J14" s="14">
        <v>162.71</v>
      </c>
      <c r="K14" s="14">
        <v>164.36</v>
      </c>
      <c r="L14" s="14">
        <v>166.02</v>
      </c>
      <c r="M14" s="14">
        <v>167.66</v>
      </c>
      <c r="N14" s="59">
        <v>169.32</v>
      </c>
    </row>
    <row r="15" spans="1:17" x14ac:dyDescent="0.25">
      <c r="A15" t="s">
        <v>14</v>
      </c>
      <c r="D15">
        <f>(D3+0.5*D14)/D12</f>
        <v>291.49999999999994</v>
      </c>
      <c r="E15" t="s">
        <v>15</v>
      </c>
      <c r="F15" s="41">
        <f>(INT(D15/5)+1)*5</f>
        <v>295</v>
      </c>
    </row>
    <row r="17" spans="1:20" x14ac:dyDescent="0.25">
      <c r="C17" t="s">
        <v>53</v>
      </c>
      <c r="D17">
        <f>F15/D10</f>
        <v>29.5</v>
      </c>
      <c r="F17" s="41">
        <f>(INT(D17/5)+1)*5</f>
        <v>30</v>
      </c>
    </row>
    <row r="18" spans="1:20" x14ac:dyDescent="0.25">
      <c r="A18" t="s">
        <v>60</v>
      </c>
      <c r="C18" t="s">
        <v>54</v>
      </c>
      <c r="D18">
        <f>0.042*D12/(D19^(1/6))</f>
        <v>6.2314255549593802E-3</v>
      </c>
    </row>
    <row r="19" spans="1:20" x14ac:dyDescent="0.25">
      <c r="A19" t="s">
        <v>59</v>
      </c>
      <c r="C19" t="s">
        <v>41</v>
      </c>
      <c r="D19">
        <f>F17*D10/(F17+2*D10)</f>
        <v>6</v>
      </c>
    </row>
    <row r="20" spans="1:20" x14ac:dyDescent="0.25">
      <c r="A20" s="1"/>
    </row>
    <row r="21" spans="1:20" x14ac:dyDescent="0.25">
      <c r="A21" t="s">
        <v>51</v>
      </c>
      <c r="D21">
        <f>(D10*D12)/F9-D14/(F17*(F9-D18))</f>
        <v>78.407610407523165</v>
      </c>
      <c r="F21" s="41">
        <f>(INT(D21/5)+1)*5</f>
        <v>80</v>
      </c>
    </row>
    <row r="23" spans="1:20" x14ac:dyDescent="0.25">
      <c r="F23" s="42" t="s">
        <v>55</v>
      </c>
      <c r="G23" s="48"/>
      <c r="H23" s="43"/>
    </row>
    <row r="24" spans="1:20" x14ac:dyDescent="0.25">
      <c r="F24" s="44" t="s">
        <v>56</v>
      </c>
      <c r="G24">
        <f>F21</f>
        <v>80</v>
      </c>
      <c r="H24" s="45" t="s">
        <v>18</v>
      </c>
      <c r="J24" s="52"/>
    </row>
    <row r="25" spans="1:20" x14ac:dyDescent="0.25">
      <c r="F25" s="44" t="s">
        <v>57</v>
      </c>
      <c r="G25">
        <f>F17</f>
        <v>30</v>
      </c>
      <c r="H25" s="45" t="s">
        <v>18</v>
      </c>
    </row>
    <row r="26" spans="1:20" x14ac:dyDescent="0.25">
      <c r="F26" s="46" t="s">
        <v>58</v>
      </c>
      <c r="G26" s="49">
        <f>D10</f>
        <v>10</v>
      </c>
      <c r="H26" s="47" t="s">
        <v>18</v>
      </c>
      <c r="Q26" t="s">
        <v>65</v>
      </c>
    </row>
    <row r="27" spans="1:20" x14ac:dyDescent="0.25">
      <c r="A27" s="1"/>
      <c r="Q27" t="s">
        <v>66</v>
      </c>
      <c r="R27">
        <f>1-D6/100</f>
        <v>9.9999999999999978E-2</v>
      </c>
    </row>
    <row r="28" spans="1:20" x14ac:dyDescent="0.25">
      <c r="A28" s="1" t="s">
        <v>61</v>
      </c>
      <c r="R28">
        <f>LN(R27)</f>
        <v>-2.3025850929940459</v>
      </c>
    </row>
    <row r="29" spans="1:20" x14ac:dyDescent="0.25">
      <c r="R29">
        <f>-R28</f>
        <v>2.3025850929940459</v>
      </c>
    </row>
    <row r="30" spans="1:20" x14ac:dyDescent="0.25">
      <c r="A30" t="s">
        <v>62</v>
      </c>
      <c r="B30">
        <f>G24*F9/D12+D14/(G25*D12)</f>
        <v>9.2706666666666671</v>
      </c>
      <c r="D30">
        <f>ROUND(B30,2)</f>
        <v>9.27</v>
      </c>
      <c r="R30">
        <f>R29*D3/F9</f>
        <v>6505.171104940534</v>
      </c>
    </row>
    <row r="31" spans="1:20" x14ac:dyDescent="0.25">
      <c r="E31" s="35"/>
      <c r="F31" s="35"/>
      <c r="G31" s="35"/>
      <c r="R31">
        <v>30</v>
      </c>
    </row>
    <row r="32" spans="1:20" x14ac:dyDescent="0.25">
      <c r="A32" s="1" t="s">
        <v>63</v>
      </c>
      <c r="E32" s="37"/>
      <c r="F32" s="38"/>
      <c r="R32">
        <f>R30/R31</f>
        <v>216.83903683135114</v>
      </c>
      <c r="T32" s="41">
        <f>(INT(R32/5)+1)*5</f>
        <v>220</v>
      </c>
    </row>
    <row r="33" spans="1:7" x14ac:dyDescent="0.25">
      <c r="E33" s="37"/>
      <c r="F33" s="38"/>
      <c r="G33" s="37"/>
    </row>
    <row r="34" spans="1:7" x14ac:dyDescent="0.25">
      <c r="A34" s="5" t="s">
        <v>1</v>
      </c>
      <c r="B34" s="5" t="s">
        <v>64</v>
      </c>
      <c r="C34" s="35"/>
      <c r="D34" s="35"/>
      <c r="E34" s="37"/>
      <c r="F34" s="38"/>
      <c r="G34" s="37"/>
    </row>
    <row r="35" spans="1:7" x14ac:dyDescent="0.25">
      <c r="A35" s="50">
        <v>1E-3</v>
      </c>
      <c r="B35" s="50">
        <f>A35/$D$4*$B$30/$G$26</f>
        <v>4.6353333333333333E-3</v>
      </c>
      <c r="D35" s="36"/>
      <c r="E35" s="37"/>
      <c r="F35" s="38"/>
      <c r="G35" s="37"/>
    </row>
    <row r="36" spans="1:7" x14ac:dyDescent="0.25">
      <c r="A36" s="50">
        <v>0.01</v>
      </c>
      <c r="B36" s="50">
        <f t="shared" ref="B36:B42" si="0">A36/$D$4*$B$30/$G$26</f>
        <v>4.635333333333333E-2</v>
      </c>
      <c r="D36" s="36"/>
      <c r="E36" s="37"/>
      <c r="F36" s="38"/>
      <c r="G36" s="37"/>
    </row>
    <row r="37" spans="1:7" x14ac:dyDescent="0.25">
      <c r="A37" s="50">
        <v>0.02</v>
      </c>
      <c r="B37" s="50">
        <f t="shared" si="0"/>
        <v>9.2706666666666659E-2</v>
      </c>
      <c r="D37" s="36"/>
      <c r="E37" s="37"/>
      <c r="F37" s="38"/>
      <c r="G37" s="37"/>
    </row>
    <row r="38" spans="1:7" x14ac:dyDescent="0.25">
      <c r="A38" s="50">
        <v>0.03</v>
      </c>
      <c r="B38" s="50">
        <f t="shared" si="0"/>
        <v>0.13906000000000002</v>
      </c>
      <c r="D38" s="36"/>
      <c r="E38" s="37"/>
      <c r="F38" s="38"/>
      <c r="G38" s="37"/>
    </row>
    <row r="39" spans="1:7" x14ac:dyDescent="0.25">
      <c r="A39" s="50">
        <v>0.05</v>
      </c>
      <c r="B39" s="50">
        <f t="shared" si="0"/>
        <v>0.23176666666666668</v>
      </c>
      <c r="D39" s="36"/>
      <c r="E39" s="37"/>
      <c r="F39" s="38"/>
      <c r="G39" s="37"/>
    </row>
    <row r="40" spans="1:7" x14ac:dyDescent="0.25">
      <c r="A40" s="50">
        <v>7.0000000000000007E-2</v>
      </c>
      <c r="B40" s="50">
        <f t="shared" si="0"/>
        <v>0.32447333333333339</v>
      </c>
      <c r="D40" s="36"/>
      <c r="E40" s="37"/>
      <c r="F40" s="38"/>
      <c r="G40" s="37"/>
    </row>
    <row r="41" spans="1:7" x14ac:dyDescent="0.25">
      <c r="A41" s="50">
        <v>0.1</v>
      </c>
      <c r="B41" s="50">
        <f t="shared" si="0"/>
        <v>0.46353333333333335</v>
      </c>
      <c r="D41" s="36"/>
      <c r="E41" s="37"/>
      <c r="F41" s="38"/>
      <c r="G41" s="37"/>
    </row>
    <row r="42" spans="1:7" x14ac:dyDescent="0.25">
      <c r="A42" s="50">
        <v>0.2</v>
      </c>
      <c r="B42" s="50">
        <f t="shared" si="0"/>
        <v>0.92706666666666671</v>
      </c>
      <c r="D42" s="36"/>
      <c r="E42" s="37"/>
      <c r="F42" s="38"/>
      <c r="G42" s="37"/>
    </row>
    <row r="43" spans="1:7" x14ac:dyDescent="0.25">
      <c r="D43" s="36"/>
      <c r="E43" s="37"/>
      <c r="F43" s="38"/>
      <c r="G43" s="37"/>
    </row>
    <row r="44" spans="1:7" x14ac:dyDescent="0.25">
      <c r="D44" s="36"/>
      <c r="E44" s="37"/>
      <c r="F44" s="38"/>
      <c r="G44" s="37"/>
    </row>
    <row r="45" spans="1:7" x14ac:dyDescent="0.25">
      <c r="D45" s="36"/>
      <c r="E45" s="37"/>
      <c r="F45" s="38"/>
      <c r="G45" s="37"/>
    </row>
    <row r="46" spans="1:7" x14ac:dyDescent="0.25">
      <c r="D46" s="36"/>
    </row>
    <row r="47" spans="1:7" x14ac:dyDescent="0.25">
      <c r="D47" s="36"/>
    </row>
    <row r="48" spans="1:7" x14ac:dyDescent="0.25">
      <c r="D48" s="36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7FA6-DD0B-4FC5-97E7-24733A09E193}">
  <dimension ref="A1:T48"/>
  <sheetViews>
    <sheetView topLeftCell="A18" zoomScale="80" zoomScaleNormal="80" workbookViewId="0">
      <selection activeCell="O31" sqref="O31"/>
    </sheetView>
  </sheetViews>
  <sheetFormatPr defaultRowHeight="15" x14ac:dyDescent="0.25"/>
  <cols>
    <col min="1" max="1" width="16" customWidth="1"/>
    <col min="2" max="2" width="11.5703125" customWidth="1"/>
    <col min="3" max="3" width="10.85546875" customWidth="1"/>
    <col min="6" max="6" width="12.28515625" bestFit="1" customWidth="1"/>
    <col min="11" max="12" width="9.5703125" bestFit="1" customWidth="1"/>
  </cols>
  <sheetData>
    <row r="1" spans="1:19" x14ac:dyDescent="0.25">
      <c r="A1" t="s">
        <v>12</v>
      </c>
      <c r="D1" s="40">
        <v>106</v>
      </c>
      <c r="E1" t="s">
        <v>0</v>
      </c>
      <c r="I1" s="9" t="s">
        <v>3</v>
      </c>
      <c r="J1" s="9"/>
      <c r="K1" s="9" t="s">
        <v>4</v>
      </c>
      <c r="L1" s="9"/>
      <c r="M1" s="9" t="s">
        <v>5</v>
      </c>
      <c r="N1" s="9"/>
    </row>
    <row r="2" spans="1:19" x14ac:dyDescent="0.25">
      <c r="A2" t="s">
        <v>46</v>
      </c>
      <c r="D2" s="40">
        <v>2</v>
      </c>
      <c r="E2" t="s">
        <v>47</v>
      </c>
      <c r="I2" s="55" t="s">
        <v>2</v>
      </c>
      <c r="J2" s="56" t="s">
        <v>67</v>
      </c>
      <c r="K2" s="56" t="s">
        <v>68</v>
      </c>
      <c r="L2" s="56" t="s">
        <v>69</v>
      </c>
      <c r="M2" s="56" t="s">
        <v>70</v>
      </c>
      <c r="N2" s="57" t="s">
        <v>71</v>
      </c>
    </row>
    <row r="3" spans="1:19" x14ac:dyDescent="0.25">
      <c r="A3" t="s">
        <v>48</v>
      </c>
      <c r="D3" s="40">
        <f>D1/D2</f>
        <v>53</v>
      </c>
      <c r="E3" t="s">
        <v>0</v>
      </c>
      <c r="I3" s="53">
        <v>1E-3</v>
      </c>
      <c r="J3" s="7">
        <v>6.9999999999999999E-4</v>
      </c>
      <c r="K3" s="7">
        <v>8.0000000000000004E-4</v>
      </c>
      <c r="L3" s="7">
        <v>8.9999999999999998E-4</v>
      </c>
      <c r="M3" s="7">
        <v>1E-3</v>
      </c>
      <c r="N3" s="54">
        <v>1.1000000000000001E-3</v>
      </c>
    </row>
    <row r="4" spans="1:19" x14ac:dyDescent="0.25">
      <c r="A4" t="s">
        <v>1</v>
      </c>
      <c r="D4" s="40">
        <v>0.2</v>
      </c>
      <c r="E4" t="s">
        <v>2</v>
      </c>
      <c r="I4" s="53">
        <v>0.01</v>
      </c>
      <c r="J4" s="7">
        <v>6.8000000000000005E-2</v>
      </c>
      <c r="K4" s="7">
        <v>7.9000000000000001E-2</v>
      </c>
      <c r="L4" s="7">
        <v>0.09</v>
      </c>
      <c r="M4" s="7">
        <v>0.1</v>
      </c>
      <c r="N4" s="54">
        <v>0.11</v>
      </c>
    </row>
    <row r="5" spans="1:19" x14ac:dyDescent="0.25">
      <c r="A5" t="s">
        <v>6</v>
      </c>
      <c r="D5" s="40">
        <v>15</v>
      </c>
      <c r="E5" t="s">
        <v>7</v>
      </c>
      <c r="I5" s="53">
        <v>0.02</v>
      </c>
      <c r="J5" s="7">
        <v>0.27400000000000002</v>
      </c>
      <c r="K5" s="7">
        <v>0.316</v>
      </c>
      <c r="L5" s="7">
        <v>0.36</v>
      </c>
      <c r="M5" s="7">
        <v>0.4</v>
      </c>
      <c r="N5" s="54">
        <v>0.45</v>
      </c>
    </row>
    <row r="6" spans="1:19" x14ac:dyDescent="0.25">
      <c r="A6" t="s">
        <v>43</v>
      </c>
      <c r="D6" s="40">
        <v>90</v>
      </c>
      <c r="E6" t="s">
        <v>44</v>
      </c>
      <c r="I6" s="53">
        <v>0.03</v>
      </c>
      <c r="J6" s="7">
        <v>0.61799999999999999</v>
      </c>
      <c r="K6" s="7">
        <v>0.71</v>
      </c>
      <c r="L6" s="7">
        <v>0.81</v>
      </c>
      <c r="M6" s="7">
        <v>0.9</v>
      </c>
      <c r="N6" s="54">
        <v>1.012</v>
      </c>
    </row>
    <row r="7" spans="1:19" x14ac:dyDescent="0.25">
      <c r="D7" s="39"/>
      <c r="I7" s="53">
        <v>0.05</v>
      </c>
      <c r="J7" s="7">
        <v>1.7170000000000001</v>
      </c>
      <c r="K7" s="7">
        <v>1.9730000000000001</v>
      </c>
      <c r="L7" s="7">
        <v>2.27</v>
      </c>
      <c r="M7" s="7">
        <v>2.5</v>
      </c>
      <c r="N7" s="54">
        <v>2.8119999999999998</v>
      </c>
      <c r="Q7" t="s">
        <v>72</v>
      </c>
      <c r="R7">
        <f>F21/F16</f>
        <v>4</v>
      </c>
      <c r="S7" t="b">
        <f>AND(R7&gt;=4,R7&lt;=10)</f>
        <v>1</v>
      </c>
    </row>
    <row r="8" spans="1:19" x14ac:dyDescent="0.25">
      <c r="A8" t="s">
        <v>13</v>
      </c>
      <c r="D8">
        <f>VLOOKUP(D4,I2:N14,3)</f>
        <v>18.760000000000002</v>
      </c>
      <c r="E8" t="s">
        <v>8</v>
      </c>
      <c r="F8">
        <f>D8</f>
        <v>18.760000000000002</v>
      </c>
      <c r="G8" t="s">
        <v>5</v>
      </c>
      <c r="I8" s="53">
        <v>7.0000000000000007E-2</v>
      </c>
      <c r="J8" s="7">
        <v>2.5099999999999998</v>
      </c>
      <c r="K8" s="7">
        <v>2.88</v>
      </c>
      <c r="L8" s="7">
        <v>3.25</v>
      </c>
      <c r="M8" s="7">
        <v>3.65</v>
      </c>
      <c r="N8" s="54">
        <v>4.0999999999999996</v>
      </c>
      <c r="R8" s="51">
        <f>B42</f>
        <v>0.907826086956522</v>
      </c>
      <c r="S8" t="b">
        <f>R8&gt;=0.9</f>
        <v>1</v>
      </c>
    </row>
    <row r="9" spans="1:19" x14ac:dyDescent="0.25">
      <c r="F9">
        <f>F8/1000</f>
        <v>1.8760000000000002E-2</v>
      </c>
      <c r="G9" t="s">
        <v>9</v>
      </c>
      <c r="I9" s="53">
        <v>0.1</v>
      </c>
      <c r="J9" s="7">
        <v>5.12</v>
      </c>
      <c r="K9" s="7">
        <v>5.88</v>
      </c>
      <c r="L9" s="7">
        <v>6.63</v>
      </c>
      <c r="M9" s="7">
        <v>7.44</v>
      </c>
      <c r="N9" s="54">
        <v>8.3699999999999992</v>
      </c>
    </row>
    <row r="10" spans="1:19" x14ac:dyDescent="0.25">
      <c r="A10" t="s">
        <v>17</v>
      </c>
      <c r="D10" s="41">
        <v>10</v>
      </c>
      <c r="E10" t="s">
        <v>18</v>
      </c>
      <c r="I10" s="53">
        <v>0.2</v>
      </c>
      <c r="J10" s="7">
        <v>17.11</v>
      </c>
      <c r="K10" s="7">
        <v>18.760000000000002</v>
      </c>
      <c r="L10" s="7">
        <v>20.420000000000002</v>
      </c>
      <c r="M10" s="7">
        <v>22.06</v>
      </c>
      <c r="N10" s="54">
        <v>23.72</v>
      </c>
    </row>
    <row r="11" spans="1:19" x14ac:dyDescent="0.25">
      <c r="F11">
        <f>0.44*SQRT(D4)</f>
        <v>0.1967739820199815</v>
      </c>
      <c r="I11" s="53">
        <v>0.3</v>
      </c>
      <c r="J11" s="7">
        <v>28.31</v>
      </c>
      <c r="K11" s="7">
        <v>29.96</v>
      </c>
      <c r="L11" s="7">
        <v>31.62</v>
      </c>
      <c r="M11" s="7">
        <v>33.26</v>
      </c>
      <c r="N11" s="54">
        <v>34.92</v>
      </c>
    </row>
    <row r="12" spans="1:19" x14ac:dyDescent="0.25">
      <c r="A12" t="s">
        <v>73</v>
      </c>
      <c r="D12" s="5">
        <v>0.23</v>
      </c>
      <c r="E12" t="s">
        <v>9</v>
      </c>
      <c r="F12" t="s">
        <v>10</v>
      </c>
      <c r="G12" t="s">
        <v>9</v>
      </c>
      <c r="I12" s="53">
        <v>0.5</v>
      </c>
      <c r="J12" s="7">
        <v>50.71</v>
      </c>
      <c r="K12" s="7">
        <v>52.36</v>
      </c>
      <c r="L12" s="7">
        <v>54.02</v>
      </c>
      <c r="M12" s="7">
        <v>55.66</v>
      </c>
      <c r="N12" s="54">
        <v>57.32</v>
      </c>
    </row>
    <row r="13" spans="1:19" x14ac:dyDescent="0.25">
      <c r="A13" t="s">
        <v>49</v>
      </c>
      <c r="D13" s="5">
        <v>10</v>
      </c>
      <c r="E13" t="s">
        <v>44</v>
      </c>
      <c r="F13" s="34" t="s">
        <v>50</v>
      </c>
      <c r="I13" s="53">
        <v>1</v>
      </c>
      <c r="J13" s="7">
        <v>106.71</v>
      </c>
      <c r="K13" s="7">
        <v>108.36</v>
      </c>
      <c r="L13" s="7">
        <v>110.02</v>
      </c>
      <c r="M13" s="7">
        <v>111.66</v>
      </c>
      <c r="N13" s="54">
        <v>113.32</v>
      </c>
    </row>
    <row r="14" spans="1:19" x14ac:dyDescent="0.25">
      <c r="A14" t="s">
        <v>52</v>
      </c>
      <c r="D14">
        <f>D13/100*D3</f>
        <v>5.3000000000000007</v>
      </c>
      <c r="F14" s="34"/>
      <c r="I14" s="58">
        <v>1.5</v>
      </c>
      <c r="J14" s="14">
        <v>162.71</v>
      </c>
      <c r="K14" s="14">
        <v>164.36</v>
      </c>
      <c r="L14" s="14">
        <v>166.02</v>
      </c>
      <c r="M14" s="14">
        <v>167.66</v>
      </c>
      <c r="N14" s="59">
        <v>169.32</v>
      </c>
    </row>
    <row r="15" spans="1:19" x14ac:dyDescent="0.25">
      <c r="A15" t="s">
        <v>14</v>
      </c>
      <c r="D15">
        <f>(D3+0.5*D14)/D12</f>
        <v>241.95652173913041</v>
      </c>
      <c r="E15" t="s">
        <v>15</v>
      </c>
      <c r="F15" s="41">
        <f>(INT(D15/5)+1)*5</f>
        <v>245</v>
      </c>
    </row>
    <row r="16" spans="1:19" x14ac:dyDescent="0.25">
      <c r="C16" t="s">
        <v>53</v>
      </c>
      <c r="D16">
        <f>D15/D10</f>
        <v>24.195652173913039</v>
      </c>
      <c r="F16" s="41">
        <v>25</v>
      </c>
    </row>
    <row r="17" spans="1:20" x14ac:dyDescent="0.25">
      <c r="A17" t="s">
        <v>11</v>
      </c>
      <c r="D17" s="36">
        <f>D3/(F16*D10)</f>
        <v>0.21199999999999999</v>
      </c>
    </row>
    <row r="18" spans="1:20" x14ac:dyDescent="0.25">
      <c r="A18" t="s">
        <v>60</v>
      </c>
      <c r="C18" t="s">
        <v>54</v>
      </c>
      <c r="D18">
        <f>0.042*D17/(D19^(1/6))</f>
        <v>6.6905820674810828E-3</v>
      </c>
    </row>
    <row r="19" spans="1:20" x14ac:dyDescent="0.25">
      <c r="A19" t="s">
        <v>59</v>
      </c>
      <c r="C19" t="s">
        <v>41</v>
      </c>
      <c r="D19">
        <f>F16*D10/(F16+2*D10)</f>
        <v>5.5555555555555554</v>
      </c>
    </row>
    <row r="21" spans="1:20" x14ac:dyDescent="0.25">
      <c r="A21" t="s">
        <v>51</v>
      </c>
      <c r="D21">
        <f>((D10*D17)/F9-D14/(F16*(F9-D18)))</f>
        <v>95.441340743597081</v>
      </c>
      <c r="F21" s="41">
        <f>(INT(D21/5)+1)*5</f>
        <v>100</v>
      </c>
    </row>
    <row r="22" spans="1:20" x14ac:dyDescent="0.25">
      <c r="D22">
        <f>((D10*D17)/F9-D14/(F16*(F9)))</f>
        <v>101.70575692963752</v>
      </c>
      <c r="F22" s="41">
        <f>(INT(D22/5)+1)*5</f>
        <v>105</v>
      </c>
    </row>
    <row r="23" spans="1:20" x14ac:dyDescent="0.25">
      <c r="D23">
        <f>((D10*D17)/F9)</f>
        <v>113.00639658848613</v>
      </c>
      <c r="F23" s="41">
        <f>(INT(D23/5)+1)*5</f>
        <v>115</v>
      </c>
    </row>
    <row r="24" spans="1:20" ht="15.75" thickBot="1" x14ac:dyDescent="0.3"/>
    <row r="25" spans="1:20" x14ac:dyDescent="0.25">
      <c r="I25" s="60" t="s">
        <v>55</v>
      </c>
      <c r="J25" s="61"/>
      <c r="K25" s="62"/>
    </row>
    <row r="26" spans="1:20" x14ac:dyDescent="0.25">
      <c r="I26" s="63" t="s">
        <v>56</v>
      </c>
      <c r="J26">
        <f>F21</f>
        <v>100</v>
      </c>
      <c r="K26" s="64" t="s">
        <v>18</v>
      </c>
      <c r="Q26">
        <f>1-EXP(-(F9*(F16*F21)/(D3+D14*0.5)))</f>
        <v>0.56948249572213339</v>
      </c>
    </row>
    <row r="27" spans="1:20" x14ac:dyDescent="0.25">
      <c r="A27" s="1"/>
      <c r="I27" s="63" t="s">
        <v>57</v>
      </c>
      <c r="J27">
        <f>F16</f>
        <v>25</v>
      </c>
      <c r="K27" s="64" t="s">
        <v>18</v>
      </c>
    </row>
    <row r="28" spans="1:20" ht="15.75" thickBot="1" x14ac:dyDescent="0.3">
      <c r="A28" s="1" t="s">
        <v>61</v>
      </c>
      <c r="I28" s="65" t="s">
        <v>58</v>
      </c>
      <c r="J28" s="66">
        <f>D10</f>
        <v>10</v>
      </c>
      <c r="K28" s="67" t="s">
        <v>18</v>
      </c>
    </row>
    <row r="30" spans="1:20" x14ac:dyDescent="0.25">
      <c r="A30" t="s">
        <v>62</v>
      </c>
      <c r="B30">
        <f>J26*F9/D12+D14/(J27*D12)</f>
        <v>9.07826086956522</v>
      </c>
      <c r="D30">
        <f>ROUND(B30,2)</f>
        <v>9.08</v>
      </c>
    </row>
    <row r="31" spans="1:20" x14ac:dyDescent="0.25">
      <c r="E31" s="35"/>
      <c r="F31" s="35"/>
      <c r="G31" s="35"/>
    </row>
    <row r="32" spans="1:20" x14ac:dyDescent="0.25">
      <c r="A32" s="1" t="s">
        <v>63</v>
      </c>
      <c r="E32" s="37"/>
      <c r="F32" s="38"/>
      <c r="T32" s="41">
        <f>(INT(R32/5)+1)*5</f>
        <v>5</v>
      </c>
    </row>
    <row r="33" spans="1:7" x14ac:dyDescent="0.25">
      <c r="E33" s="37"/>
      <c r="F33" s="38"/>
      <c r="G33" s="37"/>
    </row>
    <row r="34" spans="1:7" x14ac:dyDescent="0.25">
      <c r="A34" s="5" t="s">
        <v>1</v>
      </c>
      <c r="B34" s="5" t="s">
        <v>64</v>
      </c>
      <c r="C34" s="35"/>
      <c r="D34" s="35"/>
      <c r="E34" s="37"/>
      <c r="F34" s="38"/>
      <c r="G34" s="37"/>
    </row>
    <row r="35" spans="1:7" x14ac:dyDescent="0.25">
      <c r="A35" s="50">
        <v>1E-3</v>
      </c>
      <c r="B35" s="50">
        <f t="shared" ref="B35:B42" si="0">A35/$D$4*$B$30/$J$28</f>
        <v>4.5391304347826098E-3</v>
      </c>
      <c r="D35" s="36"/>
      <c r="E35" s="37"/>
      <c r="F35" s="38"/>
      <c r="G35" s="37"/>
    </row>
    <row r="36" spans="1:7" x14ac:dyDescent="0.25">
      <c r="A36" s="50">
        <v>0.01</v>
      </c>
      <c r="B36" s="50">
        <f t="shared" si="0"/>
        <v>4.5391304347826095E-2</v>
      </c>
      <c r="D36" s="36"/>
      <c r="E36" s="37"/>
      <c r="F36" s="38"/>
      <c r="G36" s="37"/>
    </row>
    <row r="37" spans="1:7" x14ac:dyDescent="0.25">
      <c r="A37" s="50">
        <v>0.02</v>
      </c>
      <c r="B37" s="50">
        <f t="shared" si="0"/>
        <v>9.0782608695652189E-2</v>
      </c>
      <c r="D37" s="36"/>
      <c r="E37" s="37"/>
      <c r="F37" s="38"/>
      <c r="G37" s="37"/>
    </row>
    <row r="38" spans="1:7" x14ac:dyDescent="0.25">
      <c r="A38" s="50">
        <v>0.03</v>
      </c>
      <c r="B38" s="50">
        <f t="shared" si="0"/>
        <v>0.13617391304347831</v>
      </c>
      <c r="D38" s="36"/>
      <c r="E38" s="37"/>
      <c r="F38" s="38"/>
      <c r="G38" s="37"/>
    </row>
    <row r="39" spans="1:7" x14ac:dyDescent="0.25">
      <c r="A39" s="50">
        <v>0.05</v>
      </c>
      <c r="B39" s="50">
        <f t="shared" si="0"/>
        <v>0.2269565217391305</v>
      </c>
      <c r="D39" s="36"/>
      <c r="E39" s="37"/>
      <c r="F39" s="38"/>
      <c r="G39" s="37"/>
    </row>
    <row r="40" spans="1:7" x14ac:dyDescent="0.25">
      <c r="A40" s="50">
        <v>7.0000000000000007E-2</v>
      </c>
      <c r="B40" s="50">
        <f t="shared" si="0"/>
        <v>0.31773913043478275</v>
      </c>
      <c r="D40" s="36"/>
      <c r="E40" s="37"/>
      <c r="F40" s="38"/>
      <c r="G40" s="37"/>
    </row>
    <row r="41" spans="1:7" x14ac:dyDescent="0.25">
      <c r="A41" s="50">
        <v>0.1</v>
      </c>
      <c r="B41" s="50">
        <f t="shared" si="0"/>
        <v>0.453913043478261</v>
      </c>
      <c r="D41" s="36"/>
      <c r="E41" s="37"/>
      <c r="F41" s="38"/>
      <c r="G41" s="37"/>
    </row>
    <row r="42" spans="1:7" x14ac:dyDescent="0.25">
      <c r="A42" s="50">
        <v>0.2</v>
      </c>
      <c r="B42" s="50">
        <f t="shared" si="0"/>
        <v>0.907826086956522</v>
      </c>
      <c r="D42" s="36"/>
      <c r="E42" s="37"/>
      <c r="F42" s="38"/>
      <c r="G42" s="37"/>
    </row>
    <row r="43" spans="1:7" x14ac:dyDescent="0.25">
      <c r="D43" s="36"/>
      <c r="E43" s="37"/>
      <c r="F43" s="38"/>
      <c r="G43" s="37"/>
    </row>
    <row r="44" spans="1:7" x14ac:dyDescent="0.25">
      <c r="D44" s="36"/>
      <c r="E44" s="37"/>
      <c r="F44" s="38"/>
      <c r="G44" s="37"/>
    </row>
    <row r="45" spans="1:7" x14ac:dyDescent="0.25">
      <c r="D45" s="36"/>
      <c r="E45" s="37"/>
      <c r="F45" s="38"/>
      <c r="G45" s="37"/>
    </row>
    <row r="46" spans="1:7" x14ac:dyDescent="0.25">
      <c r="D46" s="36"/>
    </row>
    <row r="47" spans="1:7" x14ac:dyDescent="0.25">
      <c r="D47" s="36"/>
    </row>
    <row r="48" spans="1:7" x14ac:dyDescent="0.25">
      <c r="D48" s="36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7259-BE29-46E1-A044-776F781A7DA4}">
  <dimension ref="A1:W33"/>
  <sheetViews>
    <sheetView topLeftCell="I1" zoomScaleNormal="100" workbookViewId="0">
      <selection sqref="A1:XFD1048576"/>
    </sheetView>
  </sheetViews>
  <sheetFormatPr defaultRowHeight="15" x14ac:dyDescent="0.25"/>
  <cols>
    <col min="8" max="8" width="12.140625" hidden="1" customWidth="1"/>
    <col min="9" max="9" width="3" bestFit="1" customWidth="1"/>
    <col min="10" max="11" width="12" bestFit="1" customWidth="1"/>
    <col min="17" max="17" width="12" bestFit="1" customWidth="1"/>
    <col min="18" max="18" width="12" customWidth="1"/>
  </cols>
  <sheetData>
    <row r="1" spans="1:23" x14ac:dyDescent="0.25">
      <c r="A1" t="s">
        <v>75</v>
      </c>
      <c r="C1">
        <v>106</v>
      </c>
    </row>
    <row r="2" spans="1:23" x14ac:dyDescent="0.25">
      <c r="C2">
        <v>3</v>
      </c>
      <c r="F2">
        <v>1.8759999999999999E-2</v>
      </c>
    </row>
    <row r="3" spans="1:23" x14ac:dyDescent="0.25">
      <c r="C3">
        <f>C1/C2</f>
        <v>35.333333333333336</v>
      </c>
    </row>
    <row r="4" spans="1:23" x14ac:dyDescent="0.25">
      <c r="B4" t="s">
        <v>35</v>
      </c>
      <c r="C4">
        <v>14</v>
      </c>
      <c r="N4">
        <f>53/(25*90)</f>
        <v>2.3555555555555555E-2</v>
      </c>
    </row>
    <row r="5" spans="1:23" x14ac:dyDescent="0.25">
      <c r="C5">
        <f>C4/100*C3</f>
        <v>4.9466666666666672</v>
      </c>
      <c r="N5">
        <f>N4/0.006</f>
        <v>3.9259259259259256</v>
      </c>
    </row>
    <row r="6" spans="1:23" x14ac:dyDescent="0.25">
      <c r="B6" t="s">
        <v>74</v>
      </c>
      <c r="C6">
        <f>C3+0.5*C5</f>
        <v>37.806666666666672</v>
      </c>
    </row>
    <row r="7" spans="1:23" x14ac:dyDescent="0.25">
      <c r="R7" s="68"/>
    </row>
    <row r="8" spans="1:23" x14ac:dyDescent="0.25">
      <c r="A8" t="s">
        <v>76</v>
      </c>
      <c r="B8">
        <v>10</v>
      </c>
      <c r="D8" s="35" t="s">
        <v>78</v>
      </c>
      <c r="E8" s="35" t="s">
        <v>77</v>
      </c>
      <c r="F8" s="35" t="s">
        <v>79</v>
      </c>
      <c r="G8" s="35" t="s">
        <v>80</v>
      </c>
      <c r="H8" s="35" t="s">
        <v>81</v>
      </c>
      <c r="I8" s="35" t="s">
        <v>83</v>
      </c>
      <c r="J8" s="35" t="s">
        <v>41</v>
      </c>
      <c r="K8" s="35" t="s">
        <v>54</v>
      </c>
      <c r="L8" s="35" t="s">
        <v>82</v>
      </c>
      <c r="M8" s="35" t="s">
        <v>72</v>
      </c>
      <c r="N8" s="35" t="s">
        <v>65</v>
      </c>
      <c r="O8" s="35" t="s">
        <v>84</v>
      </c>
      <c r="P8" s="35" t="s">
        <v>85</v>
      </c>
      <c r="Q8" s="35" t="s">
        <v>88</v>
      </c>
      <c r="R8" s="76" t="s">
        <v>89</v>
      </c>
      <c r="S8" s="35" t="s">
        <v>86</v>
      </c>
      <c r="T8" s="35" t="s">
        <v>87</v>
      </c>
      <c r="U8" s="35"/>
      <c r="W8" s="35"/>
    </row>
    <row r="9" spans="1:23" x14ac:dyDescent="0.25">
      <c r="D9">
        <v>0.2</v>
      </c>
      <c r="E9" s="36">
        <f t="shared" ref="E9:E19" si="0">$C$6/D9</f>
        <v>189.03333333333336</v>
      </c>
      <c r="F9">
        <f>(INT(E9/$B$8/5)+1)*5</f>
        <v>20</v>
      </c>
      <c r="G9" s="51">
        <f t="shared" ref="G9:G19" si="1">$C$6/($B$8*F9)</f>
        <v>0.18903333333333336</v>
      </c>
      <c r="H9">
        <f t="shared" ref="H9:H19" si="2">(INT(($B$8*G9/$F$2/5))+1)*5</f>
        <v>105</v>
      </c>
      <c r="I9">
        <f>F9+2*$B$8</f>
        <v>40</v>
      </c>
      <c r="J9" s="36">
        <f>F9*$B$8/I9</f>
        <v>5</v>
      </c>
      <c r="K9" s="79">
        <f t="shared" ref="K9:K19" si="3">0.042*G9/(J9^(1/6))</f>
        <v>6.0714536264791378E-3</v>
      </c>
      <c r="L9">
        <f t="shared" ref="L9:L19" si="4">(INT((H9-$C$5/(F9*($F$2-K9)))/5)+1)*5</f>
        <v>90</v>
      </c>
      <c r="M9" s="36">
        <f>L9/F9</f>
        <v>4.5</v>
      </c>
      <c r="N9">
        <f t="shared" ref="N9:N19" si="5">L9*F9</f>
        <v>1800</v>
      </c>
      <c r="O9">
        <v>1</v>
      </c>
      <c r="P9">
        <f>O9*N9</f>
        <v>1800</v>
      </c>
      <c r="Q9" s="51">
        <f>1-EXP(-($F$2*P9/($C$3+$C$5)))</f>
        <v>0.56756864339230118</v>
      </c>
      <c r="R9" s="69">
        <f>($C$3+$C$5)/P9</f>
        <v>2.2377777777777778E-2</v>
      </c>
      <c r="S9" s="37">
        <f>R9*P9/($C$3+$C$5)</f>
        <v>1</v>
      </c>
      <c r="T9" s="36">
        <f t="shared" ref="T9:T19" si="6">R9/K9</f>
        <v>3.6857364240060493</v>
      </c>
    </row>
    <row r="10" spans="1:23" x14ac:dyDescent="0.25">
      <c r="D10">
        <v>0.21</v>
      </c>
      <c r="E10" s="36">
        <f t="shared" si="0"/>
        <v>180.03174603174605</v>
      </c>
      <c r="F10">
        <f t="shared" ref="F10:F19" si="7">(INT(E10/$B$8/5)+1)*5</f>
        <v>20</v>
      </c>
      <c r="G10" s="51">
        <f t="shared" si="1"/>
        <v>0.18903333333333336</v>
      </c>
      <c r="H10">
        <f t="shared" si="2"/>
        <v>105</v>
      </c>
      <c r="I10">
        <f>F10+2*$B$8</f>
        <v>40</v>
      </c>
      <c r="J10" s="36">
        <f>F10*$B$8/I10</f>
        <v>5</v>
      </c>
      <c r="K10" s="79">
        <f t="shared" si="3"/>
        <v>6.0714536264791378E-3</v>
      </c>
      <c r="L10">
        <f t="shared" si="4"/>
        <v>90</v>
      </c>
      <c r="M10" s="36">
        <f t="shared" ref="M10:M19" si="8">L10/F10</f>
        <v>4.5</v>
      </c>
      <c r="N10">
        <f t="shared" si="5"/>
        <v>1800</v>
      </c>
      <c r="O10">
        <f>O9</f>
        <v>1</v>
      </c>
      <c r="P10">
        <f t="shared" ref="P10:P19" si="9">O10*N10</f>
        <v>1800</v>
      </c>
      <c r="Q10" s="51">
        <f t="shared" ref="Q10:Q19" si="10">1-EXP(-($F$2*P10/($C$3+$C$5)))</f>
        <v>0.56756864339230118</v>
      </c>
      <c r="R10" s="69">
        <f t="shared" ref="R10:R19" si="11">($C$3+$C$5)/P10</f>
        <v>2.2377777777777778E-2</v>
      </c>
      <c r="S10" s="37">
        <f t="shared" ref="S10:S19" si="12">R10*P10/($C$3+$C$5)</f>
        <v>1</v>
      </c>
      <c r="T10" s="36">
        <f t="shared" si="6"/>
        <v>3.6857364240060493</v>
      </c>
    </row>
    <row r="11" spans="1:23" x14ac:dyDescent="0.25">
      <c r="D11">
        <v>0.22</v>
      </c>
      <c r="E11" s="36">
        <f t="shared" si="0"/>
        <v>171.84848484848487</v>
      </c>
      <c r="F11">
        <f t="shared" si="7"/>
        <v>20</v>
      </c>
      <c r="G11" s="51">
        <f t="shared" si="1"/>
        <v>0.18903333333333336</v>
      </c>
      <c r="H11">
        <f t="shared" si="2"/>
        <v>105</v>
      </c>
      <c r="I11">
        <f>F11+2*$B$8</f>
        <v>40</v>
      </c>
      <c r="J11" s="36">
        <f>F11*$B$8/I11</f>
        <v>5</v>
      </c>
      <c r="K11" s="79">
        <f t="shared" si="3"/>
        <v>6.0714536264791378E-3</v>
      </c>
      <c r="L11">
        <f t="shared" si="4"/>
        <v>90</v>
      </c>
      <c r="M11" s="36">
        <f t="shared" si="8"/>
        <v>4.5</v>
      </c>
      <c r="N11">
        <f t="shared" si="5"/>
        <v>1800</v>
      </c>
      <c r="O11">
        <f t="shared" ref="O11:O19" si="13">O10</f>
        <v>1</v>
      </c>
      <c r="P11">
        <f t="shared" si="9"/>
        <v>1800</v>
      </c>
      <c r="Q11" s="51">
        <f t="shared" si="10"/>
        <v>0.56756864339230118</v>
      </c>
      <c r="R11" s="69">
        <f t="shared" si="11"/>
        <v>2.2377777777777778E-2</v>
      </c>
      <c r="S11" s="37">
        <f t="shared" si="12"/>
        <v>1</v>
      </c>
      <c r="T11" s="36">
        <f t="shared" si="6"/>
        <v>3.6857364240060493</v>
      </c>
    </row>
    <row r="12" spans="1:23" x14ac:dyDescent="0.25">
      <c r="D12">
        <v>0.23</v>
      </c>
      <c r="E12" s="36">
        <f>$C$6/D12</f>
        <v>164.37681159420291</v>
      </c>
      <c r="F12">
        <v>24</v>
      </c>
      <c r="G12" s="51">
        <f>$C$6/($B$8*F12)</f>
        <v>0.15752777777777779</v>
      </c>
      <c r="H12">
        <f>(INT(($B$8*G12/$F$2/5))+1)*5</f>
        <v>85</v>
      </c>
      <c r="I12">
        <f>F12+2*$B$8</f>
        <v>44</v>
      </c>
      <c r="J12" s="36">
        <f>F12*$B$8/I12</f>
        <v>5.4545454545454541</v>
      </c>
      <c r="K12" s="79">
        <f t="shared" si="3"/>
        <v>4.986701158280901E-3</v>
      </c>
      <c r="L12">
        <v>130</v>
      </c>
      <c r="M12" s="36">
        <f t="shared" si="8"/>
        <v>5.416666666666667</v>
      </c>
      <c r="N12">
        <f t="shared" si="5"/>
        <v>3120</v>
      </c>
      <c r="O12">
        <f t="shared" si="13"/>
        <v>1</v>
      </c>
      <c r="P12">
        <f t="shared" si="9"/>
        <v>3120</v>
      </c>
      <c r="Q12" s="51">
        <f t="shared" si="10"/>
        <v>0.76615768126022987</v>
      </c>
      <c r="R12" s="69">
        <f t="shared" si="11"/>
        <v>1.2910256410256411E-2</v>
      </c>
      <c r="S12" s="37">
        <f t="shared" si="12"/>
        <v>1</v>
      </c>
      <c r="T12" s="36">
        <f t="shared" si="6"/>
        <v>2.5889372554073504</v>
      </c>
    </row>
    <row r="13" spans="1:23" s="68" customFormat="1" x14ac:dyDescent="0.25">
      <c r="D13" s="70">
        <v>0.24</v>
      </c>
      <c r="E13" s="71">
        <f t="shared" si="0"/>
        <v>157.5277777777778</v>
      </c>
      <c r="F13" s="70">
        <f t="shared" si="7"/>
        <v>20</v>
      </c>
      <c r="G13" s="72">
        <f t="shared" si="1"/>
        <v>0.18903333333333336</v>
      </c>
      <c r="H13" s="70">
        <f t="shared" si="2"/>
        <v>105</v>
      </c>
      <c r="I13" s="70">
        <f t="shared" ref="I13:I19" si="14">F13+2*$B$8</f>
        <v>40</v>
      </c>
      <c r="J13" s="71">
        <f t="shared" ref="J13:J19" si="15">F13*$B$8/I13</f>
        <v>5</v>
      </c>
      <c r="K13" s="80">
        <f t="shared" si="3"/>
        <v>6.0714536264791378E-3</v>
      </c>
      <c r="L13" s="70">
        <f t="shared" si="4"/>
        <v>90</v>
      </c>
      <c r="M13" s="36">
        <f t="shared" si="8"/>
        <v>4.5</v>
      </c>
      <c r="N13" s="68">
        <f t="shared" si="5"/>
        <v>1800</v>
      </c>
      <c r="O13" s="68">
        <f t="shared" si="13"/>
        <v>1</v>
      </c>
      <c r="P13" s="68">
        <f t="shared" si="9"/>
        <v>1800</v>
      </c>
      <c r="Q13" s="69">
        <f t="shared" si="10"/>
        <v>0.56756864339230118</v>
      </c>
      <c r="R13" s="69">
        <f t="shared" si="11"/>
        <v>2.2377777777777778E-2</v>
      </c>
      <c r="S13" s="77">
        <f t="shared" si="12"/>
        <v>1</v>
      </c>
      <c r="T13" s="71">
        <f t="shared" si="6"/>
        <v>3.6857364240060493</v>
      </c>
    </row>
    <row r="14" spans="1:23" x14ac:dyDescent="0.25">
      <c r="D14" s="73">
        <v>0.25</v>
      </c>
      <c r="E14" s="74">
        <f t="shared" si="0"/>
        <v>151.22666666666669</v>
      </c>
      <c r="F14" s="73">
        <f t="shared" si="7"/>
        <v>20</v>
      </c>
      <c r="G14" s="75">
        <f t="shared" si="1"/>
        <v>0.18903333333333336</v>
      </c>
      <c r="H14" s="73">
        <f t="shared" si="2"/>
        <v>105</v>
      </c>
      <c r="I14" s="73">
        <f t="shared" si="14"/>
        <v>40</v>
      </c>
      <c r="J14" s="74">
        <f t="shared" si="15"/>
        <v>5</v>
      </c>
      <c r="K14" s="81">
        <f t="shared" si="3"/>
        <v>6.0714536264791378E-3</v>
      </c>
      <c r="L14" s="73">
        <f t="shared" si="4"/>
        <v>90</v>
      </c>
      <c r="M14" s="36">
        <f t="shared" si="8"/>
        <v>4.5</v>
      </c>
      <c r="N14">
        <f t="shared" si="5"/>
        <v>1800</v>
      </c>
      <c r="O14">
        <f t="shared" si="13"/>
        <v>1</v>
      </c>
      <c r="P14">
        <f t="shared" si="9"/>
        <v>1800</v>
      </c>
      <c r="Q14" s="51">
        <f t="shared" si="10"/>
        <v>0.56756864339230118</v>
      </c>
      <c r="R14" s="69">
        <f t="shared" si="11"/>
        <v>2.2377777777777778E-2</v>
      </c>
      <c r="S14" s="78">
        <f t="shared" si="12"/>
        <v>1</v>
      </c>
      <c r="T14" s="74">
        <f t="shared" si="6"/>
        <v>3.6857364240060493</v>
      </c>
    </row>
    <row r="15" spans="1:23" x14ac:dyDescent="0.25">
      <c r="D15" s="73">
        <v>0.26</v>
      </c>
      <c r="E15" s="74">
        <f t="shared" si="0"/>
        <v>145.41025641025644</v>
      </c>
      <c r="F15" s="73">
        <f t="shared" si="7"/>
        <v>15</v>
      </c>
      <c r="G15" s="75">
        <f t="shared" si="1"/>
        <v>0.25204444444444446</v>
      </c>
      <c r="H15" s="73">
        <f t="shared" si="2"/>
        <v>135</v>
      </c>
      <c r="I15" s="73">
        <f t="shared" si="14"/>
        <v>35</v>
      </c>
      <c r="J15" s="74">
        <f t="shared" si="15"/>
        <v>4.2857142857142856</v>
      </c>
      <c r="K15" s="81">
        <f t="shared" si="3"/>
        <v>8.3059481773264544E-3</v>
      </c>
      <c r="L15" s="73">
        <f t="shared" si="4"/>
        <v>105</v>
      </c>
      <c r="M15" s="36">
        <f t="shared" si="8"/>
        <v>7</v>
      </c>
      <c r="N15">
        <f t="shared" si="5"/>
        <v>1575</v>
      </c>
      <c r="O15">
        <f t="shared" si="13"/>
        <v>1</v>
      </c>
      <c r="P15">
        <f t="shared" si="9"/>
        <v>1575</v>
      </c>
      <c r="Q15" s="51">
        <f t="shared" si="10"/>
        <v>0.51979405666022171</v>
      </c>
      <c r="R15" s="69">
        <f t="shared" si="11"/>
        <v>2.5574603174603177E-2</v>
      </c>
      <c r="S15" s="78">
        <f t="shared" si="12"/>
        <v>1</v>
      </c>
      <c r="T15" s="74">
        <f t="shared" si="6"/>
        <v>3.0790708813253413</v>
      </c>
    </row>
    <row r="16" spans="1:23" x14ac:dyDescent="0.25">
      <c r="D16" s="73">
        <v>0.27</v>
      </c>
      <c r="E16" s="74">
        <f t="shared" si="0"/>
        <v>140.02469135802471</v>
      </c>
      <c r="F16" s="73">
        <f t="shared" si="7"/>
        <v>15</v>
      </c>
      <c r="G16" s="75">
        <f t="shared" si="1"/>
        <v>0.25204444444444446</v>
      </c>
      <c r="H16" s="73">
        <f t="shared" si="2"/>
        <v>135</v>
      </c>
      <c r="I16" s="73">
        <f t="shared" si="14"/>
        <v>35</v>
      </c>
      <c r="J16" s="74">
        <f t="shared" si="15"/>
        <v>4.2857142857142856</v>
      </c>
      <c r="K16" s="81">
        <f t="shared" si="3"/>
        <v>8.3059481773264544E-3</v>
      </c>
      <c r="L16" s="73">
        <f t="shared" si="4"/>
        <v>105</v>
      </c>
      <c r="M16" s="36">
        <f t="shared" si="8"/>
        <v>7</v>
      </c>
      <c r="N16">
        <f t="shared" si="5"/>
        <v>1575</v>
      </c>
      <c r="O16">
        <f t="shared" si="13"/>
        <v>1</v>
      </c>
      <c r="P16">
        <f t="shared" si="9"/>
        <v>1575</v>
      </c>
      <c r="Q16" s="51">
        <f t="shared" si="10"/>
        <v>0.51979405666022171</v>
      </c>
      <c r="R16" s="69">
        <f t="shared" si="11"/>
        <v>2.5574603174603177E-2</v>
      </c>
      <c r="S16" s="78">
        <f t="shared" si="12"/>
        <v>1</v>
      </c>
      <c r="T16" s="74">
        <f t="shared" si="6"/>
        <v>3.0790708813253413</v>
      </c>
    </row>
    <row r="17" spans="4:20" x14ac:dyDescent="0.25">
      <c r="D17" s="73">
        <v>0.28000000000000003</v>
      </c>
      <c r="E17" s="74">
        <f t="shared" si="0"/>
        <v>135.02380952380952</v>
      </c>
      <c r="F17" s="73">
        <f t="shared" si="7"/>
        <v>15</v>
      </c>
      <c r="G17" s="75">
        <f t="shared" si="1"/>
        <v>0.25204444444444446</v>
      </c>
      <c r="H17" s="73">
        <f t="shared" si="2"/>
        <v>135</v>
      </c>
      <c r="I17" s="73">
        <f t="shared" si="14"/>
        <v>35</v>
      </c>
      <c r="J17" s="74">
        <f t="shared" si="15"/>
        <v>4.2857142857142856</v>
      </c>
      <c r="K17" s="81">
        <f t="shared" si="3"/>
        <v>8.3059481773264544E-3</v>
      </c>
      <c r="L17" s="73">
        <f t="shared" si="4"/>
        <v>105</v>
      </c>
      <c r="M17" s="36">
        <f t="shared" si="8"/>
        <v>7</v>
      </c>
      <c r="N17">
        <f t="shared" si="5"/>
        <v>1575</v>
      </c>
      <c r="O17">
        <f t="shared" si="13"/>
        <v>1</v>
      </c>
      <c r="P17">
        <f t="shared" si="9"/>
        <v>1575</v>
      </c>
      <c r="Q17" s="51">
        <f t="shared" si="10"/>
        <v>0.51979405666022171</v>
      </c>
      <c r="R17" s="69">
        <f t="shared" si="11"/>
        <v>2.5574603174603177E-2</v>
      </c>
      <c r="S17" s="78">
        <f t="shared" si="12"/>
        <v>1</v>
      </c>
      <c r="T17" s="74">
        <f t="shared" si="6"/>
        <v>3.0790708813253413</v>
      </c>
    </row>
    <row r="18" spans="4:20" s="68" customFormat="1" x14ac:dyDescent="0.25">
      <c r="D18" s="70">
        <v>0.28999999999999998</v>
      </c>
      <c r="E18" s="71">
        <f t="shared" si="0"/>
        <v>130.36781609195404</v>
      </c>
      <c r="F18" s="70">
        <f t="shared" si="7"/>
        <v>15</v>
      </c>
      <c r="G18" s="72">
        <f t="shared" si="1"/>
        <v>0.25204444444444446</v>
      </c>
      <c r="H18" s="70">
        <f t="shared" si="2"/>
        <v>135</v>
      </c>
      <c r="I18" s="70">
        <f t="shared" si="14"/>
        <v>35</v>
      </c>
      <c r="J18" s="71">
        <f t="shared" si="15"/>
        <v>4.2857142857142856</v>
      </c>
      <c r="K18" s="80">
        <f t="shared" si="3"/>
        <v>8.3059481773264544E-3</v>
      </c>
      <c r="L18" s="70">
        <f t="shared" si="4"/>
        <v>105</v>
      </c>
      <c r="M18" s="36">
        <f t="shared" si="8"/>
        <v>7</v>
      </c>
      <c r="N18" s="68">
        <f t="shared" si="5"/>
        <v>1575</v>
      </c>
      <c r="O18" s="68">
        <f t="shared" si="13"/>
        <v>1</v>
      </c>
      <c r="P18" s="68">
        <f t="shared" si="9"/>
        <v>1575</v>
      </c>
      <c r="Q18" s="69">
        <f t="shared" si="10"/>
        <v>0.51979405666022171</v>
      </c>
      <c r="R18" s="69">
        <f t="shared" si="11"/>
        <v>2.5574603174603177E-2</v>
      </c>
      <c r="S18" s="77">
        <f t="shared" si="12"/>
        <v>1</v>
      </c>
      <c r="T18" s="71">
        <f t="shared" si="6"/>
        <v>3.0790708813253413</v>
      </c>
    </row>
    <row r="19" spans="4:20" x14ac:dyDescent="0.25">
      <c r="D19">
        <v>0.3</v>
      </c>
      <c r="E19" s="36">
        <f t="shared" si="0"/>
        <v>126.02222222222224</v>
      </c>
      <c r="F19">
        <f t="shared" si="7"/>
        <v>15</v>
      </c>
      <c r="G19" s="51">
        <f t="shared" si="1"/>
        <v>0.25204444444444446</v>
      </c>
      <c r="H19">
        <f t="shared" si="2"/>
        <v>135</v>
      </c>
      <c r="I19">
        <f t="shared" si="14"/>
        <v>35</v>
      </c>
      <c r="J19" s="36">
        <f t="shared" si="15"/>
        <v>4.2857142857142856</v>
      </c>
      <c r="K19" s="79">
        <f t="shared" si="3"/>
        <v>8.3059481773264544E-3</v>
      </c>
      <c r="L19">
        <f t="shared" si="4"/>
        <v>105</v>
      </c>
      <c r="M19" s="36">
        <f t="shared" si="8"/>
        <v>7</v>
      </c>
      <c r="N19">
        <f t="shared" si="5"/>
        <v>1575</v>
      </c>
      <c r="O19">
        <f t="shared" si="13"/>
        <v>1</v>
      </c>
      <c r="P19">
        <f t="shared" si="9"/>
        <v>1575</v>
      </c>
      <c r="Q19" s="51">
        <f t="shared" si="10"/>
        <v>0.51979405666022171</v>
      </c>
      <c r="R19" s="69">
        <f t="shared" si="11"/>
        <v>2.5574603174603177E-2</v>
      </c>
      <c r="S19" s="37">
        <f t="shared" si="12"/>
        <v>1</v>
      </c>
      <c r="T19" s="36">
        <f t="shared" si="6"/>
        <v>3.0790708813253413</v>
      </c>
    </row>
    <row r="20" spans="4:20" x14ac:dyDescent="0.25">
      <c r="R20" s="68"/>
    </row>
    <row r="23" spans="4:20" x14ac:dyDescent="0.25">
      <c r="E23" s="36"/>
      <c r="G23" s="51"/>
    </row>
    <row r="24" spans="4:20" x14ac:dyDescent="0.25">
      <c r="E24" s="36"/>
      <c r="G24" s="51"/>
      <c r="R24" s="51"/>
    </row>
    <row r="25" spans="4:20" x14ac:dyDescent="0.25">
      <c r="E25" s="36"/>
      <c r="G25" s="51"/>
      <c r="R25" s="51"/>
    </row>
    <row r="26" spans="4:20" x14ac:dyDescent="0.25">
      <c r="E26" s="36"/>
      <c r="G26" s="51"/>
      <c r="R26" s="51"/>
    </row>
    <row r="27" spans="4:20" x14ac:dyDescent="0.25">
      <c r="E27" s="36"/>
      <c r="G27" s="51"/>
    </row>
    <row r="28" spans="4:20" x14ac:dyDescent="0.25">
      <c r="E28" s="36"/>
      <c r="G28" s="51"/>
    </row>
    <row r="29" spans="4:20" x14ac:dyDescent="0.25">
      <c r="E29" s="36"/>
      <c r="G29" s="51"/>
    </row>
    <row r="30" spans="4:20" x14ac:dyDescent="0.25">
      <c r="E30" s="36"/>
      <c r="G30" s="51"/>
    </row>
    <row r="31" spans="4:20" x14ac:dyDescent="0.25">
      <c r="E31" s="36"/>
      <c r="G31" s="51"/>
    </row>
    <row r="32" spans="4:20" x14ac:dyDescent="0.25">
      <c r="E32" s="36"/>
      <c r="G32" s="51"/>
    </row>
    <row r="33" spans="5:7" x14ac:dyDescent="0.25">
      <c r="E33" s="36"/>
      <c r="G33" s="5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EAEB-6751-4110-A8B1-1E512034F7F2}">
  <dimension ref="A1:V54"/>
  <sheetViews>
    <sheetView workbookViewId="0">
      <selection activeCell="F13" sqref="F13"/>
    </sheetView>
  </sheetViews>
  <sheetFormatPr defaultRowHeight="15" x14ac:dyDescent="0.25"/>
  <cols>
    <col min="8" max="11" width="0" hidden="1" customWidth="1"/>
  </cols>
  <sheetData>
    <row r="1" spans="1:22" x14ac:dyDescent="0.25">
      <c r="A1" t="s">
        <v>75</v>
      </c>
      <c r="C1">
        <v>106</v>
      </c>
    </row>
    <row r="2" spans="1:22" x14ac:dyDescent="0.25">
      <c r="C2">
        <v>2</v>
      </c>
      <c r="F2">
        <v>1.8759999999999999E-2</v>
      </c>
    </row>
    <row r="3" spans="1:22" x14ac:dyDescent="0.25">
      <c r="C3">
        <f>C1/C2</f>
        <v>53</v>
      </c>
    </row>
    <row r="4" spans="1:22" x14ac:dyDescent="0.25">
      <c r="B4" t="s">
        <v>35</v>
      </c>
      <c r="C4">
        <v>14</v>
      </c>
      <c r="N4">
        <f>53/(25*90)</f>
        <v>2.3555555555555555E-2</v>
      </c>
    </row>
    <row r="5" spans="1:22" x14ac:dyDescent="0.25">
      <c r="C5">
        <f>C4/100*C3</f>
        <v>7.4200000000000008</v>
      </c>
      <c r="N5">
        <f>N4/0.006</f>
        <v>3.9259259259259256</v>
      </c>
    </row>
    <row r="6" spans="1:22" x14ac:dyDescent="0.25">
      <c r="B6" t="s">
        <v>74</v>
      </c>
      <c r="C6">
        <f>C3+0.5*C5</f>
        <v>56.71</v>
      </c>
    </row>
    <row r="7" spans="1:22" x14ac:dyDescent="0.25">
      <c r="M7" t="s">
        <v>93</v>
      </c>
      <c r="S7" s="68"/>
    </row>
    <row r="8" spans="1:22" x14ac:dyDescent="0.25">
      <c r="A8" t="s">
        <v>76</v>
      </c>
      <c r="B8">
        <v>10</v>
      </c>
      <c r="D8" s="35" t="s">
        <v>78</v>
      </c>
      <c r="E8" s="35" t="s">
        <v>90</v>
      </c>
      <c r="F8" s="35" t="s">
        <v>79</v>
      </c>
      <c r="G8" s="35" t="s">
        <v>89</v>
      </c>
      <c r="H8" s="35" t="s">
        <v>80</v>
      </c>
      <c r="I8" s="35" t="s">
        <v>81</v>
      </c>
      <c r="J8" s="35" t="s">
        <v>83</v>
      </c>
      <c r="K8" s="35" t="s">
        <v>41</v>
      </c>
      <c r="L8" s="35" t="s">
        <v>54</v>
      </c>
      <c r="M8" s="35" t="s">
        <v>91</v>
      </c>
      <c r="N8" s="35" t="s">
        <v>92</v>
      </c>
      <c r="O8" s="35"/>
      <c r="P8" s="35"/>
      <c r="Q8" s="35"/>
      <c r="R8" s="35"/>
      <c r="S8" s="76"/>
      <c r="T8" s="35"/>
      <c r="U8" s="35"/>
      <c r="V8" s="35"/>
    </row>
    <row r="9" spans="1:22" x14ac:dyDescent="0.25">
      <c r="D9">
        <v>0.2</v>
      </c>
      <c r="E9" s="36">
        <f t="shared" ref="E9:E19" si="0">$C$6/D9</f>
        <v>283.55</v>
      </c>
      <c r="F9" s="36">
        <f t="shared" ref="F9:F19" si="1">E9/$B$8</f>
        <v>28.355</v>
      </c>
      <c r="G9" s="37">
        <f>$B$8*D9/N9</f>
        <v>8.1479885057471266E-3</v>
      </c>
      <c r="H9" s="51">
        <f>$C$6/($B$8*F9)</f>
        <v>0.19999999999999998</v>
      </c>
      <c r="I9">
        <f>$B$8*H9/$F$2</f>
        <v>106.60980810234541</v>
      </c>
      <c r="J9">
        <f>F9+2*$B$8</f>
        <v>48.355000000000004</v>
      </c>
      <c r="K9" s="36">
        <f>F9*$B$8/J9</f>
        <v>5.8639230689690827</v>
      </c>
      <c r="L9" s="79">
        <f>0.042*H9/(K9^(1/6))</f>
        <v>6.2552966256917229E-3</v>
      </c>
      <c r="M9">
        <f>MROUND(LN(1/(1-0.9))*($C$3+$C$5*0.5)/$F$2,5)</f>
        <v>6960</v>
      </c>
      <c r="N9" s="36">
        <f>M9/F9</f>
        <v>245.45935461117969</v>
      </c>
      <c r="R9" s="51"/>
      <c r="S9" s="69"/>
      <c r="T9" s="37"/>
      <c r="U9" s="36"/>
    </row>
    <row r="10" spans="1:22" x14ac:dyDescent="0.25">
      <c r="D10">
        <v>0.21</v>
      </c>
      <c r="E10" s="36">
        <f t="shared" si="0"/>
        <v>270.04761904761904</v>
      </c>
      <c r="F10" s="36">
        <f t="shared" si="1"/>
        <v>27.004761904761903</v>
      </c>
      <c r="G10" s="37">
        <f t="shared" ref="G10:G19" si="2">$B$8*D10/N10</f>
        <v>8.1479885057471266E-3</v>
      </c>
      <c r="H10" s="51">
        <f>$C$6/($B$8*F10)</f>
        <v>0.21000000000000002</v>
      </c>
      <c r="I10">
        <f t="shared" ref="I10:I19" si="3">$B$8*H10/$F$2</f>
        <v>111.9402985074627</v>
      </c>
      <c r="J10">
        <f>F10+2*$B$8</f>
        <v>47.004761904761907</v>
      </c>
      <c r="K10" s="36">
        <f>F10*$B$8/J10</f>
        <v>5.745111944078614</v>
      </c>
      <c r="L10" s="79">
        <f t="shared" ref="L10:L19" si="4">0.042*H10/(K10^(1/6))</f>
        <v>6.590507155638946E-3</v>
      </c>
      <c r="M10">
        <f t="shared" ref="M10:M19" si="5">MROUND(LN(1/(1-0.9))*($C$3+$C$5*0.5)/$F$2,5)</f>
        <v>6960</v>
      </c>
      <c r="N10" s="36">
        <f>M10/F10</f>
        <v>257.73232234173867</v>
      </c>
      <c r="R10" s="51"/>
      <c r="S10" s="69"/>
      <c r="T10" s="37"/>
      <c r="U10" s="36"/>
    </row>
    <row r="11" spans="1:22" x14ac:dyDescent="0.25">
      <c r="D11">
        <v>0.22</v>
      </c>
      <c r="E11" s="36">
        <f t="shared" si="0"/>
        <v>257.77272727272725</v>
      </c>
      <c r="F11" s="36">
        <f t="shared" si="1"/>
        <v>25.777272727272724</v>
      </c>
      <c r="G11" s="37">
        <f t="shared" si="2"/>
        <v>8.1479885057471266E-3</v>
      </c>
      <c r="H11" s="51">
        <f>$C$6/($B$8*F11)</f>
        <v>0.22000000000000003</v>
      </c>
      <c r="I11">
        <f t="shared" si="3"/>
        <v>117.27078891257997</v>
      </c>
      <c r="J11">
        <f>F11+2*$B$8</f>
        <v>45.777272727272724</v>
      </c>
      <c r="K11" s="36">
        <f>F11*$B$8/J11</f>
        <v>5.6310197597060867</v>
      </c>
      <c r="L11" s="79">
        <f t="shared" si="4"/>
        <v>6.9274616356477733E-3</v>
      </c>
      <c r="M11">
        <f t="shared" si="5"/>
        <v>6960</v>
      </c>
      <c r="N11" s="36">
        <f>M11/F11</f>
        <v>270.00529007229767</v>
      </c>
      <c r="R11" s="51"/>
      <c r="S11" s="69"/>
      <c r="T11" s="37"/>
      <c r="U11" s="36"/>
    </row>
    <row r="12" spans="1:22" x14ac:dyDescent="0.25">
      <c r="D12">
        <v>0.23</v>
      </c>
      <c r="E12" s="36">
        <f>$C$6/D12</f>
        <v>246.56521739130434</v>
      </c>
      <c r="F12" s="36">
        <f t="shared" si="1"/>
        <v>24.656521739130433</v>
      </c>
      <c r="G12" s="37">
        <f t="shared" si="2"/>
        <v>8.1479885057471266E-3</v>
      </c>
      <c r="H12" s="51">
        <f>$C$6/($B$8*F12)</f>
        <v>0.23000000000000004</v>
      </c>
      <c r="I12">
        <f t="shared" si="3"/>
        <v>122.60127931769725</v>
      </c>
      <c r="J12">
        <f>F12+2*$B$8</f>
        <v>44.656521739130433</v>
      </c>
      <c r="K12" s="36">
        <f>F12*$B$8/J12</f>
        <v>5.5213708499659226</v>
      </c>
      <c r="L12" s="79">
        <f t="shared" si="4"/>
        <v>7.2661212399255789E-3</v>
      </c>
      <c r="M12">
        <f t="shared" si="5"/>
        <v>6960</v>
      </c>
      <c r="N12" s="36">
        <f>M12/F12</f>
        <v>282.27825780285667</v>
      </c>
      <c r="R12" s="51"/>
      <c r="S12" s="69"/>
      <c r="T12" s="37"/>
      <c r="U12" s="36"/>
    </row>
    <row r="13" spans="1:22" x14ac:dyDescent="0.25">
      <c r="A13" s="68"/>
      <c r="B13" s="68"/>
      <c r="C13" s="68"/>
      <c r="D13" s="70">
        <v>0.24</v>
      </c>
      <c r="E13" s="71">
        <f t="shared" si="0"/>
        <v>236.29166666666669</v>
      </c>
      <c r="F13" s="36">
        <v>24</v>
      </c>
      <c r="G13" s="37">
        <f t="shared" si="2"/>
        <v>8.2758620689655175E-3</v>
      </c>
      <c r="H13" s="51">
        <f>$C$6/($B$8*F13)</f>
        <v>0.23629166666666668</v>
      </c>
      <c r="I13">
        <f t="shared" si="3"/>
        <v>125.95504619758354</v>
      </c>
      <c r="J13" s="70">
        <f>F13+2*$B$8</f>
        <v>44</v>
      </c>
      <c r="K13" s="71">
        <f>F13*$B$8/J13</f>
        <v>5.4545454545454541</v>
      </c>
      <c r="L13" s="80">
        <f t="shared" si="4"/>
        <v>7.4800517374213511E-3</v>
      </c>
      <c r="M13">
        <f t="shared" si="5"/>
        <v>6960</v>
      </c>
      <c r="N13" s="36">
        <f>M13/F13</f>
        <v>290</v>
      </c>
      <c r="O13" s="68"/>
      <c r="P13" s="68"/>
      <c r="Q13" s="68"/>
      <c r="R13" s="69"/>
      <c r="S13" s="69"/>
      <c r="T13" s="77"/>
      <c r="U13" s="71"/>
      <c r="V13" s="68"/>
    </row>
    <row r="14" spans="1:22" x14ac:dyDescent="0.25">
      <c r="D14" s="73">
        <v>0.25</v>
      </c>
      <c r="E14" s="74">
        <f t="shared" si="0"/>
        <v>226.84</v>
      </c>
      <c r="F14" s="36">
        <f t="shared" si="1"/>
        <v>22.684000000000001</v>
      </c>
      <c r="G14" s="37">
        <f t="shared" si="2"/>
        <v>8.1479885057471266E-3</v>
      </c>
      <c r="H14" s="51">
        <f>$C$6/($B$8*F14)</f>
        <v>0.25</v>
      </c>
      <c r="I14">
        <f t="shared" si="3"/>
        <v>133.26226012793177</v>
      </c>
      <c r="J14" s="73">
        <f>F14+2*$B$8</f>
        <v>42.683999999999997</v>
      </c>
      <c r="K14" s="74">
        <f>F14*$B$8/J14</f>
        <v>5.3144035235685507</v>
      </c>
      <c r="L14" s="81">
        <f t="shared" si="4"/>
        <v>7.9484090867382312E-3</v>
      </c>
      <c r="M14">
        <f t="shared" si="5"/>
        <v>6960</v>
      </c>
      <c r="N14" s="36">
        <f>M14/F14</f>
        <v>306.82419326397462</v>
      </c>
      <c r="R14" s="51"/>
      <c r="S14" s="69"/>
      <c r="T14" s="78"/>
      <c r="U14" s="74"/>
    </row>
    <row r="15" spans="1:22" x14ac:dyDescent="0.25">
      <c r="D15" s="73">
        <v>0.26</v>
      </c>
      <c r="E15" s="74">
        <f t="shared" si="0"/>
        <v>218.11538461538461</v>
      </c>
      <c r="F15" s="36">
        <f t="shared" si="1"/>
        <v>21.811538461538461</v>
      </c>
      <c r="G15" s="37">
        <f t="shared" si="2"/>
        <v>8.1479885057471266E-3</v>
      </c>
      <c r="H15" s="51">
        <f>$C$6/($B$8*F15)</f>
        <v>0.26</v>
      </c>
      <c r="I15">
        <f t="shared" si="3"/>
        <v>138.59275053304904</v>
      </c>
      <c r="J15" s="73">
        <f>F15+2*$B$8</f>
        <v>41.811538461538461</v>
      </c>
      <c r="K15" s="74">
        <f>F15*$B$8/J15</f>
        <v>5.2166314046545859</v>
      </c>
      <c r="L15" s="81">
        <f t="shared" si="4"/>
        <v>8.2919679178376643E-3</v>
      </c>
      <c r="M15">
        <f t="shared" si="5"/>
        <v>6960</v>
      </c>
      <c r="N15" s="36">
        <f>M15/F15</f>
        <v>319.09716099453357</v>
      </c>
      <c r="R15" s="51"/>
      <c r="S15" s="69"/>
      <c r="T15" s="78"/>
      <c r="U15" s="74"/>
    </row>
    <row r="16" spans="1:22" x14ac:dyDescent="0.25">
      <c r="D16" s="73">
        <v>0.27</v>
      </c>
      <c r="E16" s="74">
        <f t="shared" si="0"/>
        <v>210.03703703703704</v>
      </c>
      <c r="F16" s="36">
        <f t="shared" si="1"/>
        <v>21.003703703703703</v>
      </c>
      <c r="G16" s="37">
        <f t="shared" si="2"/>
        <v>8.1479885057471266E-3</v>
      </c>
      <c r="H16" s="51">
        <f>$C$6/($B$8*F16)</f>
        <v>0.27</v>
      </c>
      <c r="I16">
        <f t="shared" si="3"/>
        <v>143.92324093816632</v>
      </c>
      <c r="J16" s="73">
        <f>F16+2*$B$8</f>
        <v>41.003703703703707</v>
      </c>
      <c r="K16" s="74">
        <f>F16*$B$8/J16</f>
        <v>5.1223918345226265</v>
      </c>
      <c r="L16" s="81">
        <f t="shared" si="4"/>
        <v>8.6370928523662738E-3</v>
      </c>
      <c r="M16">
        <f t="shared" si="5"/>
        <v>6960</v>
      </c>
      <c r="N16" s="36">
        <f>M16/F16</f>
        <v>331.37012872509257</v>
      </c>
      <c r="R16" s="51"/>
      <c r="S16" s="69"/>
      <c r="T16" s="78"/>
      <c r="U16" s="74"/>
    </row>
    <row r="17" spans="1:22" x14ac:dyDescent="0.25">
      <c r="D17" s="73">
        <v>0.28000000000000003</v>
      </c>
      <c r="E17" s="74">
        <f t="shared" si="0"/>
        <v>202.53571428571428</v>
      </c>
      <c r="F17" s="36">
        <f t="shared" si="1"/>
        <v>20.253571428571426</v>
      </c>
      <c r="G17" s="37">
        <f t="shared" si="2"/>
        <v>8.1479885057471266E-3</v>
      </c>
      <c r="H17" s="51">
        <f>$C$6/($B$8*F17)</f>
        <v>0.28000000000000003</v>
      </c>
      <c r="I17">
        <f t="shared" si="3"/>
        <v>149.25373134328362</v>
      </c>
      <c r="J17" s="73">
        <f>F17+2*$B$8</f>
        <v>40.253571428571426</v>
      </c>
      <c r="K17" s="74">
        <f>F17*$B$8/J17</f>
        <v>5.0314967616005681</v>
      </c>
      <c r="L17" s="81">
        <f t="shared" si="4"/>
        <v>8.9837527089810434E-3</v>
      </c>
      <c r="M17">
        <f t="shared" si="5"/>
        <v>6960</v>
      </c>
      <c r="N17" s="36">
        <f>M17/F17</f>
        <v>343.64309645565157</v>
      </c>
      <c r="R17" s="51"/>
      <c r="S17" s="69"/>
      <c r="T17" s="78"/>
      <c r="U17" s="74"/>
    </row>
    <row r="18" spans="1:22" x14ac:dyDescent="0.25">
      <c r="A18" s="68"/>
      <c r="B18" s="68"/>
      <c r="C18" s="68"/>
      <c r="D18" s="70">
        <v>0.28999999999999998</v>
      </c>
      <c r="E18" s="71">
        <f t="shared" si="0"/>
        <v>195.55172413793105</v>
      </c>
      <c r="F18" s="36">
        <f t="shared" si="1"/>
        <v>19.555172413793105</v>
      </c>
      <c r="G18" s="37">
        <f t="shared" si="2"/>
        <v>8.1479885057471266E-3</v>
      </c>
      <c r="H18" s="51">
        <f>$C$6/($B$8*F18)</f>
        <v>0.28999999999999998</v>
      </c>
      <c r="I18">
        <f t="shared" si="3"/>
        <v>154.58422174840086</v>
      </c>
      <c r="J18" s="70">
        <f>F18+2*$B$8</f>
        <v>39.555172413793102</v>
      </c>
      <c r="K18" s="71">
        <f>F18*$B$8/J18</f>
        <v>4.9437712492372077</v>
      </c>
      <c r="L18" s="80">
        <f t="shared" si="4"/>
        <v>9.3319175646001448E-3</v>
      </c>
      <c r="M18">
        <f t="shared" si="5"/>
        <v>6960</v>
      </c>
      <c r="N18" s="36">
        <f>M18/F18</f>
        <v>355.91606418621052</v>
      </c>
      <c r="O18" s="68"/>
      <c r="P18" s="68"/>
      <c r="Q18" s="68"/>
      <c r="R18" s="69"/>
      <c r="S18" s="69"/>
      <c r="T18" s="77"/>
      <c r="U18" s="71"/>
      <c r="V18" s="68"/>
    </row>
    <row r="19" spans="1:22" x14ac:dyDescent="0.25">
      <c r="D19">
        <v>0.3</v>
      </c>
      <c r="E19" s="36">
        <f t="shared" si="0"/>
        <v>189.03333333333333</v>
      </c>
      <c r="F19" s="36">
        <f t="shared" si="1"/>
        <v>18.903333333333332</v>
      </c>
      <c r="G19" s="37">
        <f t="shared" si="2"/>
        <v>8.1479885057471266E-3</v>
      </c>
      <c r="H19" s="51">
        <f>$C$6/($B$8*F19)</f>
        <v>0.3</v>
      </c>
      <c r="I19">
        <f t="shared" si="3"/>
        <v>159.91471215351814</v>
      </c>
      <c r="J19">
        <f>F19+2*$B$8</f>
        <v>38.903333333333336</v>
      </c>
      <c r="K19" s="36">
        <f>F19*$B$8/J19</f>
        <v>4.8590523519835482</v>
      </c>
      <c r="L19" s="79">
        <f t="shared" si="4"/>
        <v>9.6815586803640739E-3</v>
      </c>
      <c r="M19">
        <f t="shared" si="5"/>
        <v>6960</v>
      </c>
      <c r="N19" s="36">
        <f>M19/F19</f>
        <v>368.18903191676952</v>
      </c>
      <c r="R19" s="51"/>
      <c r="S19" s="69"/>
      <c r="T19" s="37"/>
      <c r="U19" s="36"/>
    </row>
    <row r="20" spans="1:22" x14ac:dyDescent="0.25">
      <c r="R20" s="68"/>
    </row>
    <row r="50" spans="2:5" x14ac:dyDescent="0.25">
      <c r="D50">
        <f>MROUND(D51/B51,5)</f>
        <v>155</v>
      </c>
    </row>
    <row r="51" spans="2:5" x14ac:dyDescent="0.25">
      <c r="B51">
        <v>30</v>
      </c>
      <c r="D51">
        <f>MROUND(LN(1/(1-0.9))*(Sheet2!C3+Sheet2!C5*0.5)/0.01876,5)</f>
        <v>4640</v>
      </c>
      <c r="E51">
        <f>D50*B51</f>
        <v>4650</v>
      </c>
    </row>
    <row r="52" spans="2:5" x14ac:dyDescent="0.25">
      <c r="B52">
        <v>10</v>
      </c>
    </row>
    <row r="53" spans="2:5" x14ac:dyDescent="0.25">
      <c r="B53">
        <f>B50*B51</f>
        <v>0</v>
      </c>
    </row>
    <row r="54" spans="2:5" x14ac:dyDescent="0.25">
      <c r="B54">
        <f>1-EXP(-(0.01876*E51/(Sheet2!C3+0.5*Sheet2!C5)))</f>
        <v>0.90047743076615938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ED6C-CE9D-424C-9978-BF8AD7344936}">
  <dimension ref="A1:W33"/>
  <sheetViews>
    <sheetView tabSelected="1" workbookViewId="0">
      <selection activeCell="L12" sqref="L12"/>
    </sheetView>
  </sheetViews>
  <sheetFormatPr defaultRowHeight="15" x14ac:dyDescent="0.25"/>
  <cols>
    <col min="8" max="8" width="12.140625" hidden="1" customWidth="1"/>
    <col min="9" max="9" width="3" bestFit="1" customWidth="1"/>
    <col min="10" max="11" width="12" bestFit="1" customWidth="1"/>
    <col min="17" max="17" width="12" bestFit="1" customWidth="1"/>
    <col min="18" max="18" width="12" customWidth="1"/>
  </cols>
  <sheetData>
    <row r="1" spans="1:23" x14ac:dyDescent="0.25">
      <c r="A1" t="s">
        <v>75</v>
      </c>
      <c r="C1">
        <v>22.5</v>
      </c>
    </row>
    <row r="2" spans="1:23" x14ac:dyDescent="0.25">
      <c r="C2">
        <v>2</v>
      </c>
      <c r="F2">
        <v>1.8759999999999999E-2</v>
      </c>
    </row>
    <row r="3" spans="1:23" x14ac:dyDescent="0.25">
      <c r="C3">
        <f>C1/C2</f>
        <v>11.25</v>
      </c>
    </row>
    <row r="4" spans="1:23" x14ac:dyDescent="0.25">
      <c r="B4" t="s">
        <v>35</v>
      </c>
      <c r="C4">
        <v>10</v>
      </c>
      <c r="N4">
        <f>53/(25*90)</f>
        <v>2.3555555555555555E-2</v>
      </c>
    </row>
    <row r="5" spans="1:23" x14ac:dyDescent="0.25">
      <c r="C5">
        <f>C4/100*C3</f>
        <v>1.125</v>
      </c>
      <c r="N5">
        <f>N4/0.006</f>
        <v>3.9259259259259256</v>
      </c>
    </row>
    <row r="6" spans="1:23" x14ac:dyDescent="0.25">
      <c r="B6" t="s">
        <v>74</v>
      </c>
      <c r="C6">
        <f>C3+C5</f>
        <v>12.375</v>
      </c>
    </row>
    <row r="7" spans="1:23" x14ac:dyDescent="0.25">
      <c r="R7" s="68"/>
    </row>
    <row r="8" spans="1:23" x14ac:dyDescent="0.25">
      <c r="A8" t="s">
        <v>76</v>
      </c>
      <c r="B8">
        <v>6</v>
      </c>
      <c r="D8" s="35" t="s">
        <v>78</v>
      </c>
      <c r="E8" s="35" t="s">
        <v>77</v>
      </c>
      <c r="F8" s="35" t="s">
        <v>79</v>
      </c>
      <c r="G8" s="35" t="s">
        <v>80</v>
      </c>
      <c r="H8" s="35" t="s">
        <v>81</v>
      </c>
      <c r="I8" s="35" t="s">
        <v>83</v>
      </c>
      <c r="J8" s="35" t="s">
        <v>41</v>
      </c>
      <c r="K8" s="35" t="s">
        <v>54</v>
      </c>
      <c r="L8" s="35" t="s">
        <v>82</v>
      </c>
      <c r="M8" s="35" t="s">
        <v>72</v>
      </c>
      <c r="N8" s="35" t="s">
        <v>65</v>
      </c>
      <c r="O8" s="35" t="s">
        <v>84</v>
      </c>
      <c r="P8" s="35" t="s">
        <v>85</v>
      </c>
      <c r="Q8" s="35" t="s">
        <v>88</v>
      </c>
      <c r="R8" s="76" t="s">
        <v>89</v>
      </c>
      <c r="S8" s="35" t="s">
        <v>86</v>
      </c>
      <c r="T8" s="35" t="s">
        <v>87</v>
      </c>
      <c r="U8" s="35"/>
      <c r="W8" s="35"/>
    </row>
    <row r="9" spans="1:23" x14ac:dyDescent="0.25">
      <c r="D9">
        <v>0.2</v>
      </c>
      <c r="E9" s="36">
        <f t="shared" ref="E9:E19" si="0">$C$6/D9</f>
        <v>61.875</v>
      </c>
      <c r="F9">
        <f>(INT(E9/$B$8/5)+1)*5</f>
        <v>15</v>
      </c>
      <c r="G9" s="51">
        <f t="shared" ref="G9:G19" si="1">$C$6/($B$8*F9)</f>
        <v>0.13750000000000001</v>
      </c>
      <c r="H9">
        <f t="shared" ref="H9:H19" si="2">(INT(($B$8*G9/$F$2/5))+1)*5</f>
        <v>45</v>
      </c>
      <c r="I9">
        <f>F9+2*$B$8</f>
        <v>27</v>
      </c>
      <c r="J9" s="36">
        <f>F9*$B$8/I9</f>
        <v>3.3333333333333335</v>
      </c>
      <c r="K9" s="79">
        <f t="shared" ref="K9:K19" si="3">0.042*G9/(J9^(1/6))</f>
        <v>4.7250404528251565E-3</v>
      </c>
      <c r="L9">
        <f t="shared" ref="L9:L19" si="4">(INT((H9-$C$5/(F9*($F$2-K9)))/5)+1)*5</f>
        <v>40</v>
      </c>
      <c r="M9" s="36">
        <f>L9/F9</f>
        <v>2.6666666666666665</v>
      </c>
      <c r="N9">
        <f t="shared" ref="N9:N19" si="5">L9*F9</f>
        <v>600</v>
      </c>
      <c r="O9">
        <v>1</v>
      </c>
      <c r="P9">
        <f>O9*N9</f>
        <v>600</v>
      </c>
      <c r="Q9" s="51">
        <f>1-EXP(-($F$2*P9/($C$3+$C$5)))</f>
        <v>0.59730497188513676</v>
      </c>
      <c r="R9" s="69">
        <f>($C$3+$C$5)/P9</f>
        <v>2.0625000000000001E-2</v>
      </c>
      <c r="S9" s="37">
        <f>R9*P9/($C$3+$C$5)</f>
        <v>1</v>
      </c>
      <c r="T9" s="36">
        <f t="shared" ref="T9:T19" si="6">R9/K9</f>
        <v>4.3650419940146916</v>
      </c>
    </row>
    <row r="10" spans="1:23" x14ac:dyDescent="0.25">
      <c r="D10">
        <v>0.21</v>
      </c>
      <c r="E10" s="36">
        <f t="shared" si="0"/>
        <v>58.928571428571431</v>
      </c>
      <c r="F10">
        <f t="shared" ref="F10:F19" si="7">(INT(E10/$B$8/5)+1)*5</f>
        <v>10</v>
      </c>
      <c r="G10" s="51">
        <f t="shared" si="1"/>
        <v>0.20624999999999999</v>
      </c>
      <c r="H10">
        <f t="shared" si="2"/>
        <v>70</v>
      </c>
      <c r="I10">
        <f>F10+2*$B$8</f>
        <v>22</v>
      </c>
      <c r="J10" s="36">
        <f>F10*$B$8/I10</f>
        <v>2.7272727272727271</v>
      </c>
      <c r="K10" s="79">
        <f t="shared" si="3"/>
        <v>7.3286135185148945E-3</v>
      </c>
      <c r="L10">
        <f t="shared" si="4"/>
        <v>65</v>
      </c>
      <c r="M10" s="36">
        <f t="shared" ref="M10:M19" si="8">L10/F10</f>
        <v>6.5</v>
      </c>
      <c r="N10">
        <f t="shared" si="5"/>
        <v>650</v>
      </c>
      <c r="O10">
        <f>O9</f>
        <v>1</v>
      </c>
      <c r="P10">
        <f t="shared" ref="P10:P19" si="9">O10*N10</f>
        <v>650</v>
      </c>
      <c r="Q10" s="51">
        <f t="shared" ref="Q10:Q19" si="10">1-EXP(-($F$2*P10/($C$3+$C$5)))</f>
        <v>0.6267003151815882</v>
      </c>
      <c r="R10" s="69">
        <f t="shared" ref="R10:R19" si="11">($C$3+$C$5)/P10</f>
        <v>1.9038461538461539E-2</v>
      </c>
      <c r="S10" s="37">
        <f t="shared" ref="S10:S19" si="12">R10*P10/($C$3+$C$5)</f>
        <v>1</v>
      </c>
      <c r="T10" s="36">
        <f t="shared" si="6"/>
        <v>2.5978258357277357</v>
      </c>
    </row>
    <row r="11" spans="1:23" x14ac:dyDescent="0.25">
      <c r="D11">
        <v>0.22</v>
      </c>
      <c r="E11" s="36">
        <f t="shared" si="0"/>
        <v>56.25</v>
      </c>
      <c r="F11">
        <f t="shared" si="7"/>
        <v>10</v>
      </c>
      <c r="G11" s="51">
        <f t="shared" si="1"/>
        <v>0.20624999999999999</v>
      </c>
      <c r="H11">
        <f t="shared" si="2"/>
        <v>70</v>
      </c>
      <c r="I11">
        <f>F11+2*$B$8</f>
        <v>22</v>
      </c>
      <c r="J11" s="36">
        <f>F11*$B$8/I11</f>
        <v>2.7272727272727271</v>
      </c>
      <c r="K11" s="79">
        <f t="shared" si="3"/>
        <v>7.3286135185148945E-3</v>
      </c>
      <c r="L11">
        <f t="shared" si="4"/>
        <v>65</v>
      </c>
      <c r="M11" s="36">
        <f t="shared" si="8"/>
        <v>6.5</v>
      </c>
      <c r="N11">
        <f t="shared" si="5"/>
        <v>650</v>
      </c>
      <c r="O11">
        <f t="shared" ref="O11:O19" si="13">O10</f>
        <v>1</v>
      </c>
      <c r="P11">
        <f t="shared" si="9"/>
        <v>650</v>
      </c>
      <c r="Q11" s="51">
        <f t="shared" si="10"/>
        <v>0.6267003151815882</v>
      </c>
      <c r="R11" s="69">
        <f t="shared" si="11"/>
        <v>1.9038461538461539E-2</v>
      </c>
      <c r="S11" s="37">
        <f t="shared" si="12"/>
        <v>1</v>
      </c>
      <c r="T11" s="36">
        <f t="shared" si="6"/>
        <v>2.5978258357277357</v>
      </c>
    </row>
    <row r="12" spans="1:23" x14ac:dyDescent="0.25">
      <c r="D12">
        <v>0.16</v>
      </c>
      <c r="E12" s="36">
        <f>$C$6/D12</f>
        <v>77.34375</v>
      </c>
      <c r="F12">
        <v>11</v>
      </c>
      <c r="G12" s="51">
        <f>$C$6/($B$8*F12)</f>
        <v>0.1875</v>
      </c>
      <c r="H12">
        <f>(INT(($B$8*G12/$F$2/5))+1)*5</f>
        <v>60</v>
      </c>
      <c r="I12">
        <f>F12+2*$B$8</f>
        <v>23</v>
      </c>
      <c r="J12" s="36">
        <f>F12*$B$8/I12</f>
        <v>2.8695652173913042</v>
      </c>
      <c r="K12" s="79">
        <f t="shared" si="3"/>
        <v>6.6061416125356596E-3</v>
      </c>
      <c r="L12">
        <v>100</v>
      </c>
      <c r="M12" s="36">
        <f t="shared" si="8"/>
        <v>9.0909090909090917</v>
      </c>
      <c r="N12">
        <f t="shared" si="5"/>
        <v>1100</v>
      </c>
      <c r="O12">
        <f t="shared" si="13"/>
        <v>1</v>
      </c>
      <c r="P12">
        <f t="shared" si="9"/>
        <v>1100</v>
      </c>
      <c r="Q12" s="51">
        <f t="shared" si="10"/>
        <v>0.81129221199176449</v>
      </c>
      <c r="R12" s="69">
        <f t="shared" si="11"/>
        <v>1.125E-2</v>
      </c>
      <c r="S12" s="37">
        <f t="shared" si="12"/>
        <v>1</v>
      </c>
      <c r="T12" s="36">
        <f t="shared" si="6"/>
        <v>1.7029607689081723</v>
      </c>
    </row>
    <row r="13" spans="1:23" s="68" customFormat="1" x14ac:dyDescent="0.25">
      <c r="D13" s="70">
        <v>0.24</v>
      </c>
      <c r="E13" s="71">
        <f t="shared" si="0"/>
        <v>51.5625</v>
      </c>
      <c r="F13" s="70">
        <f t="shared" si="7"/>
        <v>10</v>
      </c>
      <c r="G13" s="72">
        <f t="shared" si="1"/>
        <v>0.20624999999999999</v>
      </c>
      <c r="H13" s="70">
        <f t="shared" si="2"/>
        <v>70</v>
      </c>
      <c r="I13" s="70">
        <f t="shared" ref="I13:I19" si="14">F13+2*$B$8</f>
        <v>22</v>
      </c>
      <c r="J13" s="71">
        <f t="shared" ref="J13:J19" si="15">F13*$B$8/I13</f>
        <v>2.7272727272727271</v>
      </c>
      <c r="K13" s="80">
        <f t="shared" si="3"/>
        <v>7.3286135185148945E-3</v>
      </c>
      <c r="L13" s="70">
        <f t="shared" si="4"/>
        <v>65</v>
      </c>
      <c r="M13" s="36">
        <f t="shared" si="8"/>
        <v>6.5</v>
      </c>
      <c r="N13" s="68">
        <f t="shared" si="5"/>
        <v>650</v>
      </c>
      <c r="O13" s="68">
        <f t="shared" si="13"/>
        <v>1</v>
      </c>
      <c r="P13" s="68">
        <f t="shared" si="9"/>
        <v>650</v>
      </c>
      <c r="Q13" s="69">
        <f t="shared" si="10"/>
        <v>0.6267003151815882</v>
      </c>
      <c r="R13" s="69">
        <f t="shared" si="11"/>
        <v>1.9038461538461539E-2</v>
      </c>
      <c r="S13" s="77">
        <f t="shared" si="12"/>
        <v>1</v>
      </c>
      <c r="T13" s="71">
        <f t="shared" si="6"/>
        <v>2.5978258357277357</v>
      </c>
    </row>
    <row r="14" spans="1:23" x14ac:dyDescent="0.25">
      <c r="D14" s="73">
        <v>0.25</v>
      </c>
      <c r="E14" s="74">
        <f t="shared" si="0"/>
        <v>49.5</v>
      </c>
      <c r="F14" s="73">
        <f t="shared" si="7"/>
        <v>10</v>
      </c>
      <c r="G14" s="75">
        <f t="shared" si="1"/>
        <v>0.20624999999999999</v>
      </c>
      <c r="H14" s="73">
        <f t="shared" si="2"/>
        <v>70</v>
      </c>
      <c r="I14" s="73">
        <f t="shared" si="14"/>
        <v>22</v>
      </c>
      <c r="J14" s="74">
        <f t="shared" si="15"/>
        <v>2.7272727272727271</v>
      </c>
      <c r="K14" s="81">
        <f t="shared" si="3"/>
        <v>7.3286135185148945E-3</v>
      </c>
      <c r="L14" s="73">
        <f t="shared" si="4"/>
        <v>65</v>
      </c>
      <c r="M14" s="36">
        <f t="shared" si="8"/>
        <v>6.5</v>
      </c>
      <c r="N14">
        <f t="shared" si="5"/>
        <v>650</v>
      </c>
      <c r="O14">
        <f t="shared" si="13"/>
        <v>1</v>
      </c>
      <c r="P14">
        <f t="shared" si="9"/>
        <v>650</v>
      </c>
      <c r="Q14" s="51">
        <f t="shared" si="10"/>
        <v>0.6267003151815882</v>
      </c>
      <c r="R14" s="69">
        <f t="shared" si="11"/>
        <v>1.9038461538461539E-2</v>
      </c>
      <c r="S14" s="78">
        <f t="shared" si="12"/>
        <v>1</v>
      </c>
      <c r="T14" s="74">
        <f t="shared" si="6"/>
        <v>2.5978258357277357</v>
      </c>
    </row>
    <row r="15" spans="1:23" x14ac:dyDescent="0.25">
      <c r="D15" s="73">
        <v>0.26</v>
      </c>
      <c r="E15" s="74">
        <f t="shared" si="0"/>
        <v>47.596153846153847</v>
      </c>
      <c r="F15" s="73">
        <f t="shared" si="7"/>
        <v>10</v>
      </c>
      <c r="G15" s="75">
        <f t="shared" si="1"/>
        <v>0.20624999999999999</v>
      </c>
      <c r="H15" s="73">
        <f t="shared" si="2"/>
        <v>70</v>
      </c>
      <c r="I15" s="73">
        <f t="shared" si="14"/>
        <v>22</v>
      </c>
      <c r="J15" s="74">
        <f t="shared" si="15"/>
        <v>2.7272727272727271</v>
      </c>
      <c r="K15" s="81">
        <f t="shared" si="3"/>
        <v>7.3286135185148945E-3</v>
      </c>
      <c r="L15" s="73">
        <f t="shared" si="4"/>
        <v>65</v>
      </c>
      <c r="M15" s="36">
        <f t="shared" si="8"/>
        <v>6.5</v>
      </c>
      <c r="N15">
        <f t="shared" si="5"/>
        <v>650</v>
      </c>
      <c r="O15">
        <f t="shared" si="13"/>
        <v>1</v>
      </c>
      <c r="P15">
        <f t="shared" si="9"/>
        <v>650</v>
      </c>
      <c r="Q15" s="51">
        <f t="shared" si="10"/>
        <v>0.6267003151815882</v>
      </c>
      <c r="R15" s="69">
        <f t="shared" si="11"/>
        <v>1.9038461538461539E-2</v>
      </c>
      <c r="S15" s="78">
        <f t="shared" si="12"/>
        <v>1</v>
      </c>
      <c r="T15" s="74">
        <f t="shared" si="6"/>
        <v>2.5978258357277357</v>
      </c>
    </row>
    <row r="16" spans="1:23" x14ac:dyDescent="0.25">
      <c r="D16" s="73">
        <v>0.27</v>
      </c>
      <c r="E16" s="74">
        <f t="shared" si="0"/>
        <v>45.833333333333329</v>
      </c>
      <c r="F16" s="73">
        <f t="shared" si="7"/>
        <v>10</v>
      </c>
      <c r="G16" s="75">
        <f t="shared" si="1"/>
        <v>0.20624999999999999</v>
      </c>
      <c r="H16" s="73">
        <f t="shared" si="2"/>
        <v>70</v>
      </c>
      <c r="I16" s="73">
        <f t="shared" si="14"/>
        <v>22</v>
      </c>
      <c r="J16" s="74">
        <f t="shared" si="15"/>
        <v>2.7272727272727271</v>
      </c>
      <c r="K16" s="81">
        <f t="shared" si="3"/>
        <v>7.3286135185148945E-3</v>
      </c>
      <c r="L16" s="73">
        <f t="shared" si="4"/>
        <v>65</v>
      </c>
      <c r="M16" s="36">
        <f t="shared" si="8"/>
        <v>6.5</v>
      </c>
      <c r="N16">
        <f t="shared" si="5"/>
        <v>650</v>
      </c>
      <c r="O16">
        <f t="shared" si="13"/>
        <v>1</v>
      </c>
      <c r="P16">
        <f t="shared" si="9"/>
        <v>650</v>
      </c>
      <c r="Q16" s="51">
        <f t="shared" si="10"/>
        <v>0.6267003151815882</v>
      </c>
      <c r="R16" s="69">
        <f t="shared" si="11"/>
        <v>1.9038461538461539E-2</v>
      </c>
      <c r="S16" s="78">
        <f t="shared" si="12"/>
        <v>1</v>
      </c>
      <c r="T16" s="74">
        <f t="shared" si="6"/>
        <v>2.5978258357277357</v>
      </c>
    </row>
    <row r="17" spans="4:20" x14ac:dyDescent="0.25">
      <c r="D17" s="73">
        <v>0.28000000000000003</v>
      </c>
      <c r="E17" s="74">
        <f t="shared" si="0"/>
        <v>44.196428571428569</v>
      </c>
      <c r="F17" s="73">
        <f t="shared" si="7"/>
        <v>10</v>
      </c>
      <c r="G17" s="75">
        <f t="shared" si="1"/>
        <v>0.20624999999999999</v>
      </c>
      <c r="H17" s="73">
        <f t="shared" si="2"/>
        <v>70</v>
      </c>
      <c r="I17" s="73">
        <f t="shared" si="14"/>
        <v>22</v>
      </c>
      <c r="J17" s="74">
        <f t="shared" si="15"/>
        <v>2.7272727272727271</v>
      </c>
      <c r="K17" s="81">
        <f t="shared" si="3"/>
        <v>7.3286135185148945E-3</v>
      </c>
      <c r="L17" s="73">
        <f t="shared" si="4"/>
        <v>65</v>
      </c>
      <c r="M17" s="36">
        <f t="shared" si="8"/>
        <v>6.5</v>
      </c>
      <c r="N17">
        <f t="shared" si="5"/>
        <v>650</v>
      </c>
      <c r="O17">
        <f t="shared" si="13"/>
        <v>1</v>
      </c>
      <c r="P17">
        <f t="shared" si="9"/>
        <v>650</v>
      </c>
      <c r="Q17" s="51">
        <f t="shared" si="10"/>
        <v>0.6267003151815882</v>
      </c>
      <c r="R17" s="69">
        <f t="shared" si="11"/>
        <v>1.9038461538461539E-2</v>
      </c>
      <c r="S17" s="78">
        <f t="shared" si="12"/>
        <v>1</v>
      </c>
      <c r="T17" s="74">
        <f t="shared" si="6"/>
        <v>2.5978258357277357</v>
      </c>
    </row>
    <row r="18" spans="4:20" s="68" customFormat="1" x14ac:dyDescent="0.25">
      <c r="D18" s="70">
        <v>0.28999999999999998</v>
      </c>
      <c r="E18" s="71">
        <f t="shared" si="0"/>
        <v>42.672413793103452</v>
      </c>
      <c r="F18" s="70">
        <f t="shared" si="7"/>
        <v>10</v>
      </c>
      <c r="G18" s="72">
        <f t="shared" si="1"/>
        <v>0.20624999999999999</v>
      </c>
      <c r="H18" s="70">
        <f t="shared" si="2"/>
        <v>70</v>
      </c>
      <c r="I18" s="70">
        <f t="shared" si="14"/>
        <v>22</v>
      </c>
      <c r="J18" s="71">
        <f t="shared" si="15"/>
        <v>2.7272727272727271</v>
      </c>
      <c r="K18" s="80">
        <f t="shared" si="3"/>
        <v>7.3286135185148945E-3</v>
      </c>
      <c r="L18" s="70">
        <f t="shared" si="4"/>
        <v>65</v>
      </c>
      <c r="M18" s="36">
        <f t="shared" si="8"/>
        <v>6.5</v>
      </c>
      <c r="N18" s="68">
        <f t="shared" si="5"/>
        <v>650</v>
      </c>
      <c r="O18" s="68">
        <f t="shared" si="13"/>
        <v>1</v>
      </c>
      <c r="P18" s="68">
        <f t="shared" si="9"/>
        <v>650</v>
      </c>
      <c r="Q18" s="69">
        <f t="shared" si="10"/>
        <v>0.6267003151815882</v>
      </c>
      <c r="R18" s="69">
        <f t="shared" si="11"/>
        <v>1.9038461538461539E-2</v>
      </c>
      <c r="S18" s="77">
        <f t="shared" si="12"/>
        <v>1</v>
      </c>
      <c r="T18" s="71">
        <f t="shared" si="6"/>
        <v>2.5978258357277357</v>
      </c>
    </row>
    <row r="19" spans="4:20" x14ac:dyDescent="0.25">
      <c r="D19">
        <v>0.3</v>
      </c>
      <c r="E19" s="36">
        <f t="shared" si="0"/>
        <v>41.25</v>
      </c>
      <c r="F19">
        <f t="shared" si="7"/>
        <v>10</v>
      </c>
      <c r="G19" s="51">
        <f t="shared" si="1"/>
        <v>0.20624999999999999</v>
      </c>
      <c r="H19">
        <f t="shared" si="2"/>
        <v>70</v>
      </c>
      <c r="I19">
        <f t="shared" si="14"/>
        <v>22</v>
      </c>
      <c r="J19" s="36">
        <f t="shared" si="15"/>
        <v>2.7272727272727271</v>
      </c>
      <c r="K19" s="79">
        <f t="shared" si="3"/>
        <v>7.3286135185148945E-3</v>
      </c>
      <c r="L19">
        <f t="shared" si="4"/>
        <v>65</v>
      </c>
      <c r="M19" s="36">
        <f t="shared" si="8"/>
        <v>6.5</v>
      </c>
      <c r="N19">
        <f t="shared" si="5"/>
        <v>650</v>
      </c>
      <c r="O19">
        <f t="shared" si="13"/>
        <v>1</v>
      </c>
      <c r="P19">
        <f t="shared" si="9"/>
        <v>650</v>
      </c>
      <c r="Q19" s="51">
        <f t="shared" si="10"/>
        <v>0.6267003151815882</v>
      </c>
      <c r="R19" s="69">
        <f t="shared" si="11"/>
        <v>1.9038461538461539E-2</v>
      </c>
      <c r="S19" s="37">
        <f t="shared" si="12"/>
        <v>1</v>
      </c>
      <c r="T19" s="36">
        <f t="shared" si="6"/>
        <v>2.5978258357277357</v>
      </c>
    </row>
    <row r="20" spans="4:20" x14ac:dyDescent="0.25">
      <c r="R20" s="68"/>
    </row>
    <row r="23" spans="4:20" x14ac:dyDescent="0.25">
      <c r="E23" s="36"/>
      <c r="G23" s="51"/>
    </row>
    <row r="24" spans="4:20" x14ac:dyDescent="0.25">
      <c r="E24" s="36"/>
      <c r="G24" s="51"/>
      <c r="R24" s="51"/>
    </row>
    <row r="25" spans="4:20" x14ac:dyDescent="0.25">
      <c r="E25" s="36"/>
      <c r="G25" s="51"/>
      <c r="R25" s="51"/>
    </row>
    <row r="26" spans="4:20" x14ac:dyDescent="0.25">
      <c r="E26" s="36"/>
      <c r="G26" s="51"/>
      <c r="R26" s="51"/>
    </row>
    <row r="27" spans="4:20" x14ac:dyDescent="0.25">
      <c r="E27" s="36"/>
      <c r="G27" s="51"/>
    </row>
    <row r="28" spans="4:20" x14ac:dyDescent="0.25">
      <c r="E28" s="36"/>
      <c r="G28" s="51"/>
    </row>
    <row r="29" spans="4:20" x14ac:dyDescent="0.25">
      <c r="E29" s="36"/>
      <c r="G29" s="51"/>
    </row>
    <row r="30" spans="4:20" x14ac:dyDescent="0.25">
      <c r="E30" s="36"/>
      <c r="G30" s="51"/>
    </row>
    <row r="31" spans="4:20" x14ac:dyDescent="0.25">
      <c r="E31" s="36"/>
      <c r="G31" s="51"/>
    </row>
    <row r="32" spans="4:20" x14ac:dyDescent="0.25">
      <c r="E32" s="36"/>
      <c r="G32" s="51"/>
    </row>
    <row r="33" spans="5:7" x14ac:dyDescent="0.25">
      <c r="E33" s="36"/>
      <c r="G33" s="5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R m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Z 0 Z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d G Z a K I p H u A 4 A A A A R A A A A E w A c A E Z v c m 1 1 b G F z L 1 N l Y 3 R p b 2 4 x L m 0 g o h g A K K A U A A A A A A A A A A A A A A A A A A A A A A A A A A A A K 0 5 N L s n M z 1 M I h t C G 1 g B Q S w E C L Q A U A A I A C A D 2 d G Z a Q x 5 w m 6 U A A A D 3 A A A A E g A A A A A A A A A A A A A A A A A A A A A A Q 2 9 u Z m l n L 1 B h Y 2 t h Z 2 U u e G 1 s U E s B A i 0 A F A A C A A g A 9 n R m W g / K 6 a u k A A A A 6 Q A A A B M A A A A A A A A A A A A A A A A A 8 Q A A A F t D b 2 5 0 Z W 5 0 X 1 R 5 c G V z X S 5 4 b W x Q S w E C L Q A U A A I A C A D 2 d G Z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n I X X j Y 3 G k u j l 8 s f 7 5 c 8 C A A A A A A C A A A A A A A Q Z g A A A A E A A C A A A A A F r / r + g n o Q j Q e k 2 / U W d Q D m c a h S x / p a C 6 5 0 J s X H 3 x c X V g A A A A A O g A A A A A I A A C A A A A B 3 9 t v y I V 2 Y r S 6 c I w P 2 x R B 3 Y s S O W K U S f e U n Y a Z A I Y A p F 1 A A A A D + 5 J y Y O o B n 0 f L J J S p i T 6 i r b 2 d / Q T P + v E n J h K P Y B p W k P F y o z k w H t 3 o b 8 D 2 O C Y x E 2 c 1 V C l M n X 6 / 1 Y A I n h S B e 0 d r g 9 W e Z I 3 8 e / M j a 5 e J K o / K u Q k A A A A A I D g u C / C 0 w g o E 1 R 0 a 1 3 T a / X e m J 9 4 c W p B j R Q Y T M j c U c q T A X h a 8 / a d Y Y H 6 p J Q / u o q h / 7 1 j J t F G W h e L m L D F 5 8 o V g J < / D a t a M a s h u p > 
</file>

<file path=customXml/itemProps1.xml><?xml version="1.0" encoding="utf-8"?>
<ds:datastoreItem xmlns:ds="http://schemas.openxmlformats.org/officeDocument/2006/customXml" ds:itemID="{B4401744-76E1-45EB-857D-3002D41BE4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intermittent flushing</vt:lpstr>
      <vt:lpstr>continuous flushing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Samyak</dc:creator>
  <cp:lastModifiedBy>Samyak</cp:lastModifiedBy>
  <dcterms:created xsi:type="dcterms:W3CDTF">2025-03-04T05:01:43Z</dcterms:created>
  <dcterms:modified xsi:type="dcterms:W3CDTF">2025-03-09T06:58:18Z</dcterms:modified>
</cp:coreProperties>
</file>