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ruthi\Marketing\CAC and CLTV\"/>
    </mc:Choice>
  </mc:AlternateContent>
  <xr:revisionPtr revIDLastSave="0" documentId="13_ncr:1_{DF997D73-1D79-4016-9D86-3E53FC7E2066}" xr6:coauthVersionLast="47" xr6:coauthVersionMax="47" xr10:uidLastSave="{00000000-0000-0000-0000-000000000000}"/>
  <bookViews>
    <workbookView xWindow="-108" yWindow="-108" windowWidth="23256" windowHeight="12576" activeTab="6" xr2:uid="{2C984C99-DE92-4725-B869-E18AA8D8E259}"/>
  </bookViews>
  <sheets>
    <sheet name="Sheet8" sheetId="8" r:id="rId1"/>
    <sheet name="CAC" sheetId="1" r:id="rId2"/>
    <sheet name="Basic CLV" sheetId="2" r:id="rId3"/>
    <sheet name="ROMI and Payback period" sheetId="3" r:id="rId4"/>
    <sheet name="NPV and Discount rate" sheetId="4" r:id="rId5"/>
    <sheet name="Advanced CLV" sheetId="6" r:id="rId6"/>
    <sheet name="Exampl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7" l="1"/>
  <c r="C30" i="7"/>
  <c r="D18" i="7"/>
  <c r="D21" i="7"/>
  <c r="D22" i="7"/>
  <c r="D23" i="7"/>
  <c r="D24" i="7"/>
  <c r="D25" i="7"/>
  <c r="D26" i="7"/>
  <c r="D27" i="7"/>
  <c r="D28" i="7"/>
  <c r="D20" i="7"/>
  <c r="D19" i="7"/>
  <c r="C19" i="7"/>
  <c r="C20" i="7"/>
  <c r="C21" i="7"/>
  <c r="C22" i="7"/>
  <c r="C23" i="7"/>
  <c r="C24" i="7"/>
  <c r="C25" i="7"/>
  <c r="C26" i="7"/>
  <c r="C27" i="7"/>
  <c r="C28" i="7"/>
  <c r="C18" i="7"/>
  <c r="B19" i="7"/>
  <c r="B20" i="7" s="1"/>
  <c r="B12" i="7"/>
  <c r="H28" i="6"/>
  <c r="G29" i="6"/>
  <c r="H31" i="6" s="1"/>
  <c r="G18" i="6"/>
  <c r="H20" i="6" s="1"/>
  <c r="C32" i="4"/>
  <c r="C25" i="4"/>
  <c r="C26" i="4"/>
  <c r="C27" i="4"/>
  <c r="C29" i="4"/>
  <c r="C28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D6" i="3"/>
  <c r="D7" i="3"/>
  <c r="D8" i="3"/>
  <c r="D9" i="3"/>
  <c r="D10" i="3" s="1"/>
  <c r="D11" i="3" s="1"/>
  <c r="D12" i="3" s="1"/>
  <c r="D13" i="3" s="1"/>
  <c r="D14" i="3" s="1"/>
  <c r="D15" i="3" s="1"/>
  <c r="D16" i="3" s="1"/>
  <c r="D17" i="3" s="1"/>
  <c r="D5" i="3"/>
  <c r="D4" i="3"/>
  <c r="B64" i="2"/>
  <c r="C62" i="2"/>
  <c r="B53" i="2"/>
  <c r="B51" i="2"/>
  <c r="B37" i="2"/>
  <c r="B38" i="2"/>
  <c r="B39" i="2" s="1"/>
  <c r="C36" i="2"/>
  <c r="C37" i="2"/>
  <c r="C35" i="2"/>
  <c r="B36" i="2"/>
  <c r="C31" i="2"/>
  <c r="C30" i="2"/>
  <c r="C29" i="2"/>
  <c r="C28" i="2"/>
  <c r="C27" i="2"/>
  <c r="B38" i="1"/>
  <c r="B36" i="1"/>
  <c r="B25" i="1"/>
  <c r="C23" i="1"/>
  <c r="D17" i="1"/>
  <c r="D21" i="1" s="1"/>
  <c r="D18" i="1"/>
  <c r="D19" i="1"/>
  <c r="D20" i="1"/>
  <c r="D16" i="1"/>
  <c r="B21" i="7" l="1"/>
  <c r="B40" i="2"/>
  <c r="C39" i="2"/>
  <c r="C38" i="2"/>
  <c r="B22" i="7" l="1"/>
  <c r="B41" i="2"/>
  <c r="C40" i="2"/>
  <c r="B23" i="7" l="1"/>
  <c r="B42" i="2"/>
  <c r="C41" i="2"/>
  <c r="B24" i="7" l="1"/>
  <c r="B43" i="2"/>
  <c r="C42" i="2"/>
  <c r="B25" i="7" l="1"/>
  <c r="B44" i="2"/>
  <c r="C43" i="2"/>
  <c r="B26" i="7" l="1"/>
  <c r="B45" i="2"/>
  <c r="C44" i="2"/>
  <c r="B27" i="7" l="1"/>
  <c r="B46" i="2"/>
  <c r="C45" i="2"/>
  <c r="B28" i="7" l="1"/>
  <c r="B47" i="2"/>
  <c r="C46" i="2"/>
  <c r="B48" i="2" l="1"/>
  <c r="C48" i="2" s="1"/>
  <c r="C47" i="2"/>
</calcChain>
</file>

<file path=xl/sharedStrings.xml><?xml version="1.0" encoding="utf-8"?>
<sst xmlns="http://schemas.openxmlformats.org/spreadsheetml/2006/main" count="217" uniqueCount="167">
  <si>
    <t>Customer Acqusition Channel</t>
  </si>
  <si>
    <t>direct mail</t>
  </si>
  <si>
    <t xml:space="preserve">Objective </t>
  </si>
  <si>
    <t>Attract new customers</t>
  </si>
  <si>
    <t>Budget</t>
  </si>
  <si>
    <t>Prospect mailing list</t>
  </si>
  <si>
    <t>$35/1k records(5k records)</t>
  </si>
  <si>
    <t>Flyer graphic design</t>
  </si>
  <si>
    <t>$100 (flat rate)</t>
  </si>
  <si>
    <t>Marketing copywriting</t>
  </si>
  <si>
    <t>$150 (flat rate)</t>
  </si>
  <si>
    <t>Printing</t>
  </si>
  <si>
    <t>$0.02/piece(5k copies)</t>
  </si>
  <si>
    <t>Distribution</t>
  </si>
  <si>
    <t>$0.2/piece</t>
  </si>
  <si>
    <t>Response rate</t>
  </si>
  <si>
    <t>(Total Acquisition Cost)/(New Customer count)</t>
  </si>
  <si>
    <t>Total Acquistion Cost</t>
  </si>
  <si>
    <t>Mailing list</t>
  </si>
  <si>
    <t>Design</t>
  </si>
  <si>
    <t>Copywriting</t>
  </si>
  <si>
    <t>Unit price</t>
  </si>
  <si>
    <t>Quantity</t>
  </si>
  <si>
    <t>Subtotal</t>
  </si>
  <si>
    <t>Total Cost</t>
  </si>
  <si>
    <t>New Customer Count</t>
  </si>
  <si>
    <t xml:space="preserve">Target Customer Count * Response rate </t>
  </si>
  <si>
    <t>CAC</t>
  </si>
  <si>
    <t>Customer Acqustion Cost must be calculated along with the value it brings to the business.</t>
  </si>
  <si>
    <t>How much value do customers generate? - Total Customer Value</t>
  </si>
  <si>
    <t>Total Customer Value</t>
  </si>
  <si>
    <t># of new customers x average customer spend x gross margin</t>
  </si>
  <si>
    <t>New customer count</t>
  </si>
  <si>
    <t>Average customer spend</t>
  </si>
  <si>
    <t>Gross margin</t>
  </si>
  <si>
    <t>Customer Acquisition Cost(CAC)</t>
  </si>
  <si>
    <t>Net profit</t>
  </si>
  <si>
    <t>Is it worth it ?</t>
  </si>
  <si>
    <t>We don’t know yet..</t>
  </si>
  <si>
    <t xml:space="preserve">Customer Acqusition Cost(CAC) </t>
  </si>
  <si>
    <t>PCV is the sum of total previous contributions by a customer adjusted for the time value of the money.</t>
  </si>
  <si>
    <t>CLV is extrapolated using  PCV</t>
  </si>
  <si>
    <t>Components of CLV</t>
  </si>
  <si>
    <t>Past Customer Value(PCV)</t>
  </si>
  <si>
    <t>Customer Lifetime Value (CLV/LTV)</t>
  </si>
  <si>
    <r>
      <rPr>
        <b/>
        <sz val="11"/>
        <color theme="1"/>
        <rFont val="Calibri"/>
        <family val="2"/>
        <scheme val="minor"/>
      </rPr>
      <t>Period</t>
    </r>
    <r>
      <rPr>
        <sz val="11"/>
        <color theme="1"/>
        <rFont val="Calibri"/>
        <family val="2"/>
        <scheme val="minor"/>
      </rPr>
      <t xml:space="preserve"> - The unit time into which a customer relationship is divided for analysis. Ex. Monthly, quarterly,annually</t>
    </r>
  </si>
  <si>
    <r>
      <rPr>
        <b/>
        <sz val="11"/>
        <color theme="1"/>
        <rFont val="Calibri"/>
        <family val="2"/>
        <scheme val="minor"/>
      </rPr>
      <t>Retention rate</t>
    </r>
    <r>
      <rPr>
        <sz val="11"/>
        <color theme="1"/>
        <rFont val="Calibri"/>
        <family val="2"/>
        <scheme val="minor"/>
      </rPr>
      <t xml:space="preserve"> - The percentage of customers who have not terminated their relationship with the firm in  a given period</t>
    </r>
  </si>
  <si>
    <r>
      <t xml:space="preserve">Average Spend per customer - </t>
    </r>
    <r>
      <rPr>
        <sz val="11"/>
        <color theme="1"/>
        <rFont val="Calibri"/>
        <family val="2"/>
        <scheme val="minor"/>
      </rPr>
      <t>The amount a customer spends at every period</t>
    </r>
  </si>
  <si>
    <r>
      <rPr>
        <b/>
        <sz val="11"/>
        <color theme="1"/>
        <rFont val="Calibri"/>
        <family val="2"/>
        <scheme val="minor"/>
      </rPr>
      <t xml:space="preserve">Gross margin - </t>
    </r>
    <r>
      <rPr>
        <sz val="11"/>
        <color theme="1"/>
        <rFont val="Calibri"/>
        <family val="2"/>
        <scheme val="minor"/>
      </rPr>
      <t>Net sales less the cost of product or service cold, expressed as a percentage ( fixed cost not included)</t>
    </r>
  </si>
  <si>
    <t>Gross margin (%)</t>
  </si>
  <si>
    <t xml:space="preserve"> = (Revenue-COGS)/Revenue</t>
  </si>
  <si>
    <t>BASIC 
CLV</t>
  </si>
  <si>
    <r>
      <rPr>
        <b/>
        <sz val="11"/>
        <color theme="1"/>
        <rFont val="Calibri"/>
        <family val="2"/>
        <scheme val="minor"/>
      </rPr>
      <t>Retention Cost</t>
    </r>
    <r>
      <rPr>
        <sz val="11"/>
        <color theme="1"/>
        <rFont val="Calibri"/>
        <family val="2"/>
        <scheme val="minor"/>
      </rPr>
      <t xml:space="preserve"> - It is the cost of keeping an existing customer purchase and stay loyal.</t>
    </r>
  </si>
  <si>
    <r>
      <t xml:space="preserve">Discount Rate - </t>
    </r>
    <r>
      <rPr>
        <sz val="11"/>
        <color theme="1"/>
        <rFont val="Calibri"/>
        <family val="2"/>
        <scheme val="minor"/>
      </rPr>
      <t>It is the cost of capital used to discount future revenue.</t>
    </r>
  </si>
  <si>
    <t>Basic CLV</t>
  </si>
  <si>
    <t>Basic CLV - Method 1</t>
  </si>
  <si>
    <t>Acquistion cost</t>
  </si>
  <si>
    <t>Period</t>
  </si>
  <si>
    <t>Retention rate</t>
  </si>
  <si>
    <t>Average customer spend per period</t>
  </si>
  <si>
    <t>Retention cost</t>
  </si>
  <si>
    <t>Discount rate</t>
  </si>
  <si>
    <t>month</t>
  </si>
  <si>
    <t>advanced level</t>
  </si>
  <si>
    <t>CLV for month 0</t>
  </si>
  <si>
    <t>150 x $10 x 50%</t>
  </si>
  <si>
    <t># of retained customers for Month 1</t>
  </si>
  <si>
    <t>150 x 70%</t>
  </si>
  <si>
    <t>CLV for month 1</t>
  </si>
  <si>
    <t>105 x $10 x 50%</t>
  </si>
  <si>
    <t>CLV for month 2</t>
  </si>
  <si>
    <t># of retained customers for Month 2</t>
  </si>
  <si>
    <t>and so on....</t>
  </si>
  <si>
    <t>105 x 70%</t>
  </si>
  <si>
    <t>74 x $10 x 50%</t>
  </si>
  <si>
    <t>#of retained customers</t>
  </si>
  <si>
    <t>CLV Per period</t>
  </si>
  <si>
    <t>Total CLV</t>
  </si>
  <si>
    <t>Sum of CLV of all Periods - CAC</t>
  </si>
  <si>
    <t>CLV per Customer</t>
  </si>
  <si>
    <t>Is is worth it</t>
  </si>
  <si>
    <t>Yes because CLV is a positive number</t>
  </si>
  <si>
    <t>Basic CLV - Method 2</t>
  </si>
  <si>
    <t>CLV</t>
  </si>
  <si>
    <t>retained customer count in period n-1 x retention rate at period n x avg customer spend at period n x gross margin</t>
  </si>
  <si>
    <t># of customers at period 0 x Average customer lifetime x average spend per customer per period x gross margin - Acquistion cost</t>
  </si>
  <si>
    <t>months</t>
  </si>
  <si>
    <t xml:space="preserve">Average customer lifetime </t>
  </si>
  <si>
    <t xml:space="preserve">1/(1-retention rate) </t>
  </si>
  <si>
    <t>1/churn rate</t>
  </si>
  <si>
    <t>(method 2) vs. $958 (method 1)</t>
  </si>
  <si>
    <t>Return on Marketing Investment (ROMI)</t>
  </si>
  <si>
    <t>Return/marketing spend</t>
  </si>
  <si>
    <t>Cumulative CLV</t>
  </si>
  <si>
    <t>ROMI</t>
  </si>
  <si>
    <t xml:space="preserve"> initial purchase 49% ROMI</t>
  </si>
  <si>
    <t>Month 2 ROMI 108%</t>
  </si>
  <si>
    <t>payback period</t>
  </si>
  <si>
    <t>At month 13, the business will have ROMI of 163%, meaning every dollar of marketing spend return $1.63</t>
  </si>
  <si>
    <t>ADVANCED 
CLV</t>
  </si>
  <si>
    <t>$x</t>
  </si>
  <si>
    <t>Y0</t>
  </si>
  <si>
    <t>Y1</t>
  </si>
  <si>
    <t>Y2</t>
  </si>
  <si>
    <t>Y3</t>
  </si>
  <si>
    <t>10%(d)</t>
  </si>
  <si>
    <t>$y</t>
  </si>
  <si>
    <t>$y/(1+10%)</t>
  </si>
  <si>
    <t>$x(1+10%)</t>
  </si>
  <si>
    <t>$x(1+10%)(1+10%)</t>
  </si>
  <si>
    <t>$x(1+10%)(1+10%)(1+10%)</t>
  </si>
  <si>
    <t>$y/(1+10%)(1+10%)</t>
  </si>
  <si>
    <t>$y/(1+10%)(1+10%)(1+10%)</t>
  </si>
  <si>
    <t>Present Value at period t</t>
  </si>
  <si>
    <t xml:space="preserve">PV = </t>
  </si>
  <si>
    <t>$y/(1+d)^t</t>
  </si>
  <si>
    <t>Revenue - Cost</t>
  </si>
  <si>
    <t>Revenue and cost are discounted to present value</t>
  </si>
  <si>
    <t>Net Present Value NPV</t>
  </si>
  <si>
    <t>P0</t>
  </si>
  <si>
    <t>P1</t>
  </si>
  <si>
    <t>P2</t>
  </si>
  <si>
    <t>P3</t>
  </si>
  <si>
    <t>P4</t>
  </si>
  <si>
    <t>Ad spend</t>
  </si>
  <si>
    <t>ad spend</t>
  </si>
  <si>
    <t>New customers</t>
  </si>
  <si>
    <t>subscription per month</t>
  </si>
  <si>
    <t>churn rate</t>
  </si>
  <si>
    <t>PV at period 0</t>
  </si>
  <si>
    <t>PV at period 1</t>
  </si>
  <si>
    <t>PV at period 2</t>
  </si>
  <si>
    <t>PV at period 3</t>
  </si>
  <si>
    <t>PV at period 4</t>
  </si>
  <si>
    <t>Time Value of Money</t>
  </si>
  <si>
    <t>discount rate (d)</t>
  </si>
  <si>
    <t xml:space="preserve">NPV </t>
  </si>
  <si>
    <t>M</t>
  </si>
  <si>
    <t>Contribution margin per customer per period (average net cash flow)</t>
  </si>
  <si>
    <t>GC</t>
  </si>
  <si>
    <t>Sales -COGS</t>
  </si>
  <si>
    <t>per customer</t>
  </si>
  <si>
    <t>CLV=</t>
  </si>
  <si>
    <t>Total CLV =</t>
  </si>
  <si>
    <t>CLV * New Customer Count</t>
  </si>
  <si>
    <t>vs.</t>
  </si>
  <si>
    <t>(-$1525/150) + ($10 * 50% - $0.2) * ( (1+1%)/(1+1%-70%))</t>
  </si>
  <si>
    <r>
      <t xml:space="preserve">(-$1525/150) + ($10 * 50% - $0) * </t>
    </r>
    <r>
      <rPr>
        <sz val="11"/>
        <color rgb="FFFF0000"/>
        <rFont val="Calibri"/>
        <family val="2"/>
        <scheme val="minor"/>
      </rPr>
      <t>( (1+0%)/(1+0%-70%))</t>
    </r>
  </si>
  <si>
    <t>same as average customer life time in Basic CLV calculation</t>
  </si>
  <si>
    <t>Advanced CLV</t>
  </si>
  <si>
    <t>Company</t>
  </si>
  <si>
    <t>Cloud storage service provider</t>
  </si>
  <si>
    <t>Customer acquistion channel</t>
  </si>
  <si>
    <t>Paid search</t>
  </si>
  <si>
    <t>Total campagin spend</t>
  </si>
  <si>
    <t>Number of new paid customer</t>
  </si>
  <si>
    <t>Avg annual revenue per account</t>
  </si>
  <si>
    <t>Annual retention rate</t>
  </si>
  <si>
    <t>Annual retention cost per account</t>
  </si>
  <si>
    <t>Average cost to acquire a customer</t>
  </si>
  <si>
    <t>Year</t>
  </si>
  <si>
    <t>#of Active customers</t>
  </si>
  <si>
    <t>Contribution margin per account per year(M)</t>
  </si>
  <si>
    <t>CLV with discounting</t>
  </si>
  <si>
    <t>Sum of CLV of all period - CAC</t>
  </si>
  <si>
    <t>Average CLV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</si>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</sst>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0" applyNumberFormat="1"/>
    <xf numFmtId="0" fontId="4" fillId="0" borderId="0" xfId="0" applyFont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2" fillId="2" borderId="0" xfId="0" applyFont="1" applyFill="1"/>
    <xf numFmtId="0" fontId="4" fillId="3" borderId="1" xfId="0" applyFont="1" applyFill="1" applyBorder="1" applyAlignment="1">
      <alignment horizontal="left"/>
    </xf>
    <xf numFmtId="167" fontId="0" fillId="0" borderId="1" xfId="0" applyNumberFormat="1" applyBorder="1"/>
    <xf numFmtId="168" fontId="0" fillId="0" borderId="1" xfId="0" applyNumberFormat="1" applyBorder="1"/>
    <xf numFmtId="168" fontId="0" fillId="3" borderId="1" xfId="0" applyNumberFormat="1" applyFill="1" applyBorder="1"/>
    <xf numFmtId="0" fontId="0" fillId="3" borderId="1" xfId="0" applyFill="1" applyBorder="1"/>
    <xf numFmtId="168" fontId="0" fillId="0" borderId="0" xfId="0" applyNumberFormat="1"/>
    <xf numFmtId="166" fontId="0" fillId="3" borderId="0" xfId="0" applyNumberFormat="1" applyFill="1"/>
    <xf numFmtId="166" fontId="3" fillId="3" borderId="0" xfId="0" applyNumberFormat="1" applyFont="1" applyFill="1"/>
    <xf numFmtId="0" fontId="5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/>
    <xf numFmtId="168" fontId="0" fillId="3" borderId="0" xfId="0" applyNumberFormat="1" applyFill="1"/>
    <xf numFmtId="0" fontId="0" fillId="3" borderId="0" xfId="0" applyFill="1"/>
    <xf numFmtId="0" fontId="2" fillId="4" borderId="0" xfId="0" applyFont="1" applyFill="1"/>
    <xf numFmtId="2" fontId="0" fillId="3" borderId="1" xfId="0" applyNumberFormat="1" applyFill="1" applyBorder="1"/>
    <xf numFmtId="9" fontId="0" fillId="0" borderId="1" xfId="1" applyFont="1" applyBorder="1"/>
    <xf numFmtId="0" fontId="6" fillId="0" borderId="0" xfId="0" applyFont="1"/>
    <xf numFmtId="0" fontId="6" fillId="0" borderId="1" xfId="0" applyFont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4" fillId="3" borderId="1" xfId="0" applyFont="1" applyFill="1" applyBorder="1"/>
    <xf numFmtId="168" fontId="0" fillId="0" borderId="3" xfId="0" applyNumberFormat="1" applyBorder="1"/>
    <xf numFmtId="0" fontId="0" fillId="7" borderId="1" xfId="0" applyFill="1" applyBorder="1"/>
    <xf numFmtId="166" fontId="0" fillId="3" borderId="1" xfId="0" applyNumberFormat="1" applyFill="1" applyBorder="1"/>
    <xf numFmtId="2" fontId="3" fillId="0" borderId="0" xfId="0" applyNumberFormat="1" applyFont="1"/>
    <xf numFmtId="0" fontId="0" fillId="3" borderId="3" xfId="0" applyFill="1" applyBorder="1"/>
    <xf numFmtId="168" fontId="0" fillId="6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22860</xdr:rowOff>
    </xdr:from>
    <xdr:to>
      <xdr:col>14</xdr:col>
      <xdr:colOff>313295</xdr:colOff>
      <xdr:row>21</xdr:row>
      <xdr:rowOff>127165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68A6E4-AFCE-4B54-AF69-0C68783A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5740"/>
          <a:ext cx="8238095" cy="3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76200</xdr:rowOff>
    </xdr:from>
    <xdr:to>
      <xdr:col>6</xdr:col>
      <xdr:colOff>0</xdr:colOff>
      <xdr:row>7</xdr:row>
      <xdr:rowOff>83820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A208F5D-6FDA-451F-8F30-494D704513E5}"/>
            </a:ext>
          </a:extLst>
        </xdr:cNvPr>
        <xdr:cNvCxnSpPr/>
      </xdr:nvCxnSpPr>
      <xdr:spPr>
        <a:xfrm flipH="1">
          <a:off x="4884420" y="22707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</xdr:colOff>
      <xdr:row>12</xdr:row>
      <xdr:rowOff>121920</xdr:rowOff>
    </xdr:from>
    <xdr:to>
      <xdr:col>9</xdr:col>
      <xdr:colOff>601980</xdr:colOff>
      <xdr:row>12</xdr:row>
      <xdr:rowOff>121920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90A5D9F-9321-4C8E-B610-EA64B95A0B02}"/>
            </a:ext>
          </a:extLst>
        </xdr:cNvPr>
        <xdr:cNvCxnSpPr/>
      </xdr:nvCxnSpPr>
      <xdr:spPr>
        <a:xfrm flipH="1">
          <a:off x="4907280" y="3230880"/>
          <a:ext cx="35509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1600200</xdr:colOff>
      <xdr:row>9</xdr:row>
      <xdr:rowOff>106680</xdr:rowOff>
    </xdr:from>
    <xdr:to>
      <xdr:col>8</xdr:col>
      <xdr:colOff>38100</xdr:colOff>
      <xdr:row>9</xdr:row>
      <xdr:rowOff>106680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9F46459-7DCD-4372-8853-F0C12B690AA3}"/>
            </a:ext>
          </a:extLst>
        </xdr:cNvPr>
        <xdr:cNvCxnSpPr/>
      </xdr:nvCxnSpPr>
      <xdr:spPr>
        <a:xfrm flipH="1">
          <a:off x="4861560" y="2667000"/>
          <a:ext cx="1927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22860</xdr:rowOff>
    </xdr:from>
    <xdr:to>
      <xdr:col>4</xdr:col>
      <xdr:colOff>472440</xdr:colOff>
      <xdr:row>13</xdr:row>
      <xdr:rowOff>171030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CAEBC-8FB7-4DE1-A694-26CF3F31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2860"/>
          <a:ext cx="4823460" cy="2525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7620</xdr:rowOff>
    </xdr:from>
    <xdr:to>
      <xdr:col>3</xdr:col>
      <xdr:colOff>1589638</xdr:colOff>
      <xdr:row>52</xdr:row>
      <xdr:rowOff>52778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B2C85-ABB6-4A20-B56B-90172D9DBB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629"/>
        <a:stretch/>
      </xdr:blipFill>
      <xdr:spPr>
        <a:xfrm>
          <a:off x="0" y="5859780"/>
          <a:ext cx="8295238" cy="3702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9E1E-A948-47AB-943C-BA2B3FE559CF}">
  <dimension ref="A1"/>
  <sheetViews>
    <sheetView workbookViewId="0">
      <selection activeCell="M25" sqref="M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F8F0-88E3-4B5B-9456-EEE30015ED64}">
  <dimension ref="A1:D41"/>
  <sheetViews>
    <sheetView workbookViewId="0">
      <selection activeCell="B30" sqref="B30"/>
    </sheetView>
  </sheetViews>
  <sheetFormatPr defaultRowHeight="14.4" x14ac:dyDescent="0.3"/>
  <cols>
    <col min="1" max="1" width="29.21875" bestFit="1" customWidth="1"/>
    <col min="2" max="2" width="39.6640625" bestFit="1" customWidth="1"/>
    <col min="4" max="4" width="10.109375" bestFit="1" customWidth="1"/>
  </cols>
  <sheetData>
    <row r="1" spans="1:4" x14ac:dyDescent="0.3">
      <c r="A1" s="8" t="s">
        <v>0</v>
      </c>
      <c r="B1" s="3" t="s">
        <v>1</v>
      </c>
    </row>
    <row r="2" spans="1:4" x14ac:dyDescent="0.3">
      <c r="A2" s="8" t="s">
        <v>2</v>
      </c>
      <c r="B2" s="3" t="s">
        <v>3</v>
      </c>
    </row>
    <row r="3" spans="1:4" x14ac:dyDescent="0.3">
      <c r="A3" s="8" t="s">
        <v>4</v>
      </c>
      <c r="B3" s="10">
        <v>1500</v>
      </c>
    </row>
    <row r="4" spans="1:4" x14ac:dyDescent="0.3">
      <c r="A4" s="2"/>
    </row>
    <row r="5" spans="1:4" x14ac:dyDescent="0.3">
      <c r="A5" s="8" t="s">
        <v>5</v>
      </c>
      <c r="B5" s="5" t="s">
        <v>6</v>
      </c>
    </row>
    <row r="6" spans="1:4" x14ac:dyDescent="0.3">
      <c r="A6" s="8" t="s">
        <v>7</v>
      </c>
      <c r="B6" s="5" t="s">
        <v>8</v>
      </c>
    </row>
    <row r="7" spans="1:4" x14ac:dyDescent="0.3">
      <c r="A7" s="8" t="s">
        <v>9</v>
      </c>
      <c r="B7" s="5" t="s">
        <v>10</v>
      </c>
    </row>
    <row r="8" spans="1:4" x14ac:dyDescent="0.3">
      <c r="A8" s="8" t="s">
        <v>11</v>
      </c>
      <c r="B8" s="5" t="s">
        <v>12</v>
      </c>
    </row>
    <row r="9" spans="1:4" x14ac:dyDescent="0.3">
      <c r="A9" s="8" t="s">
        <v>13</v>
      </c>
      <c r="B9" s="5" t="s">
        <v>14</v>
      </c>
    </row>
    <row r="10" spans="1:4" x14ac:dyDescent="0.3">
      <c r="A10" s="8" t="s">
        <v>15</v>
      </c>
      <c r="B10" s="6">
        <v>0.03</v>
      </c>
    </row>
    <row r="12" spans="1:4" x14ac:dyDescent="0.3">
      <c r="A12" s="7" t="s">
        <v>39</v>
      </c>
      <c r="B12" s="28" t="s">
        <v>16</v>
      </c>
    </row>
    <row r="14" spans="1:4" x14ac:dyDescent="0.3">
      <c r="A14" s="7" t="s">
        <v>17</v>
      </c>
    </row>
    <row r="15" spans="1:4" x14ac:dyDescent="0.3">
      <c r="A15" s="3"/>
      <c r="B15" s="12" t="s">
        <v>21</v>
      </c>
      <c r="C15" s="12" t="s">
        <v>22</v>
      </c>
      <c r="D15" s="12" t="s">
        <v>23</v>
      </c>
    </row>
    <row r="16" spans="1:4" x14ac:dyDescent="0.3">
      <c r="A16" s="3" t="s">
        <v>18</v>
      </c>
      <c r="B16" s="10">
        <v>35</v>
      </c>
      <c r="C16" s="3">
        <v>5</v>
      </c>
      <c r="D16" s="10">
        <f>B16*C16</f>
        <v>175</v>
      </c>
    </row>
    <row r="17" spans="1:4" x14ac:dyDescent="0.3">
      <c r="A17" s="3" t="s">
        <v>19</v>
      </c>
      <c r="B17" s="10">
        <v>100</v>
      </c>
      <c r="C17" s="3">
        <v>1</v>
      </c>
      <c r="D17" s="10">
        <f t="shared" ref="D17:D20" si="0">B17*C17</f>
        <v>100</v>
      </c>
    </row>
    <row r="18" spans="1:4" x14ac:dyDescent="0.3">
      <c r="A18" s="3" t="s">
        <v>20</v>
      </c>
      <c r="B18" s="10">
        <v>150</v>
      </c>
      <c r="C18" s="3">
        <v>1</v>
      </c>
      <c r="D18" s="10">
        <f t="shared" si="0"/>
        <v>150</v>
      </c>
    </row>
    <row r="19" spans="1:4" x14ac:dyDescent="0.3">
      <c r="A19" s="3" t="s">
        <v>11</v>
      </c>
      <c r="B19" s="10">
        <v>0.02</v>
      </c>
      <c r="C19" s="3">
        <v>5000</v>
      </c>
      <c r="D19" s="10">
        <f t="shared" si="0"/>
        <v>100</v>
      </c>
    </row>
    <row r="20" spans="1:4" x14ac:dyDescent="0.3">
      <c r="A20" s="3" t="s">
        <v>13</v>
      </c>
      <c r="B20" s="10">
        <v>0.2</v>
      </c>
      <c r="C20" s="3">
        <v>5000</v>
      </c>
      <c r="D20" s="10">
        <f t="shared" si="0"/>
        <v>1000</v>
      </c>
    </row>
    <row r="21" spans="1:4" x14ac:dyDescent="0.3">
      <c r="A21" s="3" t="s">
        <v>24</v>
      </c>
      <c r="B21" s="10"/>
      <c r="C21" s="3"/>
      <c r="D21" s="11">
        <f>SUM(D16:D20)</f>
        <v>1525</v>
      </c>
    </row>
    <row r="23" spans="1:4" x14ac:dyDescent="0.3">
      <c r="A23" s="7" t="s">
        <v>25</v>
      </c>
      <c r="B23" s="28" t="s">
        <v>26</v>
      </c>
      <c r="C23" s="12">
        <f>5000*B10</f>
        <v>150</v>
      </c>
    </row>
    <row r="25" spans="1:4" x14ac:dyDescent="0.3">
      <c r="A25" s="7" t="s">
        <v>35</v>
      </c>
      <c r="B25" s="14">
        <f>D21/150</f>
        <v>10.166666666666666</v>
      </c>
    </row>
    <row r="27" spans="1:4" x14ac:dyDescent="0.3">
      <c r="A27" t="s">
        <v>28</v>
      </c>
    </row>
    <row r="28" spans="1:4" x14ac:dyDescent="0.3">
      <c r="A28" t="s">
        <v>29</v>
      </c>
    </row>
    <row r="30" spans="1:4" x14ac:dyDescent="0.3">
      <c r="A30" s="7" t="s">
        <v>30</v>
      </c>
      <c r="B30" s="28" t="s">
        <v>31</v>
      </c>
    </row>
    <row r="32" spans="1:4" x14ac:dyDescent="0.3">
      <c r="A32" s="3" t="s">
        <v>32</v>
      </c>
      <c r="B32" s="10">
        <v>150</v>
      </c>
    </row>
    <row r="33" spans="1:2" x14ac:dyDescent="0.3">
      <c r="A33" s="3" t="s">
        <v>33</v>
      </c>
      <c r="B33" s="10">
        <v>10</v>
      </c>
    </row>
    <row r="34" spans="1:2" x14ac:dyDescent="0.3">
      <c r="A34" s="3" t="s">
        <v>34</v>
      </c>
      <c r="B34" s="4">
        <v>0.5</v>
      </c>
    </row>
    <row r="36" spans="1:2" x14ac:dyDescent="0.3">
      <c r="A36" s="7" t="s">
        <v>30</v>
      </c>
      <c r="B36" s="14">
        <f>B32*B33*B34</f>
        <v>750</v>
      </c>
    </row>
    <row r="38" spans="1:2" x14ac:dyDescent="0.3">
      <c r="A38" s="7" t="s">
        <v>36</v>
      </c>
      <c r="B38" s="15">
        <f>B36-D21</f>
        <v>-775</v>
      </c>
    </row>
    <row r="40" spans="1:2" x14ac:dyDescent="0.3">
      <c r="B40" t="s">
        <v>37</v>
      </c>
    </row>
    <row r="41" spans="1:2" x14ac:dyDescent="0.3">
      <c r="B41" s="16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EB48-719A-4F99-B7C3-78398F511A3B}">
  <dimension ref="A1:E64"/>
  <sheetViews>
    <sheetView topLeftCell="A6" workbookViewId="0">
      <selection activeCell="C22" sqref="C22"/>
    </sheetView>
  </sheetViews>
  <sheetFormatPr defaultRowHeight="14.4" x14ac:dyDescent="0.3"/>
  <cols>
    <col min="1" max="1" width="31.109375" bestFit="1" customWidth="1"/>
    <col min="2" max="2" width="56.6640625" customWidth="1"/>
    <col min="3" max="3" width="45.33203125" customWidth="1"/>
    <col min="5" max="5" width="11.5546875" customWidth="1"/>
  </cols>
  <sheetData>
    <row r="1" spans="1:5" x14ac:dyDescent="0.3">
      <c r="A1" s="7" t="s">
        <v>44</v>
      </c>
    </row>
    <row r="3" spans="1:5" x14ac:dyDescent="0.3">
      <c r="A3" s="7" t="s">
        <v>43</v>
      </c>
      <c r="B3" t="s">
        <v>40</v>
      </c>
    </row>
    <row r="5" spans="1:5" x14ac:dyDescent="0.3">
      <c r="A5" t="s">
        <v>41</v>
      </c>
    </row>
    <row r="7" spans="1:5" x14ac:dyDescent="0.3">
      <c r="A7" s="7" t="s">
        <v>42</v>
      </c>
      <c r="B7" t="s">
        <v>45</v>
      </c>
      <c r="D7" s="17" t="s">
        <v>51</v>
      </c>
      <c r="E7" s="29" t="s">
        <v>99</v>
      </c>
    </row>
    <row r="8" spans="1:5" x14ac:dyDescent="0.3">
      <c r="B8" t="s">
        <v>46</v>
      </c>
      <c r="D8" s="18"/>
      <c r="E8" s="30"/>
    </row>
    <row r="9" spans="1:5" x14ac:dyDescent="0.3">
      <c r="B9" s="2" t="s">
        <v>47</v>
      </c>
      <c r="D9" s="18"/>
      <c r="E9" s="30"/>
    </row>
    <row r="10" spans="1:5" x14ac:dyDescent="0.3">
      <c r="B10" t="s">
        <v>48</v>
      </c>
      <c r="D10" s="18"/>
      <c r="E10" s="30"/>
    </row>
    <row r="11" spans="1:5" x14ac:dyDescent="0.3">
      <c r="B11" s="7" t="s">
        <v>49</v>
      </c>
      <c r="C11" s="28" t="s">
        <v>50</v>
      </c>
      <c r="D11" s="18"/>
      <c r="E11" s="30"/>
    </row>
    <row r="12" spans="1:5" x14ac:dyDescent="0.3">
      <c r="B12" t="s">
        <v>52</v>
      </c>
      <c r="E12" s="30"/>
    </row>
    <row r="13" spans="1:5" x14ac:dyDescent="0.3">
      <c r="B13" s="2" t="s">
        <v>53</v>
      </c>
      <c r="E13" s="30"/>
    </row>
    <row r="15" spans="1:5" x14ac:dyDescent="0.3">
      <c r="A15" s="23" t="s">
        <v>55</v>
      </c>
    </row>
    <row r="17" spans="1:3" x14ac:dyDescent="0.3">
      <c r="A17" s="3" t="s">
        <v>32</v>
      </c>
      <c r="B17" s="3">
        <v>150</v>
      </c>
    </row>
    <row r="18" spans="1:3" x14ac:dyDescent="0.3">
      <c r="A18" s="3" t="s">
        <v>56</v>
      </c>
      <c r="B18" s="10">
        <v>1525</v>
      </c>
    </row>
    <row r="19" spans="1:3" x14ac:dyDescent="0.3">
      <c r="A19" s="3" t="s">
        <v>57</v>
      </c>
      <c r="B19" s="3" t="s">
        <v>62</v>
      </c>
    </row>
    <row r="20" spans="1:3" x14ac:dyDescent="0.3">
      <c r="A20" s="3" t="s">
        <v>58</v>
      </c>
      <c r="B20" s="4">
        <v>0.7</v>
      </c>
    </row>
    <row r="21" spans="1:3" x14ac:dyDescent="0.3">
      <c r="A21" s="3" t="s">
        <v>59</v>
      </c>
      <c r="B21" s="10">
        <v>10</v>
      </c>
    </row>
    <row r="22" spans="1:3" x14ac:dyDescent="0.3">
      <c r="A22" s="3" t="s">
        <v>34</v>
      </c>
      <c r="B22" s="4">
        <v>0.5</v>
      </c>
    </row>
    <row r="23" spans="1:3" x14ac:dyDescent="0.3">
      <c r="A23" s="31" t="s">
        <v>60</v>
      </c>
      <c r="B23" s="3" t="s">
        <v>63</v>
      </c>
    </row>
    <row r="24" spans="1:3" x14ac:dyDescent="0.3">
      <c r="A24" s="31" t="s">
        <v>61</v>
      </c>
      <c r="B24" s="3" t="s">
        <v>63</v>
      </c>
    </row>
    <row r="26" spans="1:3" x14ac:dyDescent="0.3">
      <c r="A26" s="22" t="s">
        <v>83</v>
      </c>
      <c r="B26" s="28" t="s">
        <v>84</v>
      </c>
    </row>
    <row r="27" spans="1:3" x14ac:dyDescent="0.3">
      <c r="A27" t="s">
        <v>64</v>
      </c>
      <c r="B27" t="s">
        <v>65</v>
      </c>
      <c r="C27" s="13">
        <f>B17*B21*B22</f>
        <v>750</v>
      </c>
    </row>
    <row r="28" spans="1:3" x14ac:dyDescent="0.3">
      <c r="A28" t="s">
        <v>66</v>
      </c>
      <c r="B28" t="s">
        <v>67</v>
      </c>
      <c r="C28">
        <f>B17*B20</f>
        <v>105</v>
      </c>
    </row>
    <row r="29" spans="1:3" x14ac:dyDescent="0.3">
      <c r="A29" t="s">
        <v>68</v>
      </c>
      <c r="B29" t="s">
        <v>69</v>
      </c>
      <c r="C29" s="13">
        <f>C28*B21*B22</f>
        <v>525</v>
      </c>
    </row>
    <row r="30" spans="1:3" x14ac:dyDescent="0.3">
      <c r="A30" t="s">
        <v>71</v>
      </c>
      <c r="B30" t="s">
        <v>73</v>
      </c>
      <c r="C30" s="19">
        <f>C28*B20</f>
        <v>73.5</v>
      </c>
    </row>
    <row r="31" spans="1:3" x14ac:dyDescent="0.3">
      <c r="A31" t="s">
        <v>70</v>
      </c>
      <c r="B31" t="s">
        <v>74</v>
      </c>
      <c r="C31" s="13">
        <f>C30*B21*B22</f>
        <v>367.5</v>
      </c>
    </row>
    <row r="32" spans="1:3" x14ac:dyDescent="0.3">
      <c r="A32" t="s">
        <v>72</v>
      </c>
    </row>
    <row r="34" spans="1:3" x14ac:dyDescent="0.3">
      <c r="A34" s="12" t="s">
        <v>57</v>
      </c>
      <c r="B34" s="12" t="s">
        <v>75</v>
      </c>
      <c r="C34" s="12" t="s">
        <v>76</v>
      </c>
    </row>
    <row r="35" spans="1:3" x14ac:dyDescent="0.3">
      <c r="A35" s="3">
        <v>0</v>
      </c>
      <c r="B35" s="3">
        <v>150</v>
      </c>
      <c r="C35" s="10">
        <f>B35*$B$21*$B$22</f>
        <v>750</v>
      </c>
    </row>
    <row r="36" spans="1:3" x14ac:dyDescent="0.3">
      <c r="A36" s="3">
        <v>1</v>
      </c>
      <c r="B36" s="20">
        <f>B35*0.7</f>
        <v>105</v>
      </c>
      <c r="C36" s="10">
        <f t="shared" ref="C36:C48" si="0">B36*$B$21*$B$22</f>
        <v>525</v>
      </c>
    </row>
    <row r="37" spans="1:3" x14ac:dyDescent="0.3">
      <c r="A37" s="3">
        <v>2</v>
      </c>
      <c r="B37" s="20">
        <f t="shared" ref="B37:B48" si="1">B36*0.7</f>
        <v>73.5</v>
      </c>
      <c r="C37" s="10">
        <f t="shared" si="0"/>
        <v>367.5</v>
      </c>
    </row>
    <row r="38" spans="1:3" x14ac:dyDescent="0.3">
      <c r="A38" s="3">
        <v>3</v>
      </c>
      <c r="B38" s="20">
        <f t="shared" si="1"/>
        <v>51.449999999999996</v>
      </c>
      <c r="C38" s="10">
        <f t="shared" si="0"/>
        <v>257.25</v>
      </c>
    </row>
    <row r="39" spans="1:3" x14ac:dyDescent="0.3">
      <c r="A39" s="3">
        <v>4</v>
      </c>
      <c r="B39" s="20">
        <f t="shared" si="1"/>
        <v>36.014999999999993</v>
      </c>
      <c r="C39" s="10">
        <f t="shared" si="0"/>
        <v>180.07499999999996</v>
      </c>
    </row>
    <row r="40" spans="1:3" x14ac:dyDescent="0.3">
      <c r="A40" s="3">
        <v>5</v>
      </c>
      <c r="B40" s="20">
        <f t="shared" si="1"/>
        <v>25.210499999999993</v>
      </c>
      <c r="C40" s="10">
        <f t="shared" si="0"/>
        <v>126.05249999999997</v>
      </c>
    </row>
    <row r="41" spans="1:3" x14ac:dyDescent="0.3">
      <c r="A41" s="3">
        <v>6</v>
      </c>
      <c r="B41" s="20">
        <f t="shared" si="1"/>
        <v>17.647349999999992</v>
      </c>
      <c r="C41" s="10">
        <f t="shared" si="0"/>
        <v>88.236749999999958</v>
      </c>
    </row>
    <row r="42" spans="1:3" x14ac:dyDescent="0.3">
      <c r="A42" s="3">
        <v>7</v>
      </c>
      <c r="B42" s="20">
        <f t="shared" si="1"/>
        <v>12.353144999999994</v>
      </c>
      <c r="C42" s="10">
        <f t="shared" si="0"/>
        <v>61.765724999999975</v>
      </c>
    </row>
    <row r="43" spans="1:3" x14ac:dyDescent="0.3">
      <c r="A43" s="3">
        <v>8</v>
      </c>
      <c r="B43" s="20">
        <f t="shared" si="1"/>
        <v>8.647201499999996</v>
      </c>
      <c r="C43" s="10">
        <f t="shared" si="0"/>
        <v>43.236007499999978</v>
      </c>
    </row>
    <row r="44" spans="1:3" x14ac:dyDescent="0.3">
      <c r="A44" s="3">
        <v>9</v>
      </c>
      <c r="B44" s="20">
        <f t="shared" si="1"/>
        <v>6.0530410499999965</v>
      </c>
      <c r="C44" s="10">
        <f t="shared" si="0"/>
        <v>30.265205249999983</v>
      </c>
    </row>
    <row r="45" spans="1:3" x14ac:dyDescent="0.3">
      <c r="A45" s="3">
        <v>10</v>
      </c>
      <c r="B45" s="20">
        <f t="shared" si="1"/>
        <v>4.2371287349999971</v>
      </c>
      <c r="C45" s="10">
        <f t="shared" si="0"/>
        <v>21.185643674999987</v>
      </c>
    </row>
    <row r="46" spans="1:3" x14ac:dyDescent="0.3">
      <c r="A46" s="3">
        <v>11</v>
      </c>
      <c r="B46" s="20">
        <f t="shared" si="1"/>
        <v>2.9659901144999976</v>
      </c>
      <c r="C46" s="10">
        <f t="shared" si="0"/>
        <v>14.829950572499989</v>
      </c>
    </row>
    <row r="47" spans="1:3" x14ac:dyDescent="0.3">
      <c r="A47" s="3">
        <v>12</v>
      </c>
      <c r="B47" s="20">
        <f t="shared" si="1"/>
        <v>2.0761930801499981</v>
      </c>
      <c r="C47" s="10">
        <f t="shared" si="0"/>
        <v>10.380965400749991</v>
      </c>
    </row>
    <row r="48" spans="1:3" x14ac:dyDescent="0.3">
      <c r="A48" s="3">
        <v>13</v>
      </c>
      <c r="B48" s="20">
        <f t="shared" si="1"/>
        <v>1.4533351561049985</v>
      </c>
      <c r="C48" s="10">
        <f t="shared" si="0"/>
        <v>7.2666757805249924</v>
      </c>
    </row>
    <row r="50" spans="1:5" x14ac:dyDescent="0.3">
      <c r="A50" s="7" t="s">
        <v>77</v>
      </c>
      <c r="B50" s="28" t="s">
        <v>78</v>
      </c>
    </row>
    <row r="51" spans="1:5" x14ac:dyDescent="0.3">
      <c r="B51" s="21">
        <f>SUM(C35:C48) - B18</f>
        <v>958.04442317877465</v>
      </c>
    </row>
    <row r="53" spans="1:5" x14ac:dyDescent="0.3">
      <c r="A53" s="7" t="s">
        <v>79</v>
      </c>
      <c r="B53" s="14">
        <f>B51/150</f>
        <v>6.3869628211918306</v>
      </c>
    </row>
    <row r="55" spans="1:5" x14ac:dyDescent="0.3">
      <c r="B55" t="s">
        <v>80</v>
      </c>
    </row>
    <row r="56" spans="1:5" x14ac:dyDescent="0.3">
      <c r="B56" s="16" t="s">
        <v>81</v>
      </c>
    </row>
    <row r="58" spans="1:5" x14ac:dyDescent="0.3">
      <c r="A58" s="23" t="s">
        <v>82</v>
      </c>
    </row>
    <row r="60" spans="1:5" x14ac:dyDescent="0.3">
      <c r="A60" s="7" t="s">
        <v>77</v>
      </c>
      <c r="B60" s="28" t="s">
        <v>85</v>
      </c>
    </row>
    <row r="62" spans="1:5" x14ac:dyDescent="0.3">
      <c r="A62" s="7" t="s">
        <v>87</v>
      </c>
      <c r="B62" s="28" t="s">
        <v>88</v>
      </c>
      <c r="C62" s="24">
        <f>1/(1-B20)</f>
        <v>3.333333333333333</v>
      </c>
      <c r="D62" t="s">
        <v>86</v>
      </c>
      <c r="E62" t="s">
        <v>89</v>
      </c>
    </row>
    <row r="64" spans="1:5" x14ac:dyDescent="0.3">
      <c r="A64" s="7" t="s">
        <v>77</v>
      </c>
      <c r="B64" s="14">
        <f>B17*C62*B21*B22 - B18</f>
        <v>974.99999999999955</v>
      </c>
      <c r="C64" t="s">
        <v>90</v>
      </c>
    </row>
  </sheetData>
  <mergeCells count="2">
    <mergeCell ref="D7:D11"/>
    <mergeCell ref="E7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5C31-D12D-48C1-968D-9CB094207BE8}">
  <dimension ref="A1:G17"/>
  <sheetViews>
    <sheetView workbookViewId="0">
      <selection activeCell="C4" sqref="C4"/>
    </sheetView>
  </sheetViews>
  <sheetFormatPr defaultRowHeight="14.4" x14ac:dyDescent="0.3"/>
  <cols>
    <col min="1" max="1" width="35.6640625" bestFit="1" customWidth="1"/>
    <col min="2" max="2" width="20.77734375" bestFit="1" customWidth="1"/>
    <col min="3" max="3" width="12.88671875" bestFit="1" customWidth="1"/>
    <col min="4" max="4" width="13.77734375" bestFit="1" customWidth="1"/>
    <col min="6" max="6" width="23" bestFit="1" customWidth="1"/>
    <col min="7" max="7" width="14.109375" bestFit="1" customWidth="1"/>
  </cols>
  <sheetData>
    <row r="1" spans="1:7" x14ac:dyDescent="0.3">
      <c r="A1" s="7" t="s">
        <v>91</v>
      </c>
      <c r="B1" s="28" t="s">
        <v>92</v>
      </c>
    </row>
    <row r="3" spans="1:7" x14ac:dyDescent="0.3">
      <c r="A3" s="12" t="s">
        <v>57</v>
      </c>
      <c r="B3" s="12" t="s">
        <v>75</v>
      </c>
      <c r="C3" s="12" t="s">
        <v>76</v>
      </c>
      <c r="D3" s="32" t="s">
        <v>93</v>
      </c>
      <c r="E3" s="32" t="s">
        <v>94</v>
      </c>
    </row>
    <row r="4" spans="1:7" x14ac:dyDescent="0.3">
      <c r="A4" s="3">
        <v>0</v>
      </c>
      <c r="B4" s="3">
        <v>150</v>
      </c>
      <c r="C4" s="10">
        <v>750</v>
      </c>
      <c r="D4" s="10">
        <f>C4</f>
        <v>750</v>
      </c>
      <c r="E4" s="25">
        <f>D4/1525</f>
        <v>0.49180327868852458</v>
      </c>
      <c r="F4" t="s">
        <v>95</v>
      </c>
    </row>
    <row r="5" spans="1:7" x14ac:dyDescent="0.3">
      <c r="A5" s="3">
        <v>1</v>
      </c>
      <c r="B5" s="20">
        <v>105</v>
      </c>
      <c r="C5" s="10">
        <v>525</v>
      </c>
      <c r="D5" s="10">
        <f>C5+D4</f>
        <v>1275</v>
      </c>
      <c r="E5" s="25">
        <f t="shared" ref="E5:E17" si="0">D5/1525</f>
        <v>0.83606557377049184</v>
      </c>
    </row>
    <row r="6" spans="1:7" x14ac:dyDescent="0.3">
      <c r="A6" s="3">
        <v>2</v>
      </c>
      <c r="B6" s="20">
        <v>73.5</v>
      </c>
      <c r="C6" s="10">
        <v>367.5</v>
      </c>
      <c r="D6" s="10">
        <f t="shared" ref="D6:D17" si="1">C6+D5</f>
        <v>1642.5</v>
      </c>
      <c r="E6" s="25">
        <f t="shared" si="0"/>
        <v>1.0770491803278688</v>
      </c>
      <c r="F6" t="s">
        <v>96</v>
      </c>
      <c r="G6" s="7" t="s">
        <v>97</v>
      </c>
    </row>
    <row r="7" spans="1:7" x14ac:dyDescent="0.3">
      <c r="A7" s="3">
        <v>3</v>
      </c>
      <c r="B7" s="20">
        <v>51.449999999999996</v>
      </c>
      <c r="C7" s="10">
        <v>257.25</v>
      </c>
      <c r="D7" s="10">
        <f t="shared" si="1"/>
        <v>1899.75</v>
      </c>
      <c r="E7" s="25">
        <f t="shared" si="0"/>
        <v>1.2457377049180327</v>
      </c>
    </row>
    <row r="8" spans="1:7" x14ac:dyDescent="0.3">
      <c r="A8" s="3">
        <v>4</v>
      </c>
      <c r="B8" s="20">
        <v>36.014999999999993</v>
      </c>
      <c r="C8" s="10">
        <v>180.07499999999996</v>
      </c>
      <c r="D8" s="10">
        <f t="shared" si="1"/>
        <v>2079.8249999999998</v>
      </c>
      <c r="E8" s="25">
        <f t="shared" si="0"/>
        <v>1.3638196721311475</v>
      </c>
    </row>
    <row r="9" spans="1:7" x14ac:dyDescent="0.3">
      <c r="A9" s="3">
        <v>5</v>
      </c>
      <c r="B9" s="20">
        <v>25.210499999999993</v>
      </c>
      <c r="C9" s="10">
        <v>126.05249999999997</v>
      </c>
      <c r="D9" s="10">
        <f t="shared" si="1"/>
        <v>2205.8774999999996</v>
      </c>
      <c r="E9" s="25">
        <f t="shared" si="0"/>
        <v>1.4464770491803276</v>
      </c>
    </row>
    <row r="10" spans="1:7" x14ac:dyDescent="0.3">
      <c r="A10" s="3">
        <v>6</v>
      </c>
      <c r="B10" s="20">
        <v>17.647349999999992</v>
      </c>
      <c r="C10" s="10">
        <v>88.236749999999958</v>
      </c>
      <c r="D10" s="10">
        <f t="shared" si="1"/>
        <v>2294.1142499999996</v>
      </c>
      <c r="E10" s="25">
        <f t="shared" si="0"/>
        <v>1.5043372131147539</v>
      </c>
    </row>
    <row r="11" spans="1:7" x14ac:dyDescent="0.3">
      <c r="A11" s="3">
        <v>7</v>
      </c>
      <c r="B11" s="20">
        <v>12.353144999999994</v>
      </c>
      <c r="C11" s="10">
        <v>61.765724999999975</v>
      </c>
      <c r="D11" s="10">
        <f t="shared" si="1"/>
        <v>2355.8799749999998</v>
      </c>
      <c r="E11" s="25">
        <f t="shared" si="0"/>
        <v>1.5448393278688524</v>
      </c>
    </row>
    <row r="12" spans="1:7" x14ac:dyDescent="0.3">
      <c r="A12" s="3">
        <v>8</v>
      </c>
      <c r="B12" s="20">
        <v>8.647201499999996</v>
      </c>
      <c r="C12" s="10">
        <v>43.236007499999978</v>
      </c>
      <c r="D12" s="10">
        <f t="shared" si="1"/>
        <v>2399.1159825</v>
      </c>
      <c r="E12" s="25">
        <f t="shared" si="0"/>
        <v>1.5731908081967212</v>
      </c>
    </row>
    <row r="13" spans="1:7" x14ac:dyDescent="0.3">
      <c r="A13" s="3">
        <v>9</v>
      </c>
      <c r="B13" s="20">
        <v>6.0530410499999965</v>
      </c>
      <c r="C13" s="10">
        <v>30.265205249999983</v>
      </c>
      <c r="D13" s="10">
        <f t="shared" si="1"/>
        <v>2429.3811877499998</v>
      </c>
      <c r="E13" s="25">
        <f t="shared" si="0"/>
        <v>1.5930368444262293</v>
      </c>
    </row>
    <row r="14" spans="1:7" x14ac:dyDescent="0.3">
      <c r="A14" s="3">
        <v>10</v>
      </c>
      <c r="B14" s="20">
        <v>4.2371287349999971</v>
      </c>
      <c r="C14" s="10">
        <v>21.185643674999987</v>
      </c>
      <c r="D14" s="10">
        <f t="shared" si="1"/>
        <v>2450.5668314249997</v>
      </c>
      <c r="E14" s="25">
        <f t="shared" si="0"/>
        <v>1.606929069786885</v>
      </c>
    </row>
    <row r="15" spans="1:7" x14ac:dyDescent="0.3">
      <c r="A15" s="3">
        <v>11</v>
      </c>
      <c r="B15" s="20">
        <v>2.9659901144999976</v>
      </c>
      <c r="C15" s="10">
        <v>14.829950572499989</v>
      </c>
      <c r="D15" s="10">
        <f t="shared" si="1"/>
        <v>2465.3967819974996</v>
      </c>
      <c r="E15" s="25">
        <f t="shared" si="0"/>
        <v>1.6166536275393439</v>
      </c>
    </row>
    <row r="16" spans="1:7" x14ac:dyDescent="0.3">
      <c r="A16" s="3">
        <v>12</v>
      </c>
      <c r="B16" s="20">
        <v>2.0761930801499981</v>
      </c>
      <c r="C16" s="10">
        <v>10.380965400749991</v>
      </c>
      <c r="D16" s="10">
        <f t="shared" si="1"/>
        <v>2475.7777473982496</v>
      </c>
      <c r="E16" s="25">
        <f t="shared" si="0"/>
        <v>1.6234608179660652</v>
      </c>
    </row>
    <row r="17" spans="1:6" x14ac:dyDescent="0.3">
      <c r="A17" s="3">
        <v>13</v>
      </c>
      <c r="B17" s="20">
        <v>1.4533351561049985</v>
      </c>
      <c r="C17" s="10">
        <v>7.2666757805249924</v>
      </c>
      <c r="D17" s="10">
        <f t="shared" si="1"/>
        <v>2483.0444231787747</v>
      </c>
      <c r="E17" s="25">
        <f t="shared" si="0"/>
        <v>1.6282258512647703</v>
      </c>
      <c r="F1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D582-D374-4B8D-9A4D-3056D7C828A7}">
  <dimension ref="A1:L32"/>
  <sheetViews>
    <sheetView showGridLines="0" topLeftCell="A16" workbookViewId="0">
      <selection activeCell="A33" sqref="A33"/>
    </sheetView>
  </sheetViews>
  <sheetFormatPr defaultRowHeight="14.4" x14ac:dyDescent="0.3"/>
  <cols>
    <col min="1" max="1" width="21.6640625" customWidth="1"/>
    <col min="2" max="2" width="13.33203125" bestFit="1" customWidth="1"/>
    <col min="3" max="3" width="15" customWidth="1"/>
    <col min="4" max="4" width="12.33203125" bestFit="1" customWidth="1"/>
    <col min="5" max="5" width="23.6640625" bestFit="1" customWidth="1"/>
    <col min="6" max="6" width="7.5546875" bestFit="1" customWidth="1"/>
    <col min="7" max="7" width="9.44140625" bestFit="1" customWidth="1"/>
    <col min="11" max="11" width="22.88671875" bestFit="1" customWidth="1"/>
  </cols>
  <sheetData>
    <row r="1" spans="1:12" x14ac:dyDescent="0.3">
      <c r="A1" s="7" t="s">
        <v>118</v>
      </c>
      <c r="B1" s="28" t="s">
        <v>116</v>
      </c>
      <c r="C1" t="s">
        <v>117</v>
      </c>
    </row>
    <row r="3" spans="1:12" x14ac:dyDescent="0.3">
      <c r="A3" s="3" t="s">
        <v>125</v>
      </c>
      <c r="B3" s="10">
        <v>5000</v>
      </c>
      <c r="E3" s="7" t="s">
        <v>134</v>
      </c>
    </row>
    <row r="4" spans="1:12" x14ac:dyDescent="0.3">
      <c r="A4" s="3" t="s">
        <v>126</v>
      </c>
      <c r="B4" s="3">
        <v>20</v>
      </c>
      <c r="E4" s="3" t="s">
        <v>100</v>
      </c>
      <c r="F4" s="3"/>
      <c r="G4" s="3" t="s">
        <v>108</v>
      </c>
      <c r="H4" s="3"/>
      <c r="I4" s="3" t="s">
        <v>109</v>
      </c>
      <c r="J4" s="3"/>
      <c r="K4" s="3" t="s">
        <v>110</v>
      </c>
    </row>
    <row r="5" spans="1:12" x14ac:dyDescent="0.3">
      <c r="A5" s="3" t="s">
        <v>127</v>
      </c>
      <c r="B5" s="10">
        <v>100</v>
      </c>
      <c r="E5" s="3" t="s">
        <v>101</v>
      </c>
      <c r="F5" s="27" t="s">
        <v>105</v>
      </c>
      <c r="G5" s="3" t="s">
        <v>102</v>
      </c>
      <c r="H5" s="27" t="s">
        <v>105</v>
      </c>
      <c r="I5" s="3" t="s">
        <v>103</v>
      </c>
      <c r="J5" s="27" t="s">
        <v>105</v>
      </c>
      <c r="K5" s="3" t="s">
        <v>104</v>
      </c>
      <c r="L5" s="26"/>
    </row>
    <row r="6" spans="1:12" x14ac:dyDescent="0.3">
      <c r="A6" s="12" t="s">
        <v>135</v>
      </c>
      <c r="B6" s="4">
        <v>0.1</v>
      </c>
    </row>
    <row r="7" spans="1:12" x14ac:dyDescent="0.3">
      <c r="A7" s="3" t="s">
        <v>128</v>
      </c>
      <c r="B7" s="4">
        <v>0.1</v>
      </c>
      <c r="E7" s="3" t="s">
        <v>107</v>
      </c>
      <c r="F7" s="3"/>
      <c r="G7" s="3" t="s">
        <v>106</v>
      </c>
    </row>
    <row r="8" spans="1:12" x14ac:dyDescent="0.3">
      <c r="E8" s="3" t="s">
        <v>101</v>
      </c>
      <c r="F8" s="3"/>
      <c r="G8" s="3" t="s">
        <v>102</v>
      </c>
    </row>
    <row r="10" spans="1:12" x14ac:dyDescent="0.3">
      <c r="E10" s="3" t="s">
        <v>111</v>
      </c>
      <c r="F10" s="3"/>
      <c r="G10" s="3"/>
      <c r="H10" s="3"/>
      <c r="I10" s="3" t="s">
        <v>103</v>
      </c>
    </row>
    <row r="11" spans="1:12" x14ac:dyDescent="0.3">
      <c r="E11" s="3" t="s">
        <v>101</v>
      </c>
      <c r="F11" s="3"/>
      <c r="G11" s="3"/>
      <c r="H11" s="3"/>
      <c r="I11" s="3"/>
    </row>
    <row r="13" spans="1:12" x14ac:dyDescent="0.3">
      <c r="E13" s="3" t="s">
        <v>112</v>
      </c>
      <c r="F13" s="3"/>
      <c r="G13" s="3"/>
      <c r="H13" s="3"/>
      <c r="I13" s="3"/>
      <c r="J13" s="3"/>
      <c r="K13" s="3" t="s">
        <v>104</v>
      </c>
    </row>
    <row r="14" spans="1:12" x14ac:dyDescent="0.3">
      <c r="E14" s="3" t="s">
        <v>101</v>
      </c>
      <c r="F14" s="3"/>
      <c r="G14" s="3"/>
      <c r="H14" s="3"/>
      <c r="I14" s="3"/>
      <c r="J14" s="3"/>
      <c r="K14" s="3"/>
    </row>
    <row r="17" spans="1:10" x14ac:dyDescent="0.3">
      <c r="E17" s="7" t="s">
        <v>113</v>
      </c>
      <c r="F17" s="3" t="s">
        <v>114</v>
      </c>
      <c r="G17" s="28" t="s">
        <v>115</v>
      </c>
    </row>
    <row r="20" spans="1:10" x14ac:dyDescent="0.3">
      <c r="B20" s="33">
        <v>2000</v>
      </c>
      <c r="D20" s="33">
        <v>1800</v>
      </c>
      <c r="F20" s="33">
        <v>1500</v>
      </c>
      <c r="H20" s="33">
        <v>1200</v>
      </c>
      <c r="J20" s="33">
        <v>1000</v>
      </c>
    </row>
    <row r="21" spans="1:10" x14ac:dyDescent="0.3">
      <c r="B21" s="34" t="s">
        <v>119</v>
      </c>
      <c r="C21" s="3"/>
      <c r="D21" s="34" t="s">
        <v>120</v>
      </c>
      <c r="E21" s="3"/>
      <c r="F21" s="34" t="s">
        <v>121</v>
      </c>
      <c r="G21" s="3"/>
      <c r="H21" s="34" t="s">
        <v>122</v>
      </c>
      <c r="I21" s="3"/>
      <c r="J21" s="34" t="s">
        <v>123</v>
      </c>
    </row>
    <row r="22" spans="1:10" ht="16.8" customHeight="1" x14ac:dyDescent="0.3">
      <c r="A22" s="7" t="s">
        <v>124</v>
      </c>
      <c r="B22" s="13">
        <v>5000</v>
      </c>
    </row>
    <row r="25" spans="1:10" x14ac:dyDescent="0.3">
      <c r="B25" s="3" t="s">
        <v>129</v>
      </c>
      <c r="C25" s="10">
        <f>B20</f>
        <v>2000</v>
      </c>
    </row>
    <row r="26" spans="1:10" x14ac:dyDescent="0.3">
      <c r="B26" s="3" t="s">
        <v>130</v>
      </c>
      <c r="C26" s="10">
        <f>D20/(1+B6)</f>
        <v>1636.3636363636363</v>
      </c>
    </row>
    <row r="27" spans="1:10" x14ac:dyDescent="0.3">
      <c r="B27" s="3" t="s">
        <v>131</v>
      </c>
      <c r="C27" s="10">
        <f>F20/(1+B6)^2</f>
        <v>1239.6694214876031</v>
      </c>
    </row>
    <row r="28" spans="1:10" x14ac:dyDescent="0.3">
      <c r="B28" s="3" t="s">
        <v>132</v>
      </c>
      <c r="C28" s="10">
        <f>H20/(1+B6)^3</f>
        <v>901.57776108189307</v>
      </c>
    </row>
    <row r="29" spans="1:10" x14ac:dyDescent="0.3">
      <c r="B29" s="3" t="s">
        <v>133</v>
      </c>
      <c r="C29" s="10">
        <f>J20/(1+B6)^4</f>
        <v>683.01345536507051</v>
      </c>
    </row>
    <row r="32" spans="1:10" x14ac:dyDescent="0.3">
      <c r="B32" s="7" t="s">
        <v>136</v>
      </c>
      <c r="C32" s="10">
        <f>SUM(C25:C29)-B22</f>
        <v>1460.6242742982031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604B-4D0E-4574-BB77-E266A1D2F280}">
  <dimension ref="A1:J35"/>
  <sheetViews>
    <sheetView workbookViewId="0">
      <selection activeCell="G27" sqref="G27"/>
    </sheetView>
  </sheetViews>
  <sheetFormatPr defaultRowHeight="14.4" x14ac:dyDescent="0.3"/>
  <cols>
    <col min="1" max="1" width="30.21875" bestFit="1" customWidth="1"/>
    <col min="2" max="2" width="13.109375" bestFit="1" customWidth="1"/>
    <col min="3" max="3" width="11.77734375" bestFit="1" customWidth="1"/>
    <col min="7" max="7" width="57.77734375" bestFit="1" customWidth="1"/>
    <col min="8" max="8" width="10.77734375" customWidth="1"/>
    <col min="11" max="11" width="36.77734375" bestFit="1" customWidth="1"/>
  </cols>
  <sheetData>
    <row r="1" spans="1:7" x14ac:dyDescent="0.3">
      <c r="F1" t="s">
        <v>137</v>
      </c>
      <c r="G1" t="s">
        <v>138</v>
      </c>
    </row>
    <row r="2" spans="1:7" x14ac:dyDescent="0.3">
      <c r="F2" t="s">
        <v>139</v>
      </c>
      <c r="G2" t="s">
        <v>140</v>
      </c>
    </row>
    <row r="16" spans="1:7" x14ac:dyDescent="0.3">
      <c r="A16" s="7" t="s">
        <v>149</v>
      </c>
    </row>
    <row r="17" spans="1:10" x14ac:dyDescent="0.3">
      <c r="A17" s="3" t="s">
        <v>32</v>
      </c>
      <c r="B17" s="3">
        <v>150</v>
      </c>
      <c r="F17" s="3" t="s">
        <v>142</v>
      </c>
      <c r="G17" s="3" t="s">
        <v>146</v>
      </c>
    </row>
    <row r="18" spans="1:10" x14ac:dyDescent="0.3">
      <c r="A18" s="3" t="s">
        <v>56</v>
      </c>
      <c r="B18" s="10">
        <v>1525</v>
      </c>
      <c r="F18" s="3" t="s">
        <v>142</v>
      </c>
      <c r="G18" s="35">
        <f>(-B18/B17)+(B21*B22-B23)*((1+B24)/(1+B24-B20))</f>
        <v>5.4720430107526852</v>
      </c>
    </row>
    <row r="19" spans="1:10" x14ac:dyDescent="0.3">
      <c r="A19" s="3" t="s">
        <v>57</v>
      </c>
      <c r="B19" s="3" t="s">
        <v>62</v>
      </c>
    </row>
    <row r="20" spans="1:10" x14ac:dyDescent="0.3">
      <c r="A20" s="3" t="s">
        <v>58</v>
      </c>
      <c r="B20" s="4">
        <v>0.7</v>
      </c>
      <c r="F20" s="3" t="s">
        <v>143</v>
      </c>
      <c r="G20" s="3" t="s">
        <v>144</v>
      </c>
      <c r="H20" s="11">
        <f>G18*B17</f>
        <v>820.80645161290272</v>
      </c>
    </row>
    <row r="21" spans="1:10" x14ac:dyDescent="0.3">
      <c r="A21" s="3" t="s">
        <v>59</v>
      </c>
      <c r="B21" s="10">
        <v>10</v>
      </c>
    </row>
    <row r="22" spans="1:10" x14ac:dyDescent="0.3">
      <c r="A22" s="3" t="s">
        <v>34</v>
      </c>
      <c r="B22" s="4">
        <v>0.5</v>
      </c>
    </row>
    <row r="23" spans="1:10" x14ac:dyDescent="0.3">
      <c r="A23" s="3" t="s">
        <v>60</v>
      </c>
      <c r="B23" s="9">
        <v>0.2</v>
      </c>
      <c r="C23" t="s">
        <v>141</v>
      </c>
    </row>
    <row r="24" spans="1:10" x14ac:dyDescent="0.3">
      <c r="A24" s="3" t="s">
        <v>61</v>
      </c>
      <c r="B24" s="4">
        <v>0.01</v>
      </c>
    </row>
    <row r="27" spans="1:10" x14ac:dyDescent="0.3">
      <c r="A27" s="7" t="s">
        <v>54</v>
      </c>
    </row>
    <row r="28" spans="1:10" x14ac:dyDescent="0.3">
      <c r="A28" s="3" t="s">
        <v>32</v>
      </c>
      <c r="B28" s="3">
        <v>150</v>
      </c>
      <c r="F28" s="3" t="s">
        <v>142</v>
      </c>
      <c r="G28" s="3" t="s">
        <v>147</v>
      </c>
      <c r="H28" s="36">
        <f>(1+0%)/(1+0%-70%)</f>
        <v>3.333333333333333</v>
      </c>
      <c r="I28" t="s">
        <v>148</v>
      </c>
    </row>
    <row r="29" spans="1:10" x14ac:dyDescent="0.3">
      <c r="A29" s="3" t="s">
        <v>56</v>
      </c>
      <c r="B29" s="10">
        <v>1525</v>
      </c>
      <c r="F29" s="3" t="s">
        <v>142</v>
      </c>
      <c r="G29" s="35">
        <f>(-B29/B28)+(B32*B33-B34)*((1+B35)/(1+B35-B31))</f>
        <v>6.4999999999999982</v>
      </c>
    </row>
    <row r="30" spans="1:10" x14ac:dyDescent="0.3">
      <c r="A30" s="3" t="s">
        <v>57</v>
      </c>
      <c r="B30" s="3" t="s">
        <v>62</v>
      </c>
    </row>
    <row r="31" spans="1:10" x14ac:dyDescent="0.3">
      <c r="A31" s="3" t="s">
        <v>58</v>
      </c>
      <c r="B31" s="4">
        <v>0.7</v>
      </c>
      <c r="F31" s="3" t="s">
        <v>143</v>
      </c>
      <c r="G31" s="3" t="s">
        <v>144</v>
      </c>
      <c r="H31" s="11">
        <f>G29*B28</f>
        <v>974.99999999999977</v>
      </c>
      <c r="I31" t="s">
        <v>145</v>
      </c>
      <c r="J31" s="11">
        <v>821</v>
      </c>
    </row>
    <row r="32" spans="1:10" x14ac:dyDescent="0.3">
      <c r="A32" s="3" t="s">
        <v>59</v>
      </c>
      <c r="B32" s="10">
        <v>10</v>
      </c>
    </row>
    <row r="33" spans="1:3" x14ac:dyDescent="0.3">
      <c r="A33" s="3" t="s">
        <v>34</v>
      </c>
      <c r="B33" s="4">
        <v>0.5</v>
      </c>
    </row>
    <row r="34" spans="1:3" x14ac:dyDescent="0.3">
      <c r="A34" s="3" t="s">
        <v>60</v>
      </c>
      <c r="B34" s="9">
        <v>0</v>
      </c>
      <c r="C34" t="s">
        <v>141</v>
      </c>
    </row>
    <row r="35" spans="1:3" x14ac:dyDescent="0.3">
      <c r="A35" s="3" t="s">
        <v>61</v>
      </c>
      <c r="B35" s="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2A39-805D-405D-A3EF-8DD2011318FC}">
  <dimension ref="A1:F31"/>
  <sheetViews>
    <sheetView tabSelected="1" workbookViewId="0">
      <selection activeCell="E15" sqref="E15"/>
    </sheetView>
  </sheetViews>
  <sheetFormatPr defaultRowHeight="14.4" x14ac:dyDescent="0.3"/>
  <cols>
    <col min="1" max="1" width="29" bestFit="1" customWidth="1"/>
    <col min="2" max="2" width="26" bestFit="1" customWidth="1"/>
    <col min="3" max="3" width="42.77734375" customWidth="1"/>
    <col min="4" max="4" width="25.77734375" bestFit="1" customWidth="1"/>
    <col min="5" max="5" width="13.44140625" bestFit="1" customWidth="1"/>
  </cols>
  <sheetData>
    <row r="1" spans="1:3" x14ac:dyDescent="0.3">
      <c r="A1" s="3" t="s">
        <v>150</v>
      </c>
      <c r="B1" s="3" t="s">
        <v>151</v>
      </c>
    </row>
    <row r="2" spans="1:3" x14ac:dyDescent="0.3">
      <c r="A2" s="3" t="s">
        <v>152</v>
      </c>
      <c r="B2" s="3" t="s">
        <v>153</v>
      </c>
    </row>
    <row r="3" spans="1:3" x14ac:dyDescent="0.3">
      <c r="A3" s="3" t="s">
        <v>154</v>
      </c>
      <c r="B3" s="10">
        <v>50000</v>
      </c>
    </row>
    <row r="4" spans="1:3" x14ac:dyDescent="0.3">
      <c r="A4" s="3" t="s">
        <v>155</v>
      </c>
      <c r="B4" s="3">
        <v>1000</v>
      </c>
    </row>
    <row r="5" spans="1:3" x14ac:dyDescent="0.3">
      <c r="A5" s="3" t="s">
        <v>156</v>
      </c>
      <c r="B5" s="10">
        <v>110</v>
      </c>
    </row>
    <row r="6" spans="1:3" x14ac:dyDescent="0.3">
      <c r="A6" s="3" t="s">
        <v>34</v>
      </c>
      <c r="B6" s="4">
        <v>0.8</v>
      </c>
    </row>
    <row r="7" spans="1:3" x14ac:dyDescent="0.3">
      <c r="A7" s="3" t="s">
        <v>157</v>
      </c>
      <c r="B7" s="4">
        <v>0.5</v>
      </c>
      <c r="C7" s="1"/>
    </row>
    <row r="8" spans="1:3" x14ac:dyDescent="0.3">
      <c r="A8" s="3" t="s">
        <v>158</v>
      </c>
      <c r="B8" s="10">
        <v>10</v>
      </c>
    </row>
    <row r="9" spans="1:3" x14ac:dyDescent="0.3">
      <c r="A9" s="3" t="s">
        <v>61</v>
      </c>
      <c r="B9" s="4">
        <v>0.2</v>
      </c>
    </row>
    <row r="12" spans="1:3" x14ac:dyDescent="0.3">
      <c r="A12" s="7" t="s">
        <v>27</v>
      </c>
      <c r="B12" s="13">
        <f>B3/B4</f>
        <v>50</v>
      </c>
      <c r="C12" t="s">
        <v>159</v>
      </c>
    </row>
    <row r="15" spans="1:3" x14ac:dyDescent="0.3">
      <c r="A15" s="7" t="s">
        <v>163</v>
      </c>
    </row>
    <row r="17" spans="1:6" x14ac:dyDescent="0.3">
      <c r="A17" s="12" t="s">
        <v>160</v>
      </c>
      <c r="B17" s="37" t="s">
        <v>161</v>
      </c>
      <c r="C17" s="37" t="s">
        <v>162</v>
      </c>
      <c r="D17" s="12" t="s">
        <v>163</v>
      </c>
    </row>
    <row r="18" spans="1:6" x14ac:dyDescent="0.3">
      <c r="A18" s="3">
        <v>0</v>
      </c>
      <c r="B18" s="3">
        <v>1000</v>
      </c>
      <c r="C18" s="10">
        <f>$B$5*$B$6-$B$8</f>
        <v>78</v>
      </c>
      <c r="D18" s="10">
        <f>C18*B18</f>
        <v>78000</v>
      </c>
      <c r="E18" s="7" t="s">
        <v>97</v>
      </c>
      <c r="F18" t="s">
        <v>166</v>
      </c>
    </row>
    <row r="19" spans="1:6" x14ac:dyDescent="0.3">
      <c r="A19" s="3">
        <v>1</v>
      </c>
      <c r="B19" s="20">
        <f>B18*50%</f>
        <v>500</v>
      </c>
      <c r="C19" s="10">
        <f t="shared" ref="C19:C28" si="0">$B$5*$B$6-$B$8</f>
        <v>78</v>
      </c>
      <c r="D19" s="10">
        <f>C19*B19/(1+$B$9)</f>
        <v>32500</v>
      </c>
    </row>
    <row r="20" spans="1:6" x14ac:dyDescent="0.3">
      <c r="A20" s="3">
        <v>2</v>
      </c>
      <c r="B20" s="20">
        <f t="shared" ref="B20:B28" si="1">B19*50%</f>
        <v>250</v>
      </c>
      <c r="C20" s="10">
        <f t="shared" si="0"/>
        <v>78</v>
      </c>
      <c r="D20" s="10">
        <f>C20*B20/(1+$B$9)^A20</f>
        <v>13541.666666666668</v>
      </c>
    </row>
    <row r="21" spans="1:6" x14ac:dyDescent="0.3">
      <c r="A21" s="3">
        <v>3</v>
      </c>
      <c r="B21" s="20">
        <f t="shared" si="1"/>
        <v>125</v>
      </c>
      <c r="C21" s="10">
        <f t="shared" si="0"/>
        <v>78</v>
      </c>
      <c r="D21" s="10">
        <f t="shared" ref="D21:D28" si="2">C21*B21/(1+$B$9)^A21</f>
        <v>5642.3611111111113</v>
      </c>
    </row>
    <row r="22" spans="1:6" x14ac:dyDescent="0.3">
      <c r="A22" s="3">
        <v>4</v>
      </c>
      <c r="B22" s="20">
        <f t="shared" si="1"/>
        <v>62.5</v>
      </c>
      <c r="C22" s="10">
        <f t="shared" si="0"/>
        <v>78</v>
      </c>
      <c r="D22" s="10">
        <f t="shared" si="2"/>
        <v>2350.9837962962965</v>
      </c>
    </row>
    <row r="23" spans="1:6" x14ac:dyDescent="0.3">
      <c r="A23" s="3">
        <v>5</v>
      </c>
      <c r="B23" s="20">
        <f t="shared" si="1"/>
        <v>31.25</v>
      </c>
      <c r="C23" s="10">
        <f t="shared" si="0"/>
        <v>78</v>
      </c>
      <c r="D23" s="10">
        <f t="shared" si="2"/>
        <v>979.57658179012356</v>
      </c>
    </row>
    <row r="24" spans="1:6" x14ac:dyDescent="0.3">
      <c r="A24" s="3">
        <v>6</v>
      </c>
      <c r="B24" s="20">
        <f t="shared" si="1"/>
        <v>15.625</v>
      </c>
      <c r="C24" s="10">
        <f t="shared" si="0"/>
        <v>78</v>
      </c>
      <c r="D24" s="10">
        <f t="shared" si="2"/>
        <v>408.15690907921817</v>
      </c>
    </row>
    <row r="25" spans="1:6" x14ac:dyDescent="0.3">
      <c r="A25" s="3">
        <v>7</v>
      </c>
      <c r="B25" s="20">
        <f t="shared" si="1"/>
        <v>7.8125</v>
      </c>
      <c r="C25" s="10">
        <f t="shared" si="0"/>
        <v>78</v>
      </c>
      <c r="D25" s="10">
        <f t="shared" si="2"/>
        <v>170.06537878300756</v>
      </c>
    </row>
    <row r="26" spans="1:6" x14ac:dyDescent="0.3">
      <c r="A26" s="3">
        <v>8</v>
      </c>
      <c r="B26" s="20">
        <f>B25*50%</f>
        <v>3.90625</v>
      </c>
      <c r="C26" s="10">
        <f t="shared" si="0"/>
        <v>78</v>
      </c>
      <c r="D26" s="10">
        <f t="shared" si="2"/>
        <v>70.860574492919824</v>
      </c>
    </row>
    <row r="27" spans="1:6" x14ac:dyDescent="0.3">
      <c r="A27" s="3">
        <v>9</v>
      </c>
      <c r="B27" s="20">
        <f t="shared" si="1"/>
        <v>1.953125</v>
      </c>
      <c r="C27" s="10">
        <f t="shared" si="0"/>
        <v>78</v>
      </c>
      <c r="D27" s="10">
        <f t="shared" si="2"/>
        <v>29.525239372049924</v>
      </c>
    </row>
    <row r="28" spans="1:6" x14ac:dyDescent="0.3">
      <c r="A28" s="3">
        <v>10</v>
      </c>
      <c r="B28" s="20">
        <f t="shared" si="1"/>
        <v>0.9765625</v>
      </c>
      <c r="C28" s="10">
        <f t="shared" si="0"/>
        <v>78</v>
      </c>
      <c r="D28" s="10">
        <f t="shared" si="2"/>
        <v>12.30218307168747</v>
      </c>
    </row>
    <row r="30" spans="1:6" x14ac:dyDescent="0.3">
      <c r="B30" s="3" t="s">
        <v>77</v>
      </c>
      <c r="C30" s="38">
        <f>SUM(D18:D28) - B3</f>
        <v>83705.498440663039</v>
      </c>
      <c r="D30" s="3" t="s">
        <v>164</v>
      </c>
    </row>
    <row r="31" spans="1:6" x14ac:dyDescent="0.3">
      <c r="B31" s="3" t="s">
        <v>165</v>
      </c>
      <c r="C31" s="10">
        <f>C30/1000</f>
        <v>83.705498440663035</v>
      </c>
      <c r="D31" t="s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CAC</vt:lpstr>
      <vt:lpstr>Basic CLV</vt:lpstr>
      <vt:lpstr>ROMI and Payback period</vt:lpstr>
      <vt:lpstr>NPV and Discount rate</vt:lpstr>
      <vt:lpstr>Advanced CLV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D</dc:creator>
  <cp:lastModifiedBy>Shruthi D</cp:lastModifiedBy>
  <dcterms:created xsi:type="dcterms:W3CDTF">2021-07-09T14:22:33Z</dcterms:created>
  <dcterms:modified xsi:type="dcterms:W3CDTF">2021-07-09T21:43:46Z</dcterms:modified>
</cp:coreProperties>
</file>