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embeddings/oleObject2.bin" ContentType="application/vnd.openxmlformats-officedocument.oleObject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 Kolhatkar\Documents\Fall2020\Marketing Analysis\"/>
    </mc:Choice>
  </mc:AlternateContent>
  <xr:revisionPtr revIDLastSave="0" documentId="13_ncr:1_{D0DD55BC-7545-480F-B758-233E2EEE833C}" xr6:coauthVersionLast="45" xr6:coauthVersionMax="45" xr10:uidLastSave="{00000000-0000-0000-0000-000000000000}"/>
  <bookViews>
    <workbookView xWindow="-110" yWindow="-110" windowWidth="19420" windowHeight="10420" activeTab="4" xr2:uid="{8D6A11BB-DF75-48B6-82BD-9D7459E1CFA4}"/>
  </bookViews>
  <sheets>
    <sheet name="part1 Q1" sheetId="1" r:id="rId1"/>
    <sheet name="part 1 Q2" sheetId="2" r:id="rId2"/>
    <sheet name="part 1 Q3" sheetId="6" r:id="rId3"/>
    <sheet name="part 2 Q1 " sheetId="7" r:id="rId4"/>
    <sheet name="part 2 Q2 and Q3" sheetId="8" r:id="rId5"/>
  </sheets>
  <externalReferences>
    <externalReference r:id="rId6"/>
  </externalReference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"FWF34V7V8VKU77A83HIQBQIJ"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8" l="1"/>
  <c r="H20" i="8"/>
  <c r="I20" i="8"/>
  <c r="J20" i="8"/>
  <c r="H19" i="8"/>
  <c r="I19" i="8"/>
  <c r="J19" i="8"/>
  <c r="N18" i="8"/>
  <c r="H18" i="8"/>
  <c r="I18" i="8"/>
  <c r="J18" i="8"/>
  <c r="N17" i="8"/>
  <c r="H17" i="8"/>
  <c r="I17" i="8"/>
  <c r="J17" i="8"/>
  <c r="N16" i="8"/>
  <c r="L21" i="8"/>
  <c r="H16" i="8"/>
  <c r="I16" i="8"/>
  <c r="J16" i="8"/>
  <c r="N15" i="8"/>
  <c r="L20" i="8"/>
  <c r="O21" i="8"/>
  <c r="P21" i="8"/>
  <c r="Q21" i="8"/>
  <c r="H15" i="8"/>
  <c r="I15" i="8"/>
  <c r="J15" i="8"/>
  <c r="H14" i="8"/>
  <c r="I14" i="8"/>
  <c r="J14" i="8"/>
  <c r="H13" i="8"/>
  <c r="I13" i="8"/>
  <c r="J13" i="8"/>
  <c r="N21" i="8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F8" i="7" s="1"/>
  <c r="D8" i="7"/>
  <c r="D7" i="7"/>
  <c r="N7" i="6"/>
  <c r="M7" i="6"/>
  <c r="J7" i="6"/>
  <c r="K7" i="6"/>
  <c r="B7" i="6"/>
  <c r="C7" i="6"/>
  <c r="E7" i="6"/>
  <c r="G7" i="6"/>
  <c r="D7" i="6"/>
  <c r="F7" i="6"/>
  <c r="P7" i="6"/>
  <c r="M8" i="6"/>
  <c r="J8" i="6"/>
  <c r="K8" i="6"/>
  <c r="L8" i="6"/>
  <c r="J9" i="6"/>
  <c r="K9" i="6"/>
  <c r="O7" i="6"/>
  <c r="D8" i="6"/>
  <c r="B10" i="2"/>
  <c r="C10" i="2"/>
  <c r="B10" i="1"/>
  <c r="C10" i="1"/>
  <c r="K13" i="8"/>
  <c r="D10" i="1"/>
  <c r="B11" i="1"/>
  <c r="C11" i="1"/>
  <c r="D10" i="2"/>
  <c r="B11" i="2"/>
  <c r="C11" i="2"/>
  <c r="M21" i="8"/>
  <c r="L22" i="8"/>
  <c r="O22" i="8"/>
  <c r="P22" i="8"/>
  <c r="Q22" i="8"/>
  <c r="B8" i="6"/>
  <c r="C8" i="6"/>
  <c r="D9" i="6"/>
  <c r="E8" i="6"/>
  <c r="N8" i="6"/>
  <c r="L7" i="6"/>
  <c r="M22" i="8"/>
  <c r="L23" i="8"/>
  <c r="N22" i="8"/>
  <c r="B12" i="2"/>
  <c r="C12" i="2"/>
  <c r="D11" i="2"/>
  <c r="D11" i="1"/>
  <c r="B12" i="1"/>
  <c r="C12" i="1"/>
  <c r="B13" i="2"/>
  <c r="C13" i="2"/>
  <c r="D12" i="2"/>
  <c r="N23" i="8"/>
  <c r="M23" i="8"/>
  <c r="L24" i="8"/>
  <c r="O24" i="8"/>
  <c r="P24" i="8"/>
  <c r="Q24" i="8"/>
  <c r="O23" i="8"/>
  <c r="P23" i="8"/>
  <c r="Q23" i="8"/>
  <c r="D12" i="1"/>
  <c r="B13" i="1"/>
  <c r="C13" i="1"/>
  <c r="D13" i="1"/>
  <c r="B14" i="1"/>
  <c r="C14" i="1"/>
  <c r="D13" i="2"/>
  <c r="B14" i="2"/>
  <c r="C14" i="2"/>
  <c r="N24" i="8"/>
  <c r="M24" i="8"/>
  <c r="O25" i="8"/>
  <c r="P25" i="8"/>
  <c r="Q25" i="8"/>
  <c r="L25" i="8"/>
  <c r="B15" i="2"/>
  <c r="C15" i="2"/>
  <c r="D14" i="2"/>
  <c r="D14" i="1"/>
  <c r="B15" i="1"/>
  <c r="C15" i="1"/>
  <c r="O26" i="8"/>
  <c r="P26" i="8"/>
  <c r="Q26" i="8"/>
  <c r="M25" i="8"/>
  <c r="N25" i="8"/>
  <c r="L26" i="8"/>
  <c r="B16" i="1"/>
  <c r="C16" i="1"/>
  <c r="D15" i="1"/>
  <c r="B16" i="2"/>
  <c r="C16" i="2"/>
  <c r="D15" i="2"/>
  <c r="M26" i="8"/>
  <c r="L27" i="8"/>
  <c r="N26" i="8"/>
  <c r="O27" i="8"/>
  <c r="P27" i="8"/>
  <c r="Q27" i="8"/>
  <c r="B17" i="2"/>
  <c r="C17" i="2"/>
  <c r="D16" i="2"/>
  <c r="M27" i="8"/>
  <c r="O28" i="8"/>
  <c r="P28" i="8"/>
  <c r="Q28" i="8"/>
  <c r="N27" i="8"/>
  <c r="D16" i="1"/>
  <c r="B17" i="1"/>
  <c r="C17" i="1"/>
  <c r="B18" i="1"/>
  <c r="C18" i="1"/>
  <c r="D17" i="1"/>
  <c r="D17" i="2"/>
  <c r="B18" i="2"/>
  <c r="C18" i="2"/>
  <c r="L28" i="8"/>
  <c r="B19" i="1"/>
  <c r="C19" i="1"/>
  <c r="D18" i="1"/>
  <c r="B19" i="2"/>
  <c r="C19" i="2"/>
  <c r="D18" i="2"/>
  <c r="M28" i="8"/>
  <c r="L29" i="8"/>
  <c r="O29" i="8"/>
  <c r="P29" i="8"/>
  <c r="Q29" i="8"/>
  <c r="N28" i="8"/>
  <c r="B20" i="2"/>
  <c r="C20" i="2"/>
  <c r="D19" i="2"/>
  <c r="M29" i="8"/>
  <c r="L30" i="8"/>
  <c r="N29" i="8"/>
  <c r="O30" i="8"/>
  <c r="P30" i="8"/>
  <c r="Q30" i="8"/>
  <c r="B20" i="1"/>
  <c r="C20" i="1"/>
  <c r="D19" i="1"/>
  <c r="M30" i="8"/>
  <c r="O31" i="8"/>
  <c r="P31" i="8"/>
  <c r="Q31" i="8"/>
  <c r="N30" i="8"/>
  <c r="L31" i="8"/>
  <c r="D20" i="2"/>
  <c r="B21" i="2"/>
  <c r="C21" i="2"/>
  <c r="D20" i="1"/>
  <c r="B21" i="1"/>
  <c r="C21" i="1"/>
  <c r="B22" i="1"/>
  <c r="C22" i="1"/>
  <c r="D21" i="1"/>
  <c r="N31" i="8"/>
  <c r="M31" i="8"/>
  <c r="O32" i="8"/>
  <c r="P32" i="8"/>
  <c r="Q32" i="8"/>
  <c r="L32" i="8"/>
  <c r="D21" i="2"/>
  <c r="B22" i="2"/>
  <c r="C22" i="2"/>
  <c r="B23" i="2"/>
  <c r="C23" i="2"/>
  <c r="D22" i="2"/>
  <c r="B23" i="1"/>
  <c r="C23" i="1"/>
  <c r="D22" i="1"/>
  <c r="N32" i="8"/>
  <c r="O33" i="8"/>
  <c r="P33" i="8"/>
  <c r="Q33" i="8"/>
  <c r="M32" i="8"/>
  <c r="L33" i="8"/>
  <c r="D23" i="1"/>
  <c r="B24" i="1"/>
  <c r="C24" i="1"/>
  <c r="B24" i="2"/>
  <c r="C24" i="2"/>
  <c r="D23" i="2"/>
  <c r="N33" i="8"/>
  <c r="M33" i="8"/>
  <c r="O34" i="8"/>
  <c r="P34" i="8"/>
  <c r="Q34" i="8"/>
  <c r="L34" i="8"/>
  <c r="D24" i="2"/>
  <c r="B25" i="2"/>
  <c r="C25" i="2"/>
  <c r="D24" i="1"/>
  <c r="B25" i="1"/>
  <c r="C25" i="1"/>
  <c r="M34" i="8"/>
  <c r="N34" i="8"/>
  <c r="O35" i="8"/>
  <c r="P35" i="8"/>
  <c r="Q35" i="8"/>
  <c r="L35" i="8"/>
  <c r="D25" i="2"/>
  <c r="B26" i="2"/>
  <c r="C26" i="2"/>
  <c r="N35" i="8"/>
  <c r="M35" i="8"/>
  <c r="O36" i="8"/>
  <c r="P36" i="8"/>
  <c r="Q36" i="8"/>
  <c r="L36" i="8"/>
  <c r="D25" i="1"/>
  <c r="B26" i="1"/>
  <c r="C26" i="1"/>
  <c r="B27" i="2"/>
  <c r="C27" i="2"/>
  <c r="D26" i="2"/>
  <c r="N36" i="8"/>
  <c r="M36" i="8"/>
  <c r="O37" i="8"/>
  <c r="P37" i="8"/>
  <c r="Q37" i="8"/>
  <c r="L37" i="8"/>
  <c r="D26" i="1"/>
  <c r="B27" i="1"/>
  <c r="C27" i="1"/>
  <c r="D27" i="1"/>
  <c r="B28" i="1"/>
  <c r="C28" i="1"/>
  <c r="N37" i="8"/>
  <c r="M37" i="8"/>
  <c r="O38" i="8"/>
  <c r="P38" i="8"/>
  <c r="Q38" i="8"/>
  <c r="L38" i="8"/>
  <c r="B28" i="2"/>
  <c r="C28" i="2"/>
  <c r="D27" i="2"/>
  <c r="D28" i="2"/>
  <c r="B29" i="2"/>
  <c r="C29" i="2"/>
  <c r="D29" i="2"/>
  <c r="N38" i="8"/>
  <c r="M38" i="8"/>
  <c r="O39" i="8"/>
  <c r="P39" i="8"/>
  <c r="Q39" i="8"/>
  <c r="L39" i="8"/>
  <c r="D28" i="1"/>
  <c r="B29" i="1"/>
  <c r="C29" i="1"/>
  <c r="D29" i="1"/>
  <c r="N39" i="8"/>
  <c r="M39" i="8"/>
  <c r="O40" i="8"/>
  <c r="P40" i="8"/>
  <c r="Q40" i="8"/>
  <c r="L40" i="8"/>
  <c r="N40" i="8"/>
  <c r="M40" i="8"/>
  <c r="O41" i="8"/>
  <c r="P41" i="8"/>
  <c r="Q41" i="8"/>
  <c r="L41" i="8"/>
  <c r="N41" i="8"/>
  <c r="M41" i="8"/>
  <c r="O42" i="8"/>
  <c r="P42" i="8"/>
  <c r="Q42" i="8"/>
  <c r="L42" i="8"/>
  <c r="N42" i="8"/>
  <c r="M42" i="8"/>
  <c r="O43" i="8"/>
  <c r="P43" i="8"/>
  <c r="Q43" i="8"/>
  <c r="L43" i="8"/>
  <c r="O44" i="8"/>
  <c r="P44" i="8"/>
  <c r="Q44" i="8"/>
  <c r="N43" i="8"/>
  <c r="M43" i="8"/>
  <c r="L44" i="8"/>
  <c r="M44" i="8"/>
  <c r="O45" i="8"/>
  <c r="P45" i="8"/>
  <c r="Q45" i="8"/>
  <c r="N44" i="8"/>
  <c r="L45" i="8"/>
  <c r="N45" i="8"/>
  <c r="M45" i="8"/>
  <c r="O46" i="8"/>
  <c r="P46" i="8"/>
  <c r="Q46" i="8"/>
  <c r="L46" i="8"/>
  <c r="N46" i="8"/>
  <c r="M46" i="8"/>
  <c r="O47" i="8"/>
  <c r="P47" i="8"/>
  <c r="Q47" i="8"/>
  <c r="L47" i="8"/>
  <c r="N47" i="8"/>
  <c r="M47" i="8"/>
  <c r="O48" i="8"/>
  <c r="P48" i="8"/>
  <c r="Q48" i="8"/>
  <c r="L48" i="8"/>
  <c r="N48" i="8"/>
  <c r="M48" i="8"/>
  <c r="O49" i="8"/>
  <c r="P49" i="8"/>
  <c r="Q49" i="8"/>
  <c r="L49" i="8"/>
  <c r="N49" i="8"/>
  <c r="M49" i="8"/>
  <c r="O50" i="8"/>
  <c r="P50" i="8"/>
  <c r="Q50" i="8"/>
  <c r="R21" i="8"/>
  <c r="L50" i="8"/>
  <c r="N50" i="8"/>
  <c r="M50" i="8"/>
  <c r="O54" i="8"/>
  <c r="O51" i="8"/>
  <c r="O53" i="8"/>
  <c r="O52" i="8"/>
  <c r="K10" i="6"/>
  <c r="N10" i="6"/>
  <c r="P10" i="6"/>
  <c r="M10" i="6"/>
  <c r="O10" i="6"/>
  <c r="J10" i="6"/>
  <c r="L9" i="6"/>
  <c r="N9" i="6"/>
  <c r="P9" i="6"/>
  <c r="O8" i="6"/>
  <c r="P8" i="6"/>
  <c r="M9" i="6"/>
  <c r="O9" i="6"/>
  <c r="E9" i="6"/>
  <c r="F8" i="6"/>
  <c r="B9" i="6"/>
  <c r="C9" i="6"/>
  <c r="G8" i="6"/>
  <c r="N11" i="6"/>
  <c r="P11" i="6"/>
  <c r="L10" i="6"/>
  <c r="M11" i="6"/>
  <c r="O11" i="6"/>
  <c r="J11" i="6"/>
  <c r="K11" i="6"/>
  <c r="B10" i="6"/>
  <c r="C10" i="6"/>
  <c r="D10" i="6"/>
  <c r="E10" i="6"/>
  <c r="F9" i="6"/>
  <c r="G9" i="6"/>
  <c r="L11" i="6"/>
  <c r="M12" i="6"/>
  <c r="O12" i="6"/>
  <c r="J12" i="6"/>
  <c r="K12" i="6"/>
  <c r="N12" i="6"/>
  <c r="P12" i="6"/>
  <c r="B11" i="6"/>
  <c r="C11" i="6"/>
  <c r="D11" i="6"/>
  <c r="E11" i="6"/>
  <c r="G10" i="6"/>
  <c r="F10" i="6"/>
  <c r="M13" i="6"/>
  <c r="L12" i="6"/>
  <c r="J13" i="6"/>
  <c r="K13" i="6"/>
  <c r="N13" i="6"/>
  <c r="B12" i="6"/>
  <c r="C12" i="6"/>
  <c r="E12" i="6"/>
  <c r="D12" i="6"/>
  <c r="G11" i="6"/>
  <c r="F11" i="6"/>
  <c r="L13" i="6"/>
  <c r="K14" i="6"/>
  <c r="N14" i="6"/>
  <c r="P14" i="6"/>
  <c r="J14" i="6"/>
  <c r="M14" i="6"/>
  <c r="P13" i="6"/>
  <c r="O13" i="6"/>
  <c r="C13" i="6"/>
  <c r="E13" i="6"/>
  <c r="G13" i="6"/>
  <c r="D13" i="6"/>
  <c r="F13" i="6"/>
  <c r="B13" i="6"/>
  <c r="F12" i="6"/>
  <c r="G12" i="6"/>
  <c r="N15" i="6"/>
  <c r="L14" i="6"/>
  <c r="M15" i="6"/>
  <c r="J15" i="6"/>
  <c r="K15" i="6"/>
  <c r="O14" i="6"/>
  <c r="B14" i="6"/>
  <c r="C14" i="6"/>
  <c r="D14" i="6"/>
  <c r="F14" i="6"/>
  <c r="E14" i="6"/>
  <c r="K16" i="6"/>
  <c r="M16" i="6"/>
  <c r="O16" i="6"/>
  <c r="N16" i="6"/>
  <c r="P16" i="6"/>
  <c r="L15" i="6"/>
  <c r="J16" i="6"/>
  <c r="O15" i="6"/>
  <c r="P15" i="6"/>
  <c r="B15" i="6"/>
  <c r="C15" i="6"/>
  <c r="D15" i="6"/>
  <c r="E15" i="6"/>
  <c r="G14" i="6"/>
  <c r="M17" i="6"/>
  <c r="J17" i="6"/>
  <c r="K17" i="6"/>
  <c r="L16" i="6"/>
  <c r="N17" i="6"/>
  <c r="E16" i="6"/>
  <c r="D16" i="6"/>
  <c r="B16" i="6"/>
  <c r="C16" i="6"/>
  <c r="G15" i="6"/>
  <c r="F15" i="6"/>
  <c r="J18" i="6"/>
  <c r="K18" i="6"/>
  <c r="M18" i="6"/>
  <c r="L17" i="6"/>
  <c r="N18" i="6"/>
  <c r="O17" i="6"/>
  <c r="P17" i="6"/>
  <c r="E17" i="6"/>
  <c r="D17" i="6"/>
  <c r="B17" i="6"/>
  <c r="C17" i="6"/>
  <c r="G16" i="6"/>
  <c r="F16" i="6"/>
  <c r="M19" i="6"/>
  <c r="O19" i="6"/>
  <c r="L18" i="6"/>
  <c r="J19" i="6"/>
  <c r="N19" i="6"/>
  <c r="K19" i="6"/>
  <c r="O18" i="6"/>
  <c r="P18" i="6"/>
  <c r="D18" i="6"/>
  <c r="E18" i="6"/>
  <c r="B18" i="6"/>
  <c r="C18" i="6"/>
  <c r="F17" i="6"/>
  <c r="G17" i="6"/>
  <c r="K20" i="6"/>
  <c r="N20" i="6"/>
  <c r="M20" i="6"/>
  <c r="L19" i="6"/>
  <c r="J20" i="6"/>
  <c r="P19" i="6"/>
  <c r="E19" i="6"/>
  <c r="G19" i="6"/>
  <c r="D19" i="6"/>
  <c r="B19" i="6"/>
  <c r="C19" i="6"/>
  <c r="G18" i="6"/>
  <c r="F18" i="6"/>
  <c r="J21" i="6"/>
  <c r="N21" i="6"/>
  <c r="M21" i="6"/>
  <c r="K21" i="6"/>
  <c r="L20" i="6"/>
  <c r="O20" i="6"/>
  <c r="P20" i="6"/>
  <c r="E20" i="6"/>
  <c r="D20" i="6"/>
  <c r="B20" i="6"/>
  <c r="C20" i="6"/>
  <c r="F19" i="6"/>
  <c r="L21" i="6"/>
  <c r="J22" i="6"/>
  <c r="K22" i="6"/>
  <c r="M22" i="6"/>
  <c r="N22" i="6"/>
  <c r="O21" i="6"/>
  <c r="P21" i="6"/>
  <c r="E21" i="6"/>
  <c r="B21" i="6"/>
  <c r="C21" i="6"/>
  <c r="D21" i="6"/>
  <c r="G20" i="6"/>
  <c r="F20" i="6"/>
  <c r="N23" i="6"/>
  <c r="M23" i="6"/>
  <c r="L22" i="6"/>
  <c r="J23" i="6"/>
  <c r="K23" i="6"/>
  <c r="P22" i="6"/>
  <c r="O22" i="6"/>
  <c r="D22" i="6"/>
  <c r="E22" i="6"/>
  <c r="B22" i="6"/>
  <c r="C22" i="6"/>
  <c r="F21" i="6"/>
  <c r="G21" i="6"/>
  <c r="J24" i="6"/>
  <c r="K24" i="6"/>
  <c r="N24" i="6"/>
  <c r="P24" i="6"/>
  <c r="M24" i="6"/>
  <c r="O24" i="6"/>
  <c r="L23" i="6"/>
  <c r="O23" i="6"/>
  <c r="P23" i="6"/>
  <c r="E23" i="6"/>
  <c r="B23" i="6"/>
  <c r="C23" i="6"/>
  <c r="D23" i="6"/>
  <c r="G22" i="6"/>
  <c r="F22" i="6"/>
  <c r="L24" i="6"/>
  <c r="M25" i="6"/>
  <c r="J25" i="6"/>
  <c r="K25" i="6"/>
  <c r="N25" i="6"/>
  <c r="D24" i="6"/>
  <c r="B24" i="6"/>
  <c r="C24" i="6"/>
  <c r="E24" i="6"/>
  <c r="F23" i="6"/>
  <c r="G23" i="6"/>
  <c r="L25" i="6"/>
  <c r="N26" i="6"/>
  <c r="J26" i="6"/>
  <c r="M26" i="6"/>
  <c r="K26" i="6"/>
  <c r="L26" i="6"/>
  <c r="P25" i="6"/>
  <c r="O25" i="6"/>
  <c r="D25" i="6"/>
  <c r="B25" i="6"/>
  <c r="C25" i="6"/>
  <c r="E25" i="6"/>
  <c r="F24" i="6"/>
  <c r="G24" i="6"/>
  <c r="O26" i="6"/>
  <c r="P26" i="6"/>
  <c r="F25" i="6"/>
  <c r="B26" i="6"/>
  <c r="D26" i="6"/>
  <c r="E26" i="6"/>
  <c r="C26" i="6"/>
  <c r="G25" i="6"/>
  <c r="G26" i="6"/>
  <c r="F26" i="6"/>
  <c r="F9" i="7" l="1"/>
  <c r="G8" i="7"/>
  <c r="H8" i="7" s="1"/>
  <c r="G9" i="7" l="1"/>
  <c r="H9" i="7" s="1"/>
  <c r="F10" i="7"/>
  <c r="F11" i="7" l="1"/>
  <c r="G10" i="7"/>
  <c r="H10" i="7" s="1"/>
  <c r="G11" i="7" l="1"/>
  <c r="H11" i="7" s="1"/>
  <c r="F12" i="7"/>
  <c r="G12" i="7" l="1"/>
  <c r="H12" i="7" s="1"/>
  <c r="F13" i="7"/>
  <c r="F14" i="7" l="1"/>
  <c r="G13" i="7"/>
  <c r="H13" i="7" s="1"/>
  <c r="F15" i="7" l="1"/>
  <c r="G14" i="7"/>
  <c r="H14" i="7" s="1"/>
  <c r="F16" i="7" l="1"/>
  <c r="G15" i="7"/>
  <c r="H15" i="7" s="1"/>
  <c r="F17" i="7" l="1"/>
  <c r="G16" i="7"/>
  <c r="H16" i="7" s="1"/>
  <c r="F18" i="7" l="1"/>
  <c r="G17" i="7"/>
  <c r="H17" i="7" s="1"/>
  <c r="G18" i="7" l="1"/>
  <c r="H18" i="7" s="1"/>
  <c r="F19" i="7"/>
  <c r="F20" i="7" l="1"/>
  <c r="G19" i="7"/>
  <c r="H19" i="7" s="1"/>
  <c r="F21" i="7" l="1"/>
  <c r="G20" i="7"/>
  <c r="H20" i="7" s="1"/>
  <c r="G21" i="7" l="1"/>
  <c r="H21" i="7" s="1"/>
  <c r="F22" i="7"/>
  <c r="F23" i="7" l="1"/>
  <c r="G22" i="7"/>
  <c r="H22" i="7" s="1"/>
  <c r="G23" i="7" l="1"/>
  <c r="H23" i="7" s="1"/>
  <c r="F24" i="7"/>
  <c r="F25" i="7" l="1"/>
  <c r="G24" i="7"/>
  <c r="H24" i="7" s="1"/>
  <c r="F26" i="7" l="1"/>
  <c r="G25" i="7"/>
  <c r="H25" i="7" s="1"/>
  <c r="F27" i="7" l="1"/>
  <c r="G26" i="7"/>
  <c r="H26" i="7" s="1"/>
  <c r="G27" i="7" l="1"/>
  <c r="H27" i="7" s="1"/>
  <c r="F28" i="7"/>
  <c r="F29" i="7" l="1"/>
  <c r="G28" i="7"/>
  <c r="H28" i="7" s="1"/>
  <c r="F30" i="7" l="1"/>
  <c r="G29" i="7"/>
  <c r="H29" i="7" s="1"/>
  <c r="F31" i="7" l="1"/>
  <c r="G30" i="7"/>
  <c r="H30" i="7" s="1"/>
  <c r="F32" i="7" l="1"/>
  <c r="G31" i="7"/>
  <c r="H31" i="7" s="1"/>
  <c r="F33" i="7" l="1"/>
  <c r="G32" i="7"/>
  <c r="H32" i="7" s="1"/>
  <c r="F34" i="7" l="1"/>
  <c r="G33" i="7"/>
  <c r="H33" i="7" s="1"/>
  <c r="G34" i="7" l="1"/>
  <c r="H34" i="7" s="1"/>
  <c r="F35" i="7"/>
  <c r="G35" i="7" l="1"/>
  <c r="H35" i="7" s="1"/>
  <c r="F36" i="7"/>
  <c r="G36" i="7" l="1"/>
  <c r="H36" i="7" s="1"/>
  <c r="F37" i="7"/>
  <c r="F38" i="7" l="1"/>
  <c r="G37" i="7"/>
  <c r="H37" i="7" s="1"/>
  <c r="F39" i="7" l="1"/>
  <c r="G38" i="7"/>
  <c r="H38" i="7" s="1"/>
  <c r="G39" i="7" l="1"/>
  <c r="H39" i="7" s="1"/>
  <c r="F40" i="7"/>
  <c r="F41" i="7" l="1"/>
  <c r="G40" i="7"/>
  <c r="H40" i="7" s="1"/>
  <c r="G41" i="7" l="1"/>
  <c r="H41" i="7" s="1"/>
  <c r="F42" i="7"/>
  <c r="G42" i="7" s="1"/>
  <c r="H42" i="7" s="1"/>
  <c r="L8" i="7" s="1"/>
</calcChain>
</file>

<file path=xl/sharedStrings.xml><?xml version="1.0" encoding="utf-8"?>
<sst xmlns="http://schemas.openxmlformats.org/spreadsheetml/2006/main" count="77" uniqueCount="40">
  <si>
    <t>p</t>
  </si>
  <si>
    <t>q</t>
  </si>
  <si>
    <t>m</t>
  </si>
  <si>
    <t>Year</t>
  </si>
  <si>
    <t>Market Penetration</t>
  </si>
  <si>
    <t>Innovators</t>
  </si>
  <si>
    <t>Cumulative Sales</t>
  </si>
  <si>
    <t>Sales</t>
  </si>
  <si>
    <t xml:space="preserve">Imitators </t>
  </si>
  <si>
    <t>Innovators share</t>
  </si>
  <si>
    <t>Imitators share</t>
  </si>
  <si>
    <t>Cummmulative sale</t>
  </si>
  <si>
    <t>Cummulative Sales</t>
  </si>
  <si>
    <t>Quarter Ending</t>
  </si>
  <si>
    <t>Sales (in million $)</t>
  </si>
  <si>
    <t>Trend</t>
  </si>
  <si>
    <t>Moving Average (2 period)</t>
  </si>
  <si>
    <t>Period Forecast</t>
  </si>
  <si>
    <t>Smoothed Forecast</t>
  </si>
  <si>
    <t>Error</t>
  </si>
  <si>
    <t>Error^2</t>
  </si>
  <si>
    <t>Alpha</t>
  </si>
  <si>
    <t>SSE</t>
  </si>
  <si>
    <t>Forecast</t>
  </si>
  <si>
    <t>Baseline</t>
  </si>
  <si>
    <t>Mar</t>
  </si>
  <si>
    <t>June</t>
  </si>
  <si>
    <t>Sep</t>
  </si>
  <si>
    <t>Dec</t>
  </si>
  <si>
    <t>Sum</t>
  </si>
  <si>
    <t>Beta</t>
  </si>
  <si>
    <t>Gamma</t>
  </si>
  <si>
    <t>Q1</t>
  </si>
  <si>
    <t>Q2</t>
  </si>
  <si>
    <t>Q3</t>
  </si>
  <si>
    <t>Q4</t>
  </si>
  <si>
    <t>Seasonal</t>
  </si>
  <si>
    <t>Level</t>
  </si>
  <si>
    <t>Period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</si>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</sst>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[$-409]d\-mmm\-yyyy;@"/>
    <numFmt numFmtId="167" formatCode="0.0"/>
    <numFmt numFmtId="168" formatCode="0.000000"/>
    <numFmt numFmtId="169" formatCode="0.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70">
    <xf numFmtId="0" fontId="0" fillId="0" borderId="0" xfId="0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9" fontId="0" fillId="0" borderId="0" xfId="2" applyFont="1"/>
    <xf numFmtId="9" fontId="0" fillId="0" borderId="0" xfId="0" applyNumberFormat="1"/>
    <xf numFmtId="0" fontId="0" fillId="2" borderId="0" xfId="0" applyFill="1" applyAlignment="1">
      <alignment horizontal="right"/>
    </xf>
    <xf numFmtId="164" fontId="0" fillId="2" borderId="0" xfId="0" applyNumberFormat="1" applyFill="1"/>
    <xf numFmtId="165" fontId="0" fillId="2" borderId="0" xfId="1" applyNumberFormat="1" applyFont="1" applyFill="1"/>
    <xf numFmtId="0" fontId="0" fillId="2" borderId="0" xfId="0" applyFill="1"/>
    <xf numFmtId="0" fontId="0" fillId="0" borderId="3" xfId="0" applyBorder="1"/>
    <xf numFmtId="0" fontId="0" fillId="0" borderId="3" xfId="0" applyFill="1" applyBorder="1"/>
    <xf numFmtId="0" fontId="6" fillId="0" borderId="3" xfId="0" applyFont="1" applyFill="1" applyBorder="1" applyAlignment="1">
      <alignment wrapText="1"/>
    </xf>
    <xf numFmtId="0" fontId="0" fillId="0" borderId="3" xfId="0" applyFill="1" applyBorder="1" applyAlignment="1">
      <alignment vertical="center"/>
    </xf>
    <xf numFmtId="0" fontId="6" fillId="0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2" borderId="0" xfId="0" applyFont="1" applyFill="1"/>
    <xf numFmtId="0" fontId="0" fillId="0" borderId="3" xfId="0" applyFill="1" applyBorder="1" applyProtection="1">
      <protection locked="0"/>
    </xf>
    <xf numFmtId="9" fontId="0" fillId="0" borderId="3" xfId="0" applyNumberFormat="1" applyFill="1" applyBorder="1" applyProtection="1">
      <protection locked="0"/>
    </xf>
    <xf numFmtId="10" fontId="0" fillId="0" borderId="3" xfId="0" applyNumberFormat="1" applyBorder="1"/>
    <xf numFmtId="9" fontId="0" fillId="0" borderId="3" xfId="0" applyNumberFormat="1" applyBorder="1"/>
    <xf numFmtId="166" fontId="2" fillId="0" borderId="0" xfId="0" applyNumberFormat="1" applyFont="1"/>
    <xf numFmtId="167" fontId="2" fillId="0" borderId="0" xfId="0" applyNumberFormat="1" applyFont="1"/>
    <xf numFmtId="0" fontId="6" fillId="2" borderId="1" xfId="3" applyFont="1" applyFill="1" applyBorder="1"/>
    <xf numFmtId="2" fontId="6" fillId="2" borderId="2" xfId="3" applyNumberFormat="1" applyFont="1" applyFill="1" applyBorder="1"/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Fill="1"/>
    <xf numFmtId="0" fontId="6" fillId="2" borderId="0" xfId="3" applyFont="1" applyFill="1"/>
    <xf numFmtId="0" fontId="8" fillId="2" borderId="3" xfId="3" applyFont="1" applyFill="1" applyBorder="1" applyAlignment="1">
      <alignment horizontal="center" wrapText="1"/>
    </xf>
    <xf numFmtId="0" fontId="6" fillId="2" borderId="3" xfId="3" applyNumberFormat="1" applyFont="1" applyFill="1" applyBorder="1"/>
    <xf numFmtId="166" fontId="6" fillId="2" borderId="3" xfId="3" applyNumberFormat="1" applyFont="1" applyFill="1" applyBorder="1"/>
    <xf numFmtId="15" fontId="6" fillId="2" borderId="3" xfId="3" applyNumberFormat="1" applyFont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167" fontId="0" fillId="0" borderId="0" xfId="0" applyNumberFormat="1" applyFont="1"/>
    <xf numFmtId="2" fontId="0" fillId="0" borderId="0" xfId="0" applyNumberFormat="1" applyFont="1"/>
    <xf numFmtId="0" fontId="8" fillId="0" borderId="0" xfId="3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0" fillId="0" borderId="0" xfId="0" applyFont="1" applyFill="1"/>
    <xf numFmtId="0" fontId="0" fillId="0" borderId="3" xfId="0" applyFont="1" applyBorder="1"/>
    <xf numFmtId="0" fontId="8" fillId="0" borderId="3" xfId="3" applyFont="1" applyFill="1" applyBorder="1" applyAlignment="1">
      <alignment horizontal="center" wrapText="1"/>
    </xf>
    <xf numFmtId="0" fontId="8" fillId="0" borderId="3" xfId="3" applyFont="1" applyFill="1" applyBorder="1" applyAlignment="1">
      <alignment wrapText="1"/>
    </xf>
    <xf numFmtId="166" fontId="2" fillId="0" borderId="3" xfId="0" applyNumberFormat="1" applyFont="1" applyBorder="1"/>
    <xf numFmtId="167" fontId="2" fillId="0" borderId="3" xfId="0" applyNumberFormat="1" applyFont="1" applyBorder="1"/>
    <xf numFmtId="0" fontId="8" fillId="2" borderId="3" xfId="3" applyFont="1" applyFill="1" applyBorder="1" applyAlignment="1">
      <alignment horizontal="center"/>
    </xf>
    <xf numFmtId="167" fontId="0" fillId="0" borderId="3" xfId="0" applyNumberFormat="1" applyFont="1" applyBorder="1"/>
    <xf numFmtId="0" fontId="8" fillId="0" borderId="3" xfId="3" applyFont="1" applyFill="1" applyBorder="1" applyAlignment="1"/>
    <xf numFmtId="0" fontId="6" fillId="0" borderId="3" xfId="0" applyFont="1" applyFill="1" applyBorder="1"/>
    <xf numFmtId="166" fontId="2" fillId="0" borderId="3" xfId="0" applyNumberFormat="1" applyFont="1" applyFill="1" applyBorder="1"/>
    <xf numFmtId="167" fontId="2" fillId="0" borderId="3" xfId="0" applyNumberFormat="1" applyFont="1" applyFill="1" applyBorder="1"/>
    <xf numFmtId="168" fontId="0" fillId="0" borderId="3" xfId="0" applyNumberFormat="1" applyFont="1" applyBorder="1"/>
    <xf numFmtId="0" fontId="8" fillId="0" borderId="3" xfId="3" applyFont="1" applyFill="1" applyBorder="1" applyAlignment="1">
      <alignment horizontal="center"/>
    </xf>
    <xf numFmtId="164" fontId="0" fillId="0" borderId="3" xfId="0" applyNumberFormat="1" applyFont="1" applyBorder="1"/>
    <xf numFmtId="169" fontId="0" fillId="0" borderId="3" xfId="0" applyNumberFormat="1" applyFont="1" applyBorder="1"/>
    <xf numFmtId="166" fontId="2" fillId="0" borderId="4" xfId="0" applyNumberFormat="1" applyFont="1" applyBorder="1"/>
    <xf numFmtId="0" fontId="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wrapText="1"/>
    </xf>
    <xf numFmtId="10" fontId="0" fillId="0" borderId="3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vertical="center" wrapText="1"/>
    </xf>
    <xf numFmtId="167" fontId="0" fillId="0" borderId="3" xfId="0" applyNumberFormat="1" applyBorder="1"/>
    <xf numFmtId="2" fontId="0" fillId="0" borderId="3" xfId="0" applyNumberFormat="1" applyBorder="1"/>
    <xf numFmtId="0" fontId="0" fillId="0" borderId="5" xfId="0" applyBorder="1"/>
    <xf numFmtId="0" fontId="9" fillId="0" borderId="3" xfId="4" applyFont="1" applyFill="1" applyBorder="1" applyAlignment="1" applyProtection="1">
      <alignment horizontal="center" vertical="top" wrapText="1"/>
      <protection locked="0"/>
    </xf>
    <xf numFmtId="0" fontId="9" fillId="0" borderId="3" xfId="4" applyFont="1" applyFill="1" applyBorder="1" applyAlignment="1" applyProtection="1">
      <alignment vertical="top" wrapText="1"/>
      <protection locked="0"/>
    </xf>
    <xf numFmtId="0" fontId="6" fillId="0" borderId="0" xfId="0" applyFont="1" applyFill="1" applyAlignment="1" applyProtection="1">
      <alignment vertical="top"/>
      <protection locked="0"/>
    </xf>
    <xf numFmtId="0" fontId="6" fillId="2" borderId="1" xfId="3" applyFont="1" applyFill="1" applyBorder="1" applyAlignment="1" applyProtection="1">
      <alignment vertical="top"/>
      <protection locked="0"/>
    </xf>
    <xf numFmtId="0" fontId="6" fillId="2" borderId="2" xfId="3" applyFont="1" applyFill="1" applyBorder="1" applyAlignment="1" applyProtection="1">
      <alignment vertical="top"/>
      <protection locked="0"/>
    </xf>
  </cellXfs>
  <cellStyles count="5">
    <cellStyle name="Accent1" xfId="4" builtinId="29"/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'part1 Q1'!$B$9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'part1 Q1'!$B$10:$B$29</c:f>
              <c:numCache>
                <c:formatCode>_(* #,##0.00_);_(* \(#,##0.00\);_(* "-"??_);_(@_)</c:formatCode>
                <c:ptCount val="20"/>
                <c:pt idx="0">
                  <c:v>750000</c:v>
                </c:pt>
                <c:pt idx="1">
                  <c:v>1018500</c:v>
                </c:pt>
                <c:pt idx="2">
                  <c:v>1354303.524</c:v>
                </c:pt>
                <c:pt idx="3">
                  <c:v>1749406.874287891</c:v>
                </c:pt>
                <c:pt idx="4">
                  <c:v>2172902.9007235654</c:v>
                </c:pt>
                <c:pt idx="5">
                  <c:v>2562553.9782997095</c:v>
                </c:pt>
                <c:pt idx="6">
                  <c:v>2827920.5644208789</c:v>
                </c:pt>
                <c:pt idx="7">
                  <c:v>2876865.9819299146</c:v>
                </c:pt>
                <c:pt idx="8">
                  <c:v>2664068.0411264482</c:v>
                </c:pt>
                <c:pt idx="9">
                  <c:v>2230827.6762882583</c:v>
                </c:pt>
                <c:pt idx="10">
                  <c:v>1693327.7225943441</c:v>
                </c:pt>
                <c:pt idx="11">
                  <c:v>1179015.9538386511</c:v>
                </c:pt>
                <c:pt idx="12">
                  <c:v>766730.66624879092</c:v>
                </c:pt>
                <c:pt idx="13">
                  <c:v>474745.92428845726</c:v>
                </c:pt>
                <c:pt idx="14">
                  <c:v>284524.0156677179</c:v>
                </c:pt>
                <c:pt idx="15">
                  <c:v>167064.0180322025</c:v>
                </c:pt>
                <c:pt idx="16">
                  <c:v>96887.904073063284</c:v>
                </c:pt>
                <c:pt idx="17">
                  <c:v>55780.453592119738</c:v>
                </c:pt>
                <c:pt idx="18">
                  <c:v>31977.754225088283</c:v>
                </c:pt>
                <c:pt idx="19">
                  <c:v>18287.269165394828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2-4266-8C77-82999FA867CC}"/>
            </c:ext>
          </c:extLst>
        </c:ser>
        <c:ser>
          <c:idx val="1"/>
          <c:order val="1"/>
          <c:tx>
            <c:strRef>
              <c:f>'part1 Q1'!$C$9</c:f>
              <c:strCache>
                <c:ptCount val="1"/>
                <c:pt idx="0">
                  <c:v>Cumulative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'part1 Q1'!$C$10:$C$29</c:f>
              <c:numCache>
                <c:formatCode>_(* #,##0.00_);_(* \(#,##0.00\);_(* "-"??_);_(@_)</c:formatCode>
                <c:ptCount val="20"/>
                <c:pt idx="0">
                  <c:v>750000</c:v>
                </c:pt>
                <c:pt idx="1">
                  <c:v>1768500</c:v>
                </c:pt>
                <c:pt idx="2">
                  <c:v>3122803.5240000002</c:v>
                </c:pt>
                <c:pt idx="3">
                  <c:v>4872210.3982878914</c:v>
                </c:pt>
                <c:pt idx="4">
                  <c:v>7045113.2990114568</c:v>
                </c:pt>
                <c:pt idx="5">
                  <c:v>9607667.2773111667</c:v>
                </c:pt>
                <c:pt idx="6">
                  <c:v>12435587.841732046</c:v>
                </c:pt>
                <c:pt idx="7">
                  <c:v>15312453.823661961</c:v>
                </c:pt>
                <c:pt idx="8">
                  <c:v>17976521.864788409</c:v>
                </c:pt>
                <c:pt idx="9">
                  <c:v>20207349.541076668</c:v>
                </c:pt>
                <c:pt idx="10">
                  <c:v>21900677.263671011</c:v>
                </c:pt>
                <c:pt idx="11">
                  <c:v>23079693.217509661</c:v>
                </c:pt>
                <c:pt idx="12">
                  <c:v>23846423.883758452</c:v>
                </c:pt>
                <c:pt idx="13">
                  <c:v>24321169.808046907</c:v>
                </c:pt>
                <c:pt idx="14">
                  <c:v>24605693.823714625</c:v>
                </c:pt>
                <c:pt idx="15">
                  <c:v>24772757.841746829</c:v>
                </c:pt>
                <c:pt idx="16">
                  <c:v>24869645.745819893</c:v>
                </c:pt>
                <c:pt idx="17">
                  <c:v>24925426.199412011</c:v>
                </c:pt>
                <c:pt idx="18">
                  <c:v>24957403.953637101</c:v>
                </c:pt>
                <c:pt idx="19">
                  <c:v>24975691.222802497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2-4266-8C77-82999FA8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79584"/>
        <c:axId val="204836032"/>
      </c:lineChart>
      <c:catAx>
        <c:axId val="183337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6032"/>
        <c:crosses val="autoZero"/>
        <c:auto val="1"/>
        <c:lblAlgn val="ctr"/>
        <c:lblOffset val="100"/>
        <c:noMultiLvlLbl val="0"/>
      </c:catAx>
      <c:valAx>
        <c:axId val="2048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Q2'!$B$9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'part 1 Q2'!$B$10:$B$29</c:f>
              <c:numCache>
                <c:formatCode>_(* #,##0.00_);_(* \(#,##0.00\);_(* "-"??_);_(@_)</c:formatCode>
                <c:ptCount val="20"/>
                <c:pt idx="0">
                  <c:v>10000000</c:v>
                </c:pt>
                <c:pt idx="1">
                  <c:v>6180000</c:v>
                </c:pt>
                <c:pt idx="2">
                  <c:v>3699249.12</c:v>
                </c:pt>
                <c:pt idx="3">
                  <c:v>2170456.3709099749</c:v>
                </c:pt>
                <c:pt idx="4">
                  <c:v>1258181.5536802707</c:v>
                </c:pt>
                <c:pt idx="5">
                  <c:v>724172.67532155651</c:v>
                </c:pt>
                <c:pt idx="6">
                  <c:v>415090.03037494456</c:v>
                </c:pt>
                <c:pt idx="7">
                  <c:v>237358.83529836859</c:v>
                </c:pt>
                <c:pt idx="8">
                  <c:v>135541.86639931728</c:v>
                </c:pt>
                <c:pt idx="9">
                  <c:v>77339.44743889675</c:v>
                </c:pt>
                <c:pt idx="10">
                  <c:v>44109.708648681408</c:v>
                </c:pt>
                <c:pt idx="11">
                  <c:v>25151.061774009257</c:v>
                </c:pt>
                <c:pt idx="12">
                  <c:v>14338.877352827578</c:v>
                </c:pt>
                <c:pt idx="13">
                  <c:v>8174.0610277180094</c:v>
                </c:pt>
                <c:pt idx="14">
                  <c:v>4659.5075497161597</c:v>
                </c:pt>
                <c:pt idx="15">
                  <c:v>2656.014431521995</c:v>
                </c:pt>
                <c:pt idx="16">
                  <c:v>1513.9591348180547</c:v>
                </c:pt>
                <c:pt idx="17">
                  <c:v>862.9667494466994</c:v>
                </c:pt>
                <c:pt idx="18">
                  <c:v>491.89431008277461</c:v>
                </c:pt>
                <c:pt idx="19">
                  <c:v>280.38081687362865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30D-B159-65B54B5FAF9F}"/>
            </c:ext>
          </c:extLst>
        </c:ser>
        <c:ser>
          <c:idx val="1"/>
          <c:order val="1"/>
          <c:tx>
            <c:strRef>
              <c:f>'part 1 Q2'!$C$9</c:f>
              <c:strCache>
                <c:ptCount val="1"/>
                <c:pt idx="0">
                  <c:v>Cumulative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1 Q2'!$C$10:$C$29</c:f>
              <c:numCache>
                <c:formatCode>_(* #,##0.00_);_(* \(#,##0.00\);_(* "-"??_);_(@_)</c:formatCode>
                <c:ptCount val="20"/>
                <c:pt idx="0">
                  <c:v>10000000</c:v>
                </c:pt>
                <c:pt idx="1">
                  <c:v>16180000</c:v>
                </c:pt>
                <c:pt idx="2">
                  <c:v>19879249.120000001</c:v>
                </c:pt>
                <c:pt idx="3">
                  <c:v>22049705.490909975</c:v>
                </c:pt>
                <c:pt idx="4">
                  <c:v>23307887.044590246</c:v>
                </c:pt>
                <c:pt idx="5">
                  <c:v>24032059.719911803</c:v>
                </c:pt>
                <c:pt idx="6">
                  <c:v>24447149.750286747</c:v>
                </c:pt>
                <c:pt idx="7">
                  <c:v>24684508.585585114</c:v>
                </c:pt>
                <c:pt idx="8">
                  <c:v>24820050.451984432</c:v>
                </c:pt>
                <c:pt idx="9">
                  <c:v>24897389.899423327</c:v>
                </c:pt>
                <c:pt idx="10">
                  <c:v>24941499.608072009</c:v>
                </c:pt>
                <c:pt idx="11">
                  <c:v>24966650.669846017</c:v>
                </c:pt>
                <c:pt idx="12">
                  <c:v>24980989.547198843</c:v>
                </c:pt>
                <c:pt idx="13">
                  <c:v>24989163.60822656</c:v>
                </c:pt>
                <c:pt idx="14">
                  <c:v>24993823.115776278</c:v>
                </c:pt>
                <c:pt idx="15">
                  <c:v>24996479.130207799</c:v>
                </c:pt>
                <c:pt idx="16">
                  <c:v>24997993.089342616</c:v>
                </c:pt>
                <c:pt idx="17">
                  <c:v>24998856.056092065</c:v>
                </c:pt>
                <c:pt idx="18">
                  <c:v>24999347.950402148</c:v>
                </c:pt>
                <c:pt idx="19">
                  <c:v>24999628.331219021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30D-B159-65B54B5F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27760"/>
        <c:axId val="285655680"/>
      </c:lineChart>
      <c:catAx>
        <c:axId val="2212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55680"/>
        <c:crosses val="autoZero"/>
        <c:auto val="1"/>
        <c:lblAlgn val="ctr"/>
        <c:lblOffset val="100"/>
        <c:noMultiLvlLbl val="0"/>
      </c:catAx>
      <c:valAx>
        <c:axId val="285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 Q1 '!$B$4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2 Q1 '!$A$5:$A$42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'part 2 Q1 '!$B$5:$B$42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3-4F9E-8FB2-A32522D23D1F}"/>
            </c:ext>
          </c:extLst>
        </c:ser>
        <c:ser>
          <c:idx val="1"/>
          <c:order val="1"/>
          <c:tx>
            <c:strRef>
              <c:f>'part 2 Q1 '!$E$4</c:f>
              <c:strCache>
                <c:ptCount val="1"/>
                <c:pt idx="0">
                  <c:v>Period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2 Q1 '!$A$5:$A$42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'part 2 Q1 '!$E$5:$E$42</c:f>
              <c:numCache>
                <c:formatCode>General</c:formatCode>
                <c:ptCount val="38"/>
                <c:pt idx="3" formatCode="0.0">
                  <c:v>1.5525</c:v>
                </c:pt>
                <c:pt idx="4" formatCode="0.0">
                  <c:v>3.2149999999999999</c:v>
                </c:pt>
                <c:pt idx="5" formatCode="0.0">
                  <c:v>6.35</c:v>
                </c:pt>
                <c:pt idx="6" formatCode="0.0">
                  <c:v>12.2525</c:v>
                </c:pt>
                <c:pt idx="7" formatCode="0.0">
                  <c:v>21.93</c:v>
                </c:pt>
                <c:pt idx="8" formatCode="0.0">
                  <c:v>32.877499999999998</c:v>
                </c:pt>
                <c:pt idx="9" formatCode="0.0">
                  <c:v>51.97</c:v>
                </c:pt>
                <c:pt idx="10" formatCode="0.0">
                  <c:v>76.717500000000001</c:v>
                </c:pt>
                <c:pt idx="11" formatCode="0.0">
                  <c:v>101.7025</c:v>
                </c:pt>
                <c:pt idx="12" formatCode="0.0">
                  <c:v>134.85499999999999</c:v>
                </c:pt>
                <c:pt idx="13" formatCode="0.0">
                  <c:v>203.3</c:v>
                </c:pt>
                <c:pt idx="14" formatCode="0.0">
                  <c:v>273.25</c:v>
                </c:pt>
                <c:pt idx="15" formatCode="0.0">
                  <c:v>304</c:v>
                </c:pt>
                <c:pt idx="16" formatCode="0.0">
                  <c:v>335.1</c:v>
                </c:pt>
                <c:pt idx="17" formatCode="0.0">
                  <c:v>515.9</c:v>
                </c:pt>
                <c:pt idx="18" formatCode="0.0">
                  <c:v>624.95000000000005</c:v>
                </c:pt>
                <c:pt idx="19" formatCode="0.0">
                  <c:v>575.9</c:v>
                </c:pt>
                <c:pt idx="20" formatCode="0.0">
                  <c:v>607.9</c:v>
                </c:pt>
                <c:pt idx="21" formatCode="0.0">
                  <c:v>805.13</c:v>
                </c:pt>
                <c:pt idx="22" formatCode="0.0">
                  <c:v>836.68000000000006</c:v>
                </c:pt>
                <c:pt idx="23" formatCode="0.0">
                  <c:v>684.5</c:v>
                </c:pt>
                <c:pt idx="24" formatCode="0.0">
                  <c:v>653.5</c:v>
                </c:pt>
                <c:pt idx="25" formatCode="0.0">
                  <c:v>877</c:v>
                </c:pt>
                <c:pt idx="26" formatCode="0.0">
                  <c:v>981</c:v>
                </c:pt>
                <c:pt idx="27" formatCode="0.0">
                  <c:v>826.5</c:v>
                </c:pt>
                <c:pt idx="28" formatCode="0.0">
                  <c:v>828.5</c:v>
                </c:pt>
                <c:pt idx="29" formatCode="0.0">
                  <c:v>1140</c:v>
                </c:pt>
                <c:pt idx="30" formatCode="0.0">
                  <c:v>1256.5</c:v>
                </c:pt>
                <c:pt idx="31" formatCode="0.0">
                  <c:v>1092</c:v>
                </c:pt>
                <c:pt idx="32" formatCode="0.0">
                  <c:v>1117</c:v>
                </c:pt>
                <c:pt idx="33" formatCode="0.0">
                  <c:v>1540</c:v>
                </c:pt>
                <c:pt idx="34" formatCode="0.0">
                  <c:v>1738</c:v>
                </c:pt>
                <c:pt idx="35" formatCode="0.0">
                  <c:v>1458.5</c:v>
                </c:pt>
                <c:pt idx="36" formatCode="0.0">
                  <c:v>1425</c:v>
                </c:pt>
                <c:pt idx="37" formatCode="0.0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3-4F9E-8FB2-A32522D23D1F}"/>
            </c:ext>
          </c:extLst>
        </c:ser>
        <c:ser>
          <c:idx val="2"/>
          <c:order val="2"/>
          <c:tx>
            <c:strRef>
              <c:f>'part 2 Q1 '!$F$4</c:f>
              <c:strCache>
                <c:ptCount val="1"/>
                <c:pt idx="0">
                  <c:v>Smoothed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2 Q1 '!$A$5:$A$42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'part 2 Q1 '!$F$5:$F$42</c:f>
              <c:numCache>
                <c:formatCode>General</c:formatCode>
                <c:ptCount val="38"/>
                <c:pt idx="3" formatCode="0.0">
                  <c:v>1.5525</c:v>
                </c:pt>
                <c:pt idx="4">
                  <c:v>5.0069670672895548</c:v>
                </c:pt>
                <c:pt idx="5">
                  <c:v>10.475458261390195</c:v>
                </c:pt>
                <c:pt idx="6">
                  <c:v>19.116991846220973</c:v>
                </c:pt>
                <c:pt idx="7">
                  <c:v>28.456363288014543</c:v>
                </c:pt>
                <c:pt idx="8">
                  <c:v>47.143867468011443</c:v>
                </c:pt>
                <c:pt idx="9">
                  <c:v>67.157715867127919</c:v>
                </c:pt>
                <c:pt idx="10">
                  <c:v>91.448267389096785</c:v>
                </c:pt>
                <c:pt idx="11">
                  <c:v>122.40135269835628</c:v>
                </c:pt>
                <c:pt idx="12">
                  <c:v>187.28847460254673</c:v>
                </c:pt>
                <c:pt idx="13">
                  <c:v>240.14916742137646</c:v>
                </c:pt>
                <c:pt idx="14">
                  <c:v>277.06849895958237</c:v>
                </c:pt>
                <c:pt idx="15">
                  <c:v>316.21572853891251</c:v>
                </c:pt>
                <c:pt idx="16">
                  <c:v>495.10927543939357</c:v>
                </c:pt>
                <c:pt idx="17">
                  <c:v>534.2859524026893</c:v>
                </c:pt>
                <c:pt idx="18">
                  <c:v>555.97192449280942</c:v>
                </c:pt>
                <c:pt idx="19">
                  <c:v>596.70856914570641</c:v>
                </c:pt>
                <c:pt idx="20">
                  <c:v>783.49165610739863</c:v>
                </c:pt>
                <c:pt idx="21">
                  <c:v>742.47478538423434</c:v>
                </c:pt>
                <c:pt idx="22">
                  <c:v>705.4440990289562</c:v>
                </c:pt>
                <c:pt idx="23">
                  <c:v>672.40646651204293</c:v>
                </c:pt>
                <c:pt idx="24">
                  <c:v>892.47480557349877</c:v>
                </c:pt>
                <c:pt idx="25">
                  <c:v>869.86361906827437</c:v>
                </c:pt>
                <c:pt idx="26">
                  <c:v>838.10906435517199</c:v>
                </c:pt>
                <c:pt idx="27">
                  <c:v>844.51875311394974</c:v>
                </c:pt>
                <c:pt idx="28">
                  <c:v>1135.1371365347768</c:v>
                </c:pt>
                <c:pt idx="29">
                  <c:v>1109.7105004678642</c:v>
                </c:pt>
                <c:pt idx="30">
                  <c:v>1104.8822019326881</c:v>
                </c:pt>
                <c:pt idx="31">
                  <c:v>1119.3602839039752</c:v>
                </c:pt>
                <c:pt idx="32">
                  <c:v>1530.3857859935479</c:v>
                </c:pt>
                <c:pt idx="33">
                  <c:v>1530.1939637539319</c:v>
                </c:pt>
                <c:pt idx="34">
                  <c:v>1458.9944197420411</c:v>
                </c:pt>
                <c:pt idx="35">
                  <c:v>1460.9860922985729</c:v>
                </c:pt>
                <c:pt idx="36">
                  <c:v>1997.9954447806572</c:v>
                </c:pt>
                <c:pt idx="37">
                  <c:v>1950.2641597710003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3-4F9E-8FB2-A32522D2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574784"/>
        <c:axId val="285647776"/>
      </c:lineChart>
      <c:dateAx>
        <c:axId val="1998574784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47776"/>
        <c:crosses val="autoZero"/>
        <c:auto val="1"/>
        <c:lblOffset val="100"/>
        <c:baseTimeUnit val="months"/>
      </c:dateAx>
      <c:valAx>
        <c:axId val="2856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24157407407407408"/>
          <c:w val="0.85746522309711282"/>
          <c:h val="0.5358639545056868"/>
        </c:manualLayout>
      </c:layout>
      <c:lineChart>
        <c:grouping val="standard"/>
        <c:varyColors val="0"/>
        <c:ser>
          <c:idx val="0"/>
          <c:order val="0"/>
          <c:tx>
            <c:strRef>
              <c:f>'part 2 Q2 and Q3'!$U$1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'part 2 Q2 and Q3'!$U$2:$U$43</c:f>
              <c:numCache>
                <c:formatCode>0.0</c:formatCode>
                <c:ptCount val="42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4A41-BA2A-57E8D14E1768}"/>
            </c:ext>
          </c:extLst>
        </c:ser>
        <c:ser>
          <c:idx val="1"/>
          <c:order val="1"/>
          <c:tx>
            <c:strRef>
              <c:f>'part 2 Q2 and Q3'!$V$1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2 Q2 and Q3'!$V$2:$V$43</c:f>
              <c:numCache>
                <c:formatCode>General</c:formatCode>
                <c:ptCount val="42"/>
                <c:pt idx="8">
                  <c:v>70.208756796039239</c:v>
                </c:pt>
                <c:pt idx="9">
                  <c:v>83.676806010104983</c:v>
                </c:pt>
                <c:pt idx="10">
                  <c:v>106.03352580747872</c:v>
                </c:pt>
                <c:pt idx="11">
                  <c:v>151.18629808271035</c:v>
                </c:pt>
                <c:pt idx="12">
                  <c:v>229.15294289932871</c:v>
                </c:pt>
                <c:pt idx="13">
                  <c:v>313.35037252604735</c:v>
                </c:pt>
                <c:pt idx="14">
                  <c:v>384.64858108455684</c:v>
                </c:pt>
                <c:pt idx="15">
                  <c:v>485.40645552829938</c:v>
                </c:pt>
                <c:pt idx="16">
                  <c:v>596.69210374283466</c:v>
                </c:pt>
                <c:pt idx="17">
                  <c:v>640.69402093418159</c:v>
                </c:pt>
                <c:pt idx="18">
                  <c:v>690.52571352369455</c:v>
                </c:pt>
                <c:pt idx="19">
                  <c:v>972.60787383035995</c:v>
                </c:pt>
                <c:pt idx="20">
                  <c:v>847.35494755643106</c:v>
                </c:pt>
                <c:pt idx="21">
                  <c:v>782.32819854237084</c:v>
                </c:pt>
                <c:pt idx="22">
                  <c:v>767.37402624298534</c:v>
                </c:pt>
                <c:pt idx="23">
                  <c:v>998.48246203686119</c:v>
                </c:pt>
                <c:pt idx="24">
                  <c:v>725.19154840287104</c:v>
                </c:pt>
                <c:pt idx="25">
                  <c:v>738.48330944854843</c:v>
                </c:pt>
                <c:pt idx="26">
                  <c:v>784.05800667320932</c:v>
                </c:pt>
                <c:pt idx="27">
                  <c:v>1324.6157084870272</c:v>
                </c:pt>
                <c:pt idx="28">
                  <c:v>1125.1718276575821</c:v>
                </c:pt>
                <c:pt idx="29">
                  <c:v>1101.9451934184694</c:v>
                </c:pt>
                <c:pt idx="30">
                  <c:v>1158.7941686418078</c:v>
                </c:pt>
                <c:pt idx="31">
                  <c:v>1718.2772260551092</c:v>
                </c:pt>
                <c:pt idx="32">
                  <c:v>1458.9068808024572</c:v>
                </c:pt>
                <c:pt idx="33">
                  <c:v>1543.840024038725</c:v>
                </c:pt>
                <c:pt idx="34">
                  <c:v>1574.8710618514083</c:v>
                </c:pt>
                <c:pt idx="35">
                  <c:v>2325.0538090608125</c:v>
                </c:pt>
                <c:pt idx="36">
                  <c:v>1941.6475958979706</c:v>
                </c:pt>
                <c:pt idx="37">
                  <c:v>1803.5971337052115</c:v>
                </c:pt>
                <c:pt idx="38">
                  <c:v>1894.5984512920177</c:v>
                </c:pt>
                <c:pt idx="39">
                  <c:v>2954.5729940112087</c:v>
                </c:pt>
                <c:pt idx="40">
                  <c:v>2305.4667365472551</c:v>
                </c:pt>
                <c:pt idx="41">
                  <c:v>2156.4667365472551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1-4A41-BA2A-57E8D14E1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22016"/>
        <c:axId val="2091721728"/>
      </c:lineChart>
      <c:catAx>
        <c:axId val="2778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21728"/>
        <c:crosses val="autoZero"/>
        <c:auto val="1"/>
        <c:lblAlgn val="ctr"/>
        <c:lblOffset val="100"/>
        <c:noMultiLvlLbl val="0"/>
      </c:catAx>
      <c:valAx>
        <c:axId val="20917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133350</xdr:rowOff>
    </xdr:from>
    <xdr:to>
      <xdr:col>6</xdr:col>
      <xdr:colOff>349677</xdr:colOff>
      <xdr:row>3</xdr:row>
      <xdr:rowOff>156696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5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C23DDA9-C192-4B1A-A44F-B23CD0140F3F}"/>
                </a:ext>
              </a:extLst>
            </xdr:cNvPr>
            <xdr:cNvSpPr txBox="1"/>
          </xdr:nvSpPr>
          <xdr:spPr>
            <a:xfrm>
              <a:off x="590550" y="317500"/>
              <a:ext cx="5582077" cy="391646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𝑝𝑚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)×</m:t>
                    </m:r>
                    <m:d>
                      <m:dPr>
                        <m:begChr m:val="["/>
                        <m:endChr m:val="]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−1)</m:t>
                        </m:r>
                      </m:e>
                    </m:d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num>
                          <m:den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e>
                    </m:d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−1)</m:t>
                            </m:r>
                          </m:e>
                        </m:d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Object 5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CC23DDA9-C192-4B1A-A44F-B23CD0140F3F}"/>
                </a:ext>
              </a:extLst>
            </xdr:cNvPr>
            <xdr:cNvSpPr txBox="1"/>
          </xdr:nvSpPr>
          <xdr:spPr>
            <a:xfrm>
              <a:off x="590550" y="317500"/>
              <a:ext cx="5582077" cy="391646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𝑆(𝑡)=𝑝𝑚+(𝑞−𝑝)×[𝑁(𝑡−1)]−(𝑞/𝑚)×[𝑁(𝑡−1)]^2</a:t>
              </a:r>
              <a:endParaRPr lang="en-US"/>
            </a:p>
          </xdr:txBody>
        </xdr:sp>
      </mc:Fallback>
    </mc:AlternateContent>
    <xdr:clientData/>
  </xdr:twoCellAnchor>
  <xdr:oneCellAnchor>
    <xdr:from>
      <xdr:col>11</xdr:col>
      <xdr:colOff>460375</xdr:colOff>
      <xdr:row>8</xdr:row>
      <xdr:rowOff>34925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C2F4CF-DEAF-4AA8-8F5A-B3D42557F1D5}"/>
            </a:ext>
          </a:extLst>
        </xdr:cNvPr>
        <xdr:cNvSpPr txBox="1"/>
      </xdr:nvSpPr>
      <xdr:spPr>
        <a:xfrm>
          <a:off x="9451975" y="150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352425</xdr:colOff>
      <xdr:row>9</xdr:row>
      <xdr:rowOff>31750</xdr:rowOff>
    </xdr:from>
    <xdr:to>
      <xdr:col>10</xdr:col>
      <xdr:colOff>828675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0CD5D-6784-495A-B204-D92EAC082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133350</xdr:rowOff>
    </xdr:from>
    <xdr:to>
      <xdr:col>6</xdr:col>
      <xdr:colOff>349677</xdr:colOff>
      <xdr:row>3</xdr:row>
      <xdr:rowOff>156696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5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5E13F51-0765-4D0E-9B32-F3136415A1F2}"/>
                </a:ext>
              </a:extLst>
            </xdr:cNvPr>
            <xdr:cNvSpPr txBox="1"/>
          </xdr:nvSpPr>
          <xdr:spPr>
            <a:xfrm>
              <a:off x="590550" y="317500"/>
              <a:ext cx="5582077" cy="391646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𝑝𝑚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)×</m:t>
                    </m:r>
                    <m:d>
                      <m:dPr>
                        <m:begChr m:val="["/>
                        <m:endChr m:val="]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−1)</m:t>
                        </m:r>
                      </m:e>
                    </m:d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num>
                          <m:den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e>
                    </m:d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−1)</m:t>
                            </m:r>
                          </m:e>
                        </m:d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7" name="Object 5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05E13F51-0765-4D0E-9B32-F3136415A1F2}"/>
                </a:ext>
              </a:extLst>
            </xdr:cNvPr>
            <xdr:cNvSpPr txBox="1"/>
          </xdr:nvSpPr>
          <xdr:spPr>
            <a:xfrm>
              <a:off x="590550" y="317500"/>
              <a:ext cx="5582077" cy="391646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𝑆(𝑡)=𝑝𝑚+(𝑞−𝑝)×[𝑁(𝑡−1)]−(𝑞/𝑚)×[𝑁(𝑡−1)]^2</a:t>
              </a:r>
              <a:endParaRPr lang="en-US"/>
            </a:p>
          </xdr:txBody>
        </xdr:sp>
      </mc:Fallback>
    </mc:AlternateContent>
    <xdr:clientData/>
  </xdr:twoCellAnchor>
  <xdr:oneCellAnchor>
    <xdr:from>
      <xdr:col>11</xdr:col>
      <xdr:colOff>460375</xdr:colOff>
      <xdr:row>8</xdr:row>
      <xdr:rowOff>34925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58958A9-1A6F-4FFA-893B-2B200063BB61}"/>
            </a:ext>
          </a:extLst>
        </xdr:cNvPr>
        <xdr:cNvSpPr txBox="1"/>
      </xdr:nvSpPr>
      <xdr:spPr>
        <a:xfrm>
          <a:off x="10036175" y="150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231775</xdr:colOff>
      <xdr:row>30</xdr:row>
      <xdr:rowOff>47625</xdr:rowOff>
    </xdr:from>
    <xdr:to>
      <xdr:col>4</xdr:col>
      <xdr:colOff>149225</xdr:colOff>
      <xdr:row>45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9C184-46B7-4EF6-9A2A-8580ADBD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0</xdr:rowOff>
    </xdr:from>
    <xdr:to>
      <xdr:col>8</xdr:col>
      <xdr:colOff>336550</xdr:colOff>
      <xdr:row>2</xdr:row>
      <xdr:rowOff>23346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5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2E3D6C61-0F8F-455D-9637-B72FC378903E}"/>
                </a:ext>
              </a:extLst>
            </xdr:cNvPr>
            <xdr:cNvSpPr txBox="1"/>
          </xdr:nvSpPr>
          <xdr:spPr>
            <a:xfrm>
              <a:off x="3759200" y="0"/>
              <a:ext cx="4013200" cy="391646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𝑝𝑚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)×</m:t>
                    </m:r>
                    <m:d>
                      <m:dPr>
                        <m:begChr m:val="["/>
                        <m:endChr m:val="]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−1)</m:t>
                        </m:r>
                      </m:e>
                    </m:d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num>
                          <m:den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e>
                    </m:d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−1)</m:t>
                            </m:r>
                          </m:e>
                        </m:d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" name="Object 5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2E3D6C61-0F8F-455D-9637-B72FC378903E}"/>
                </a:ext>
              </a:extLst>
            </xdr:cNvPr>
            <xdr:cNvSpPr txBox="1"/>
          </xdr:nvSpPr>
          <xdr:spPr>
            <a:xfrm>
              <a:off x="3759200" y="0"/>
              <a:ext cx="4013200" cy="391646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𝑆(𝑡)=𝑝𝑚+(𝑞−𝑝)×[𝑁(𝑡−1)]−(𝑞/𝑚)×[𝑁(𝑡−1)]^2</a:t>
              </a:r>
              <a:endParaRPr lang="en-US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0</xdr:row>
          <xdr:rowOff>127000</xdr:rowOff>
        </xdr:from>
        <xdr:to>
          <xdr:col>10</xdr:col>
          <xdr:colOff>211388</xdr:colOff>
          <xdr:row>2</xdr:row>
          <xdr:rowOff>69850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371475</xdr:colOff>
      <xdr:row>10</xdr:row>
      <xdr:rowOff>60325</xdr:rowOff>
    </xdr:from>
    <xdr:to>
      <xdr:col>15</xdr:col>
      <xdr:colOff>492125</xdr:colOff>
      <xdr:row>25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7085D-8917-4A05-A11F-24291E347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446088</xdr:colOff>
          <xdr:row>0</xdr:row>
          <xdr:rowOff>0</xdr:rowOff>
        </xdr:from>
        <xdr:to>
          <xdr:col>14</xdr:col>
          <xdr:colOff>357188</xdr:colOff>
          <xdr:row>6</xdr:row>
          <xdr:rowOff>36512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6ECCF174-6C25-46AD-BDC3-83CE822653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297657</xdr:colOff>
      <xdr:row>43</xdr:row>
      <xdr:rowOff>65089</xdr:rowOff>
    </xdr:from>
    <xdr:to>
      <xdr:col>23</xdr:col>
      <xdr:colOff>281782</xdr:colOff>
      <xdr:row>58</xdr:row>
      <xdr:rowOff>6352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89FCA-C168-469D-8140-A1C77FEEF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usu_Khyathi_hw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_Part1"/>
      <sheetName val="Q1_Part2"/>
      <sheetName val="Q1_Part3"/>
      <sheetName val="Q2_Part1"/>
      <sheetName val="Q2_Part2&amp;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C1" t="str">
            <v>Sales (in million $)</v>
          </cell>
          <cell r="AD1" t="str">
            <v>Forecast</v>
          </cell>
        </row>
        <row r="2">
          <cell r="AB2">
            <v>35155</v>
          </cell>
          <cell r="AC2">
            <v>0.875</v>
          </cell>
        </row>
        <row r="3">
          <cell r="AB3">
            <v>35246</v>
          </cell>
          <cell r="AC3">
            <v>2.23</v>
          </cell>
        </row>
        <row r="4">
          <cell r="AB4">
            <v>35338</v>
          </cell>
          <cell r="AC4">
            <v>4.2</v>
          </cell>
        </row>
        <row r="5">
          <cell r="AB5">
            <v>35430</v>
          </cell>
          <cell r="AC5">
            <v>8.5</v>
          </cell>
        </row>
        <row r="6">
          <cell r="AB6">
            <v>35520</v>
          </cell>
          <cell r="AC6">
            <v>16.004999999999999</v>
          </cell>
        </row>
        <row r="7">
          <cell r="AB7">
            <v>35611</v>
          </cell>
          <cell r="AC7">
            <v>27.855</v>
          </cell>
        </row>
        <row r="8">
          <cell r="AB8">
            <v>35703</v>
          </cell>
          <cell r="AC8">
            <v>37.9</v>
          </cell>
        </row>
        <row r="9">
          <cell r="AB9">
            <v>35795</v>
          </cell>
          <cell r="AC9">
            <v>66.040000000000006</v>
          </cell>
        </row>
        <row r="10">
          <cell r="AB10">
            <v>35885</v>
          </cell>
          <cell r="AC10">
            <v>87.394999999999996</v>
          </cell>
          <cell r="AD10">
            <v>70.208756796039239</v>
          </cell>
        </row>
        <row r="11">
          <cell r="AB11">
            <v>35976</v>
          </cell>
          <cell r="AC11">
            <v>116.01</v>
          </cell>
          <cell r="AD11">
            <v>83.676806010104983</v>
          </cell>
        </row>
        <row r="12">
          <cell r="AB12">
            <v>36068</v>
          </cell>
          <cell r="AC12">
            <v>153.69999999999999</v>
          </cell>
          <cell r="AD12">
            <v>106.03352580747872</v>
          </cell>
        </row>
        <row r="13">
          <cell r="AB13">
            <v>36160</v>
          </cell>
          <cell r="AC13">
            <v>252.9</v>
          </cell>
          <cell r="AD13">
            <v>151.18629808271035</v>
          </cell>
        </row>
        <row r="14">
          <cell r="AB14">
            <v>36250</v>
          </cell>
          <cell r="AC14">
            <v>293.60000000000002</v>
          </cell>
          <cell r="AD14">
            <v>229.15294289932871</v>
          </cell>
        </row>
        <row r="15">
          <cell r="AB15">
            <v>36341</v>
          </cell>
          <cell r="AC15">
            <v>314.39999999999998</v>
          </cell>
          <cell r="AD15">
            <v>313.35037252604735</v>
          </cell>
        </row>
        <row r="16">
          <cell r="AB16">
            <v>36433</v>
          </cell>
          <cell r="AC16">
            <v>355.8</v>
          </cell>
          <cell r="AD16">
            <v>384.64858108455684</v>
          </cell>
        </row>
        <row r="17">
          <cell r="AB17">
            <v>36525</v>
          </cell>
          <cell r="AC17">
            <v>676</v>
          </cell>
          <cell r="AD17">
            <v>485.40645552829938</v>
          </cell>
        </row>
        <row r="18">
          <cell r="AB18">
            <v>36616</v>
          </cell>
          <cell r="AC18">
            <v>573.9</v>
          </cell>
          <cell r="AD18">
            <v>596.69210374283466</v>
          </cell>
        </row>
        <row r="19">
          <cell r="AB19">
            <v>36707</v>
          </cell>
          <cell r="AC19">
            <v>577.9</v>
          </cell>
          <cell r="AD19">
            <v>640.69402093418159</v>
          </cell>
        </row>
        <row r="20">
          <cell r="AB20">
            <v>36799</v>
          </cell>
          <cell r="AC20">
            <v>637.9</v>
          </cell>
          <cell r="AD20">
            <v>690.52571352369455</v>
          </cell>
        </row>
        <row r="21">
          <cell r="AB21">
            <v>36891</v>
          </cell>
          <cell r="AC21">
            <v>972.36</v>
          </cell>
          <cell r="AD21">
            <v>972.60787383035995</v>
          </cell>
        </row>
        <row r="22">
          <cell r="AB22">
            <v>36981</v>
          </cell>
          <cell r="AC22">
            <v>701</v>
          </cell>
          <cell r="AD22">
            <v>847.35494755643106</v>
          </cell>
        </row>
        <row r="23">
          <cell r="AB23">
            <v>37072</v>
          </cell>
          <cell r="AC23">
            <v>668</v>
          </cell>
          <cell r="AD23">
            <v>782.32819854237084</v>
          </cell>
        </row>
        <row r="24">
          <cell r="AB24">
            <v>37164</v>
          </cell>
          <cell r="AC24">
            <v>639</v>
          </cell>
          <cell r="AD24">
            <v>767.37402624298534</v>
          </cell>
        </row>
        <row r="25">
          <cell r="AB25">
            <v>37256</v>
          </cell>
          <cell r="AC25">
            <v>1115</v>
          </cell>
          <cell r="AD25">
            <v>998.48246203686119</v>
          </cell>
        </row>
        <row r="26">
          <cell r="AB26">
            <v>37346</v>
          </cell>
          <cell r="AC26">
            <v>847</v>
          </cell>
          <cell r="AD26">
            <v>725.19154840287104</v>
          </cell>
        </row>
        <row r="27">
          <cell r="AB27">
            <v>37437</v>
          </cell>
          <cell r="AC27">
            <v>806</v>
          </cell>
          <cell r="AD27">
            <v>738.48330944854843</v>
          </cell>
        </row>
        <row r="28">
          <cell r="AB28">
            <v>37529</v>
          </cell>
          <cell r="AC28">
            <v>851</v>
          </cell>
          <cell r="AD28">
            <v>784.05800667320932</v>
          </cell>
        </row>
        <row r="29">
          <cell r="AB29">
            <v>37621</v>
          </cell>
          <cell r="AC29">
            <v>1429</v>
          </cell>
          <cell r="AD29">
            <v>1324.6157084870272</v>
          </cell>
        </row>
        <row r="30">
          <cell r="AB30">
            <v>37711</v>
          </cell>
          <cell r="AC30">
            <v>1084</v>
          </cell>
          <cell r="AD30">
            <v>1125.1718276575821</v>
          </cell>
        </row>
        <row r="31">
          <cell r="AB31">
            <v>37802</v>
          </cell>
          <cell r="AC31">
            <v>1100</v>
          </cell>
          <cell r="AD31">
            <v>1101.9451934184694</v>
          </cell>
        </row>
        <row r="32">
          <cell r="AB32">
            <v>37894</v>
          </cell>
          <cell r="AC32">
            <v>1134</v>
          </cell>
          <cell r="AD32">
            <v>1158.7941686418078</v>
          </cell>
        </row>
        <row r="33">
          <cell r="AB33">
            <v>37986</v>
          </cell>
          <cell r="AC33">
            <v>1946</v>
          </cell>
          <cell r="AD33">
            <v>1718.2772260551092</v>
          </cell>
        </row>
        <row r="34">
          <cell r="AB34">
            <v>38077</v>
          </cell>
          <cell r="AC34">
            <v>1530</v>
          </cell>
          <cell r="AD34">
            <v>1458.9068808024572</v>
          </cell>
        </row>
        <row r="35">
          <cell r="AB35">
            <v>38168</v>
          </cell>
          <cell r="AC35">
            <v>1387</v>
          </cell>
          <cell r="AD35">
            <v>1543.840024038725</v>
          </cell>
        </row>
        <row r="36">
          <cell r="AB36">
            <v>38260</v>
          </cell>
          <cell r="AC36">
            <v>1463</v>
          </cell>
          <cell r="AD36">
            <v>1574.8710618514083</v>
          </cell>
        </row>
        <row r="37">
          <cell r="AB37">
            <v>38352</v>
          </cell>
          <cell r="AC37">
            <v>2541</v>
          </cell>
          <cell r="AD37">
            <v>2325.0538090608125</v>
          </cell>
        </row>
        <row r="38">
          <cell r="AB38">
            <v>38442</v>
          </cell>
          <cell r="AC38">
            <v>1902</v>
          </cell>
          <cell r="AD38">
            <v>1941.6475958979706</v>
          </cell>
        </row>
        <row r="39">
          <cell r="AB39">
            <v>38533</v>
          </cell>
          <cell r="AC39">
            <v>1753</v>
          </cell>
          <cell r="AD39">
            <v>1803.5971337052115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93F8-571B-4F89-8D87-3E5797C62734}">
  <dimension ref="A1:K29"/>
  <sheetViews>
    <sheetView topLeftCell="A13" workbookViewId="0">
      <selection activeCell="F29" sqref="F29"/>
    </sheetView>
  </sheetViews>
  <sheetFormatPr defaultRowHeight="14.5" x14ac:dyDescent="0.35"/>
  <cols>
    <col min="1" max="1" width="17" bestFit="1" customWidth="1"/>
    <col min="2" max="2" width="12.90625" bestFit="1" customWidth="1"/>
    <col min="3" max="3" width="19.1796875" bestFit="1" customWidth="1"/>
    <col min="4" max="4" width="16.81640625" bestFit="1" customWidth="1"/>
    <col min="7" max="7" width="15.81640625" customWidth="1"/>
    <col min="8" max="8" width="9.7265625" customWidth="1"/>
    <col min="9" max="9" width="4.54296875" bestFit="1" customWidth="1"/>
    <col min="10" max="10" width="11.08984375" bestFit="1" customWidth="1"/>
    <col min="11" max="11" width="12.54296875" bestFit="1" customWidth="1"/>
    <col min="14" max="14" width="11.26953125" customWidth="1"/>
    <col min="15" max="15" width="12.36328125" customWidth="1"/>
  </cols>
  <sheetData>
    <row r="1" spans="1:11" x14ac:dyDescent="0.35">
      <c r="B1" s="1"/>
    </row>
    <row r="2" spans="1:11" x14ac:dyDescent="0.35">
      <c r="B2" s="1"/>
    </row>
    <row r="3" spans="1:11" x14ac:dyDescent="0.35">
      <c r="B3" s="1"/>
    </row>
    <row r="4" spans="1:11" x14ac:dyDescent="0.35">
      <c r="B4" s="2"/>
      <c r="C4" s="2"/>
    </row>
    <row r="5" spans="1:11" x14ac:dyDescent="0.35">
      <c r="B5" s="2"/>
      <c r="C5" s="2"/>
    </row>
    <row r="6" spans="1:11" x14ac:dyDescent="0.35">
      <c r="B6" s="8" t="s">
        <v>0</v>
      </c>
      <c r="C6" s="8" t="s">
        <v>1</v>
      </c>
      <c r="D6" s="8" t="s">
        <v>2</v>
      </c>
    </row>
    <row r="7" spans="1:11" x14ac:dyDescent="0.35">
      <c r="B7" s="9">
        <v>0.03</v>
      </c>
      <c r="C7" s="9">
        <v>0.4</v>
      </c>
      <c r="D7" s="10">
        <v>25000000</v>
      </c>
    </row>
    <row r="8" spans="1:11" x14ac:dyDescent="0.35">
      <c r="F8" s="3"/>
      <c r="G8" s="4"/>
      <c r="J8" s="27"/>
      <c r="K8" s="27"/>
    </row>
    <row r="9" spans="1:11" x14ac:dyDescent="0.35">
      <c r="A9" s="3" t="s">
        <v>3</v>
      </c>
      <c r="B9" s="3" t="s">
        <v>7</v>
      </c>
      <c r="C9" s="3" t="s">
        <v>6</v>
      </c>
      <c r="D9" s="3" t="s">
        <v>4</v>
      </c>
      <c r="F9" s="3"/>
      <c r="I9" s="3"/>
    </row>
    <row r="10" spans="1:11" x14ac:dyDescent="0.35">
      <c r="A10" s="3">
        <v>1</v>
      </c>
      <c r="B10" s="5">
        <f>$D$7*$B$7</f>
        <v>750000</v>
      </c>
      <c r="C10" s="1">
        <f>B10</f>
        <v>750000</v>
      </c>
      <c r="D10" s="6">
        <f>C10/$D$7</f>
        <v>0.03</v>
      </c>
      <c r="F10" s="3"/>
      <c r="G10" s="7"/>
      <c r="I10" s="3"/>
      <c r="J10" s="1"/>
    </row>
    <row r="11" spans="1:11" x14ac:dyDescent="0.35">
      <c r="A11" s="3">
        <v>2</v>
      </c>
      <c r="B11" s="1">
        <f>($B$7*$D$7) + (($C$7-$B$7)*C10) - (($C$7/$D$7)*C10^2)</f>
        <v>1018500</v>
      </c>
      <c r="C11" s="1">
        <f>C10+B11</f>
        <v>1768500</v>
      </c>
      <c r="D11" s="6">
        <f t="shared" ref="D11:D29" si="0">C11/$D$7</f>
        <v>7.0739999999999997E-2</v>
      </c>
      <c r="F11" s="3"/>
      <c r="G11" s="7"/>
      <c r="I11" s="3"/>
      <c r="J11" s="1"/>
      <c r="K11" s="1"/>
    </row>
    <row r="12" spans="1:11" x14ac:dyDescent="0.35">
      <c r="A12" s="3">
        <v>3</v>
      </c>
      <c r="B12" s="1">
        <f t="shared" ref="B12:B29" si="1">($B$7*$D$7) + (($C$7-$B$7)*C11) - (($C$7/$D$7)*C11^2)</f>
        <v>1354303.524</v>
      </c>
      <c r="C12" s="1">
        <f t="shared" ref="C12:C29" si="2">C11+B12</f>
        <v>3122803.5240000002</v>
      </c>
      <c r="D12" s="6">
        <f t="shared" si="0"/>
        <v>0.12491214096000001</v>
      </c>
      <c r="F12" s="3"/>
      <c r="G12" s="7"/>
      <c r="I12" s="3"/>
      <c r="J12" s="1"/>
      <c r="K12" s="1"/>
    </row>
    <row r="13" spans="1:11" x14ac:dyDescent="0.35">
      <c r="A13" s="3">
        <v>4</v>
      </c>
      <c r="B13" s="1">
        <f t="shared" si="1"/>
        <v>1749406.874287891</v>
      </c>
      <c r="C13" s="1">
        <f t="shared" si="2"/>
        <v>4872210.3982878914</v>
      </c>
      <c r="D13" s="6">
        <f t="shared" si="0"/>
        <v>0.19488841593151565</v>
      </c>
      <c r="F13" s="3"/>
      <c r="G13" s="7"/>
      <c r="I13" s="3"/>
      <c r="J13" s="1"/>
      <c r="K13" s="1"/>
    </row>
    <row r="14" spans="1:11" x14ac:dyDescent="0.35">
      <c r="A14" s="3">
        <v>5</v>
      </c>
      <c r="B14" s="1">
        <f t="shared" si="1"/>
        <v>2172902.9007235654</v>
      </c>
      <c r="C14" s="1">
        <f t="shared" si="2"/>
        <v>7045113.2990114568</v>
      </c>
      <c r="D14" s="6">
        <f t="shared" si="0"/>
        <v>0.28180453196045829</v>
      </c>
      <c r="F14" s="3"/>
      <c r="G14" s="7"/>
      <c r="I14" s="3"/>
      <c r="J14" s="1"/>
      <c r="K14" s="1"/>
    </row>
    <row r="15" spans="1:11" x14ac:dyDescent="0.35">
      <c r="A15" s="3">
        <v>6</v>
      </c>
      <c r="B15" s="1">
        <f t="shared" si="1"/>
        <v>2562553.9782997095</v>
      </c>
      <c r="C15" s="1">
        <f t="shared" si="2"/>
        <v>9607667.2773111667</v>
      </c>
      <c r="D15" s="6">
        <f t="shared" si="0"/>
        <v>0.3843066910924467</v>
      </c>
      <c r="F15" s="3"/>
      <c r="G15" s="7"/>
      <c r="I15" s="3"/>
      <c r="J15" s="1"/>
      <c r="K15" s="1"/>
    </row>
    <row r="16" spans="1:11" x14ac:dyDescent="0.35">
      <c r="A16" s="3">
        <v>7</v>
      </c>
      <c r="B16" s="1">
        <f t="shared" si="1"/>
        <v>2827920.5644208789</v>
      </c>
      <c r="C16" s="1">
        <f t="shared" si="2"/>
        <v>12435587.841732046</v>
      </c>
      <c r="D16" s="6">
        <f t="shared" si="0"/>
        <v>0.49742351366928184</v>
      </c>
      <c r="F16" s="3"/>
      <c r="G16" s="7"/>
      <c r="I16" s="3"/>
      <c r="J16" s="1"/>
      <c r="K16" s="1"/>
    </row>
    <row r="17" spans="1:11" x14ac:dyDescent="0.35">
      <c r="A17" s="3">
        <v>8</v>
      </c>
      <c r="B17" s="1">
        <f t="shared" si="1"/>
        <v>2876865.9819299146</v>
      </c>
      <c r="C17" s="1">
        <f t="shared" si="2"/>
        <v>15312453.823661961</v>
      </c>
      <c r="D17" s="6">
        <f t="shared" si="0"/>
        <v>0.61249815294647847</v>
      </c>
      <c r="F17" s="3"/>
      <c r="G17" s="7"/>
      <c r="I17" s="3"/>
      <c r="J17" s="1"/>
      <c r="K17" s="1"/>
    </row>
    <row r="18" spans="1:11" x14ac:dyDescent="0.35">
      <c r="A18" s="3">
        <v>9</v>
      </c>
      <c r="B18" s="1">
        <f t="shared" si="1"/>
        <v>2664068.0411264482</v>
      </c>
      <c r="C18" s="1">
        <f t="shared" si="2"/>
        <v>17976521.864788409</v>
      </c>
      <c r="D18" s="6">
        <f t="shared" si="0"/>
        <v>0.71906087459153634</v>
      </c>
      <c r="F18" s="3"/>
      <c r="G18" s="7"/>
      <c r="I18" s="3"/>
      <c r="J18" s="1"/>
      <c r="K18" s="1"/>
    </row>
    <row r="19" spans="1:11" x14ac:dyDescent="0.35">
      <c r="A19" s="3">
        <v>10</v>
      </c>
      <c r="B19" s="1">
        <f t="shared" si="1"/>
        <v>2230827.6762882583</v>
      </c>
      <c r="C19" s="1">
        <f t="shared" si="2"/>
        <v>20207349.541076668</v>
      </c>
      <c r="D19" s="6">
        <f t="shared" si="0"/>
        <v>0.80829398164306665</v>
      </c>
      <c r="F19" s="3"/>
      <c r="G19" s="7"/>
      <c r="I19" s="3"/>
      <c r="J19" s="1"/>
      <c r="K19" s="1"/>
    </row>
    <row r="20" spans="1:11" x14ac:dyDescent="0.35">
      <c r="A20" s="3">
        <v>11</v>
      </c>
      <c r="B20" s="1">
        <f t="shared" si="1"/>
        <v>1693327.7225943441</v>
      </c>
      <c r="C20" s="1">
        <f t="shared" si="2"/>
        <v>21900677.263671011</v>
      </c>
      <c r="D20" s="6">
        <f t="shared" si="0"/>
        <v>0.87602709054684047</v>
      </c>
      <c r="F20" s="3"/>
      <c r="G20" s="7"/>
      <c r="I20" s="3"/>
      <c r="J20" s="1"/>
      <c r="K20" s="1"/>
    </row>
    <row r="21" spans="1:11" x14ac:dyDescent="0.35">
      <c r="A21" s="3">
        <v>12</v>
      </c>
      <c r="B21" s="1">
        <f t="shared" si="1"/>
        <v>1179015.9538386511</v>
      </c>
      <c r="C21" s="1">
        <f t="shared" si="2"/>
        <v>23079693.217509661</v>
      </c>
      <c r="D21" s="6">
        <f t="shared" si="0"/>
        <v>0.92318772870038646</v>
      </c>
      <c r="F21" s="3"/>
      <c r="G21" s="7"/>
      <c r="I21" s="3"/>
      <c r="J21" s="1"/>
      <c r="K21" s="1"/>
    </row>
    <row r="22" spans="1:11" x14ac:dyDescent="0.35">
      <c r="A22" s="3">
        <v>13</v>
      </c>
      <c r="B22" s="1">
        <f t="shared" si="1"/>
        <v>766730.66624879092</v>
      </c>
      <c r="C22" s="1">
        <f t="shared" si="2"/>
        <v>23846423.883758452</v>
      </c>
      <c r="D22" s="6">
        <f t="shared" si="0"/>
        <v>0.9538569553503381</v>
      </c>
      <c r="F22" s="3"/>
      <c r="G22" s="7"/>
      <c r="I22" s="3"/>
      <c r="J22" s="1"/>
      <c r="K22" s="1"/>
    </row>
    <row r="23" spans="1:11" x14ac:dyDescent="0.35">
      <c r="A23" s="3">
        <v>14</v>
      </c>
      <c r="B23" s="1">
        <f t="shared" si="1"/>
        <v>474745.92428845726</v>
      </c>
      <c r="C23" s="1">
        <f t="shared" si="2"/>
        <v>24321169.808046907</v>
      </c>
      <c r="D23" s="6">
        <f t="shared" si="0"/>
        <v>0.97284679232187632</v>
      </c>
      <c r="F23" s="3"/>
      <c r="G23" s="7"/>
      <c r="I23" s="3"/>
      <c r="J23" s="1"/>
      <c r="K23" s="1"/>
    </row>
    <row r="24" spans="1:11" x14ac:dyDescent="0.35">
      <c r="A24" s="3">
        <v>15</v>
      </c>
      <c r="B24" s="1">
        <f t="shared" si="1"/>
        <v>284524.0156677179</v>
      </c>
      <c r="C24" s="1">
        <f t="shared" si="2"/>
        <v>24605693.823714625</v>
      </c>
      <c r="D24" s="6">
        <f t="shared" si="0"/>
        <v>0.984227752948585</v>
      </c>
      <c r="F24" s="3"/>
      <c r="G24" s="7"/>
      <c r="I24" s="3"/>
      <c r="J24" s="1"/>
      <c r="K24" s="1"/>
    </row>
    <row r="25" spans="1:11" x14ac:dyDescent="0.35">
      <c r="A25" s="3">
        <v>16</v>
      </c>
      <c r="B25" s="1">
        <f t="shared" si="1"/>
        <v>167064.0180322025</v>
      </c>
      <c r="C25" s="1">
        <f t="shared" si="2"/>
        <v>24772757.841746829</v>
      </c>
      <c r="D25" s="6">
        <f t="shared" si="0"/>
        <v>0.99091031366987314</v>
      </c>
      <c r="F25" s="3"/>
      <c r="G25" s="7"/>
      <c r="I25" s="3"/>
      <c r="J25" s="1"/>
      <c r="K25" s="1"/>
    </row>
    <row r="26" spans="1:11" x14ac:dyDescent="0.35">
      <c r="A26" s="3">
        <v>17</v>
      </c>
      <c r="B26" s="1">
        <f t="shared" si="1"/>
        <v>96887.904073063284</v>
      </c>
      <c r="C26" s="1">
        <f t="shared" si="2"/>
        <v>24869645.745819893</v>
      </c>
      <c r="D26" s="6">
        <f t="shared" si="0"/>
        <v>0.99478582983279573</v>
      </c>
      <c r="F26" s="3"/>
      <c r="G26" s="7"/>
      <c r="I26" s="3"/>
      <c r="J26" s="1"/>
      <c r="K26" s="1"/>
    </row>
    <row r="27" spans="1:11" x14ac:dyDescent="0.35">
      <c r="A27" s="3">
        <v>18</v>
      </c>
      <c r="B27" s="1">
        <f t="shared" si="1"/>
        <v>55780.453592119738</v>
      </c>
      <c r="C27" s="1">
        <f t="shared" si="2"/>
        <v>24925426.199412011</v>
      </c>
      <c r="D27" s="6">
        <f t="shared" si="0"/>
        <v>0.99701704797648039</v>
      </c>
      <c r="F27" s="3"/>
      <c r="G27" s="7"/>
      <c r="I27" s="3"/>
      <c r="J27" s="1"/>
      <c r="K27" s="1"/>
    </row>
    <row r="28" spans="1:11" x14ac:dyDescent="0.35">
      <c r="A28" s="3">
        <v>19</v>
      </c>
      <c r="B28" s="1">
        <f t="shared" si="1"/>
        <v>31977.754225088283</v>
      </c>
      <c r="C28" s="1">
        <f t="shared" si="2"/>
        <v>24957403.953637101</v>
      </c>
      <c r="D28" s="6">
        <f t="shared" si="0"/>
        <v>0.998296158145484</v>
      </c>
      <c r="F28" s="3"/>
      <c r="G28" s="7"/>
      <c r="I28" s="3"/>
      <c r="J28" s="1"/>
      <c r="K28" s="1"/>
    </row>
    <row r="29" spans="1:11" x14ac:dyDescent="0.35">
      <c r="A29" s="3">
        <v>20</v>
      </c>
      <c r="B29" s="1">
        <f t="shared" si="1"/>
        <v>18287.269165394828</v>
      </c>
      <c r="C29" s="1">
        <f t="shared" si="2"/>
        <v>24975691.222802497</v>
      </c>
      <c r="D29" s="6">
        <f t="shared" si="0"/>
        <v>0.99902764891209994</v>
      </c>
      <c r="F29" s="3"/>
      <c r="G29" s="7"/>
      <c r="I29" s="3"/>
      <c r="J29" s="1"/>
      <c r="K29" s="1"/>
    </row>
  </sheetData>
  <mergeCells count="1">
    <mergeCell ref="J8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DB72-2C07-4E79-9608-2E55B1D0F57C}">
  <dimension ref="A1:K29"/>
  <sheetViews>
    <sheetView workbookViewId="0">
      <selection activeCell="A10" sqref="A10"/>
    </sheetView>
  </sheetViews>
  <sheetFormatPr defaultRowHeight="14.5" x14ac:dyDescent="0.35"/>
  <cols>
    <col min="1" max="1" width="17" bestFit="1" customWidth="1"/>
    <col min="2" max="2" width="13.6328125" bestFit="1" customWidth="1"/>
    <col min="3" max="3" width="19.1796875" bestFit="1" customWidth="1"/>
    <col min="4" max="4" width="16.81640625" bestFit="1" customWidth="1"/>
    <col min="7" max="7" width="15.81640625" customWidth="1"/>
    <col min="8" max="8" width="9.7265625" customWidth="1"/>
    <col min="9" max="9" width="4.54296875" bestFit="1" customWidth="1"/>
    <col min="10" max="10" width="13.6328125" bestFit="1" customWidth="1"/>
    <col min="11" max="11" width="12.54296875" bestFit="1" customWidth="1"/>
    <col min="14" max="14" width="11.26953125" customWidth="1"/>
    <col min="15" max="15" width="12.36328125" customWidth="1"/>
  </cols>
  <sheetData>
    <row r="1" spans="1:11" x14ac:dyDescent="0.35">
      <c r="B1" s="1"/>
    </row>
    <row r="2" spans="1:11" x14ac:dyDescent="0.35">
      <c r="B2" s="1"/>
    </row>
    <row r="3" spans="1:11" x14ac:dyDescent="0.35">
      <c r="B3" s="1"/>
    </row>
    <row r="4" spans="1:11" x14ac:dyDescent="0.35">
      <c r="B4" s="2"/>
      <c r="C4" s="2"/>
    </row>
    <row r="5" spans="1:11" x14ac:dyDescent="0.35">
      <c r="B5" s="2"/>
      <c r="C5" s="2"/>
    </row>
    <row r="6" spans="1:11" x14ac:dyDescent="0.35">
      <c r="B6" s="8" t="s">
        <v>0</v>
      </c>
      <c r="C6" s="8" t="s">
        <v>1</v>
      </c>
      <c r="D6" s="8" t="s">
        <v>2</v>
      </c>
    </row>
    <row r="7" spans="1:11" x14ac:dyDescent="0.35">
      <c r="B7" s="9">
        <v>0.4</v>
      </c>
      <c r="C7" s="9">
        <v>0.03</v>
      </c>
      <c r="D7" s="10">
        <v>25000000</v>
      </c>
    </row>
    <row r="8" spans="1:11" x14ac:dyDescent="0.35">
      <c r="F8" s="3"/>
      <c r="G8" s="4"/>
      <c r="J8" s="27"/>
      <c r="K8" s="27"/>
    </row>
    <row r="9" spans="1:11" x14ac:dyDescent="0.35">
      <c r="A9" s="3" t="s">
        <v>3</v>
      </c>
      <c r="B9" s="3" t="s">
        <v>7</v>
      </c>
      <c r="C9" s="3" t="s">
        <v>6</v>
      </c>
      <c r="D9" s="3" t="s">
        <v>4</v>
      </c>
      <c r="F9" s="3"/>
      <c r="I9" s="3"/>
    </row>
    <row r="10" spans="1:11" x14ac:dyDescent="0.35">
      <c r="A10" s="3">
        <v>1</v>
      </c>
      <c r="B10" s="5">
        <f>$D$7*$B$7</f>
        <v>10000000</v>
      </c>
      <c r="C10" s="1">
        <f>B10</f>
        <v>10000000</v>
      </c>
      <c r="D10" s="6">
        <f>C10/$D$7</f>
        <v>0.4</v>
      </c>
      <c r="F10" s="3"/>
      <c r="G10" s="7"/>
      <c r="I10" s="3"/>
      <c r="J10" s="1"/>
    </row>
    <row r="11" spans="1:11" x14ac:dyDescent="0.35">
      <c r="A11" s="3">
        <v>2</v>
      </c>
      <c r="B11" s="1">
        <f>($B$7*$D$7) + (($C$7-$B$7)*C10) - (($C$7/$D$7)*C10^2)</f>
        <v>6180000</v>
      </c>
      <c r="C11" s="1">
        <f>C10+B11</f>
        <v>16180000</v>
      </c>
      <c r="D11" s="6">
        <f>C11/$D$7</f>
        <v>0.6472</v>
      </c>
      <c r="F11" s="3"/>
      <c r="G11" s="7"/>
      <c r="I11" s="3"/>
      <c r="J11" s="1"/>
      <c r="K11" s="1"/>
    </row>
    <row r="12" spans="1:11" x14ac:dyDescent="0.35">
      <c r="A12" s="3">
        <v>3</v>
      </c>
      <c r="B12" s="1">
        <f t="shared" ref="B12:B29" si="0">($B$7*$D$7) + (($C$7-$B$7)*C11) - (($C$7/$D$7)*C11^2)</f>
        <v>3699249.12</v>
      </c>
      <c r="C12" s="1">
        <f t="shared" ref="C12:C29" si="1">C11+B12</f>
        <v>19879249.120000001</v>
      </c>
      <c r="D12" s="6">
        <f t="shared" ref="D12:D29" si="2">C12/$D$7</f>
        <v>0.79516996480000002</v>
      </c>
      <c r="F12" s="3"/>
      <c r="G12" s="7"/>
      <c r="I12" s="3"/>
      <c r="J12" s="1"/>
      <c r="K12" s="1"/>
    </row>
    <row r="13" spans="1:11" x14ac:dyDescent="0.35">
      <c r="A13" s="3">
        <v>4</v>
      </c>
      <c r="B13" s="1">
        <f t="shared" si="0"/>
        <v>2170456.3709099749</v>
      </c>
      <c r="C13" s="1">
        <f t="shared" si="1"/>
        <v>22049705.490909975</v>
      </c>
      <c r="D13" s="6">
        <f t="shared" si="2"/>
        <v>0.88198821963639895</v>
      </c>
      <c r="F13" s="3"/>
      <c r="G13" s="7"/>
      <c r="I13" s="3"/>
      <c r="J13" s="1"/>
      <c r="K13" s="1"/>
    </row>
    <row r="14" spans="1:11" x14ac:dyDescent="0.35">
      <c r="A14" s="3">
        <v>5</v>
      </c>
      <c r="B14" s="1">
        <f t="shared" si="0"/>
        <v>1258181.5536802707</v>
      </c>
      <c r="C14" s="1">
        <f t="shared" si="1"/>
        <v>23307887.044590246</v>
      </c>
      <c r="D14" s="6">
        <f t="shared" si="2"/>
        <v>0.93231548178360979</v>
      </c>
      <c r="F14" s="3"/>
      <c r="G14" s="7"/>
      <c r="I14" s="3"/>
      <c r="J14" s="1"/>
      <c r="K14" s="1"/>
    </row>
    <row r="15" spans="1:11" x14ac:dyDescent="0.35">
      <c r="A15" s="3">
        <v>6</v>
      </c>
      <c r="B15" s="1">
        <f t="shared" si="0"/>
        <v>724172.67532155651</v>
      </c>
      <c r="C15" s="1">
        <f t="shared" si="1"/>
        <v>24032059.719911803</v>
      </c>
      <c r="D15" s="6">
        <f t="shared" si="2"/>
        <v>0.9612823887964721</v>
      </c>
      <c r="F15" s="3"/>
      <c r="G15" s="7"/>
      <c r="I15" s="3"/>
      <c r="J15" s="1"/>
      <c r="K15" s="1"/>
    </row>
    <row r="16" spans="1:11" x14ac:dyDescent="0.35">
      <c r="A16" s="3">
        <v>7</v>
      </c>
      <c r="B16" s="1">
        <f t="shared" si="0"/>
        <v>415090.03037494456</v>
      </c>
      <c r="C16" s="1">
        <f t="shared" si="1"/>
        <v>24447149.750286747</v>
      </c>
      <c r="D16" s="6">
        <f t="shared" si="2"/>
        <v>0.97788599001146992</v>
      </c>
      <c r="F16" s="3"/>
      <c r="G16" s="7"/>
      <c r="I16" s="3"/>
      <c r="J16" s="1"/>
      <c r="K16" s="1"/>
    </row>
    <row r="17" spans="1:11" x14ac:dyDescent="0.35">
      <c r="A17" s="3">
        <v>8</v>
      </c>
      <c r="B17" s="1">
        <f t="shared" si="0"/>
        <v>237358.83529836859</v>
      </c>
      <c r="C17" s="1">
        <f t="shared" si="1"/>
        <v>24684508.585585114</v>
      </c>
      <c r="D17" s="6">
        <f t="shared" si="2"/>
        <v>0.98738034342340453</v>
      </c>
      <c r="F17" s="3"/>
      <c r="G17" s="7"/>
      <c r="I17" s="3"/>
      <c r="J17" s="1"/>
      <c r="K17" s="1"/>
    </row>
    <row r="18" spans="1:11" x14ac:dyDescent="0.35">
      <c r="A18" s="3">
        <v>9</v>
      </c>
      <c r="B18" s="1">
        <f t="shared" si="0"/>
        <v>135541.86639931728</v>
      </c>
      <c r="C18" s="1">
        <f t="shared" si="1"/>
        <v>24820050.451984432</v>
      </c>
      <c r="D18" s="6">
        <f t="shared" si="2"/>
        <v>0.99280201807937729</v>
      </c>
      <c r="F18" s="3"/>
      <c r="G18" s="7"/>
      <c r="I18" s="3"/>
      <c r="J18" s="1"/>
      <c r="K18" s="1"/>
    </row>
    <row r="19" spans="1:11" x14ac:dyDescent="0.35">
      <c r="A19" s="3">
        <v>10</v>
      </c>
      <c r="B19" s="1">
        <f t="shared" si="0"/>
        <v>77339.44743889675</v>
      </c>
      <c r="C19" s="1">
        <f t="shared" si="1"/>
        <v>24897389.899423327</v>
      </c>
      <c r="D19" s="6">
        <f>C19/$D$7</f>
        <v>0.99589559597693311</v>
      </c>
      <c r="F19" s="3"/>
      <c r="G19" s="7"/>
      <c r="I19" s="3"/>
      <c r="J19" s="1"/>
      <c r="K19" s="1"/>
    </row>
    <row r="20" spans="1:11" x14ac:dyDescent="0.35">
      <c r="A20" s="3">
        <v>11</v>
      </c>
      <c r="B20" s="1">
        <f t="shared" si="0"/>
        <v>44109.708648681408</v>
      </c>
      <c r="C20" s="1">
        <f t="shared" si="1"/>
        <v>24941499.608072009</v>
      </c>
      <c r="D20" s="6">
        <f>C20/$D$7</f>
        <v>0.99765998432288039</v>
      </c>
      <c r="F20" s="3"/>
      <c r="G20" s="7"/>
      <c r="I20" s="3"/>
      <c r="J20" s="1"/>
      <c r="K20" s="1"/>
    </row>
    <row r="21" spans="1:11" x14ac:dyDescent="0.35">
      <c r="A21" s="3">
        <v>12</v>
      </c>
      <c r="B21" s="1">
        <f t="shared" si="0"/>
        <v>25151.061774009257</v>
      </c>
      <c r="C21" s="1">
        <f>C20+B21</f>
        <v>24966650.669846017</v>
      </c>
      <c r="D21" s="6">
        <f t="shared" si="2"/>
        <v>0.99866602679384064</v>
      </c>
      <c r="F21" s="3"/>
      <c r="G21" s="7"/>
      <c r="I21" s="3"/>
      <c r="J21" s="1"/>
      <c r="K21" s="1"/>
    </row>
    <row r="22" spans="1:11" x14ac:dyDescent="0.35">
      <c r="A22" s="3">
        <v>13</v>
      </c>
      <c r="B22" s="1">
        <f t="shared" si="0"/>
        <v>14338.877352827578</v>
      </c>
      <c r="C22" s="1">
        <f>C21+B22</f>
        <v>24980989.547198843</v>
      </c>
      <c r="D22" s="6">
        <f t="shared" si="2"/>
        <v>0.9992395818879537</v>
      </c>
      <c r="F22" s="3"/>
      <c r="G22" s="7"/>
      <c r="I22" s="3"/>
      <c r="J22" s="1"/>
      <c r="K22" s="1"/>
    </row>
    <row r="23" spans="1:11" x14ac:dyDescent="0.35">
      <c r="A23" s="3">
        <v>14</v>
      </c>
      <c r="B23" s="1">
        <f t="shared" si="0"/>
        <v>8174.0610277180094</v>
      </c>
      <c r="C23" s="1">
        <f t="shared" si="1"/>
        <v>24989163.60822656</v>
      </c>
      <c r="D23" s="6">
        <f t="shared" si="2"/>
        <v>0.99956654432906245</v>
      </c>
      <c r="F23" s="3"/>
      <c r="G23" s="7"/>
      <c r="I23" s="3"/>
      <c r="J23" s="1"/>
      <c r="K23" s="1"/>
    </row>
    <row r="24" spans="1:11" x14ac:dyDescent="0.35">
      <c r="A24" s="3">
        <v>15</v>
      </c>
      <c r="B24" s="1">
        <f t="shared" si="0"/>
        <v>4659.5075497161597</v>
      </c>
      <c r="C24" s="1">
        <f>C23+B24</f>
        <v>24993823.115776278</v>
      </c>
      <c r="D24" s="6">
        <f t="shared" si="2"/>
        <v>0.99975292463105114</v>
      </c>
      <c r="F24" s="3"/>
      <c r="G24" s="7"/>
      <c r="I24" s="3"/>
      <c r="J24" s="1"/>
      <c r="K24" s="1"/>
    </row>
    <row r="25" spans="1:11" x14ac:dyDescent="0.35">
      <c r="A25" s="3">
        <v>16</v>
      </c>
      <c r="B25" s="1">
        <f>($B$7*$D$7) + (($C$7-$B$7)*C24) - (($C$7/$D$7)*C24^2)</f>
        <v>2656.014431521995</v>
      </c>
      <c r="C25" s="1">
        <f t="shared" si="1"/>
        <v>24996479.130207799</v>
      </c>
      <c r="D25" s="6">
        <f t="shared" si="2"/>
        <v>0.99985916520831197</v>
      </c>
      <c r="F25" s="3"/>
      <c r="G25" s="7"/>
      <c r="I25" s="3"/>
      <c r="J25" s="1"/>
      <c r="K25" s="1"/>
    </row>
    <row r="26" spans="1:11" x14ac:dyDescent="0.35">
      <c r="A26" s="3">
        <v>17</v>
      </c>
      <c r="B26" s="1">
        <f t="shared" si="0"/>
        <v>1513.9591348180547</v>
      </c>
      <c r="C26" s="1">
        <f t="shared" si="1"/>
        <v>24997993.089342616</v>
      </c>
      <c r="D26" s="6">
        <f t="shared" si="2"/>
        <v>0.99991972357370462</v>
      </c>
      <c r="F26" s="3"/>
      <c r="G26" s="7"/>
      <c r="I26" s="3"/>
      <c r="J26" s="1"/>
      <c r="K26" s="1"/>
    </row>
    <row r="27" spans="1:11" x14ac:dyDescent="0.35">
      <c r="A27" s="3">
        <v>18</v>
      </c>
      <c r="B27" s="1">
        <f t="shared" si="0"/>
        <v>862.9667494466994</v>
      </c>
      <c r="C27" s="1">
        <f t="shared" si="1"/>
        <v>24998856.056092065</v>
      </c>
      <c r="D27" s="6">
        <f t="shared" si="2"/>
        <v>0.99995424224368257</v>
      </c>
      <c r="F27" s="3"/>
      <c r="G27" s="7"/>
      <c r="I27" s="3"/>
      <c r="J27" s="1"/>
      <c r="K27" s="1"/>
    </row>
    <row r="28" spans="1:11" x14ac:dyDescent="0.35">
      <c r="A28" s="3">
        <v>19</v>
      </c>
      <c r="B28" s="1">
        <f t="shared" si="0"/>
        <v>491.89431008277461</v>
      </c>
      <c r="C28" s="1">
        <f t="shared" si="1"/>
        <v>24999347.950402148</v>
      </c>
      <c r="D28" s="6">
        <f t="shared" si="2"/>
        <v>0.99997391801608593</v>
      </c>
      <c r="F28" s="3"/>
      <c r="G28" s="7"/>
      <c r="I28" s="3"/>
      <c r="J28" s="1"/>
      <c r="K28" s="1"/>
    </row>
    <row r="29" spans="1:11" x14ac:dyDescent="0.35">
      <c r="A29" s="3">
        <v>20</v>
      </c>
      <c r="B29" s="1">
        <f t="shared" si="0"/>
        <v>280.38081687362865</v>
      </c>
      <c r="C29" s="1">
        <f t="shared" si="1"/>
        <v>24999628.331219021</v>
      </c>
      <c r="D29" s="6">
        <f t="shared" si="2"/>
        <v>0.99998513324876082</v>
      </c>
      <c r="F29" s="3"/>
      <c r="G29" s="7"/>
      <c r="I29" s="3"/>
      <c r="J29" s="1"/>
      <c r="K29" s="1"/>
    </row>
  </sheetData>
  <mergeCells count="1">
    <mergeCell ref="J8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EC26-B917-478D-9B01-BE6544016A4B}">
  <dimension ref="A3:P26"/>
  <sheetViews>
    <sheetView topLeftCell="A5" zoomScaleNormal="100" workbookViewId="0">
      <selection activeCell="H8" sqref="H8"/>
    </sheetView>
  </sheetViews>
  <sheetFormatPr defaultRowHeight="14.5" x14ac:dyDescent="0.35"/>
  <cols>
    <col min="1" max="1" width="8.90625" bestFit="1" customWidth="1"/>
    <col min="2" max="2" width="19.36328125" customWidth="1"/>
    <col min="3" max="3" width="17.453125" bestFit="1" customWidth="1"/>
    <col min="4" max="4" width="11.90625" bestFit="1" customWidth="1"/>
    <col min="5" max="5" width="8.81640625" bestFit="1" customWidth="1"/>
    <col min="6" max="6" width="10.7265625" customWidth="1"/>
    <col min="7" max="7" width="20.54296875" customWidth="1"/>
    <col min="9" max="10" width="8.81640625" bestFit="1" customWidth="1"/>
    <col min="11" max="11" width="10.81640625" bestFit="1" customWidth="1"/>
    <col min="12" max="16" width="8.81640625" bestFit="1" customWidth="1"/>
  </cols>
  <sheetData>
    <row r="3" spans="1:16" x14ac:dyDescent="0.35">
      <c r="A3" s="11"/>
      <c r="B3" s="11" t="s">
        <v>0</v>
      </c>
      <c r="C3" s="11" t="s">
        <v>1</v>
      </c>
      <c r="D3" s="11"/>
      <c r="I3" s="11"/>
      <c r="J3" s="11" t="s">
        <v>0</v>
      </c>
      <c r="K3" s="11" t="s">
        <v>1</v>
      </c>
      <c r="L3" s="11"/>
    </row>
    <row r="4" spans="1:16" x14ac:dyDescent="0.35">
      <c r="A4" s="11">
        <v>25000000</v>
      </c>
      <c r="B4" s="11">
        <v>0.03</v>
      </c>
      <c r="C4" s="11">
        <v>0.4</v>
      </c>
      <c r="D4" s="11">
        <v>20</v>
      </c>
      <c r="I4" s="18">
        <v>25000000</v>
      </c>
      <c r="J4" s="18">
        <v>0.4</v>
      </c>
      <c r="K4" s="18">
        <v>0.03</v>
      </c>
      <c r="L4" s="18">
        <v>20</v>
      </c>
    </row>
    <row r="6" spans="1:16" s="17" customFormat="1" ht="27" customHeight="1" x14ac:dyDescent="0.35">
      <c r="A6" s="15" t="s">
        <v>3</v>
      </c>
      <c r="B6" s="15" t="s">
        <v>7</v>
      </c>
      <c r="C6" s="15" t="s">
        <v>12</v>
      </c>
      <c r="D6" s="16" t="s">
        <v>5</v>
      </c>
      <c r="E6" s="16" t="s">
        <v>8</v>
      </c>
      <c r="F6" s="16" t="s">
        <v>9</v>
      </c>
      <c r="G6" s="58" t="s">
        <v>10</v>
      </c>
      <c r="I6" s="13" t="s">
        <v>3</v>
      </c>
      <c r="J6" s="13" t="s">
        <v>7</v>
      </c>
      <c r="K6" s="59" t="s">
        <v>11</v>
      </c>
      <c r="L6" s="61" t="s">
        <v>4</v>
      </c>
      <c r="M6" s="14" t="s">
        <v>5</v>
      </c>
      <c r="N6" s="14" t="s">
        <v>8</v>
      </c>
      <c r="O6" s="14" t="s">
        <v>9</v>
      </c>
      <c r="P6" s="14" t="s">
        <v>10</v>
      </c>
    </row>
    <row r="7" spans="1:16" x14ac:dyDescent="0.35">
      <c r="A7">
        <v>1</v>
      </c>
      <c r="B7" s="12">
        <f>B4*$A$4</f>
        <v>750000</v>
      </c>
      <c r="C7" s="12">
        <f>B7</f>
        <v>750000</v>
      </c>
      <c r="D7" s="12">
        <f>$B$4*($A$4)</f>
        <v>750000</v>
      </c>
      <c r="E7" s="12">
        <f>$C$4*(0/$A$4)*($A$4-0)</f>
        <v>0</v>
      </c>
      <c r="F7" s="22">
        <f>$D7/$C7</f>
        <v>1</v>
      </c>
      <c r="G7" s="22">
        <f>$E7/$C7</f>
        <v>0</v>
      </c>
      <c r="I7" s="19">
        <v>1</v>
      </c>
      <c r="J7" s="19">
        <f>$J4*$I$4</f>
        <v>10000000</v>
      </c>
      <c r="K7" s="19">
        <f>J7</f>
        <v>10000000</v>
      </c>
      <c r="L7" s="60">
        <f>K7/$A$4</f>
        <v>0.4</v>
      </c>
      <c r="M7" s="19">
        <f>$J$4*($I$4)</f>
        <v>10000000</v>
      </c>
      <c r="N7" s="19">
        <f>$K$4*(0/$I$4)*($I$4-0)</f>
        <v>0</v>
      </c>
      <c r="O7" s="20">
        <f t="shared" ref="O7:O26" si="0">$M7/$K7</f>
        <v>1</v>
      </c>
      <c r="P7" s="20">
        <f t="shared" ref="P7:P26" si="1">$N7/$K7</f>
        <v>0</v>
      </c>
    </row>
    <row r="8" spans="1:16" x14ac:dyDescent="0.35">
      <c r="A8">
        <v>2</v>
      </c>
      <c r="B8" s="12">
        <f>$B$4*$A$4+($C$4-$B$4)*C7 - ($C$4/$A$4)*C7^2</f>
        <v>1018500</v>
      </c>
      <c r="C8" s="12">
        <f>C7+B8</f>
        <v>1768500</v>
      </c>
      <c r="D8" s="12">
        <f>$B$4*($A$4-$C7)</f>
        <v>727500</v>
      </c>
      <c r="E8" s="12">
        <f>$C$4*($C7/$A$4)*($A$4-$C7)</f>
        <v>291000</v>
      </c>
      <c r="F8" s="22">
        <f t="shared" ref="F8:F26" si="2">$D8/$C8</f>
        <v>0.41136556403731978</v>
      </c>
      <c r="G8" s="22">
        <f t="shared" ref="G8:G26" si="3">$E8/$C8</f>
        <v>0.1645462256149279</v>
      </c>
      <c r="I8" s="12">
        <v>2</v>
      </c>
      <c r="J8" s="19">
        <f>$J$4*$I$4+($K$4-$J$4)*K7 - ($K$4/$I$4)*K7^2</f>
        <v>6180000</v>
      </c>
      <c r="K8" s="12">
        <f>K7+J8</f>
        <v>16180000</v>
      </c>
      <c r="L8" s="21">
        <f t="shared" ref="L8:L26" si="4">K8/$A$4</f>
        <v>0.6472</v>
      </c>
      <c r="M8" s="12">
        <f t="shared" ref="M8:M26" si="5">$J$4*($I$4-$K7)</f>
        <v>6000000</v>
      </c>
      <c r="N8" s="12">
        <f t="shared" ref="N8:N26" si="6">$K$4*($K7/$I$4)*($I$4-$K7)</f>
        <v>180000</v>
      </c>
      <c r="O8" s="22">
        <f t="shared" si="0"/>
        <v>0.37082818294190356</v>
      </c>
      <c r="P8" s="22">
        <f t="shared" si="1"/>
        <v>1.1124845488257108E-2</v>
      </c>
    </row>
    <row r="9" spans="1:16" x14ac:dyDescent="0.35">
      <c r="A9">
        <v>3</v>
      </c>
      <c r="B9" s="12">
        <f t="shared" ref="B9:B25" si="7">$B$4*$A$4+($C$4-$B$4)*C8 - ($C$4/$A$4)*C8^2</f>
        <v>1354303.524</v>
      </c>
      <c r="C9" s="12">
        <f t="shared" ref="C9:C25" si="8">C8+B9</f>
        <v>3122803.5240000002</v>
      </c>
      <c r="D9" s="12">
        <f>$B$4*($A$4-$C8)</f>
        <v>696945</v>
      </c>
      <c r="E9" s="12">
        <f t="shared" ref="E9:E25" si="9">$C$4*($C8/$A$4)*($A$4-$C8)</f>
        <v>657358.52400000009</v>
      </c>
      <c r="F9" s="22">
        <f t="shared" si="2"/>
        <v>0.22317926652884101</v>
      </c>
      <c r="G9" s="22">
        <f t="shared" si="3"/>
        <v>0.21050268419000287</v>
      </c>
      <c r="I9" s="12">
        <v>3</v>
      </c>
      <c r="J9" s="19">
        <f t="shared" ref="J9:J26" si="10">$J$4*$I$4+($K$4-$J$4)*K8 - ($K$4/$I$4)*K8^2</f>
        <v>3699249.12</v>
      </c>
      <c r="K9" s="12">
        <f t="shared" ref="K9:K26" si="11">K8+J9</f>
        <v>19879249.120000001</v>
      </c>
      <c r="L9" s="21">
        <f t="shared" si="4"/>
        <v>0.79516996480000002</v>
      </c>
      <c r="M9" s="12">
        <f t="shared" si="5"/>
        <v>3528000</v>
      </c>
      <c r="N9" s="12">
        <f t="shared" si="6"/>
        <v>171249.12</v>
      </c>
      <c r="O9" s="22">
        <f t="shared" si="0"/>
        <v>0.17747149194134149</v>
      </c>
      <c r="P9" s="22">
        <f t="shared" si="1"/>
        <v>8.6144662188327153E-3</v>
      </c>
    </row>
    <row r="10" spans="1:16" x14ac:dyDescent="0.35">
      <c r="A10">
        <v>4</v>
      </c>
      <c r="B10" s="12">
        <f t="shared" si="7"/>
        <v>1749406.874287891</v>
      </c>
      <c r="C10" s="12">
        <f t="shared" si="8"/>
        <v>4872210.3982878914</v>
      </c>
      <c r="D10" s="12">
        <f t="shared" ref="D10:D25" si="12">$B$4*($A$4-$C9)</f>
        <v>656315.89428000001</v>
      </c>
      <c r="E10" s="12">
        <f t="shared" si="9"/>
        <v>1093090.9800078911</v>
      </c>
      <c r="F10" s="22">
        <f t="shared" si="2"/>
        <v>0.1347059836559257</v>
      </c>
      <c r="G10" s="22">
        <f t="shared" si="3"/>
        <v>0.22435217091445936</v>
      </c>
      <c r="I10" s="12">
        <v>4</v>
      </c>
      <c r="J10" s="19">
        <f t="shared" si="10"/>
        <v>2170456.3709099749</v>
      </c>
      <c r="K10" s="12">
        <f t="shared" si="11"/>
        <v>22049705.490909975</v>
      </c>
      <c r="L10" s="21">
        <f t="shared" si="4"/>
        <v>0.88198821963639895</v>
      </c>
      <c r="M10" s="12">
        <f t="shared" si="5"/>
        <v>2048300.3519999997</v>
      </c>
      <c r="N10" s="12">
        <f t="shared" si="6"/>
        <v>122156.01890997506</v>
      </c>
      <c r="O10" s="22">
        <f t="shared" si="0"/>
        <v>9.2894680740494007E-2</v>
      </c>
      <c r="P10" s="22">
        <f t="shared" si="1"/>
        <v>5.5400295010894392E-3</v>
      </c>
    </row>
    <row r="11" spans="1:16" x14ac:dyDescent="0.35">
      <c r="A11">
        <v>5</v>
      </c>
      <c r="B11" s="12">
        <f t="shared" si="7"/>
        <v>2172902.9007235654</v>
      </c>
      <c r="C11" s="12">
        <f t="shared" si="8"/>
        <v>7045113.2990114568</v>
      </c>
      <c r="D11" s="12">
        <f t="shared" si="12"/>
        <v>603833.68805136322</v>
      </c>
      <c r="E11" s="12">
        <f t="shared" si="9"/>
        <v>1569069.2126722021</v>
      </c>
      <c r="F11" s="22">
        <f t="shared" si="2"/>
        <v>8.5709578032774986E-2</v>
      </c>
      <c r="G11" s="22">
        <f t="shared" si="3"/>
        <v>0.22271738523954865</v>
      </c>
      <c r="I11" s="12">
        <v>5</v>
      </c>
      <c r="J11" s="19">
        <f t="shared" si="10"/>
        <v>1258181.5536802707</v>
      </c>
      <c r="K11" s="12">
        <f t="shared" si="11"/>
        <v>23307887.044590246</v>
      </c>
      <c r="L11" s="21">
        <f t="shared" si="4"/>
        <v>0.93231548178360979</v>
      </c>
      <c r="M11" s="12">
        <f t="shared" si="5"/>
        <v>1180117.80363601</v>
      </c>
      <c r="N11" s="12">
        <f t="shared" si="6"/>
        <v>78063.75004426064</v>
      </c>
      <c r="O11" s="22">
        <f t="shared" si="0"/>
        <v>5.0631693957428676E-2</v>
      </c>
      <c r="P11" s="22">
        <f t="shared" si="1"/>
        <v>3.3492418208015649E-3</v>
      </c>
    </row>
    <row r="12" spans="1:16" x14ac:dyDescent="0.35">
      <c r="A12">
        <v>6</v>
      </c>
      <c r="B12" s="12">
        <f t="shared" si="7"/>
        <v>2562553.9782997095</v>
      </c>
      <c r="C12" s="12">
        <f t="shared" si="8"/>
        <v>9607667.2773111667</v>
      </c>
      <c r="D12" s="12">
        <f t="shared" si="12"/>
        <v>538646.60102965625</v>
      </c>
      <c r="E12" s="12">
        <f t="shared" si="9"/>
        <v>2023907.3772700534</v>
      </c>
      <c r="F12" s="22">
        <f t="shared" si="2"/>
        <v>5.6064243846338076E-2</v>
      </c>
      <c r="G12" s="22">
        <f t="shared" si="3"/>
        <v>0.21065543995779074</v>
      </c>
      <c r="I12" s="12">
        <v>6</v>
      </c>
      <c r="J12" s="19">
        <f t="shared" si="10"/>
        <v>724172.67532155651</v>
      </c>
      <c r="K12" s="12">
        <f t="shared" si="11"/>
        <v>24032059.719911803</v>
      </c>
      <c r="L12" s="21">
        <f t="shared" si="4"/>
        <v>0.9612823887964721</v>
      </c>
      <c r="M12" s="12">
        <f t="shared" si="5"/>
        <v>676845.18216390163</v>
      </c>
      <c r="N12" s="12">
        <f t="shared" si="6"/>
        <v>47327.493157653982</v>
      </c>
      <c r="O12" s="22">
        <f t="shared" si="0"/>
        <v>2.8164260161316946E-2</v>
      </c>
      <c r="P12" s="22">
        <f t="shared" si="1"/>
        <v>1.969348183603285E-3</v>
      </c>
    </row>
    <row r="13" spans="1:16" x14ac:dyDescent="0.35">
      <c r="A13">
        <v>7</v>
      </c>
      <c r="B13" s="12">
        <f t="shared" si="7"/>
        <v>2827920.5644208789</v>
      </c>
      <c r="C13" s="12">
        <f t="shared" si="8"/>
        <v>12435587.841732046</v>
      </c>
      <c r="D13" s="12">
        <f t="shared" si="12"/>
        <v>461769.98168066499</v>
      </c>
      <c r="E13" s="12">
        <f t="shared" si="9"/>
        <v>2366150.5827402147</v>
      </c>
      <c r="F13" s="22">
        <f t="shared" si="2"/>
        <v>3.7132943577546956E-2</v>
      </c>
      <c r="G13" s="22">
        <f t="shared" si="3"/>
        <v>0.19027251569079456</v>
      </c>
      <c r="I13" s="12">
        <v>7</v>
      </c>
      <c r="J13" s="19">
        <f t="shared" si="10"/>
        <v>415090.03037494456</v>
      </c>
      <c r="K13" s="12">
        <f t="shared" si="11"/>
        <v>24447149.750286747</v>
      </c>
      <c r="L13" s="21">
        <f t="shared" si="4"/>
        <v>0.97788599001146992</v>
      </c>
      <c r="M13" s="12">
        <f t="shared" si="5"/>
        <v>387176.11203527899</v>
      </c>
      <c r="N13" s="12">
        <f t="shared" si="6"/>
        <v>27913.918339665262</v>
      </c>
      <c r="O13" s="22">
        <f t="shared" si="0"/>
        <v>1.5837270029024048E-2</v>
      </c>
      <c r="P13" s="22">
        <f t="shared" si="1"/>
        <v>1.1418066574136257E-3</v>
      </c>
    </row>
    <row r="14" spans="1:16" x14ac:dyDescent="0.35">
      <c r="A14">
        <v>8</v>
      </c>
      <c r="B14" s="12">
        <f t="shared" si="7"/>
        <v>2876865.9819299146</v>
      </c>
      <c r="C14" s="12">
        <f t="shared" si="8"/>
        <v>15312453.823661961</v>
      </c>
      <c r="D14" s="12">
        <f t="shared" si="12"/>
        <v>376932.36474803864</v>
      </c>
      <c r="E14" s="12">
        <f t="shared" si="9"/>
        <v>2499933.6171818762</v>
      </c>
      <c r="F14" s="22">
        <f t="shared" si="2"/>
        <v>2.4616065399366251E-2</v>
      </c>
      <c r="G14" s="22">
        <f t="shared" si="3"/>
        <v>0.16326146324887458</v>
      </c>
      <c r="I14" s="12">
        <v>8</v>
      </c>
      <c r="J14" s="19">
        <f t="shared" si="10"/>
        <v>237358.83529836859</v>
      </c>
      <c r="K14" s="12">
        <f t="shared" si="11"/>
        <v>24684508.585585114</v>
      </c>
      <c r="L14" s="21">
        <f t="shared" si="4"/>
        <v>0.98738034342340453</v>
      </c>
      <c r="M14" s="12">
        <f t="shared" si="5"/>
        <v>221140.09988530132</v>
      </c>
      <c r="N14" s="12">
        <f t="shared" si="6"/>
        <v>16218.735413067989</v>
      </c>
      <c r="O14" s="22">
        <f t="shared" si="0"/>
        <v>8.9586591978760063E-3</v>
      </c>
      <c r="P14" s="22">
        <f t="shared" si="1"/>
        <v>6.5704104891677528E-4</v>
      </c>
    </row>
    <row r="15" spans="1:16" x14ac:dyDescent="0.35">
      <c r="A15">
        <v>9</v>
      </c>
      <c r="B15" s="12">
        <f t="shared" si="7"/>
        <v>2664068.0411264482</v>
      </c>
      <c r="C15" s="12">
        <f t="shared" si="8"/>
        <v>17976521.864788409</v>
      </c>
      <c r="D15" s="12">
        <f t="shared" si="12"/>
        <v>290626.38529014116</v>
      </c>
      <c r="E15" s="12">
        <f t="shared" si="9"/>
        <v>2373441.6558363074</v>
      </c>
      <c r="F15" s="22">
        <f t="shared" si="2"/>
        <v>1.6166997569168642E-2</v>
      </c>
      <c r="G15" s="22">
        <f t="shared" si="3"/>
        <v>0.13203008199741334</v>
      </c>
      <c r="I15" s="12">
        <v>9</v>
      </c>
      <c r="J15" s="19">
        <f t="shared" si="10"/>
        <v>135541.86639931728</v>
      </c>
      <c r="K15" s="12">
        <f t="shared" si="11"/>
        <v>24820050.451984432</v>
      </c>
      <c r="L15" s="21">
        <f t="shared" si="4"/>
        <v>0.99280201807937729</v>
      </c>
      <c r="M15" s="12">
        <f t="shared" si="5"/>
        <v>126196.56576595455</v>
      </c>
      <c r="N15" s="12">
        <f t="shared" si="6"/>
        <v>9345.3006333631838</v>
      </c>
      <c r="O15" s="22">
        <f t="shared" si="0"/>
        <v>5.0844604852874013E-3</v>
      </c>
      <c r="P15" s="22">
        <f t="shared" si="1"/>
        <v>3.7652222550643531E-4</v>
      </c>
    </row>
    <row r="16" spans="1:16" x14ac:dyDescent="0.35">
      <c r="A16">
        <v>10</v>
      </c>
      <c r="B16" s="12">
        <f t="shared" si="7"/>
        <v>2230827.6762882583</v>
      </c>
      <c r="C16" s="12">
        <f t="shared" si="8"/>
        <v>20207349.541076668</v>
      </c>
      <c r="D16" s="12">
        <f t="shared" si="12"/>
        <v>210704.34405634771</v>
      </c>
      <c r="E16" s="12">
        <f t="shared" si="9"/>
        <v>2020123.3322319118</v>
      </c>
      <c r="F16" s="22">
        <f t="shared" si="2"/>
        <v>1.0427114334219665E-2</v>
      </c>
      <c r="G16" s="22">
        <f t="shared" si="3"/>
        <v>9.9969732701732525E-2</v>
      </c>
      <c r="I16" s="12">
        <v>10</v>
      </c>
      <c r="J16" s="19">
        <f t="shared" si="10"/>
        <v>77339.44743889675</v>
      </c>
      <c r="K16" s="12">
        <f t="shared" si="11"/>
        <v>24897389.899423327</v>
      </c>
      <c r="L16" s="21">
        <f t="shared" si="4"/>
        <v>0.99589559597693311</v>
      </c>
      <c r="M16" s="12">
        <f t="shared" si="5"/>
        <v>71979.819206227359</v>
      </c>
      <c r="N16" s="12">
        <f t="shared" si="6"/>
        <v>5359.6282326698438</v>
      </c>
      <c r="O16" s="22">
        <f t="shared" si="0"/>
        <v>2.8910588417902614E-3</v>
      </c>
      <c r="P16" s="22">
        <f t="shared" si="1"/>
        <v>2.1526867893866992E-4</v>
      </c>
    </row>
    <row r="17" spans="1:16" x14ac:dyDescent="0.35">
      <c r="A17">
        <v>11</v>
      </c>
      <c r="B17" s="12">
        <f t="shared" si="7"/>
        <v>1693327.7225943441</v>
      </c>
      <c r="C17" s="12">
        <f t="shared" si="8"/>
        <v>21900677.263671011</v>
      </c>
      <c r="D17" s="12">
        <f t="shared" si="12"/>
        <v>143779.51376769997</v>
      </c>
      <c r="E17" s="12">
        <f t="shared" si="9"/>
        <v>1549548.2088266446</v>
      </c>
      <c r="F17" s="22">
        <f t="shared" si="2"/>
        <v>6.5650715745764806E-3</v>
      </c>
      <c r="G17" s="22">
        <f t="shared" si="3"/>
        <v>7.0753437903815219E-2</v>
      </c>
      <c r="I17" s="12">
        <v>11</v>
      </c>
      <c r="J17" s="19">
        <f t="shared" si="10"/>
        <v>44109.708648681408</v>
      </c>
      <c r="K17" s="12">
        <f t="shared" si="11"/>
        <v>24941499.608072009</v>
      </c>
      <c r="L17" s="21">
        <f t="shared" si="4"/>
        <v>0.99765998432288039</v>
      </c>
      <c r="M17" s="12">
        <f t="shared" si="5"/>
        <v>41044.040230669081</v>
      </c>
      <c r="N17" s="12">
        <f t="shared" si="6"/>
        <v>3065.668418011755</v>
      </c>
      <c r="O17" s="22">
        <f t="shared" si="0"/>
        <v>1.6456123679662663E-3</v>
      </c>
      <c r="P17" s="22">
        <f t="shared" si="1"/>
        <v>1.2291435824570825E-4</v>
      </c>
    </row>
    <row r="18" spans="1:16" x14ac:dyDescent="0.35">
      <c r="A18">
        <v>12</v>
      </c>
      <c r="B18" s="12">
        <f t="shared" si="7"/>
        <v>1179015.9538386511</v>
      </c>
      <c r="C18" s="12">
        <f t="shared" si="8"/>
        <v>23079693.217509661</v>
      </c>
      <c r="D18" s="12">
        <f t="shared" si="12"/>
        <v>92979.682089869675</v>
      </c>
      <c r="E18" s="12">
        <f t="shared" si="9"/>
        <v>1086036.2717487828</v>
      </c>
      <c r="F18" s="22">
        <f t="shared" si="2"/>
        <v>4.0286359620815768E-3</v>
      </c>
      <c r="G18" s="22">
        <f t="shared" si="3"/>
        <v>4.7055923209795944E-2</v>
      </c>
      <c r="I18" s="12">
        <v>12</v>
      </c>
      <c r="J18" s="19">
        <f t="shared" si="10"/>
        <v>25151.061774009257</v>
      </c>
      <c r="K18" s="12">
        <f t="shared" si="11"/>
        <v>24966650.669846017</v>
      </c>
      <c r="L18" s="21">
        <f t="shared" si="4"/>
        <v>0.99866602679384064</v>
      </c>
      <c r="M18" s="12">
        <f t="shared" si="5"/>
        <v>23400.156771196427</v>
      </c>
      <c r="N18" s="12">
        <f t="shared" si="6"/>
        <v>1750.9050028128574</v>
      </c>
      <c r="O18" s="22">
        <f t="shared" si="0"/>
        <v>9.3725654596747514E-4</v>
      </c>
      <c r="P18" s="22">
        <f t="shared" si="1"/>
        <v>7.0129751321732102E-5</v>
      </c>
    </row>
    <row r="19" spans="1:16" x14ac:dyDescent="0.35">
      <c r="A19">
        <v>13</v>
      </c>
      <c r="B19" s="12">
        <f t="shared" si="7"/>
        <v>766730.66624879092</v>
      </c>
      <c r="C19" s="12">
        <f t="shared" si="8"/>
        <v>23846423.883758452</v>
      </c>
      <c r="D19" s="12">
        <f t="shared" si="12"/>
        <v>57609.203474710172</v>
      </c>
      <c r="E19" s="12">
        <f t="shared" si="9"/>
        <v>709121.46277408127</v>
      </c>
      <c r="F19" s="22">
        <f t="shared" si="2"/>
        <v>2.4158424657521583E-3</v>
      </c>
      <c r="G19" s="22">
        <f t="shared" si="3"/>
        <v>2.9737014918075681E-2</v>
      </c>
      <c r="I19" s="12">
        <v>13</v>
      </c>
      <c r="J19" s="19">
        <f t="shared" si="10"/>
        <v>14338.877352827578</v>
      </c>
      <c r="K19" s="12">
        <f t="shared" si="11"/>
        <v>24980989.547198843</v>
      </c>
      <c r="L19" s="21">
        <f t="shared" si="4"/>
        <v>0.9992395818879537</v>
      </c>
      <c r="M19" s="12">
        <f t="shared" si="5"/>
        <v>13339.732061593235</v>
      </c>
      <c r="N19" s="12">
        <f t="shared" si="6"/>
        <v>999.14529123342936</v>
      </c>
      <c r="O19" s="22">
        <f t="shared" si="0"/>
        <v>5.3399534219368181E-4</v>
      </c>
      <c r="P19" s="22">
        <f t="shared" si="1"/>
        <v>3.9996225503623615E-5</v>
      </c>
    </row>
    <row r="20" spans="1:16" x14ac:dyDescent="0.35">
      <c r="A20">
        <v>14</v>
      </c>
      <c r="B20" s="12">
        <f t="shared" si="7"/>
        <v>474745.92428845726</v>
      </c>
      <c r="C20" s="12">
        <f t="shared" si="8"/>
        <v>24321169.808046907</v>
      </c>
      <c r="D20" s="12">
        <f t="shared" si="12"/>
        <v>34607.283487246445</v>
      </c>
      <c r="E20" s="12">
        <f t="shared" si="9"/>
        <v>440138.6408012124</v>
      </c>
      <c r="F20" s="22">
        <f t="shared" si="2"/>
        <v>1.4229284101209751E-3</v>
      </c>
      <c r="G20" s="22">
        <f t="shared" si="3"/>
        <v>1.8096935479459876E-2</v>
      </c>
      <c r="I20" s="12">
        <v>14</v>
      </c>
      <c r="J20" s="19">
        <f t="shared" si="10"/>
        <v>8174.0610277180094</v>
      </c>
      <c r="K20" s="12">
        <f t="shared" si="11"/>
        <v>24989163.60822656</v>
      </c>
      <c r="L20" s="21">
        <f t="shared" si="4"/>
        <v>0.99956654432906245</v>
      </c>
      <c r="M20" s="12">
        <f t="shared" si="5"/>
        <v>7604.1811204627156</v>
      </c>
      <c r="N20" s="12">
        <f t="shared" si="6"/>
        <v>569.87990725585769</v>
      </c>
      <c r="O20" s="22">
        <f t="shared" si="0"/>
        <v>3.0429914500857406E-4</v>
      </c>
      <c r="P20" s="22">
        <f t="shared" si="1"/>
        <v>2.2805081282042203E-5</v>
      </c>
    </row>
    <row r="21" spans="1:16" x14ac:dyDescent="0.35">
      <c r="A21">
        <v>15</v>
      </c>
      <c r="B21" s="12">
        <f t="shared" si="7"/>
        <v>284524.0156677179</v>
      </c>
      <c r="C21" s="12">
        <f t="shared" si="8"/>
        <v>24605693.823714625</v>
      </c>
      <c r="D21" s="12">
        <f t="shared" si="12"/>
        <v>20364.905758592784</v>
      </c>
      <c r="E21" s="12">
        <f t="shared" si="9"/>
        <v>264159.10990912397</v>
      </c>
      <c r="F21" s="22">
        <f t="shared" si="2"/>
        <v>8.2765013270893301E-4</v>
      </c>
      <c r="G21" s="22">
        <f t="shared" si="3"/>
        <v>1.0735690356942143E-2</v>
      </c>
      <c r="I21" s="12">
        <v>15</v>
      </c>
      <c r="J21" s="19">
        <f t="shared" si="10"/>
        <v>4659.5075497161597</v>
      </c>
      <c r="K21" s="12">
        <f t="shared" si="11"/>
        <v>24993823.115776278</v>
      </c>
      <c r="L21" s="21">
        <f t="shared" si="4"/>
        <v>0.99975292463105114</v>
      </c>
      <c r="M21" s="12">
        <f t="shared" si="5"/>
        <v>4334.5567093759773</v>
      </c>
      <c r="N21" s="12">
        <f t="shared" si="6"/>
        <v>324.95084033919733</v>
      </c>
      <c r="O21" s="22">
        <f t="shared" si="0"/>
        <v>1.7342511744991804E-4</v>
      </c>
      <c r="P21" s="22">
        <f t="shared" si="1"/>
        <v>1.3001245901195725E-5</v>
      </c>
    </row>
    <row r="22" spans="1:16" x14ac:dyDescent="0.35">
      <c r="A22">
        <v>16</v>
      </c>
      <c r="B22" s="12">
        <f t="shared" si="7"/>
        <v>167064.0180322025</v>
      </c>
      <c r="C22" s="12">
        <f t="shared" si="8"/>
        <v>24772757.841746829</v>
      </c>
      <c r="D22" s="12">
        <f t="shared" si="12"/>
        <v>11829.185288561246</v>
      </c>
      <c r="E22" s="12">
        <f t="shared" si="9"/>
        <v>155234.83274364128</v>
      </c>
      <c r="F22" s="22">
        <f t="shared" si="2"/>
        <v>4.7750780773494702E-4</v>
      </c>
      <c r="G22" s="22">
        <f t="shared" si="3"/>
        <v>6.2663524882982926E-3</v>
      </c>
      <c r="I22" s="12">
        <v>16</v>
      </c>
      <c r="J22" s="19">
        <f t="shared" si="10"/>
        <v>2656.014431521995</v>
      </c>
      <c r="K22" s="12">
        <f t="shared" si="11"/>
        <v>24996479.130207799</v>
      </c>
      <c r="L22" s="21">
        <f t="shared" si="4"/>
        <v>0.99985916520831197</v>
      </c>
      <c r="M22" s="12">
        <f t="shared" si="5"/>
        <v>2470.7536894887689</v>
      </c>
      <c r="N22" s="12">
        <f t="shared" si="6"/>
        <v>185.26074203320172</v>
      </c>
      <c r="O22" s="22">
        <f t="shared" si="0"/>
        <v>9.8844068263314222E-5</v>
      </c>
      <c r="P22" s="22">
        <f t="shared" si="1"/>
        <v>7.411473474650973E-6</v>
      </c>
    </row>
    <row r="23" spans="1:16" x14ac:dyDescent="0.35">
      <c r="A23">
        <v>17</v>
      </c>
      <c r="B23" s="12">
        <f t="shared" si="7"/>
        <v>96887.904073063284</v>
      </c>
      <c r="C23" s="12">
        <f t="shared" si="8"/>
        <v>24869645.745819893</v>
      </c>
      <c r="D23" s="12">
        <f t="shared" si="12"/>
        <v>6817.2647475951162</v>
      </c>
      <c r="E23" s="12">
        <f t="shared" si="9"/>
        <v>90070.639325467288</v>
      </c>
      <c r="F23" s="22">
        <f t="shared" si="2"/>
        <v>2.741198976966114E-4</v>
      </c>
      <c r="G23" s="22">
        <f t="shared" si="3"/>
        <v>3.6217097841293707E-3</v>
      </c>
      <c r="I23" s="12">
        <v>17</v>
      </c>
      <c r="J23" s="19">
        <f t="shared" si="10"/>
        <v>1513.9591348180547</v>
      </c>
      <c r="K23" s="12">
        <f t="shared" si="11"/>
        <v>24997993.089342616</v>
      </c>
      <c r="L23" s="21">
        <f t="shared" si="4"/>
        <v>0.99991972357370462</v>
      </c>
      <c r="M23" s="12">
        <f t="shared" si="5"/>
        <v>1408.3479168802501</v>
      </c>
      <c r="N23" s="12">
        <f t="shared" si="6"/>
        <v>105.61121793710639</v>
      </c>
      <c r="O23" s="22">
        <f t="shared" si="0"/>
        <v>5.6338439323781972E-5</v>
      </c>
      <c r="P23" s="22">
        <f t="shared" si="1"/>
        <v>4.2247878683561835E-6</v>
      </c>
    </row>
    <row r="24" spans="1:16" x14ac:dyDescent="0.35">
      <c r="A24">
        <v>18</v>
      </c>
      <c r="B24" s="12">
        <f t="shared" si="7"/>
        <v>55780.453592119738</v>
      </c>
      <c r="C24" s="12">
        <f t="shared" si="8"/>
        <v>24925426.199412011</v>
      </c>
      <c r="D24" s="12">
        <f t="shared" si="12"/>
        <v>3910.6276254032177</v>
      </c>
      <c r="E24" s="12">
        <f t="shared" si="9"/>
        <v>51869.825966717275</v>
      </c>
      <c r="F24" s="22">
        <f t="shared" si="2"/>
        <v>1.5689310963499069E-4</v>
      </c>
      <c r="G24" s="22">
        <f t="shared" si="3"/>
        <v>2.0810005635105602E-3</v>
      </c>
      <c r="I24" s="12">
        <v>18</v>
      </c>
      <c r="J24" s="19">
        <f t="shared" si="10"/>
        <v>862.9667494466994</v>
      </c>
      <c r="K24" s="12">
        <f t="shared" si="11"/>
        <v>24998856.056092065</v>
      </c>
      <c r="L24" s="21">
        <f t="shared" si="4"/>
        <v>0.99995424224368257</v>
      </c>
      <c r="M24" s="12">
        <f t="shared" si="5"/>
        <v>802.7642629534007</v>
      </c>
      <c r="N24" s="12">
        <f t="shared" si="6"/>
        <v>60.202486493040979</v>
      </c>
      <c r="O24" s="22">
        <f t="shared" si="0"/>
        <v>3.2112039893032312E-5</v>
      </c>
      <c r="P24" s="22">
        <f t="shared" si="1"/>
        <v>2.4082096539921477E-6</v>
      </c>
    </row>
    <row r="25" spans="1:16" x14ac:dyDescent="0.35">
      <c r="A25">
        <v>19</v>
      </c>
      <c r="B25" s="12">
        <f t="shared" si="7"/>
        <v>31977.754225088283</v>
      </c>
      <c r="C25" s="12">
        <f t="shared" si="8"/>
        <v>24957403.953637101</v>
      </c>
      <c r="D25" s="12">
        <f t="shared" si="12"/>
        <v>2237.2140176396815</v>
      </c>
      <c r="E25" s="12">
        <f t="shared" si="9"/>
        <v>29740.540207449561</v>
      </c>
      <c r="F25" s="22">
        <f t="shared" si="2"/>
        <v>8.964129529640631E-5</v>
      </c>
      <c r="G25" s="22">
        <f t="shared" si="3"/>
        <v>1.1916519948428131E-3</v>
      </c>
      <c r="I25" s="12">
        <v>19</v>
      </c>
      <c r="J25" s="19">
        <f t="shared" si="10"/>
        <v>491.89431008277461</v>
      </c>
      <c r="K25" s="12">
        <f t="shared" si="11"/>
        <v>24999347.950402148</v>
      </c>
      <c r="L25" s="21">
        <f t="shared" si="4"/>
        <v>0.99997391801608593</v>
      </c>
      <c r="M25" s="12">
        <f t="shared" si="5"/>
        <v>457.57756317406893</v>
      </c>
      <c r="N25" s="12">
        <f t="shared" si="6"/>
        <v>34.316746908857766</v>
      </c>
      <c r="O25" s="22">
        <f t="shared" si="0"/>
        <v>1.8303579920639817E-5</v>
      </c>
      <c r="P25" s="22">
        <f t="shared" si="1"/>
        <v>1.3727056792417554E-6</v>
      </c>
    </row>
    <row r="26" spans="1:16" x14ac:dyDescent="0.35">
      <c r="A26">
        <v>20</v>
      </c>
      <c r="B26" s="12">
        <f>$B$4*$A$4+($C$4-$B$4)*C25 - ($C$4/$A$4)*C25^2</f>
        <v>18287.269165394828</v>
      </c>
      <c r="C26" s="12">
        <f>C25+B26</f>
        <v>24975691.222802497</v>
      </c>
      <c r="D26" s="12">
        <f>$B$4*($A$4-$C25)</f>
        <v>1277.8813908869772</v>
      </c>
      <c r="E26" s="12">
        <f>$C$4*($C25/$A$4)*($A$4-$C25)</f>
        <v>17009.387774507693</v>
      </c>
      <c r="F26" s="22">
        <f t="shared" si="2"/>
        <v>5.1165005984710735E-5</v>
      </c>
      <c r="G26" s="22">
        <f t="shared" si="3"/>
        <v>6.8103771874703238E-4</v>
      </c>
      <c r="I26" s="12">
        <v>20</v>
      </c>
      <c r="J26" s="19">
        <f t="shared" si="10"/>
        <v>280.38081687362865</v>
      </c>
      <c r="K26" s="12">
        <f t="shared" si="11"/>
        <v>24999628.331219021</v>
      </c>
      <c r="L26" s="21">
        <f t="shared" si="4"/>
        <v>0.99998513324876082</v>
      </c>
      <c r="M26" s="12">
        <f t="shared" si="5"/>
        <v>260.81983914077284</v>
      </c>
      <c r="N26" s="12">
        <f t="shared" si="6"/>
        <v>19.560977733144291</v>
      </c>
      <c r="O26" s="22">
        <f t="shared" si="0"/>
        <v>1.0432948669683477E-5</v>
      </c>
      <c r="P26" s="22">
        <f t="shared" si="1"/>
        <v>7.8245074182630728E-7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D526-0204-4D26-8C33-B378FEA0D0B7}">
  <dimension ref="A3:L42"/>
  <sheetViews>
    <sheetView workbookViewId="0">
      <selection activeCell="K4" sqref="K4"/>
    </sheetView>
  </sheetViews>
  <sheetFormatPr defaultRowHeight="14.5" x14ac:dyDescent="0.35"/>
  <cols>
    <col min="1" max="1" width="14.54296875" bestFit="1" customWidth="1"/>
    <col min="2" max="2" width="17.26953125" bestFit="1" customWidth="1"/>
    <col min="4" max="4" width="13.1796875" customWidth="1"/>
    <col min="6" max="6" width="15" customWidth="1"/>
    <col min="8" max="8" width="17.08984375" customWidth="1"/>
    <col min="12" max="12" width="11.36328125" bestFit="1" customWidth="1"/>
  </cols>
  <sheetData>
    <row r="3" spans="1:12" ht="15" thickBot="1" x14ac:dyDescent="0.4"/>
    <row r="4" spans="1:12" s="67" customFormat="1" ht="34" customHeight="1" thickBot="1" x14ac:dyDescent="0.4">
      <c r="A4" s="65" t="s">
        <v>13</v>
      </c>
      <c r="B4" s="65" t="s">
        <v>14</v>
      </c>
      <c r="C4" s="66" t="s">
        <v>15</v>
      </c>
      <c r="D4" s="66" t="s">
        <v>16</v>
      </c>
      <c r="E4" s="66" t="s">
        <v>17</v>
      </c>
      <c r="F4" s="66" t="s">
        <v>18</v>
      </c>
      <c r="G4" s="66" t="s">
        <v>19</v>
      </c>
      <c r="H4" s="66" t="s">
        <v>20</v>
      </c>
      <c r="K4" s="68" t="s">
        <v>21</v>
      </c>
      <c r="L4" s="69">
        <v>0.49722447891897154</v>
      </c>
    </row>
    <row r="5" spans="1:12" x14ac:dyDescent="0.35">
      <c r="A5" s="45">
        <v>35155</v>
      </c>
      <c r="B5" s="46">
        <v>0.875</v>
      </c>
      <c r="C5" s="64">
        <v>1</v>
      </c>
      <c r="D5" s="64"/>
      <c r="E5" s="64"/>
      <c r="F5" s="64"/>
      <c r="G5" s="64"/>
      <c r="H5" s="64"/>
    </row>
    <row r="6" spans="1:12" x14ac:dyDescent="0.35">
      <c r="A6" s="45">
        <v>35246</v>
      </c>
      <c r="B6" s="46">
        <v>2.23</v>
      </c>
      <c r="C6" s="12">
        <v>2</v>
      </c>
      <c r="D6" s="12"/>
      <c r="E6" s="12"/>
      <c r="F6" s="12"/>
      <c r="G6" s="12"/>
      <c r="H6" s="12"/>
    </row>
    <row r="7" spans="1:12" ht="15" thickBot="1" x14ac:dyDescent="0.4">
      <c r="A7" s="45">
        <v>35338</v>
      </c>
      <c r="B7" s="46">
        <v>4.2</v>
      </c>
      <c r="C7" s="12">
        <v>3</v>
      </c>
      <c r="D7" s="62">
        <f>AVERAGE(B5:B6)</f>
        <v>1.5525</v>
      </c>
      <c r="E7" s="12"/>
      <c r="F7" s="12"/>
      <c r="G7" s="12"/>
      <c r="H7" s="12"/>
    </row>
    <row r="8" spans="1:12" ht="15" thickBot="1" x14ac:dyDescent="0.4">
      <c r="A8" s="45">
        <v>35430</v>
      </c>
      <c r="B8" s="46">
        <v>8.5</v>
      </c>
      <c r="C8" s="12">
        <v>4</v>
      </c>
      <c r="D8" s="62">
        <f>AVERAGE(B6:B7)</f>
        <v>3.2149999999999999</v>
      </c>
      <c r="E8" s="62">
        <f>AVERAGE(B5:B6)</f>
        <v>1.5525</v>
      </c>
      <c r="F8" s="62">
        <f>E8</f>
        <v>1.5525</v>
      </c>
      <c r="G8" s="62">
        <f>B8-F8</f>
        <v>6.9474999999999998</v>
      </c>
      <c r="H8" s="63">
        <f>G8^2</f>
        <v>48.267756249999998</v>
      </c>
      <c r="K8" s="25" t="s">
        <v>22</v>
      </c>
      <c r="L8" s="26">
        <f>SUM(H8:H42)</f>
        <v>2818099.1787098506</v>
      </c>
    </row>
    <row r="9" spans="1:12" x14ac:dyDescent="0.35">
      <c r="A9" s="45">
        <v>35520</v>
      </c>
      <c r="B9" s="46">
        <v>16.004999999999999</v>
      </c>
      <c r="C9" s="12">
        <v>5</v>
      </c>
      <c r="D9" s="62">
        <f>AVERAGE(B7:B8)</f>
        <v>6.35</v>
      </c>
      <c r="E9" s="62">
        <f>AVERAGE(B6:B7)</f>
        <v>3.2149999999999999</v>
      </c>
      <c r="F9" s="12">
        <f>$L$4*B8+((1-$L$4)*F8)</f>
        <v>5.0069670672895548</v>
      </c>
      <c r="G9" s="62">
        <f>B9-F9</f>
        <v>10.998032932710444</v>
      </c>
      <c r="H9" s="63">
        <f t="shared" ref="H9:H42" si="0">G9^2</f>
        <v>120.95672838898349</v>
      </c>
    </row>
    <row r="10" spans="1:12" x14ac:dyDescent="0.35">
      <c r="A10" s="45">
        <v>35611</v>
      </c>
      <c r="B10" s="46">
        <v>27.855</v>
      </c>
      <c r="C10" s="12">
        <v>6</v>
      </c>
      <c r="D10" s="62">
        <f>AVERAGE(B8:B9)</f>
        <v>12.2525</v>
      </c>
      <c r="E10" s="62">
        <f>AVERAGE(B7:B8)</f>
        <v>6.35</v>
      </c>
      <c r="F10" s="12">
        <f>$L$4*B9+((1-$L$4)*F9)</f>
        <v>10.475458261390195</v>
      </c>
      <c r="G10" s="62">
        <f>B10-F10</f>
        <v>17.379541738609806</v>
      </c>
      <c r="H10" s="63">
        <f t="shared" si="0"/>
        <v>302.04847104408037</v>
      </c>
    </row>
    <row r="11" spans="1:12" x14ac:dyDescent="0.35">
      <c r="A11" s="45">
        <v>35703</v>
      </c>
      <c r="B11" s="46">
        <v>37.9</v>
      </c>
      <c r="C11" s="12">
        <v>7</v>
      </c>
      <c r="D11" s="62">
        <f>AVERAGE(B9:B10)</f>
        <v>21.93</v>
      </c>
      <c r="E11" s="62">
        <f>AVERAGE(B8:B9)</f>
        <v>12.2525</v>
      </c>
      <c r="F11" s="12">
        <f>$L$4*B10+((1-$L$4)*F10)</f>
        <v>19.116991846220973</v>
      </c>
      <c r="G11" s="62">
        <f>B11-F11</f>
        <v>18.783008153779026</v>
      </c>
      <c r="H11" s="63">
        <f t="shared" si="0"/>
        <v>352.80139530492937</v>
      </c>
    </row>
    <row r="12" spans="1:12" x14ac:dyDescent="0.35">
      <c r="A12" s="45">
        <v>35795</v>
      </c>
      <c r="B12" s="46">
        <v>66.040000000000006</v>
      </c>
      <c r="C12" s="12">
        <v>8</v>
      </c>
      <c r="D12" s="62">
        <f>AVERAGE(B10:B11)</f>
        <v>32.877499999999998</v>
      </c>
      <c r="E12" s="62">
        <f>AVERAGE(B9:B10)</f>
        <v>21.93</v>
      </c>
      <c r="F12" s="12">
        <f>$L$4*B11+((1-$L$4)*F11)</f>
        <v>28.456363288014543</v>
      </c>
      <c r="G12" s="62">
        <f>B12-F12</f>
        <v>37.583636711985463</v>
      </c>
      <c r="H12" s="63">
        <f t="shared" si="0"/>
        <v>1412.5297484985015</v>
      </c>
    </row>
    <row r="13" spans="1:12" x14ac:dyDescent="0.35">
      <c r="A13" s="45">
        <v>35885</v>
      </c>
      <c r="B13" s="46">
        <v>87.394999999999996</v>
      </c>
      <c r="C13" s="12">
        <v>9</v>
      </c>
      <c r="D13" s="62">
        <f>AVERAGE(B11:B12)</f>
        <v>51.97</v>
      </c>
      <c r="E13" s="62">
        <f>AVERAGE(B10:B11)</f>
        <v>32.877499999999998</v>
      </c>
      <c r="F13" s="12">
        <f>$L$4*B12+((1-$L$4)*F12)</f>
        <v>47.143867468011443</v>
      </c>
      <c r="G13" s="62">
        <f>B13-F13</f>
        <v>40.251132531988553</v>
      </c>
      <c r="H13" s="63">
        <f t="shared" si="0"/>
        <v>1620.1536701077073</v>
      </c>
    </row>
    <row r="14" spans="1:12" x14ac:dyDescent="0.35">
      <c r="A14" s="45">
        <v>35976</v>
      </c>
      <c r="B14" s="46">
        <v>116.01</v>
      </c>
      <c r="C14" s="12">
        <v>10</v>
      </c>
      <c r="D14" s="62">
        <f>AVERAGE(B12:B13)</f>
        <v>76.717500000000001</v>
      </c>
      <c r="E14" s="62">
        <f>AVERAGE(B11:B12)</f>
        <v>51.97</v>
      </c>
      <c r="F14" s="12">
        <f>$L$4*B13+((1-$L$4)*F13)</f>
        <v>67.157715867127919</v>
      </c>
      <c r="G14" s="62">
        <f>B14-F14</f>
        <v>48.852284132872086</v>
      </c>
      <c r="H14" s="63">
        <f t="shared" si="0"/>
        <v>2386.545664998866</v>
      </c>
    </row>
    <row r="15" spans="1:12" x14ac:dyDescent="0.35">
      <c r="A15" s="45">
        <v>36068</v>
      </c>
      <c r="B15" s="46">
        <v>153.69999999999999</v>
      </c>
      <c r="C15" s="12">
        <v>11</v>
      </c>
      <c r="D15" s="62">
        <f>AVERAGE(B13:B14)</f>
        <v>101.7025</v>
      </c>
      <c r="E15" s="62">
        <f>AVERAGE(B12:B13)</f>
        <v>76.717500000000001</v>
      </c>
      <c r="F15" s="12">
        <f>$L$4*B14+((1-$L$4)*F14)</f>
        <v>91.448267389096785</v>
      </c>
      <c r="G15" s="62">
        <f>B15-F15</f>
        <v>62.251732610903204</v>
      </c>
      <c r="H15" s="63">
        <f t="shared" si="0"/>
        <v>3875.2782130593896</v>
      </c>
    </row>
    <row r="16" spans="1:12" x14ac:dyDescent="0.35">
      <c r="A16" s="45">
        <v>36160</v>
      </c>
      <c r="B16" s="46">
        <v>252.9</v>
      </c>
      <c r="C16" s="12">
        <v>12</v>
      </c>
      <c r="D16" s="62">
        <f>AVERAGE(B14:B15)</f>
        <v>134.85499999999999</v>
      </c>
      <c r="E16" s="62">
        <f>AVERAGE(B13:B14)</f>
        <v>101.7025</v>
      </c>
      <c r="F16" s="12">
        <f>$L$4*B15+((1-$L$4)*F15)</f>
        <v>122.40135269835628</v>
      </c>
      <c r="G16" s="62">
        <f>B16-F16</f>
        <v>130.49864730164373</v>
      </c>
      <c r="H16" s="63">
        <f t="shared" si="0"/>
        <v>17029.896947558806</v>
      </c>
    </row>
    <row r="17" spans="1:8" x14ac:dyDescent="0.35">
      <c r="A17" s="45">
        <v>36250</v>
      </c>
      <c r="B17" s="46">
        <v>293.60000000000002</v>
      </c>
      <c r="C17" s="12">
        <v>13</v>
      </c>
      <c r="D17" s="62">
        <f>AVERAGE(B15:B16)</f>
        <v>203.3</v>
      </c>
      <c r="E17" s="62">
        <f>AVERAGE(B14:B15)</f>
        <v>134.85499999999999</v>
      </c>
      <c r="F17" s="12">
        <f>$L$4*B16+((1-$L$4)*F16)</f>
        <v>187.28847460254673</v>
      </c>
      <c r="G17" s="62">
        <f>B17-F17</f>
        <v>106.31152539745329</v>
      </c>
      <c r="H17" s="63">
        <f t="shared" si="0"/>
        <v>11302.140432333357</v>
      </c>
    </row>
    <row r="18" spans="1:8" x14ac:dyDescent="0.35">
      <c r="A18" s="45">
        <v>36341</v>
      </c>
      <c r="B18" s="46">
        <v>314.39999999999998</v>
      </c>
      <c r="C18" s="12">
        <v>14</v>
      </c>
      <c r="D18" s="62">
        <f>AVERAGE(B16:B17)</f>
        <v>273.25</v>
      </c>
      <c r="E18" s="62">
        <f>AVERAGE(B15:B16)</f>
        <v>203.3</v>
      </c>
      <c r="F18" s="12">
        <f>$L$4*B17+((1-$L$4)*F17)</f>
        <v>240.14916742137646</v>
      </c>
      <c r="G18" s="62">
        <f>B18-F18</f>
        <v>74.250832578623516</v>
      </c>
      <c r="H18" s="63">
        <f t="shared" si="0"/>
        <v>5513.1861386187793</v>
      </c>
    </row>
    <row r="19" spans="1:8" x14ac:dyDescent="0.35">
      <c r="A19" s="45">
        <v>36433</v>
      </c>
      <c r="B19" s="46">
        <v>355.8</v>
      </c>
      <c r="C19" s="12">
        <v>15</v>
      </c>
      <c r="D19" s="62">
        <f>AVERAGE(B17:B18)</f>
        <v>304</v>
      </c>
      <c r="E19" s="62">
        <f>AVERAGE(B16:B17)</f>
        <v>273.25</v>
      </c>
      <c r="F19" s="12">
        <f>$L$4*B18+((1-$L$4)*F18)</f>
        <v>277.06849895958237</v>
      </c>
      <c r="G19" s="62">
        <f>B19-F19</f>
        <v>78.731501040417641</v>
      </c>
      <c r="H19" s="63">
        <f t="shared" si="0"/>
        <v>6198.649256077284</v>
      </c>
    </row>
    <row r="20" spans="1:8" x14ac:dyDescent="0.35">
      <c r="A20" s="45">
        <v>36525</v>
      </c>
      <c r="B20" s="46">
        <v>676</v>
      </c>
      <c r="C20" s="12">
        <v>16</v>
      </c>
      <c r="D20" s="62">
        <f>AVERAGE(B18:B19)</f>
        <v>335.1</v>
      </c>
      <c r="E20" s="62">
        <f>AVERAGE(B17:B18)</f>
        <v>304</v>
      </c>
      <c r="F20" s="12">
        <f>$L$4*B19+((1-$L$4)*F19)</f>
        <v>316.21572853891251</v>
      </c>
      <c r="G20" s="62">
        <f>B20-F20</f>
        <v>359.78427146108749</v>
      </c>
      <c r="H20" s="63">
        <f t="shared" si="0"/>
        <v>129444.72199078549</v>
      </c>
    </row>
    <row r="21" spans="1:8" x14ac:dyDescent="0.35">
      <c r="A21" s="45">
        <v>36616</v>
      </c>
      <c r="B21" s="46">
        <v>573.9</v>
      </c>
      <c r="C21" s="12">
        <v>17</v>
      </c>
      <c r="D21" s="62">
        <f>AVERAGE(B19:B20)</f>
        <v>515.9</v>
      </c>
      <c r="E21" s="62">
        <f>AVERAGE(B18:B19)</f>
        <v>335.1</v>
      </c>
      <c r="F21" s="12">
        <f>$L$4*B20+((1-$L$4)*F20)</f>
        <v>495.10927543939357</v>
      </c>
      <c r="G21" s="62">
        <f>B21-F21</f>
        <v>78.790724560606407</v>
      </c>
      <c r="H21" s="63">
        <f t="shared" si="0"/>
        <v>6207.9782767853458</v>
      </c>
    </row>
    <row r="22" spans="1:8" x14ac:dyDescent="0.35">
      <c r="A22" s="45">
        <v>36707</v>
      </c>
      <c r="B22" s="46">
        <v>577.9</v>
      </c>
      <c r="C22" s="12">
        <v>18</v>
      </c>
      <c r="D22" s="62">
        <f>AVERAGE(B20:B21)</f>
        <v>624.95000000000005</v>
      </c>
      <c r="E22" s="62">
        <f>AVERAGE(B19:B20)</f>
        <v>515.9</v>
      </c>
      <c r="F22" s="12">
        <f>$L$4*B21+((1-$L$4)*F21)</f>
        <v>534.2859524026893</v>
      </c>
      <c r="G22" s="62">
        <f>B22-F22</f>
        <v>43.614047597310673</v>
      </c>
      <c r="H22" s="63">
        <f t="shared" si="0"/>
        <v>1902.185147820481</v>
      </c>
    </row>
    <row r="23" spans="1:8" x14ac:dyDescent="0.35">
      <c r="A23" s="45">
        <v>36799</v>
      </c>
      <c r="B23" s="46">
        <v>637.9</v>
      </c>
      <c r="C23" s="12">
        <v>19</v>
      </c>
      <c r="D23" s="62">
        <f>AVERAGE(B21:B22)</f>
        <v>575.9</v>
      </c>
      <c r="E23" s="62">
        <f>AVERAGE(B20:B21)</f>
        <v>624.95000000000005</v>
      </c>
      <c r="F23" s="12">
        <f>$L$4*B22+((1-$L$4)*F22)</f>
        <v>555.97192449280942</v>
      </c>
      <c r="G23" s="62">
        <f>B23-F23</f>
        <v>81.928075507190556</v>
      </c>
      <c r="H23" s="63">
        <f t="shared" si="0"/>
        <v>6712.2095563119174</v>
      </c>
    </row>
    <row r="24" spans="1:8" x14ac:dyDescent="0.35">
      <c r="A24" s="45">
        <v>36891</v>
      </c>
      <c r="B24" s="46">
        <v>972.36</v>
      </c>
      <c r="C24" s="12">
        <v>20</v>
      </c>
      <c r="D24" s="62">
        <f>AVERAGE(B22:B23)</f>
        <v>607.9</v>
      </c>
      <c r="E24" s="62">
        <f>AVERAGE(B21:B22)</f>
        <v>575.9</v>
      </c>
      <c r="F24" s="12">
        <f>$L$4*B23+((1-$L$4)*F23)</f>
        <v>596.70856914570641</v>
      </c>
      <c r="G24" s="62">
        <f>B24-F24</f>
        <v>375.65143085429361</v>
      </c>
      <c r="H24" s="63">
        <f t="shared" si="0"/>
        <v>141113.99750287813</v>
      </c>
    </row>
    <row r="25" spans="1:8" x14ac:dyDescent="0.35">
      <c r="A25" s="45">
        <v>36981</v>
      </c>
      <c r="B25" s="46">
        <v>701</v>
      </c>
      <c r="C25" s="12">
        <v>21</v>
      </c>
      <c r="D25" s="62">
        <f>AVERAGE(B23:B24)</f>
        <v>805.13</v>
      </c>
      <c r="E25" s="62">
        <f>AVERAGE(B22:B23)</f>
        <v>607.9</v>
      </c>
      <c r="F25" s="12">
        <f>$L$4*B24+((1-$L$4)*F24)</f>
        <v>783.49165610739863</v>
      </c>
      <c r="G25" s="62">
        <f>B25-F25</f>
        <v>-82.491656107398626</v>
      </c>
      <c r="H25" s="63">
        <f t="shared" si="0"/>
        <v>6804.8733273413172</v>
      </c>
    </row>
    <row r="26" spans="1:8" x14ac:dyDescent="0.35">
      <c r="A26" s="45">
        <v>37072</v>
      </c>
      <c r="B26" s="46">
        <v>668</v>
      </c>
      <c r="C26" s="12">
        <v>22</v>
      </c>
      <c r="D26" s="62">
        <f>AVERAGE(B24:B25)</f>
        <v>836.68000000000006</v>
      </c>
      <c r="E26" s="62">
        <f>AVERAGE(B23:B24)</f>
        <v>805.13</v>
      </c>
      <c r="F26" s="12">
        <f>$L$4*B25+((1-$L$4)*F25)</f>
        <v>742.47478538423434</v>
      </c>
      <c r="G26" s="62">
        <f>B26-F26</f>
        <v>-74.474785384234337</v>
      </c>
      <c r="H26" s="63">
        <f t="shared" si="0"/>
        <v>5546.4936580277645</v>
      </c>
    </row>
    <row r="27" spans="1:8" x14ac:dyDescent="0.35">
      <c r="A27" s="45">
        <v>37164</v>
      </c>
      <c r="B27" s="46">
        <v>639</v>
      </c>
      <c r="C27" s="12">
        <v>23</v>
      </c>
      <c r="D27" s="62">
        <f>AVERAGE(B25:B26)</f>
        <v>684.5</v>
      </c>
      <c r="E27" s="62">
        <f>AVERAGE(B24:B25)</f>
        <v>836.68000000000006</v>
      </c>
      <c r="F27" s="12">
        <f>$L$4*B26+((1-$L$4)*F26)</f>
        <v>705.4440990289562</v>
      </c>
      <c r="G27" s="62">
        <f>B27-F27</f>
        <v>-66.444099028956202</v>
      </c>
      <c r="H27" s="63">
        <f t="shared" si="0"/>
        <v>4414.8182957697381</v>
      </c>
    </row>
    <row r="28" spans="1:8" x14ac:dyDescent="0.35">
      <c r="A28" s="45">
        <v>37256</v>
      </c>
      <c r="B28" s="46">
        <v>1115</v>
      </c>
      <c r="C28" s="12">
        <v>24</v>
      </c>
      <c r="D28" s="62">
        <f>AVERAGE(B26:B27)</f>
        <v>653.5</v>
      </c>
      <c r="E28" s="62">
        <f>AVERAGE(B25:B26)</f>
        <v>684.5</v>
      </c>
      <c r="F28" s="12">
        <f>$L$4*B27+((1-$L$4)*F27)</f>
        <v>672.40646651204293</v>
      </c>
      <c r="G28" s="62">
        <f>B28-F28</f>
        <v>442.59353348795707</v>
      </c>
      <c r="H28" s="63">
        <f t="shared" si="0"/>
        <v>195889.03588535538</v>
      </c>
    </row>
    <row r="29" spans="1:8" x14ac:dyDescent="0.35">
      <c r="A29" s="45">
        <v>37346</v>
      </c>
      <c r="B29" s="46">
        <v>847</v>
      </c>
      <c r="C29" s="12">
        <v>25</v>
      </c>
      <c r="D29" s="62">
        <f>AVERAGE(B27:B28)</f>
        <v>877</v>
      </c>
      <c r="E29" s="62">
        <f>AVERAGE(B26:B27)</f>
        <v>653.5</v>
      </c>
      <c r="F29" s="12">
        <f>$L$4*B28+((1-$L$4)*F28)</f>
        <v>892.47480557349877</v>
      </c>
      <c r="G29" s="62">
        <f>B29-F29</f>
        <v>-45.47480557349877</v>
      </c>
      <c r="H29" s="63">
        <f t="shared" si="0"/>
        <v>2067.9579419475149</v>
      </c>
    </row>
    <row r="30" spans="1:8" x14ac:dyDescent="0.35">
      <c r="A30" s="45">
        <v>37437</v>
      </c>
      <c r="B30" s="46">
        <v>806</v>
      </c>
      <c r="C30" s="12">
        <v>26</v>
      </c>
      <c r="D30" s="62">
        <f>AVERAGE(B28:B29)</f>
        <v>981</v>
      </c>
      <c r="E30" s="62">
        <f>AVERAGE(B27:B28)</f>
        <v>877</v>
      </c>
      <c r="F30" s="12">
        <f>$L$4*B29+((1-$L$4)*F29)</f>
        <v>869.86361906827437</v>
      </c>
      <c r="G30" s="62">
        <f>B30-F30</f>
        <v>-63.863619068274375</v>
      </c>
      <c r="H30" s="63">
        <f t="shared" si="0"/>
        <v>4078.5618404976581</v>
      </c>
    </row>
    <row r="31" spans="1:8" x14ac:dyDescent="0.35">
      <c r="A31" s="45">
        <v>37529</v>
      </c>
      <c r="B31" s="46">
        <v>851</v>
      </c>
      <c r="C31" s="12">
        <v>27</v>
      </c>
      <c r="D31" s="62">
        <f>AVERAGE(B29:B30)</f>
        <v>826.5</v>
      </c>
      <c r="E31" s="62">
        <f>AVERAGE(B28:B29)</f>
        <v>981</v>
      </c>
      <c r="F31" s="12">
        <f>$L$4*B30+((1-$L$4)*F30)</f>
        <v>838.10906435517199</v>
      </c>
      <c r="G31" s="62">
        <f>B31-F31</f>
        <v>12.890935644828005</v>
      </c>
      <c r="H31" s="63">
        <f t="shared" si="0"/>
        <v>166.17622179909722</v>
      </c>
    </row>
    <row r="32" spans="1:8" x14ac:dyDescent="0.35">
      <c r="A32" s="45">
        <v>37621</v>
      </c>
      <c r="B32" s="46">
        <v>1429</v>
      </c>
      <c r="C32" s="12">
        <v>28</v>
      </c>
      <c r="D32" s="62">
        <f>AVERAGE(B30:B31)</f>
        <v>828.5</v>
      </c>
      <c r="E32" s="62">
        <f>AVERAGE(B29:B30)</f>
        <v>826.5</v>
      </c>
      <c r="F32" s="12">
        <f>$L$4*B31+((1-$L$4)*F31)</f>
        <v>844.51875311394974</v>
      </c>
      <c r="G32" s="62">
        <f>B32-F32</f>
        <v>584.48124688605026</v>
      </c>
      <c r="H32" s="63">
        <f t="shared" si="0"/>
        <v>341618.32796147204</v>
      </c>
    </row>
    <row r="33" spans="1:8" x14ac:dyDescent="0.35">
      <c r="A33" s="45">
        <v>37711</v>
      </c>
      <c r="B33" s="46">
        <v>1084</v>
      </c>
      <c r="C33" s="12">
        <v>29</v>
      </c>
      <c r="D33" s="62">
        <f>AVERAGE(B31:B32)</f>
        <v>1140</v>
      </c>
      <c r="E33" s="62">
        <f>AVERAGE(B30:B31)</f>
        <v>828.5</v>
      </c>
      <c r="F33" s="12">
        <f>$L$4*B32+((1-$L$4)*F32)</f>
        <v>1135.1371365347768</v>
      </c>
      <c r="G33" s="62">
        <f>B33-F33</f>
        <v>-51.137136534776801</v>
      </c>
      <c r="H33" s="63">
        <f t="shared" si="0"/>
        <v>2615.0067329764042</v>
      </c>
    </row>
    <row r="34" spans="1:8" x14ac:dyDescent="0.35">
      <c r="A34" s="45">
        <v>37802</v>
      </c>
      <c r="B34" s="46">
        <v>1100</v>
      </c>
      <c r="C34" s="12">
        <v>30</v>
      </c>
      <c r="D34" s="62">
        <f>AVERAGE(B32:B33)</f>
        <v>1256.5</v>
      </c>
      <c r="E34" s="62">
        <f>AVERAGE(B31:B32)</f>
        <v>1140</v>
      </c>
      <c r="F34" s="12">
        <f>$L$4*B33+((1-$L$4)*F33)</f>
        <v>1109.7105004678642</v>
      </c>
      <c r="G34" s="62">
        <f>B34-F34</f>
        <v>-9.7105004678642217</v>
      </c>
      <c r="H34" s="63">
        <f t="shared" si="0"/>
        <v>94.293819336391266</v>
      </c>
    </row>
    <row r="35" spans="1:8" x14ac:dyDescent="0.35">
      <c r="A35" s="45">
        <v>37894</v>
      </c>
      <c r="B35" s="46">
        <v>1134</v>
      </c>
      <c r="C35" s="12">
        <v>31</v>
      </c>
      <c r="D35" s="62">
        <f>AVERAGE(B33:B34)</f>
        <v>1092</v>
      </c>
      <c r="E35" s="62">
        <f>AVERAGE(B32:B33)</f>
        <v>1256.5</v>
      </c>
      <c r="F35" s="12">
        <f>$L$4*B34+((1-$L$4)*F34)</f>
        <v>1104.8822019326881</v>
      </c>
      <c r="G35" s="62">
        <f>B35-F35</f>
        <v>29.117798067311924</v>
      </c>
      <c r="H35" s="63">
        <f t="shared" si="0"/>
        <v>847.84616428875404</v>
      </c>
    </row>
    <row r="36" spans="1:8" x14ac:dyDescent="0.35">
      <c r="A36" s="45">
        <v>37986</v>
      </c>
      <c r="B36" s="46">
        <v>1946</v>
      </c>
      <c r="C36" s="12">
        <v>32</v>
      </c>
      <c r="D36" s="62">
        <f>AVERAGE(B34:B35)</f>
        <v>1117</v>
      </c>
      <c r="E36" s="62">
        <f>AVERAGE(B33:B34)</f>
        <v>1092</v>
      </c>
      <c r="F36" s="12">
        <f>$L$4*B35+((1-$L$4)*F35)</f>
        <v>1119.3602839039752</v>
      </c>
      <c r="G36" s="62">
        <f>B36-F36</f>
        <v>826.63971609602481</v>
      </c>
      <c r="H36" s="63">
        <f t="shared" si="0"/>
        <v>683333.22022731649</v>
      </c>
    </row>
    <row r="37" spans="1:8" x14ac:dyDescent="0.35">
      <c r="A37" s="45">
        <v>38077</v>
      </c>
      <c r="B37" s="46">
        <v>1530</v>
      </c>
      <c r="C37" s="12">
        <v>33</v>
      </c>
      <c r="D37" s="62">
        <f>AVERAGE(B35:B36)</f>
        <v>1540</v>
      </c>
      <c r="E37" s="62">
        <f>AVERAGE(B34:B35)</f>
        <v>1117</v>
      </c>
      <c r="F37" s="12">
        <f>$L$4*B36+((1-$L$4)*F36)</f>
        <v>1530.3857859935479</v>
      </c>
      <c r="G37" s="62">
        <f>B37-F37</f>
        <v>-0.38578599354787002</v>
      </c>
      <c r="H37" s="63">
        <f t="shared" si="0"/>
        <v>0.1488308328177172</v>
      </c>
    </row>
    <row r="38" spans="1:8" x14ac:dyDescent="0.35">
      <c r="A38" s="45">
        <v>38168</v>
      </c>
      <c r="B38" s="46">
        <v>1387</v>
      </c>
      <c r="C38" s="12">
        <v>34</v>
      </c>
      <c r="D38" s="62">
        <f>AVERAGE(B36:B37)</f>
        <v>1738</v>
      </c>
      <c r="E38" s="62">
        <f>AVERAGE(B35:B36)</f>
        <v>1540</v>
      </c>
      <c r="F38" s="12">
        <f>$L$4*B37+((1-$L$4)*F37)</f>
        <v>1530.1939637539319</v>
      </c>
      <c r="G38" s="62">
        <f>B38-F38</f>
        <v>-143.19396375393194</v>
      </c>
      <c r="H38" s="63">
        <f t="shared" si="0"/>
        <v>20504.511255562375</v>
      </c>
    </row>
    <row r="39" spans="1:8" x14ac:dyDescent="0.35">
      <c r="A39" s="45">
        <v>38260</v>
      </c>
      <c r="B39" s="46">
        <v>1463</v>
      </c>
      <c r="C39" s="12">
        <v>35</v>
      </c>
      <c r="D39" s="62">
        <f>AVERAGE(B37:B38)</f>
        <v>1458.5</v>
      </c>
      <c r="E39" s="62">
        <f>AVERAGE(B36:B37)</f>
        <v>1738</v>
      </c>
      <c r="F39" s="12">
        <f>$L$4*B38+((1-$L$4)*F38)</f>
        <v>1458.9944197420411</v>
      </c>
      <c r="G39" s="62">
        <f>B39-F39</f>
        <v>4.0055802579588544</v>
      </c>
      <c r="H39" s="63">
        <f t="shared" si="0"/>
        <v>16.044673202949724</v>
      </c>
    </row>
    <row r="40" spans="1:8" x14ac:dyDescent="0.35">
      <c r="A40" s="45">
        <v>38352</v>
      </c>
      <c r="B40" s="46">
        <v>2541</v>
      </c>
      <c r="C40" s="12">
        <v>36</v>
      </c>
      <c r="D40" s="62">
        <f>AVERAGE(B38:B39)</f>
        <v>1425</v>
      </c>
      <c r="E40" s="62">
        <f>AVERAGE(B37:B38)</f>
        <v>1458.5</v>
      </c>
      <c r="F40" s="12">
        <f>$L$4*B39+((1-$L$4)*F39)</f>
        <v>1460.9860922985729</v>
      </c>
      <c r="G40" s="62">
        <f>B40-F40</f>
        <v>1080.0139077014271</v>
      </c>
      <c r="H40" s="63">
        <f t="shared" si="0"/>
        <v>1166430.0408285067</v>
      </c>
    </row>
    <row r="41" spans="1:8" x14ac:dyDescent="0.35">
      <c r="A41" s="45">
        <v>38442</v>
      </c>
      <c r="B41" s="46">
        <v>1902</v>
      </c>
      <c r="C41" s="12">
        <v>37</v>
      </c>
      <c r="D41" s="62">
        <f>AVERAGE(B39:B40)</f>
        <v>2002</v>
      </c>
      <c r="E41" s="62">
        <f>AVERAGE(B38:B39)</f>
        <v>1425</v>
      </c>
      <c r="F41" s="12">
        <f>$L$4*B40+((1-$L$4)*F40)</f>
        <v>1997.9954447806572</v>
      </c>
      <c r="G41" s="62">
        <f>B41-F41</f>
        <v>-95.995444780657181</v>
      </c>
      <c r="H41" s="63">
        <f t="shared" si="0"/>
        <v>9215.1254186362021</v>
      </c>
    </row>
    <row r="42" spans="1:8" x14ac:dyDescent="0.35">
      <c r="A42" s="45">
        <v>38533</v>
      </c>
      <c r="B42" s="46">
        <v>1753</v>
      </c>
      <c r="C42" s="12">
        <v>38</v>
      </c>
      <c r="D42" s="62">
        <f>AVERAGE(B40:B41)</f>
        <v>2221.5</v>
      </c>
      <c r="E42" s="62">
        <f>AVERAGE(B39:B40)</f>
        <v>2002</v>
      </c>
      <c r="F42" s="12">
        <f>$L$4*B41+((1-$L$4)*F41)</f>
        <v>1950.2641597710003</v>
      </c>
      <c r="G42" s="62">
        <f>B42-F42</f>
        <v>-197.26415977100032</v>
      </c>
      <c r="H42" s="63">
        <f t="shared" si="0"/>
        <v>38913.14873015874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8193" r:id="rId4">
          <objectPr defaultSize="0" autoPict="0" r:id="rId5">
            <anchor moveWithCells="1">
              <from>
                <xdr:col>5</xdr:col>
                <xdr:colOff>292100</xdr:colOff>
                <xdr:row>0</xdr:row>
                <xdr:rowOff>127000</xdr:rowOff>
              </from>
              <to>
                <xdr:col>10</xdr:col>
                <xdr:colOff>209550</xdr:colOff>
                <xdr:row>2</xdr:row>
                <xdr:rowOff>69850</xdr:rowOff>
              </to>
            </anchor>
          </objectPr>
        </oleObject>
      </mc:Choice>
      <mc:Fallback>
        <oleObject shapeId="819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4B0-8FC9-452F-AC1E-17B9309AC530}">
  <dimension ref="A1:V56"/>
  <sheetViews>
    <sheetView tabSelected="1" topLeftCell="C5" zoomScaleNormal="100" workbookViewId="0">
      <selection activeCell="A13" sqref="A13"/>
    </sheetView>
  </sheetViews>
  <sheetFormatPr defaultRowHeight="14.5" x14ac:dyDescent="0.35"/>
  <cols>
    <col min="1" max="1" width="15.54296875" style="35" customWidth="1"/>
    <col min="2" max="8" width="8.7265625" style="35"/>
    <col min="9" max="9" width="8.81640625" style="35" bestFit="1" customWidth="1"/>
    <col min="10" max="10" width="11.7265625" style="35" bestFit="1" customWidth="1"/>
    <col min="11" max="11" width="11.36328125" style="35" bestFit="1" customWidth="1"/>
    <col min="12" max="12" width="13.26953125" style="35" customWidth="1"/>
    <col min="13" max="13" width="12.1796875" style="35" customWidth="1"/>
    <col min="14" max="14" width="16.26953125" style="35" customWidth="1"/>
    <col min="15" max="15" width="15" style="35" customWidth="1"/>
    <col min="16" max="16" width="8.7265625" style="35"/>
    <col min="17" max="17" width="19.6328125" style="35" customWidth="1"/>
    <col min="18" max="18" width="20.453125" style="35" customWidth="1"/>
    <col min="19" max="19" width="8.7265625" style="35"/>
    <col min="20" max="20" width="17.1796875" style="35" customWidth="1"/>
    <col min="21" max="21" width="18.7265625" style="35" customWidth="1"/>
    <col min="22" max="22" width="12.26953125" style="35" bestFit="1" customWidth="1"/>
    <col min="23" max="16384" width="8.7265625" style="35"/>
  </cols>
  <sheetData>
    <row r="1" spans="1:22" ht="37" x14ac:dyDescent="0.45">
      <c r="T1" s="43" t="s">
        <v>13</v>
      </c>
      <c r="U1" s="43" t="s">
        <v>14</v>
      </c>
      <c r="V1" s="44" t="s">
        <v>23</v>
      </c>
    </row>
    <row r="2" spans="1:22" ht="15.5" x14ac:dyDescent="0.35">
      <c r="E2" s="28"/>
      <c r="T2" s="45">
        <v>35155</v>
      </c>
      <c r="U2" s="46">
        <v>0.875</v>
      </c>
      <c r="V2" s="42"/>
    </row>
    <row r="3" spans="1:22" x14ac:dyDescent="0.35">
      <c r="T3" s="45">
        <v>35246</v>
      </c>
      <c r="U3" s="46">
        <v>2.23</v>
      </c>
      <c r="V3" s="42"/>
    </row>
    <row r="4" spans="1:22" x14ac:dyDescent="0.35">
      <c r="T4" s="45">
        <v>35338</v>
      </c>
      <c r="U4" s="46">
        <v>4.2</v>
      </c>
      <c r="V4" s="42"/>
    </row>
    <row r="5" spans="1:22" x14ac:dyDescent="0.35">
      <c r="T5" s="45">
        <v>35430</v>
      </c>
      <c r="U5" s="46">
        <v>8.5</v>
      </c>
      <c r="V5" s="42"/>
    </row>
    <row r="6" spans="1:22" x14ac:dyDescent="0.35">
      <c r="T6" s="45">
        <v>35520</v>
      </c>
      <c r="U6" s="46">
        <v>16.004999999999999</v>
      </c>
      <c r="V6" s="42"/>
    </row>
    <row r="7" spans="1:22" x14ac:dyDescent="0.35">
      <c r="T7" s="45">
        <v>35611</v>
      </c>
      <c r="U7" s="46">
        <v>27.855</v>
      </c>
      <c r="V7" s="42"/>
    </row>
    <row r="8" spans="1:22" ht="18.5" x14ac:dyDescent="0.45">
      <c r="A8" s="47" t="s">
        <v>24</v>
      </c>
      <c r="B8" s="47" t="s">
        <v>15</v>
      </c>
      <c r="C8" s="47" t="s">
        <v>25</v>
      </c>
      <c r="D8" s="47" t="s">
        <v>26</v>
      </c>
      <c r="E8" s="47" t="s">
        <v>27</v>
      </c>
      <c r="F8" s="47" t="s">
        <v>28</v>
      </c>
      <c r="G8" s="47" t="s">
        <v>29</v>
      </c>
      <c r="H8" s="36"/>
      <c r="I8" s="36"/>
      <c r="J8" s="36"/>
      <c r="K8" s="36"/>
      <c r="L8" s="47" t="s">
        <v>21</v>
      </c>
      <c r="M8" s="47" t="s">
        <v>30</v>
      </c>
      <c r="N8" s="47" t="s">
        <v>31</v>
      </c>
      <c r="T8" s="45">
        <v>35703</v>
      </c>
      <c r="U8" s="46">
        <v>37.9</v>
      </c>
      <c r="V8" s="42"/>
    </row>
    <row r="9" spans="1:22" x14ac:dyDescent="0.35">
      <c r="A9" s="42">
        <v>-16.660083849061362</v>
      </c>
      <c r="B9" s="42">
        <v>8.2496868944871515</v>
      </c>
      <c r="C9" s="42">
        <v>0.35100405762553116</v>
      </c>
      <c r="D9" s="42">
        <v>-1.2961851259454777</v>
      </c>
      <c r="E9" s="42">
        <v>-3.538374685239845</v>
      </c>
      <c r="F9" s="42">
        <v>4.4319347499838173</v>
      </c>
      <c r="G9" s="42">
        <v>0</v>
      </c>
      <c r="L9" s="42">
        <v>0.19973972286325453</v>
      </c>
      <c r="M9" s="42">
        <v>1</v>
      </c>
      <c r="N9" s="42">
        <v>1</v>
      </c>
      <c r="T9" s="45">
        <v>35795</v>
      </c>
      <c r="U9" s="46">
        <v>66.040000000000006</v>
      </c>
      <c r="V9" s="42"/>
    </row>
    <row r="10" spans="1:22" x14ac:dyDescent="0.35">
      <c r="A10" s="23"/>
      <c r="B10" s="24"/>
      <c r="H10" s="37"/>
      <c r="I10" s="37"/>
      <c r="J10" s="38"/>
      <c r="T10" s="45">
        <v>35885</v>
      </c>
      <c r="U10" s="46">
        <v>87.394999999999996</v>
      </c>
      <c r="V10" s="42">
        <v>70.208756796039239</v>
      </c>
    </row>
    <row r="11" spans="1:22" x14ac:dyDescent="0.35">
      <c r="T11" s="45">
        <v>35976</v>
      </c>
      <c r="U11" s="46">
        <v>116.01</v>
      </c>
      <c r="V11" s="42">
        <v>83.676806010104983</v>
      </c>
    </row>
    <row r="12" spans="1:22" s="29" customFormat="1" ht="55.5" x14ac:dyDescent="0.45">
      <c r="A12" s="49" t="s">
        <v>13</v>
      </c>
      <c r="B12" s="49" t="s">
        <v>14</v>
      </c>
      <c r="C12" s="49" t="s">
        <v>15</v>
      </c>
      <c r="D12" s="49" t="s">
        <v>32</v>
      </c>
      <c r="E12" s="49" t="s">
        <v>33</v>
      </c>
      <c r="F12" s="49" t="s">
        <v>34</v>
      </c>
      <c r="G12" s="49" t="s">
        <v>35</v>
      </c>
      <c r="H12" s="44" t="s">
        <v>17</v>
      </c>
      <c r="I12" s="49" t="s">
        <v>19</v>
      </c>
      <c r="J12" s="49" t="s">
        <v>20</v>
      </c>
      <c r="K12" s="49" t="s">
        <v>22</v>
      </c>
      <c r="T12" s="51">
        <v>36068</v>
      </c>
      <c r="U12" s="52">
        <v>153.69999999999999</v>
      </c>
      <c r="V12" s="50">
        <v>106.03352580747872</v>
      </c>
    </row>
    <row r="13" spans="1:22" x14ac:dyDescent="0.35">
      <c r="A13" s="45">
        <v>35155</v>
      </c>
      <c r="B13" s="46">
        <v>0.875</v>
      </c>
      <c r="C13" s="42">
        <v>1</v>
      </c>
      <c r="D13" s="42">
        <v>1</v>
      </c>
      <c r="E13" s="42">
        <v>0</v>
      </c>
      <c r="F13" s="42">
        <v>0</v>
      </c>
      <c r="G13" s="42">
        <v>0</v>
      </c>
      <c r="H13" s="42">
        <f t="shared" ref="H13:H20" si="0">$A$9+$B$9*C13+SUMPRODUCT($C$9:$F$9,D13:G13)</f>
        <v>-8.0593928969486797</v>
      </c>
      <c r="I13" s="48">
        <f>B13-H13</f>
        <v>8.9343928969486797</v>
      </c>
      <c r="J13" s="53">
        <f>$I13^2</f>
        <v>79.823376437047017</v>
      </c>
      <c r="K13" s="53">
        <f>SUM(J13:J20)</f>
        <v>488.21455937935406</v>
      </c>
      <c r="T13" s="45">
        <v>36160</v>
      </c>
      <c r="U13" s="46">
        <v>252.9</v>
      </c>
      <c r="V13" s="42">
        <v>151.18629808271035</v>
      </c>
    </row>
    <row r="14" spans="1:22" ht="18.5" x14ac:dyDescent="0.45">
      <c r="A14" s="45">
        <v>35246</v>
      </c>
      <c r="B14" s="46">
        <v>2.23</v>
      </c>
      <c r="C14" s="42">
        <v>2</v>
      </c>
      <c r="D14" s="42">
        <v>0</v>
      </c>
      <c r="E14" s="42">
        <v>1</v>
      </c>
      <c r="F14" s="42">
        <v>0</v>
      </c>
      <c r="G14" s="42">
        <v>0</v>
      </c>
      <c r="H14" s="42">
        <f t="shared" si="0"/>
        <v>-1.4568951860325365</v>
      </c>
      <c r="I14" s="48">
        <f t="shared" ref="I14:I20" si="1">B14-H14</f>
        <v>3.6868951860325367</v>
      </c>
      <c r="J14" s="53">
        <f t="shared" ref="J14:J20" si="2">$I14^2</f>
        <v>13.593196112789894</v>
      </c>
      <c r="K14" s="42"/>
      <c r="M14" s="54"/>
      <c r="N14" s="47" t="s">
        <v>36</v>
      </c>
      <c r="O14" s="42"/>
      <c r="P14" s="42"/>
      <c r="Q14" s="42"/>
      <c r="T14" s="45">
        <v>36250</v>
      </c>
      <c r="U14" s="46">
        <v>293.60000000000002</v>
      </c>
      <c r="V14" s="42">
        <v>229.15294289932871</v>
      </c>
    </row>
    <row r="15" spans="1:22" x14ac:dyDescent="0.35">
      <c r="A15" s="45">
        <v>35338</v>
      </c>
      <c r="B15" s="46">
        <v>4.2</v>
      </c>
      <c r="C15" s="42">
        <v>3</v>
      </c>
      <c r="D15" s="42">
        <v>0</v>
      </c>
      <c r="E15" s="42">
        <v>0</v>
      </c>
      <c r="F15" s="42">
        <v>1</v>
      </c>
      <c r="G15" s="42">
        <v>0</v>
      </c>
      <c r="H15" s="42">
        <f t="shared" si="0"/>
        <v>4.5506021491602482</v>
      </c>
      <c r="I15" s="48">
        <f t="shared" si="1"/>
        <v>-0.35060214916024801</v>
      </c>
      <c r="J15" s="53">
        <f t="shared" si="2"/>
        <v>0.12292186699578479</v>
      </c>
      <c r="K15" s="42"/>
      <c r="M15" s="45">
        <v>35430</v>
      </c>
      <c r="N15" s="42">
        <f>F9</f>
        <v>4.4319347499838173</v>
      </c>
      <c r="O15" s="42"/>
      <c r="P15" s="42"/>
      <c r="Q15" s="42"/>
      <c r="T15" s="45">
        <v>36341</v>
      </c>
      <c r="U15" s="46">
        <v>314.39999999999998</v>
      </c>
      <c r="V15" s="42">
        <v>313.35037252604735</v>
      </c>
    </row>
    <row r="16" spans="1:22" x14ac:dyDescent="0.35">
      <c r="A16" s="45">
        <v>35430</v>
      </c>
      <c r="B16" s="46">
        <v>8.5</v>
      </c>
      <c r="C16" s="42">
        <v>4</v>
      </c>
      <c r="D16" s="42">
        <v>0</v>
      </c>
      <c r="E16" s="42">
        <v>0</v>
      </c>
      <c r="F16" s="42">
        <v>0</v>
      </c>
      <c r="G16" s="42">
        <v>1</v>
      </c>
      <c r="H16" s="42">
        <f t="shared" si="0"/>
        <v>20.770598478871062</v>
      </c>
      <c r="I16" s="48">
        <f t="shared" si="1"/>
        <v>-12.270598478871062</v>
      </c>
      <c r="J16" s="53">
        <f t="shared" si="2"/>
        <v>150.56758702967281</v>
      </c>
      <c r="K16" s="42"/>
      <c r="M16" s="45">
        <v>35520</v>
      </c>
      <c r="N16" s="42">
        <f>C9</f>
        <v>0.35100405762553116</v>
      </c>
      <c r="O16" s="42"/>
      <c r="P16" s="42"/>
      <c r="Q16" s="42"/>
      <c r="T16" s="45">
        <v>36433</v>
      </c>
      <c r="U16" s="46">
        <v>355.8</v>
      </c>
      <c r="V16" s="42">
        <v>384.64858108455684</v>
      </c>
    </row>
    <row r="17" spans="1:22" x14ac:dyDescent="0.35">
      <c r="A17" s="45">
        <v>35520</v>
      </c>
      <c r="B17" s="46">
        <v>16.004999999999999</v>
      </c>
      <c r="C17" s="42">
        <v>5</v>
      </c>
      <c r="D17" s="42">
        <v>1</v>
      </c>
      <c r="E17" s="42">
        <v>0</v>
      </c>
      <c r="F17" s="42">
        <v>0</v>
      </c>
      <c r="G17" s="42">
        <v>0</v>
      </c>
      <c r="H17" s="42">
        <f t="shared" si="0"/>
        <v>24.93935468099993</v>
      </c>
      <c r="I17" s="48">
        <f t="shared" si="1"/>
        <v>-8.934354680999931</v>
      </c>
      <c r="J17" s="53">
        <f t="shared" si="2"/>
        <v>79.822693565905382</v>
      </c>
      <c r="K17" s="45">
        <v>35520</v>
      </c>
      <c r="M17" s="45">
        <v>35611</v>
      </c>
      <c r="N17" s="42">
        <f>D9</f>
        <v>-1.2961851259454777</v>
      </c>
      <c r="O17" s="42"/>
      <c r="P17" s="42"/>
      <c r="Q17" s="42"/>
      <c r="T17" s="45">
        <v>36525</v>
      </c>
      <c r="U17" s="46">
        <v>676</v>
      </c>
      <c r="V17" s="42">
        <v>485.40645552829938</v>
      </c>
    </row>
    <row r="18" spans="1:22" x14ac:dyDescent="0.35">
      <c r="A18" s="45">
        <v>35611</v>
      </c>
      <c r="B18" s="46">
        <v>27.855</v>
      </c>
      <c r="C18" s="42">
        <v>6</v>
      </c>
      <c r="D18" s="42">
        <v>0</v>
      </c>
      <c r="E18" s="42">
        <v>1</v>
      </c>
      <c r="F18" s="42">
        <v>0</v>
      </c>
      <c r="G18" s="42">
        <v>0</v>
      </c>
      <c r="H18" s="42">
        <f t="shared" si="0"/>
        <v>31.541852391916073</v>
      </c>
      <c r="I18" s="48">
        <f t="shared" si="1"/>
        <v>-3.6868523919160729</v>
      </c>
      <c r="J18" s="53">
        <f t="shared" si="2"/>
        <v>13.592880559777269</v>
      </c>
      <c r="K18" s="45">
        <v>35611</v>
      </c>
      <c r="M18" s="57">
        <v>35703</v>
      </c>
      <c r="N18" s="42">
        <f>E9</f>
        <v>-3.538374685239845</v>
      </c>
      <c r="O18" s="42"/>
      <c r="P18" s="42"/>
      <c r="Q18" s="42"/>
      <c r="T18" s="45">
        <v>36616</v>
      </c>
      <c r="U18" s="46">
        <v>573.9</v>
      </c>
      <c r="V18" s="42">
        <v>596.69210374283466</v>
      </c>
    </row>
    <row r="19" spans="1:22" ht="18.5" x14ac:dyDescent="0.45">
      <c r="A19" s="45">
        <v>35703</v>
      </c>
      <c r="B19" s="46">
        <v>37.9</v>
      </c>
      <c r="C19" s="42">
        <v>7</v>
      </c>
      <c r="D19" s="42">
        <v>0</v>
      </c>
      <c r="E19" s="42">
        <v>0</v>
      </c>
      <c r="F19" s="42">
        <v>1</v>
      </c>
      <c r="G19" s="42">
        <v>0</v>
      </c>
      <c r="H19" s="42">
        <f t="shared" si="0"/>
        <v>37.549349727108847</v>
      </c>
      <c r="I19" s="48">
        <f t="shared" si="1"/>
        <v>0.35065027289115136</v>
      </c>
      <c r="J19" s="53">
        <f t="shared" si="2"/>
        <v>0.12295561387863892</v>
      </c>
      <c r="K19" s="45">
        <v>35703</v>
      </c>
      <c r="L19" s="54" t="s">
        <v>37</v>
      </c>
      <c r="M19" s="54" t="s">
        <v>15</v>
      </c>
      <c r="N19" s="54"/>
      <c r="O19" s="54" t="s">
        <v>23</v>
      </c>
      <c r="P19" s="54" t="s">
        <v>19</v>
      </c>
      <c r="Q19" s="54" t="s">
        <v>20</v>
      </c>
      <c r="R19" s="54" t="s">
        <v>22</v>
      </c>
      <c r="T19" s="45">
        <v>36707</v>
      </c>
      <c r="U19" s="46">
        <v>577.9</v>
      </c>
      <c r="V19" s="42">
        <v>640.69402093418159</v>
      </c>
    </row>
    <row r="20" spans="1:22" x14ac:dyDescent="0.35">
      <c r="A20" s="45">
        <v>35795</v>
      </c>
      <c r="B20" s="46">
        <v>66.040000000000006</v>
      </c>
      <c r="C20" s="42">
        <v>8</v>
      </c>
      <c r="D20" s="42">
        <v>0</v>
      </c>
      <c r="E20" s="42">
        <v>0</v>
      </c>
      <c r="F20" s="42">
        <v>0</v>
      </c>
      <c r="G20" s="42">
        <v>1</v>
      </c>
      <c r="H20" s="42">
        <f t="shared" si="0"/>
        <v>53.769346056819664</v>
      </c>
      <c r="I20" s="48">
        <f t="shared" si="1"/>
        <v>12.270653943180342</v>
      </c>
      <c r="J20" s="53">
        <f t="shared" si="2"/>
        <v>150.56894819328727</v>
      </c>
      <c r="K20" s="45">
        <v>35795</v>
      </c>
      <c r="L20" s="48">
        <f>B20-N15</f>
        <v>61.608065250016189</v>
      </c>
      <c r="M20" s="42">
        <v>8.2496874883975195</v>
      </c>
      <c r="N20" s="42">
        <f>F9</f>
        <v>4.4319347499838173</v>
      </c>
      <c r="O20" s="48"/>
      <c r="P20" s="42"/>
      <c r="Q20" s="42"/>
      <c r="R20" s="42"/>
      <c r="T20" s="45">
        <v>36799</v>
      </c>
      <c r="U20" s="46">
        <v>637.9</v>
      </c>
      <c r="V20" s="42">
        <v>690.52571352369455</v>
      </c>
    </row>
    <row r="21" spans="1:22" x14ac:dyDescent="0.35">
      <c r="A21" s="45">
        <v>35885</v>
      </c>
      <c r="B21" s="46">
        <v>87.394999999999996</v>
      </c>
      <c r="C21" s="42">
        <v>9</v>
      </c>
      <c r="D21" s="42"/>
      <c r="E21" s="42"/>
      <c r="F21" s="42"/>
      <c r="G21" s="42"/>
      <c r="H21" s="42"/>
      <c r="I21" s="42"/>
      <c r="J21" s="42"/>
      <c r="K21" s="45">
        <v>35885</v>
      </c>
      <c r="L21" s="55">
        <f>$L$9*(B21-N16)+(1-$L$9)*(L20+M20)</f>
        <v>73.290528193033325</v>
      </c>
      <c r="M21" s="53">
        <f>$M$9*(L21-L20)+(1-$M$9)*$M20</f>
        <v>11.682462943017136</v>
      </c>
      <c r="N21" s="42">
        <f>$N$9*(B21-L21)+(1-$N$9)*N16</f>
        <v>14.104471806966671</v>
      </c>
      <c r="O21" s="48">
        <f>$L20+$M20+$N16</f>
        <v>70.208756796039239</v>
      </c>
      <c r="P21" s="48">
        <f>B21-O21</f>
        <v>17.186243203960757</v>
      </c>
      <c r="Q21" s="56">
        <f>P21^2</f>
        <v>295.36695546568728</v>
      </c>
      <c r="R21" s="56">
        <f>SUM(Q21:Q50)</f>
        <v>308927.61547572154</v>
      </c>
      <c r="T21" s="45">
        <v>36891</v>
      </c>
      <c r="U21" s="46">
        <v>972.36</v>
      </c>
      <c r="V21" s="42">
        <v>972.60787383035995</v>
      </c>
    </row>
    <row r="22" spans="1:22" x14ac:dyDescent="0.35">
      <c r="A22" s="45">
        <v>35976</v>
      </c>
      <c r="B22" s="46">
        <v>116.01</v>
      </c>
      <c r="C22" s="42">
        <v>10</v>
      </c>
      <c r="D22" s="42"/>
      <c r="E22" s="42"/>
      <c r="F22" s="42"/>
      <c r="G22" s="42"/>
      <c r="H22" s="42"/>
      <c r="I22" s="42"/>
      <c r="J22" s="42"/>
      <c r="K22" s="45">
        <v>35976</v>
      </c>
      <c r="L22" s="42">
        <f>$L$9*(B22-N17)+(1-$L$9)*(L21+M21)</f>
        <v>91.431214342875947</v>
      </c>
      <c r="M22" s="42">
        <f t="shared" ref="M22:M50" si="3">$M$9*(L22-L21)+((1-$M$9)*$M21)</f>
        <v>18.140686149842622</v>
      </c>
      <c r="N22" s="42">
        <f>$N$9*(B22-L22)+(1-$N$9)*N17</f>
        <v>24.578785657124058</v>
      </c>
      <c r="O22" s="48">
        <f>$L21+$M21+$N17</f>
        <v>83.676806010104983</v>
      </c>
      <c r="P22" s="48">
        <f>B22-O22</f>
        <v>32.333193989895022</v>
      </c>
      <c r="Q22" s="56">
        <f t="shared" ref="Q22:Q50" si="4">P22^2</f>
        <v>1045.4354335881835</v>
      </c>
      <c r="R22" s="42"/>
      <c r="T22" s="45">
        <v>36981</v>
      </c>
      <c r="U22" s="46">
        <v>701</v>
      </c>
      <c r="V22" s="42">
        <v>847.35494755643106</v>
      </c>
    </row>
    <row r="23" spans="1:22" x14ac:dyDescent="0.35">
      <c r="A23" s="45">
        <v>36068</v>
      </c>
      <c r="B23" s="46">
        <v>153.69999999999999</v>
      </c>
      <c r="C23" s="42">
        <v>11</v>
      </c>
      <c r="D23" s="42"/>
      <c r="E23" s="42"/>
      <c r="F23" s="42"/>
      <c r="G23" s="42"/>
      <c r="H23" s="42"/>
      <c r="I23" s="42"/>
      <c r="J23" s="42"/>
      <c r="K23" s="45">
        <v>36068</v>
      </c>
      <c r="L23" s="42">
        <f>$L$9*(B23-N18)+(1-$L$9)*(L22+M22)</f>
        <v>119.09278883780125</v>
      </c>
      <c r="M23" s="42">
        <f t="shared" si="3"/>
        <v>27.661574494925304</v>
      </c>
      <c r="N23" s="42">
        <f>$N$9*(B23-L23)+(1-$N$9)*N18</f>
        <v>34.607211162198737</v>
      </c>
      <c r="O23" s="48">
        <f>$L22+$M22+$N18</f>
        <v>106.03352580747872</v>
      </c>
      <c r="P23" s="48">
        <f t="shared" ref="P23:P50" si="5">B23-O23</f>
        <v>47.666474192521264</v>
      </c>
      <c r="Q23" s="56">
        <f t="shared" si="4"/>
        <v>2272.0927619462955</v>
      </c>
      <c r="R23" s="42"/>
      <c r="T23" s="45">
        <v>37072</v>
      </c>
      <c r="U23" s="46">
        <v>668</v>
      </c>
      <c r="V23" s="42">
        <v>782.32819854237084</v>
      </c>
    </row>
    <row r="24" spans="1:22" x14ac:dyDescent="0.35">
      <c r="A24" s="45">
        <v>36160</v>
      </c>
      <c r="B24" s="46">
        <v>252.9</v>
      </c>
      <c r="C24" s="42">
        <v>12</v>
      </c>
      <c r="D24" s="42"/>
      <c r="E24" s="42"/>
      <c r="F24" s="42"/>
      <c r="G24" s="42"/>
      <c r="H24" s="42"/>
      <c r="I24" s="42"/>
      <c r="J24" s="42"/>
      <c r="K24" s="45">
        <v>36160</v>
      </c>
      <c r="L24" s="42">
        <f>$L$9*(B24-N20)+(1-$L$9)*(L23+M23)</f>
        <v>167.07062996508165</v>
      </c>
      <c r="M24" s="42">
        <f t="shared" si="3"/>
        <v>47.977841127280399</v>
      </c>
      <c r="N24" s="42">
        <f>$N$9*(B24-L24)+(1-$N$9)*N20</f>
        <v>85.829370034918355</v>
      </c>
      <c r="O24" s="48">
        <f>$L23+$M23+$N20</f>
        <v>151.18629808271035</v>
      </c>
      <c r="P24" s="48">
        <f t="shared" si="5"/>
        <v>101.71370191728965</v>
      </c>
      <c r="Q24" s="56">
        <f t="shared" si="4"/>
        <v>10345.677157719254</v>
      </c>
      <c r="R24" s="42"/>
      <c r="T24" s="45">
        <v>37164</v>
      </c>
      <c r="U24" s="46">
        <v>639</v>
      </c>
      <c r="V24" s="42">
        <v>767.37402624298534</v>
      </c>
    </row>
    <row r="25" spans="1:22" x14ac:dyDescent="0.35">
      <c r="A25" s="45">
        <v>36250</v>
      </c>
      <c r="B25" s="46">
        <v>293.60000000000002</v>
      </c>
      <c r="C25" s="42">
        <v>13</v>
      </c>
      <c r="D25" s="42"/>
      <c r="E25" s="42"/>
      <c r="F25" s="42"/>
      <c r="G25" s="42"/>
      <c r="H25" s="42"/>
      <c r="I25" s="42"/>
      <c r="J25" s="42"/>
      <c r="K25" s="45">
        <v>36250</v>
      </c>
      <c r="L25" s="42">
        <f t="shared" ref="L25:L50" si="6">$L$9*(B25-N21)+(1-$L$9)*(L24+M24)</f>
        <v>227.92110841700247</v>
      </c>
      <c r="M25" s="42">
        <f t="shared" si="3"/>
        <v>60.850478451920821</v>
      </c>
      <c r="N25" s="42">
        <f t="shared" ref="N25:N50" si="7">$N$9*(B25-L25)+(1-$N$9)*N21</f>
        <v>65.678891582997551</v>
      </c>
      <c r="O25" s="48">
        <f t="shared" ref="O25:O50" si="8">$L24+$M24+$N21</f>
        <v>229.15294289932871</v>
      </c>
      <c r="P25" s="48">
        <f t="shared" si="5"/>
        <v>64.447057100671316</v>
      </c>
      <c r="Q25" s="56">
        <f t="shared" si="4"/>
        <v>4153.4231689371891</v>
      </c>
      <c r="R25" s="42"/>
      <c r="T25" s="45">
        <v>37256</v>
      </c>
      <c r="U25" s="46">
        <v>1115</v>
      </c>
      <c r="V25" s="42">
        <v>998.48246203686119</v>
      </c>
    </row>
    <row r="26" spans="1:22" x14ac:dyDescent="0.35">
      <c r="A26" s="45">
        <v>36341</v>
      </c>
      <c r="B26" s="46">
        <v>314.39999999999998</v>
      </c>
      <c r="C26" s="42">
        <v>14</v>
      </c>
      <c r="D26" s="42"/>
      <c r="E26" s="42"/>
      <c r="F26" s="42"/>
      <c r="G26" s="42"/>
      <c r="H26" s="42"/>
      <c r="I26" s="42"/>
      <c r="J26" s="42"/>
      <c r="K26" s="45">
        <v>36341</v>
      </c>
      <c r="L26" s="42">
        <f t="shared" si="6"/>
        <v>288.98123916968029</v>
      </c>
      <c r="M26" s="42">
        <f t="shared" si="3"/>
        <v>61.060130752677821</v>
      </c>
      <c r="N26" s="42">
        <f t="shared" si="7"/>
        <v>25.418760830319684</v>
      </c>
      <c r="O26" s="48">
        <f t="shared" si="8"/>
        <v>313.35037252604735</v>
      </c>
      <c r="P26" s="48">
        <f t="shared" si="5"/>
        <v>1.0496274739526257</v>
      </c>
      <c r="Q26" s="56">
        <f t="shared" si="4"/>
        <v>1.10171783407617</v>
      </c>
      <c r="R26" s="42"/>
      <c r="T26" s="45">
        <v>37346</v>
      </c>
      <c r="U26" s="46">
        <v>847</v>
      </c>
      <c r="V26" s="42">
        <v>725.19154840287104</v>
      </c>
    </row>
    <row r="27" spans="1:22" x14ac:dyDescent="0.35">
      <c r="A27" s="45">
        <v>36433</v>
      </c>
      <c r="B27" s="46">
        <v>355.8</v>
      </c>
      <c r="C27" s="42">
        <v>15</v>
      </c>
      <c r="D27" s="42"/>
      <c r="E27" s="42"/>
      <c r="F27" s="42"/>
      <c r="G27" s="42"/>
      <c r="H27" s="42"/>
      <c r="I27" s="42"/>
      <c r="J27" s="42"/>
      <c r="K27" s="45">
        <v>36433</v>
      </c>
      <c r="L27" s="42">
        <f t="shared" si="6"/>
        <v>344.27916233153064</v>
      </c>
      <c r="M27" s="42">
        <f t="shared" si="3"/>
        <v>55.297923161850349</v>
      </c>
      <c r="N27" s="42">
        <f t="shared" si="7"/>
        <v>11.520837668469369</v>
      </c>
      <c r="O27" s="48">
        <f t="shared" si="8"/>
        <v>384.64858108455684</v>
      </c>
      <c r="P27" s="48">
        <f t="shared" si="5"/>
        <v>-28.848581084556827</v>
      </c>
      <c r="Q27" s="56">
        <f t="shared" si="4"/>
        <v>832.24063059224989</v>
      </c>
      <c r="R27" s="42"/>
      <c r="T27" s="45">
        <v>37437</v>
      </c>
      <c r="U27" s="46">
        <v>806</v>
      </c>
      <c r="V27" s="42">
        <v>738.48330944854843</v>
      </c>
    </row>
    <row r="28" spans="1:22" x14ac:dyDescent="0.35">
      <c r="A28" s="45">
        <v>36525</v>
      </c>
      <c r="B28" s="46">
        <v>676</v>
      </c>
      <c r="C28" s="42">
        <v>16</v>
      </c>
      <c r="D28" s="42"/>
      <c r="E28" s="42"/>
      <c r="F28" s="42"/>
      <c r="G28" s="42"/>
      <c r="H28" s="42"/>
      <c r="I28" s="42"/>
      <c r="J28" s="42"/>
      <c r="K28" s="45">
        <v>36525</v>
      </c>
      <c r="L28" s="42">
        <f t="shared" si="6"/>
        <v>437.6461872456839</v>
      </c>
      <c r="M28" s="42">
        <f t="shared" si="3"/>
        <v>93.367024914153262</v>
      </c>
      <c r="N28" s="42">
        <f t="shared" si="7"/>
        <v>238.3538127543161</v>
      </c>
      <c r="O28" s="48">
        <f t="shared" si="8"/>
        <v>485.40645552829938</v>
      </c>
      <c r="P28" s="48">
        <f t="shared" si="5"/>
        <v>190.59354447170062</v>
      </c>
      <c r="Q28" s="56">
        <f t="shared" si="4"/>
        <v>36325.899194286125</v>
      </c>
      <c r="R28" s="42"/>
      <c r="T28" s="45">
        <v>37529</v>
      </c>
      <c r="U28" s="46">
        <v>851</v>
      </c>
      <c r="V28" s="42">
        <v>784.05800667320932</v>
      </c>
    </row>
    <row r="29" spans="1:22" x14ac:dyDescent="0.35">
      <c r="A29" s="45">
        <v>36616</v>
      </c>
      <c r="B29" s="46">
        <v>573.9</v>
      </c>
      <c r="C29" s="42">
        <v>17</v>
      </c>
      <c r="D29" s="42"/>
      <c r="E29" s="42"/>
      <c r="F29" s="42"/>
      <c r="G29" s="42"/>
      <c r="H29" s="42"/>
      <c r="I29" s="42"/>
      <c r="J29" s="42"/>
      <c r="K29" s="45">
        <v>36616</v>
      </c>
      <c r="L29" s="42">
        <f t="shared" si="6"/>
        <v>526.46072367477291</v>
      </c>
      <c r="M29" s="42">
        <f t="shared" si="3"/>
        <v>88.814536429089003</v>
      </c>
      <c r="N29" s="42">
        <f t="shared" si="7"/>
        <v>47.43927632522707</v>
      </c>
      <c r="O29" s="48">
        <f t="shared" si="8"/>
        <v>596.69210374283466</v>
      </c>
      <c r="P29" s="48">
        <f t="shared" si="5"/>
        <v>-22.792103742834684</v>
      </c>
      <c r="Q29" s="56">
        <f t="shared" si="4"/>
        <v>519.47999302413882</v>
      </c>
      <c r="R29" s="42"/>
      <c r="T29" s="45">
        <v>37621</v>
      </c>
      <c r="U29" s="46">
        <v>1429</v>
      </c>
      <c r="V29" s="42">
        <v>1324.6157084870272</v>
      </c>
    </row>
    <row r="30" spans="1:22" x14ac:dyDescent="0.35">
      <c r="A30" s="45">
        <v>36707</v>
      </c>
      <c r="B30" s="46">
        <v>577.9</v>
      </c>
      <c r="C30" s="42">
        <v>18</v>
      </c>
      <c r="D30" s="42"/>
      <c r="E30" s="42"/>
      <c r="F30" s="42"/>
      <c r="G30" s="42"/>
      <c r="H30" s="42"/>
      <c r="I30" s="42"/>
      <c r="J30" s="42"/>
      <c r="K30" s="45">
        <v>36707</v>
      </c>
      <c r="L30" s="42">
        <f t="shared" si="6"/>
        <v>602.73279976499907</v>
      </c>
      <c r="M30" s="42">
        <f t="shared" si="3"/>
        <v>76.272076090226165</v>
      </c>
      <c r="N30" s="42">
        <f t="shared" si="7"/>
        <v>-24.832799764999095</v>
      </c>
      <c r="O30" s="48">
        <f t="shared" si="8"/>
        <v>640.69402093418159</v>
      </c>
      <c r="P30" s="48">
        <f t="shared" si="5"/>
        <v>-62.794020934181617</v>
      </c>
      <c r="Q30" s="56">
        <f t="shared" si="4"/>
        <v>3943.089065082439</v>
      </c>
      <c r="R30" s="42"/>
      <c r="T30" s="45">
        <v>37711</v>
      </c>
      <c r="U30" s="46">
        <v>1084</v>
      </c>
      <c r="V30" s="42">
        <v>1125.1718276575821</v>
      </c>
    </row>
    <row r="31" spans="1:22" x14ac:dyDescent="0.35">
      <c r="A31" s="45">
        <v>36799</v>
      </c>
      <c r="B31" s="46">
        <v>637.9</v>
      </c>
      <c r="C31" s="42">
        <v>19</v>
      </c>
      <c r="D31" s="42"/>
      <c r="E31" s="42"/>
      <c r="F31" s="42"/>
      <c r="G31" s="42"/>
      <c r="H31" s="42"/>
      <c r="I31" s="42"/>
      <c r="J31" s="42"/>
      <c r="K31" s="45">
        <v>36799</v>
      </c>
      <c r="L31" s="42">
        <f t="shared" si="6"/>
        <v>668.49343042052146</v>
      </c>
      <c r="M31" s="42">
        <f t="shared" si="3"/>
        <v>65.760630655522391</v>
      </c>
      <c r="N31" s="42">
        <f t="shared" si="7"/>
        <v>-30.593430420521486</v>
      </c>
      <c r="O31" s="48">
        <f t="shared" si="8"/>
        <v>690.52571352369455</v>
      </c>
      <c r="P31" s="48">
        <f t="shared" si="5"/>
        <v>-52.625713523694571</v>
      </c>
      <c r="Q31" s="56">
        <f t="shared" si="4"/>
        <v>2769.4657238779696</v>
      </c>
      <c r="R31" s="42"/>
      <c r="T31" s="45">
        <v>37802</v>
      </c>
      <c r="U31" s="46">
        <v>1100</v>
      </c>
      <c r="V31" s="42">
        <v>1101.9451934184694</v>
      </c>
    </row>
    <row r="32" spans="1:22" x14ac:dyDescent="0.35">
      <c r="A32" s="45">
        <v>36891</v>
      </c>
      <c r="B32" s="46">
        <v>972.36</v>
      </c>
      <c r="C32" s="42">
        <v>20</v>
      </c>
      <c r="D32" s="42"/>
      <c r="E32" s="42"/>
      <c r="F32" s="42"/>
      <c r="G32" s="42"/>
      <c r="H32" s="42"/>
      <c r="I32" s="42"/>
      <c r="J32" s="42"/>
      <c r="K32" s="45">
        <v>36891</v>
      </c>
      <c r="L32" s="42">
        <f>$L$9*(B32-N28)+(1-$L$9)*(L31+M31)</f>
        <v>734.20455082586273</v>
      </c>
      <c r="M32" s="42">
        <f t="shared" si="3"/>
        <v>65.711120405341262</v>
      </c>
      <c r="N32" s="42">
        <f t="shared" si="7"/>
        <v>238.15544917413729</v>
      </c>
      <c r="O32" s="48">
        <f t="shared" si="8"/>
        <v>972.60787383035995</v>
      </c>
      <c r="P32" s="48">
        <f t="shared" si="5"/>
        <v>-0.24787383035993571</v>
      </c>
      <c r="Q32" s="56">
        <f t="shared" si="4"/>
        <v>6.1441435777306187E-2</v>
      </c>
      <c r="R32" s="42"/>
      <c r="T32" s="45">
        <v>37894</v>
      </c>
      <c r="U32" s="46">
        <v>1134</v>
      </c>
      <c r="V32" s="42">
        <v>1158.7941686418078</v>
      </c>
    </row>
    <row r="33" spans="1:22" x14ac:dyDescent="0.35">
      <c r="A33" s="45">
        <v>36981</v>
      </c>
      <c r="B33" s="46">
        <v>701</v>
      </c>
      <c r="C33" s="42">
        <v>21</v>
      </c>
      <c r="D33" s="42"/>
      <c r="E33" s="42"/>
      <c r="F33" s="42"/>
      <c r="G33" s="42"/>
      <c r="H33" s="42"/>
      <c r="I33" s="42"/>
      <c r="J33" s="42"/>
      <c r="K33" s="45">
        <v>36981</v>
      </c>
      <c r="L33" s="42">
        <f t="shared" si="6"/>
        <v>770.68277456661633</v>
      </c>
      <c r="M33" s="42">
        <f t="shared" si="3"/>
        <v>36.478223740753606</v>
      </c>
      <c r="N33" s="42">
        <f t="shared" si="7"/>
        <v>-69.682774566616331</v>
      </c>
      <c r="O33" s="48">
        <f t="shared" si="8"/>
        <v>847.35494755643106</v>
      </c>
      <c r="P33" s="48">
        <f t="shared" si="5"/>
        <v>-146.35494755643106</v>
      </c>
      <c r="Q33" s="56">
        <f t="shared" si="4"/>
        <v>21419.770674245687</v>
      </c>
      <c r="R33" s="42"/>
      <c r="T33" s="45">
        <v>37986</v>
      </c>
      <c r="U33" s="46">
        <v>1946</v>
      </c>
      <c r="V33" s="42">
        <v>1718.2772260551092</v>
      </c>
    </row>
    <row r="34" spans="1:22" x14ac:dyDescent="0.35">
      <c r="A34" s="45">
        <v>37072</v>
      </c>
      <c r="B34" s="46">
        <v>668</v>
      </c>
      <c r="C34" s="42">
        <v>22</v>
      </c>
      <c r="D34" s="42"/>
      <c r="E34" s="42"/>
      <c r="F34" s="42"/>
      <c r="G34" s="42"/>
      <c r="H34" s="42"/>
      <c r="I34" s="42"/>
      <c r="J34" s="42"/>
      <c r="K34" s="45">
        <v>37072</v>
      </c>
      <c r="L34" s="42">
        <f t="shared" si="6"/>
        <v>784.32511561506158</v>
      </c>
      <c r="M34" s="42">
        <f t="shared" si="3"/>
        <v>13.642341048445246</v>
      </c>
      <c r="N34" s="42">
        <f t="shared" si="7"/>
        <v>-116.32511561506158</v>
      </c>
      <c r="O34" s="48">
        <f t="shared" si="8"/>
        <v>782.32819854237084</v>
      </c>
      <c r="P34" s="48">
        <f t="shared" si="5"/>
        <v>-114.32819854237084</v>
      </c>
      <c r="Q34" s="56">
        <f t="shared" si="4"/>
        <v>13070.936981943767</v>
      </c>
      <c r="R34" s="42"/>
      <c r="T34" s="45">
        <v>38077</v>
      </c>
      <c r="U34" s="46">
        <v>1530</v>
      </c>
      <c r="V34" s="42">
        <v>1458.9068808024572</v>
      </c>
    </row>
    <row r="35" spans="1:22" x14ac:dyDescent="0.35">
      <c r="A35" s="45">
        <v>37164</v>
      </c>
      <c r="B35" s="46">
        <v>639</v>
      </c>
      <c r="C35" s="42">
        <v>23</v>
      </c>
      <c r="D35" s="42"/>
      <c r="E35" s="42"/>
      <c r="F35" s="42"/>
      <c r="G35" s="42"/>
      <c r="H35" s="42"/>
      <c r="I35" s="42"/>
      <c r="J35" s="42"/>
      <c r="K35" s="45">
        <v>37164</v>
      </c>
      <c r="L35" s="42">
        <f t="shared" si="6"/>
        <v>772.32606423889274</v>
      </c>
      <c r="M35" s="42">
        <f t="shared" si="3"/>
        <v>-11.999051376168836</v>
      </c>
      <c r="N35" s="42">
        <f t="shared" si="7"/>
        <v>-133.32606423889274</v>
      </c>
      <c r="O35" s="48">
        <f t="shared" si="8"/>
        <v>767.37402624298534</v>
      </c>
      <c r="P35" s="48">
        <f t="shared" si="5"/>
        <v>-128.37402624298534</v>
      </c>
      <c r="Q35" s="56">
        <f t="shared" si="4"/>
        <v>16479.890613834687</v>
      </c>
      <c r="R35" s="42"/>
      <c r="T35" s="45">
        <v>38168</v>
      </c>
      <c r="U35" s="46">
        <v>1387</v>
      </c>
      <c r="V35" s="42">
        <v>1543.840024038725</v>
      </c>
    </row>
    <row r="36" spans="1:22" x14ac:dyDescent="0.35">
      <c r="A36" s="45">
        <v>37256</v>
      </c>
      <c r="B36" s="46">
        <v>1115</v>
      </c>
      <c r="C36" s="42">
        <v>24</v>
      </c>
      <c r="D36" s="42"/>
      <c r="E36" s="42"/>
      <c r="F36" s="42"/>
      <c r="G36" s="42"/>
      <c r="H36" s="42"/>
      <c r="I36" s="42"/>
      <c r="J36" s="42"/>
      <c r="K36" s="45">
        <v>37256</v>
      </c>
      <c r="L36" s="42">
        <f>$L$9*(B36-N32)+(1-$L$9)*(L35+M35)</f>
        <v>783.60019360419005</v>
      </c>
      <c r="M36" s="42">
        <f t="shared" si="3"/>
        <v>11.274129365297313</v>
      </c>
      <c r="N36" s="42">
        <f t="shared" si="7"/>
        <v>331.39980639580995</v>
      </c>
      <c r="O36" s="48">
        <f t="shared" si="8"/>
        <v>998.48246203686119</v>
      </c>
      <c r="P36" s="48">
        <f t="shared" si="5"/>
        <v>116.51753796313881</v>
      </c>
      <c r="Q36" s="56">
        <f t="shared" si="4"/>
        <v>13576.336652991493</v>
      </c>
      <c r="R36" s="42"/>
      <c r="T36" s="45">
        <v>38260</v>
      </c>
      <c r="U36" s="46">
        <v>1463</v>
      </c>
      <c r="V36" s="42">
        <v>1574.8710618514083</v>
      </c>
    </row>
    <row r="37" spans="1:22" x14ac:dyDescent="0.35">
      <c r="A37" s="45">
        <v>37346</v>
      </c>
      <c r="B37" s="46">
        <v>847</v>
      </c>
      <c r="C37" s="42">
        <v>25</v>
      </c>
      <c r="D37" s="42"/>
      <c r="E37" s="42"/>
      <c r="F37" s="42"/>
      <c r="G37" s="42"/>
      <c r="H37" s="42"/>
      <c r="I37" s="42"/>
      <c r="J37" s="42"/>
      <c r="K37" s="45">
        <v>37346</v>
      </c>
      <c r="L37" s="42">
        <f t="shared" si="6"/>
        <v>819.20430933390003</v>
      </c>
      <c r="M37" s="42">
        <f t="shared" si="3"/>
        <v>35.604115729709974</v>
      </c>
      <c r="N37" s="42">
        <f t="shared" si="7"/>
        <v>27.795690666099972</v>
      </c>
      <c r="O37" s="48">
        <f t="shared" si="8"/>
        <v>725.19154840287104</v>
      </c>
      <c r="P37" s="48">
        <f t="shared" si="5"/>
        <v>121.80845159712896</v>
      </c>
      <c r="Q37" s="56">
        <f t="shared" si="4"/>
        <v>14837.298880490111</v>
      </c>
      <c r="R37" s="42"/>
      <c r="T37" s="45">
        <v>38352</v>
      </c>
      <c r="U37" s="46">
        <v>2541</v>
      </c>
      <c r="V37" s="42">
        <v>2325.0538090608125</v>
      </c>
    </row>
    <row r="38" spans="1:22" x14ac:dyDescent="0.35">
      <c r="A38" s="45">
        <v>37437</v>
      </c>
      <c r="B38" s="46">
        <v>806</v>
      </c>
      <c r="C38" s="42">
        <v>26</v>
      </c>
      <c r="D38" s="42"/>
      <c r="E38" s="42"/>
      <c r="F38" s="42"/>
      <c r="G38" s="42"/>
      <c r="H38" s="42"/>
      <c r="I38" s="42"/>
      <c r="J38" s="42"/>
      <c r="K38" s="45">
        <v>37437</v>
      </c>
      <c r="L38" s="42">
        <f t="shared" si="6"/>
        <v>868.29419012300104</v>
      </c>
      <c r="M38" s="42">
        <f t="shared" si="3"/>
        <v>49.089880789101016</v>
      </c>
      <c r="N38" s="42">
        <f t="shared" si="7"/>
        <v>-62.294190123001044</v>
      </c>
      <c r="O38" s="48">
        <f t="shared" si="8"/>
        <v>738.48330944854843</v>
      </c>
      <c r="P38" s="48">
        <f t="shared" si="5"/>
        <v>67.516690551451575</v>
      </c>
      <c r="Q38" s="56">
        <f t="shared" si="4"/>
        <v>4558.5035030204699</v>
      </c>
      <c r="R38" s="42"/>
      <c r="T38" s="45">
        <v>38442</v>
      </c>
      <c r="U38" s="46">
        <v>1902</v>
      </c>
      <c r="V38" s="42">
        <v>1941.6475958979706</v>
      </c>
    </row>
    <row r="39" spans="1:22" x14ac:dyDescent="0.35">
      <c r="A39" s="45">
        <v>37529</v>
      </c>
      <c r="B39" s="46">
        <v>851</v>
      </c>
      <c r="C39" s="42">
        <v>27</v>
      </c>
      <c r="D39" s="42"/>
      <c r="E39" s="42"/>
      <c r="F39" s="42"/>
      <c r="G39" s="42"/>
      <c r="H39" s="42"/>
      <c r="I39" s="42"/>
      <c r="J39" s="42"/>
      <c r="K39" s="45">
        <v>37529</v>
      </c>
      <c r="L39" s="42">
        <f t="shared" si="6"/>
        <v>930.75504610710914</v>
      </c>
      <c r="M39" s="42">
        <f t="shared" si="3"/>
        <v>62.460855984108093</v>
      </c>
      <c r="N39" s="42">
        <f t="shared" si="7"/>
        <v>-79.755046107109138</v>
      </c>
      <c r="O39" s="48">
        <f t="shared" si="8"/>
        <v>784.05800667320932</v>
      </c>
      <c r="P39" s="48">
        <f t="shared" si="5"/>
        <v>66.94199332679068</v>
      </c>
      <c r="Q39" s="56">
        <f t="shared" si="4"/>
        <v>4481.2304705640881</v>
      </c>
      <c r="R39" s="42"/>
      <c r="T39" s="45">
        <v>38533</v>
      </c>
      <c r="U39" s="46">
        <v>1753</v>
      </c>
      <c r="V39" s="42">
        <v>1803.5971337052115</v>
      </c>
    </row>
    <row r="40" spans="1:22" x14ac:dyDescent="0.35">
      <c r="A40" s="45">
        <v>37621</v>
      </c>
      <c r="B40" s="46">
        <v>1429</v>
      </c>
      <c r="C40" s="42">
        <v>28</v>
      </c>
      <c r="D40" s="42"/>
      <c r="E40" s="42"/>
      <c r="F40" s="42"/>
      <c r="G40" s="42"/>
      <c r="H40" s="42"/>
      <c r="I40" s="42"/>
      <c r="J40" s="42"/>
      <c r="K40" s="45">
        <v>37621</v>
      </c>
      <c r="L40" s="42">
        <f t="shared" si="6"/>
        <v>1014.0655915492956</v>
      </c>
      <c r="M40" s="42">
        <f t="shared" si="3"/>
        <v>83.310545442186481</v>
      </c>
      <c r="N40" s="42">
        <f t="shared" si="7"/>
        <v>414.93440845070438</v>
      </c>
      <c r="O40" s="48">
        <f t="shared" si="8"/>
        <v>1324.6157084870272</v>
      </c>
      <c r="P40" s="48">
        <f t="shared" si="5"/>
        <v>104.38429151297282</v>
      </c>
      <c r="Q40" s="56">
        <f t="shared" si="4"/>
        <v>10896.080314665291</v>
      </c>
      <c r="R40" s="42"/>
      <c r="T40" s="42"/>
      <c r="U40" s="42"/>
      <c r="V40" s="42">
        <v>1894.5984512920177</v>
      </c>
    </row>
    <row r="41" spans="1:22" x14ac:dyDescent="0.35">
      <c r="A41" s="45">
        <v>37711</v>
      </c>
      <c r="B41" s="46">
        <v>1084</v>
      </c>
      <c r="C41" s="42">
        <v>29</v>
      </c>
      <c r="D41" s="42"/>
      <c r="E41" s="42"/>
      <c r="F41" s="42"/>
      <c r="G41" s="42"/>
      <c r="H41" s="42"/>
      <c r="I41" s="42"/>
      <c r="J41" s="42"/>
      <c r="K41" s="45">
        <v>37711</v>
      </c>
      <c r="L41" s="42">
        <f t="shared" si="6"/>
        <v>1089.1524875453831</v>
      </c>
      <c r="M41" s="42">
        <f t="shared" si="3"/>
        <v>75.086895996087492</v>
      </c>
      <c r="N41" s="42">
        <f t="shared" si="7"/>
        <v>-5.15248754538311</v>
      </c>
      <c r="O41" s="48">
        <f t="shared" si="8"/>
        <v>1125.1718276575821</v>
      </c>
      <c r="P41" s="48">
        <f t="shared" si="5"/>
        <v>-41.171827657582071</v>
      </c>
      <c r="Q41" s="56">
        <f t="shared" si="4"/>
        <v>1695.1193926656399</v>
      </c>
      <c r="R41" s="42"/>
      <c r="T41" s="42"/>
      <c r="U41" s="42"/>
      <c r="V41" s="42">
        <v>2954.5729940112087</v>
      </c>
    </row>
    <row r="42" spans="1:22" x14ac:dyDescent="0.35">
      <c r="A42" s="45">
        <v>37802</v>
      </c>
      <c r="B42" s="46">
        <v>1100</v>
      </c>
      <c r="C42" s="42">
        <v>30</v>
      </c>
      <c r="D42" s="42"/>
      <c r="E42" s="42"/>
      <c r="F42" s="42"/>
      <c r="G42" s="42"/>
      <c r="H42" s="42"/>
      <c r="I42" s="42"/>
      <c r="J42" s="42"/>
      <c r="K42" s="45">
        <v>37802</v>
      </c>
      <c r="L42" s="42">
        <f>$L$9*(B42-N38)+(1-$L$9)*(L41+M41)</f>
        <v>1163.85085114715</v>
      </c>
      <c r="M42" s="42">
        <f t="shared" si="3"/>
        <v>74.698363601766914</v>
      </c>
      <c r="N42" s="42">
        <f t="shared" si="7"/>
        <v>-63.850851147150024</v>
      </c>
      <c r="O42" s="48">
        <f t="shared" si="8"/>
        <v>1101.9451934184694</v>
      </c>
      <c r="P42" s="48">
        <f t="shared" si="5"/>
        <v>-1.9451934184694437</v>
      </c>
      <c r="Q42" s="56">
        <f t="shared" si="4"/>
        <v>3.7837774352568405</v>
      </c>
      <c r="R42" s="42"/>
      <c r="T42" s="42"/>
      <c r="U42" s="42"/>
      <c r="V42" s="42">
        <v>2305.4667365472551</v>
      </c>
    </row>
    <row r="43" spans="1:22" x14ac:dyDescent="0.35">
      <c r="A43" s="45">
        <v>37894</v>
      </c>
      <c r="B43" s="46">
        <v>1134</v>
      </c>
      <c r="C43" s="42">
        <v>31</v>
      </c>
      <c r="D43" s="42"/>
      <c r="E43" s="42"/>
      <c r="F43" s="42"/>
      <c r="G43" s="42"/>
      <c r="H43" s="42"/>
      <c r="I43" s="42"/>
      <c r="J43" s="42"/>
      <c r="K43" s="45">
        <v>37894</v>
      </c>
      <c r="L43" s="42">
        <f t="shared" si="6"/>
        <v>1233.5968343757775</v>
      </c>
      <c r="M43" s="42">
        <f t="shared" si="3"/>
        <v>69.745983228627438</v>
      </c>
      <c r="N43" s="42">
        <f t="shared" si="7"/>
        <v>-99.596834375777462</v>
      </c>
      <c r="O43" s="48">
        <f t="shared" si="8"/>
        <v>1158.7941686418078</v>
      </c>
      <c r="P43" s="48">
        <f t="shared" si="5"/>
        <v>-24.794168641807801</v>
      </c>
      <c r="Q43" s="56">
        <f t="shared" si="4"/>
        <v>614.75079863840529</v>
      </c>
      <c r="R43" s="42"/>
      <c r="T43" s="42"/>
      <c r="U43" s="42"/>
      <c r="V43" s="42">
        <v>2156.4667365472551</v>
      </c>
    </row>
    <row r="44" spans="1:22" x14ac:dyDescent="0.35">
      <c r="A44" s="45">
        <v>37986</v>
      </c>
      <c r="B44" s="46">
        <v>1946</v>
      </c>
      <c r="C44" s="42">
        <v>32</v>
      </c>
      <c r="D44" s="42"/>
      <c r="E44" s="42"/>
      <c r="F44" s="42"/>
      <c r="G44" s="42"/>
      <c r="H44" s="42"/>
      <c r="I44" s="42"/>
      <c r="J44" s="42"/>
      <c r="K44" s="45">
        <v>37986</v>
      </c>
      <c r="L44" s="42">
        <f t="shared" si="6"/>
        <v>1348.8281013618089</v>
      </c>
      <c r="M44" s="42">
        <f t="shared" si="3"/>
        <v>115.23126698603141</v>
      </c>
      <c r="N44" s="42">
        <f t="shared" si="7"/>
        <v>597.17189863819112</v>
      </c>
      <c r="O44" s="48">
        <f t="shared" si="8"/>
        <v>1718.2772260551092</v>
      </c>
      <c r="P44" s="48">
        <f t="shared" si="5"/>
        <v>227.72277394489083</v>
      </c>
      <c r="Q44" s="56">
        <f t="shared" si="4"/>
        <v>51857.661773155851</v>
      </c>
      <c r="R44" s="42"/>
    </row>
    <row r="45" spans="1:22" x14ac:dyDescent="0.35">
      <c r="A45" s="45">
        <v>38077</v>
      </c>
      <c r="B45" s="46">
        <v>1530</v>
      </c>
      <c r="C45" s="42">
        <v>33</v>
      </c>
      <c r="D45" s="42"/>
      <c r="E45" s="42"/>
      <c r="F45" s="42"/>
      <c r="G45" s="42"/>
      <c r="H45" s="42"/>
      <c r="I45" s="42"/>
      <c r="J45" s="42"/>
      <c r="K45" s="45">
        <v>38077</v>
      </c>
      <c r="L45" s="42">
        <f t="shared" si="6"/>
        <v>1478.259488273842</v>
      </c>
      <c r="M45" s="42">
        <f t="shared" si="3"/>
        <v>129.43138691203308</v>
      </c>
      <c r="N45" s="42">
        <f t="shared" si="7"/>
        <v>51.740511726158047</v>
      </c>
      <c r="O45" s="48">
        <f t="shared" si="8"/>
        <v>1458.9068808024572</v>
      </c>
      <c r="P45" s="48">
        <f t="shared" si="5"/>
        <v>71.093119197542819</v>
      </c>
      <c r="Q45" s="56">
        <f t="shared" si="4"/>
        <v>5054.2315972360311</v>
      </c>
      <c r="R45" s="42"/>
    </row>
    <row r="46" spans="1:22" x14ac:dyDescent="0.35">
      <c r="A46" s="45">
        <v>38168</v>
      </c>
      <c r="B46" s="46">
        <v>1387</v>
      </c>
      <c r="C46" s="42">
        <v>34</v>
      </c>
      <c r="D46" s="42"/>
      <c r="E46" s="42"/>
      <c r="F46" s="42"/>
      <c r="G46" s="42"/>
      <c r="H46" s="42"/>
      <c r="I46" s="42"/>
      <c r="J46" s="42"/>
      <c r="K46" s="45">
        <v>38168</v>
      </c>
      <c r="L46" s="42">
        <f t="shared" si="6"/>
        <v>1576.3636922505139</v>
      </c>
      <c r="M46" s="42">
        <f t="shared" si="3"/>
        <v>98.104203976671897</v>
      </c>
      <c r="N46" s="42">
        <f t="shared" si="7"/>
        <v>-189.36369225051385</v>
      </c>
      <c r="O46" s="48">
        <f t="shared" si="8"/>
        <v>1543.840024038725</v>
      </c>
      <c r="P46" s="48">
        <f t="shared" si="5"/>
        <v>-156.84002403872501</v>
      </c>
      <c r="Q46" s="56">
        <f t="shared" si="4"/>
        <v>24598.793140467838</v>
      </c>
      <c r="R46" s="42"/>
    </row>
    <row r="47" spans="1:22" x14ac:dyDescent="0.35">
      <c r="A47" s="45">
        <v>38260</v>
      </c>
      <c r="B47" s="46">
        <v>1463</v>
      </c>
      <c r="C47" s="42">
        <v>35</v>
      </c>
      <c r="D47" s="42"/>
      <c r="E47" s="42"/>
      <c r="F47" s="42"/>
      <c r="G47" s="42"/>
      <c r="H47" s="42"/>
      <c r="I47" s="42"/>
      <c r="J47" s="42"/>
      <c r="K47" s="45">
        <v>38260</v>
      </c>
      <c r="L47" s="42">
        <f t="shared" si="6"/>
        <v>1652.1228013365676</v>
      </c>
      <c r="M47" s="42">
        <f t="shared" si="3"/>
        <v>75.759109086053741</v>
      </c>
      <c r="N47" s="42">
        <f t="shared" si="7"/>
        <v>-189.12280133656759</v>
      </c>
      <c r="O47" s="48">
        <f t="shared" si="8"/>
        <v>1574.8710618514083</v>
      </c>
      <c r="P47" s="48">
        <f t="shared" si="5"/>
        <v>-111.87106185140829</v>
      </c>
      <c r="Q47" s="56">
        <f t="shared" si="4"/>
        <v>12515.134479761618</v>
      </c>
      <c r="R47" s="42"/>
    </row>
    <row r="48" spans="1:22" x14ac:dyDescent="0.35">
      <c r="A48" s="45">
        <v>38352</v>
      </c>
      <c r="B48" s="46">
        <v>2541</v>
      </c>
      <c r="C48" s="42">
        <v>36</v>
      </c>
      <c r="D48" s="42"/>
      <c r="E48" s="42"/>
      <c r="F48" s="42"/>
      <c r="G48" s="42"/>
      <c r="H48" s="42"/>
      <c r="I48" s="42"/>
      <c r="J48" s="42"/>
      <c r="K48" s="45">
        <v>38352</v>
      </c>
      <c r="L48" s="42">
        <f t="shared" si="6"/>
        <v>1771.0149427541901</v>
      </c>
      <c r="M48" s="42">
        <f t="shared" si="3"/>
        <v>118.8921414176225</v>
      </c>
      <c r="N48" s="42">
        <f t="shared" si="7"/>
        <v>769.98505724580991</v>
      </c>
      <c r="O48" s="48">
        <f t="shared" si="8"/>
        <v>2325.0538090608125</v>
      </c>
      <c r="P48" s="48">
        <f t="shared" si="5"/>
        <v>215.94619093918755</v>
      </c>
      <c r="Q48" s="56">
        <f t="shared" si="4"/>
        <v>46632.757381144045</v>
      </c>
      <c r="R48" s="42"/>
    </row>
    <row r="49" spans="1:18" x14ac:dyDescent="0.35">
      <c r="A49" s="45">
        <v>38442</v>
      </c>
      <c r="B49" s="46">
        <v>1902</v>
      </c>
      <c r="C49" s="42">
        <v>37</v>
      </c>
      <c r="D49" s="42"/>
      <c r="E49" s="42"/>
      <c r="F49" s="42"/>
      <c r="G49" s="42"/>
      <c r="H49" s="42"/>
      <c r="I49" s="42"/>
      <c r="J49" s="42"/>
      <c r="K49" s="45">
        <v>38442</v>
      </c>
      <c r="L49" s="42">
        <f t="shared" si="6"/>
        <v>1881.9878843549577</v>
      </c>
      <c r="M49" s="42">
        <f t="shared" si="3"/>
        <v>110.97294160076763</v>
      </c>
      <c r="N49" s="42">
        <f t="shared" si="7"/>
        <v>20.012115645042286</v>
      </c>
      <c r="O49" s="48">
        <f t="shared" si="8"/>
        <v>1941.6475958979706</v>
      </c>
      <c r="P49" s="48">
        <f t="shared" si="5"/>
        <v>-39.647595897970632</v>
      </c>
      <c r="Q49" s="56">
        <f t="shared" si="4"/>
        <v>1571.9318604887776</v>
      </c>
      <c r="R49" s="42"/>
    </row>
    <row r="50" spans="1:18" x14ac:dyDescent="0.35">
      <c r="A50" s="45">
        <v>38533</v>
      </c>
      <c r="B50" s="46">
        <v>1753</v>
      </c>
      <c r="C50" s="42">
        <v>38</v>
      </c>
      <c r="D50" s="42"/>
      <c r="E50" s="42"/>
      <c r="F50" s="42"/>
      <c r="G50" s="42"/>
      <c r="H50" s="42"/>
      <c r="I50" s="42"/>
      <c r="J50" s="42"/>
      <c r="K50" s="45">
        <v>38533</v>
      </c>
      <c r="L50" s="42">
        <f t="shared" si="6"/>
        <v>1982.8545684917715</v>
      </c>
      <c r="M50" s="42">
        <f t="shared" si="3"/>
        <v>100.86668413681377</v>
      </c>
      <c r="N50" s="42">
        <f t="shared" si="7"/>
        <v>-229.85456849177149</v>
      </c>
      <c r="O50" s="48">
        <f t="shared" si="8"/>
        <v>1803.5971337052115</v>
      </c>
      <c r="P50" s="48">
        <f t="shared" si="5"/>
        <v>-50.59713370521149</v>
      </c>
      <c r="Q50" s="56">
        <f t="shared" si="4"/>
        <v>2560.0699391830485</v>
      </c>
      <c r="R50" s="42"/>
    </row>
    <row r="51" spans="1:18" x14ac:dyDescent="0.35">
      <c r="O51" s="30">
        <f>$L$50+$M$50*I53+N47</f>
        <v>1894.5984512920177</v>
      </c>
    </row>
    <row r="52" spans="1:18" ht="18.5" x14ac:dyDescent="0.45">
      <c r="G52" s="39"/>
      <c r="H52" s="40" t="s">
        <v>33</v>
      </c>
      <c r="I52" s="31" t="s">
        <v>38</v>
      </c>
      <c r="J52" s="31" t="s">
        <v>39</v>
      </c>
      <c r="O52" s="30">
        <f>$L$50+$M$50*I54+N48</f>
        <v>2954.5729940112087</v>
      </c>
    </row>
    <row r="53" spans="1:18" x14ac:dyDescent="0.35">
      <c r="G53" s="41"/>
      <c r="H53" s="41"/>
      <c r="I53" s="32">
        <v>1</v>
      </c>
      <c r="J53" s="33">
        <v>38625</v>
      </c>
      <c r="O53" s="30">
        <f>$L$50+$M$50*I55+N49</f>
        <v>2305.4667365472551</v>
      </c>
    </row>
    <row r="54" spans="1:18" x14ac:dyDescent="0.35">
      <c r="G54" s="41"/>
      <c r="H54" s="41"/>
      <c r="I54" s="32">
        <v>2</v>
      </c>
      <c r="J54" s="33">
        <v>38717</v>
      </c>
      <c r="O54" s="30">
        <f>$L$50+$M$50*I56+N50</f>
        <v>2156.4667365472551</v>
      </c>
    </row>
    <row r="55" spans="1:18" x14ac:dyDescent="0.35">
      <c r="G55" s="41"/>
      <c r="H55" s="41"/>
      <c r="I55" s="32">
        <v>3</v>
      </c>
      <c r="J55" s="34">
        <v>38807</v>
      </c>
    </row>
    <row r="56" spans="1:18" x14ac:dyDescent="0.35">
      <c r="G56" s="41"/>
      <c r="H56" s="41"/>
      <c r="I56" s="32">
        <v>4</v>
      </c>
      <c r="J56" s="34">
        <v>38898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9217" r:id="rId3">
          <objectPr defaultSize="0" autoPict="0" r:id="rId4">
            <anchor moveWithCells="1">
              <from>
                <xdr:col>9</xdr:col>
                <xdr:colOff>444500</xdr:colOff>
                <xdr:row>0</xdr:row>
                <xdr:rowOff>0</xdr:rowOff>
              </from>
              <to>
                <xdr:col>14</xdr:col>
                <xdr:colOff>355600</xdr:colOff>
                <xdr:row>6</xdr:row>
                <xdr:rowOff>38100</xdr:rowOff>
              </to>
            </anchor>
          </objectPr>
        </oleObject>
      </mc:Choice>
      <mc:Fallback>
        <oleObject shapeId="921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part1 Q1</vt:lpstr>
      <vt:lpstr>part 1 Q2</vt:lpstr>
      <vt:lpstr>part 1 Q3</vt:lpstr>
      <vt:lpstr>part 2 Q1 </vt:lpstr>
      <vt:lpstr>part 2 Q2 and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Kolhatkar</dc:creator>
  <cp:lastModifiedBy>Shruti Kolhatkar</cp:lastModifiedBy>
  <dcterms:created xsi:type="dcterms:W3CDTF">2020-10-29T15:42:30Z</dcterms:created>
  <dcterms:modified xsi:type="dcterms:W3CDTF">2020-11-03T05:41:06Z</dcterms:modified>
</cp:coreProperties>
</file>