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uthisreenivasamurthy/Desktop/"/>
    </mc:Choice>
  </mc:AlternateContent>
  <xr:revisionPtr revIDLastSave="0" documentId="8_{28F98300-51CE-1940-A3A9-30BDF2F876CD}" xr6:coauthVersionLast="36" xr6:coauthVersionMax="36" xr10:uidLastSave="{00000000-0000-0000-0000-000000000000}"/>
  <bookViews>
    <workbookView xWindow="2420" yWindow="620" windowWidth="26380" windowHeight="14740" firstSheet="5" activeTab="5" xr2:uid="{00000000-000D-0000-FFFF-FFFF00000000}"/>
  </bookViews>
  <sheets>
    <sheet name="Raw Data" sheetId="1" r:id="rId1"/>
    <sheet name="T Test for Pricing Means" sheetId="11" r:id="rId2"/>
    <sheet name="Eagle Mean Price Interval" sheetId="8" r:id="rId3"/>
    <sheet name="Competitor Mean Price Interval" sheetId="10" r:id="rId4"/>
    <sheet name="F Test for Pricing Variance" sheetId="12" r:id="rId5"/>
    <sheet name="Eagle &amp; Comp Price Collinearity" sheetId="17" r:id="rId6"/>
    <sheet name="Price &amp; Promo Collinearity" sheetId="19" r:id="rId7"/>
    <sheet name="Com Price &amp; Promo Collinearity" sheetId="20" r:id="rId8"/>
    <sheet name="Income and Price Collinearity" sheetId="24" r:id="rId9"/>
    <sheet name="Income &amp; Com Price Collinearity" sheetId="25" r:id="rId10"/>
    <sheet name="Income and Promo Collinearity" sheetId="26" r:id="rId11"/>
    <sheet name="Competitor Price Regression" sheetId="28" r:id="rId12"/>
    <sheet name="Eagle Price Regression" sheetId="27" r:id="rId13"/>
    <sheet name="Revised Multiple Regression" sheetId="23" r:id="rId14"/>
    <sheet name="Proportion Over $.50 Difference" sheetId="29" r:id="rId15"/>
    <sheet name="Mean Gross Sales Interval" sheetId="14" r:id="rId16"/>
    <sheet name="Promotional Budget Interval" sheetId="30" r:id="rId17"/>
  </sheets>
  <calcPr calcId="162913"/>
</workbook>
</file>

<file path=xl/calcChain.xml><?xml version="1.0" encoding="utf-8"?>
<calcChain xmlns="http://schemas.openxmlformats.org/spreadsheetml/2006/main">
  <c r="C24" i="30" l="1"/>
  <c r="C20" i="30"/>
  <c r="C23" i="30" s="1"/>
  <c r="C19" i="30"/>
  <c r="C5" i="30"/>
  <c r="C8" i="30" s="1"/>
  <c r="C4" i="30"/>
  <c r="C7" i="30"/>
  <c r="C9" i="30" s="1"/>
  <c r="I6" i="29"/>
  <c r="C25" i="30" l="1"/>
  <c r="D28" i="30"/>
  <c r="C10" i="30"/>
  <c r="D13" i="30" s="1"/>
  <c r="C28" i="30"/>
  <c r="I5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3" i="29"/>
  <c r="C13" i="30" l="1"/>
  <c r="I7" i="29"/>
  <c r="I8" i="29" s="1"/>
  <c r="J11" i="29" s="1"/>
  <c r="H11" i="28"/>
  <c r="K19" i="27"/>
  <c r="K18" i="27"/>
  <c r="K17" i="27"/>
  <c r="H11" i="27"/>
  <c r="I11" i="29" l="1"/>
  <c r="K18" i="23"/>
  <c r="K17" i="23"/>
  <c r="H11" i="23"/>
  <c r="F17" i="26"/>
  <c r="F31" i="26"/>
  <c r="F39" i="26"/>
  <c r="F46" i="26"/>
  <c r="F51" i="26"/>
  <c r="F57" i="26"/>
  <c r="F62" i="26"/>
  <c r="E28" i="26"/>
  <c r="E40" i="26"/>
  <c r="E44" i="26"/>
  <c r="E56" i="26"/>
  <c r="E60" i="26"/>
  <c r="D8" i="26"/>
  <c r="D12" i="26"/>
  <c r="D16" i="26"/>
  <c r="D20" i="26"/>
  <c r="D24" i="26"/>
  <c r="D28" i="26"/>
  <c r="D32" i="26"/>
  <c r="D36" i="26"/>
  <c r="E36" i="26" s="1"/>
  <c r="D40" i="26"/>
  <c r="D44" i="26"/>
  <c r="D48" i="26"/>
  <c r="D52" i="26"/>
  <c r="E52" i="26" s="1"/>
  <c r="D56" i="26"/>
  <c r="D60" i="26"/>
  <c r="D4" i="26"/>
  <c r="C66" i="26"/>
  <c r="F9" i="26" s="1"/>
  <c r="C65" i="26"/>
  <c r="D5" i="26" s="1"/>
  <c r="F42" i="25"/>
  <c r="F63" i="25"/>
  <c r="D13" i="25"/>
  <c r="D19" i="25"/>
  <c r="E19" i="25" s="1"/>
  <c r="D35" i="25"/>
  <c r="E35" i="25" s="1"/>
  <c r="D40" i="25"/>
  <c r="E40" i="25" s="1"/>
  <c r="D51" i="25"/>
  <c r="D53" i="25"/>
  <c r="D61" i="25"/>
  <c r="E61" i="25" s="1"/>
  <c r="D4" i="25"/>
  <c r="C66" i="25"/>
  <c r="F10" i="25" s="1"/>
  <c r="C65" i="25"/>
  <c r="F8" i="24"/>
  <c r="F13" i="24"/>
  <c r="F18" i="24"/>
  <c r="F24" i="24"/>
  <c r="F29" i="24"/>
  <c r="F34" i="24"/>
  <c r="F40" i="24"/>
  <c r="F45" i="24"/>
  <c r="F50" i="24"/>
  <c r="F56" i="24"/>
  <c r="F61" i="24"/>
  <c r="D8" i="24"/>
  <c r="G8" i="24" s="1"/>
  <c r="D12" i="24"/>
  <c r="D16" i="24"/>
  <c r="E16" i="24" s="1"/>
  <c r="D20" i="24"/>
  <c r="D24" i="24"/>
  <c r="G24" i="24" s="1"/>
  <c r="D28" i="24"/>
  <c r="D32" i="24"/>
  <c r="D36" i="24"/>
  <c r="D40" i="24"/>
  <c r="G40" i="24" s="1"/>
  <c r="D44" i="24"/>
  <c r="D48" i="24"/>
  <c r="D52" i="24"/>
  <c r="D56" i="24"/>
  <c r="E56" i="24" s="1"/>
  <c r="D60" i="24"/>
  <c r="D4" i="24"/>
  <c r="C66" i="24"/>
  <c r="C65" i="24"/>
  <c r="D5" i="24" s="1"/>
  <c r="E5" i="24" l="1"/>
  <c r="G52" i="24"/>
  <c r="G12" i="24"/>
  <c r="E60" i="24"/>
  <c r="E52" i="24"/>
  <c r="E40" i="24"/>
  <c r="E32" i="24"/>
  <c r="E4" i="26"/>
  <c r="E48" i="26"/>
  <c r="E32" i="26"/>
  <c r="E16" i="26"/>
  <c r="D63" i="24"/>
  <c r="D59" i="24"/>
  <c r="D55" i="24"/>
  <c r="D51" i="24"/>
  <c r="D47" i="24"/>
  <c r="D43" i="24"/>
  <c r="D39" i="24"/>
  <c r="D35" i="24"/>
  <c r="D31" i="24"/>
  <c r="D27" i="24"/>
  <c r="D23" i="24"/>
  <c r="D19" i="24"/>
  <c r="D15" i="24"/>
  <c r="D11" i="24"/>
  <c r="D7" i="24"/>
  <c r="F60" i="24"/>
  <c r="G60" i="24" s="1"/>
  <c r="F54" i="24"/>
  <c r="F49" i="24"/>
  <c r="F44" i="24"/>
  <c r="G44" i="24" s="1"/>
  <c r="F38" i="24"/>
  <c r="F33" i="24"/>
  <c r="F28" i="24"/>
  <c r="G28" i="24" s="1"/>
  <c r="F22" i="24"/>
  <c r="F17" i="24"/>
  <c r="F12" i="24"/>
  <c r="F6" i="24"/>
  <c r="G56" i="24"/>
  <c r="E44" i="24"/>
  <c r="E28" i="24"/>
  <c r="E12" i="24"/>
  <c r="D62" i="24"/>
  <c r="D58" i="24"/>
  <c r="D54" i="24"/>
  <c r="D50" i="24"/>
  <c r="D46" i="24"/>
  <c r="D42" i="24"/>
  <c r="D38" i="24"/>
  <c r="D34" i="24"/>
  <c r="D30" i="24"/>
  <c r="D26" i="24"/>
  <c r="D22" i="24"/>
  <c r="D18" i="24"/>
  <c r="D14" i="24"/>
  <c r="D10" i="24"/>
  <c r="D6" i="24"/>
  <c r="E20" i="24"/>
  <c r="F4" i="24"/>
  <c r="G4" i="24" s="1"/>
  <c r="F58" i="24"/>
  <c r="F53" i="24"/>
  <c r="F48" i="24"/>
  <c r="F42" i="24"/>
  <c r="F37" i="24"/>
  <c r="F32" i="24"/>
  <c r="G32" i="24" s="1"/>
  <c r="F26" i="24"/>
  <c r="F21" i="24"/>
  <c r="F16" i="24"/>
  <c r="F10" i="24"/>
  <c r="F5" i="24"/>
  <c r="G5" i="24" s="1"/>
  <c r="G48" i="24"/>
  <c r="G16" i="24"/>
  <c r="E4" i="24"/>
  <c r="E48" i="24"/>
  <c r="E36" i="24"/>
  <c r="F7" i="24"/>
  <c r="F11" i="24"/>
  <c r="F15" i="24"/>
  <c r="F19" i="24"/>
  <c r="F23" i="24"/>
  <c r="F27" i="24"/>
  <c r="F31" i="24"/>
  <c r="F35" i="24"/>
  <c r="F39" i="24"/>
  <c r="F43" i="24"/>
  <c r="F47" i="24"/>
  <c r="F51" i="24"/>
  <c r="F55" i="24"/>
  <c r="F59" i="24"/>
  <c r="F63" i="24"/>
  <c r="D61" i="24"/>
  <c r="D57" i="24"/>
  <c r="D53" i="24"/>
  <c r="D49" i="24"/>
  <c r="D45" i="24"/>
  <c r="D41" i="24"/>
  <c r="D37" i="24"/>
  <c r="D33" i="24"/>
  <c r="D29" i="24"/>
  <c r="D25" i="24"/>
  <c r="D21" i="24"/>
  <c r="D17" i="24"/>
  <c r="D13" i="24"/>
  <c r="D9" i="24"/>
  <c r="E24" i="24"/>
  <c r="E8" i="24"/>
  <c r="F62" i="24"/>
  <c r="F57" i="24"/>
  <c r="F52" i="24"/>
  <c r="F46" i="24"/>
  <c r="F41" i="24"/>
  <c r="F36" i="24"/>
  <c r="G36" i="24" s="1"/>
  <c r="F30" i="24"/>
  <c r="F25" i="24"/>
  <c r="F20" i="24"/>
  <c r="G20" i="24" s="1"/>
  <c r="F14" i="24"/>
  <c r="F9" i="24"/>
  <c r="D6" i="25"/>
  <c r="E6" i="25" s="1"/>
  <c r="D9" i="25"/>
  <c r="D15" i="25"/>
  <c r="E15" i="25" s="1"/>
  <c r="D20" i="25"/>
  <c r="D25" i="25"/>
  <c r="D31" i="25"/>
  <c r="E31" i="25" s="1"/>
  <c r="D36" i="25"/>
  <c r="D41" i="25"/>
  <c r="D47" i="25"/>
  <c r="E47" i="25" s="1"/>
  <c r="D52" i="25"/>
  <c r="D57" i="25"/>
  <c r="E57" i="25" s="1"/>
  <c r="D63" i="25"/>
  <c r="E63" i="25" s="1"/>
  <c r="D5" i="25"/>
  <c r="D11" i="25"/>
  <c r="E11" i="25" s="1"/>
  <c r="D16" i="25"/>
  <c r="D21" i="25"/>
  <c r="D27" i="25"/>
  <c r="E27" i="25" s="1"/>
  <c r="D32" i="25"/>
  <c r="D37" i="25"/>
  <c r="D43" i="25"/>
  <c r="E43" i="25" s="1"/>
  <c r="D7" i="25"/>
  <c r="E7" i="25" s="1"/>
  <c r="D12" i="25"/>
  <c r="D17" i="25"/>
  <c r="E17" i="25" s="1"/>
  <c r="D23" i="25"/>
  <c r="E23" i="25" s="1"/>
  <c r="D28" i="25"/>
  <c r="D33" i="25"/>
  <c r="E33" i="25" s="1"/>
  <c r="D39" i="25"/>
  <c r="D44" i="25"/>
  <c r="D49" i="25"/>
  <c r="E49" i="25" s="1"/>
  <c r="D55" i="25"/>
  <c r="D60" i="25"/>
  <c r="D59" i="25"/>
  <c r="E59" i="25" s="1"/>
  <c r="D48" i="25"/>
  <c r="D29" i="25"/>
  <c r="E29" i="25" s="1"/>
  <c r="D8" i="25"/>
  <c r="G12" i="26"/>
  <c r="E12" i="26"/>
  <c r="D56" i="25"/>
  <c r="D45" i="25"/>
  <c r="E45" i="25" s="1"/>
  <c r="D24" i="25"/>
  <c r="E24" i="25" s="1"/>
  <c r="E5" i="26"/>
  <c r="G40" i="26"/>
  <c r="E24" i="26"/>
  <c r="E8" i="26"/>
  <c r="E20" i="26"/>
  <c r="F21" i="25"/>
  <c r="D63" i="26"/>
  <c r="D59" i="26"/>
  <c r="D55" i="26"/>
  <c r="D51" i="26"/>
  <c r="D47" i="26"/>
  <c r="D43" i="26"/>
  <c r="D39" i="26"/>
  <c r="D35" i="26"/>
  <c r="D31" i="26"/>
  <c r="D27" i="26"/>
  <c r="D23" i="26"/>
  <c r="D19" i="26"/>
  <c r="D15" i="26"/>
  <c r="D11" i="26"/>
  <c r="D7" i="26"/>
  <c r="F61" i="26"/>
  <c r="F55" i="26"/>
  <c r="F50" i="26"/>
  <c r="F45" i="26"/>
  <c r="F37" i="26"/>
  <c r="F29" i="26"/>
  <c r="F13" i="26"/>
  <c r="D62" i="26"/>
  <c r="D58" i="26"/>
  <c r="D54" i="26"/>
  <c r="D50" i="26"/>
  <c r="D46" i="26"/>
  <c r="D42" i="26"/>
  <c r="D38" i="26"/>
  <c r="D34" i="26"/>
  <c r="D30" i="26"/>
  <c r="D26" i="26"/>
  <c r="D22" i="26"/>
  <c r="D18" i="26"/>
  <c r="D14" i="26"/>
  <c r="D10" i="26"/>
  <c r="D6" i="26"/>
  <c r="F59" i="26"/>
  <c r="F54" i="26"/>
  <c r="F49" i="26"/>
  <c r="F43" i="26"/>
  <c r="F35" i="26"/>
  <c r="F25" i="26"/>
  <c r="G63" i="25"/>
  <c r="F6" i="26"/>
  <c r="F10" i="26"/>
  <c r="F14" i="26"/>
  <c r="F18" i="26"/>
  <c r="F22" i="26"/>
  <c r="F26" i="26"/>
  <c r="F30" i="26"/>
  <c r="F34" i="26"/>
  <c r="F38" i="26"/>
  <c r="F42" i="26"/>
  <c r="F7" i="26"/>
  <c r="F11" i="26"/>
  <c r="F15" i="26"/>
  <c r="F19" i="26"/>
  <c r="F23" i="26"/>
  <c r="F27" i="26"/>
  <c r="F8" i="26"/>
  <c r="G8" i="26" s="1"/>
  <c r="F12" i="26"/>
  <c r="F16" i="26"/>
  <c r="G16" i="26" s="1"/>
  <c r="F20" i="26"/>
  <c r="G20" i="26" s="1"/>
  <c r="F24" i="26"/>
  <c r="G24" i="26" s="1"/>
  <c r="F28" i="26"/>
  <c r="G28" i="26" s="1"/>
  <c r="F32" i="26"/>
  <c r="G32" i="26" s="1"/>
  <c r="F36" i="26"/>
  <c r="G36" i="26" s="1"/>
  <c r="F40" i="26"/>
  <c r="F44" i="26"/>
  <c r="G44" i="26" s="1"/>
  <c r="F48" i="26"/>
  <c r="G48" i="26" s="1"/>
  <c r="F52" i="26"/>
  <c r="G52" i="26" s="1"/>
  <c r="F56" i="26"/>
  <c r="G56" i="26" s="1"/>
  <c r="F60" i="26"/>
  <c r="G60" i="26" s="1"/>
  <c r="F4" i="26"/>
  <c r="G4" i="26" s="1"/>
  <c r="D61" i="26"/>
  <c r="D57" i="26"/>
  <c r="D53" i="26"/>
  <c r="D49" i="26"/>
  <c r="D45" i="26"/>
  <c r="D41" i="26"/>
  <c r="D37" i="26"/>
  <c r="D33" i="26"/>
  <c r="D29" i="26"/>
  <c r="D25" i="26"/>
  <c r="D21" i="26"/>
  <c r="D17" i="26"/>
  <c r="D13" i="26"/>
  <c r="D9" i="26"/>
  <c r="F63" i="26"/>
  <c r="F58" i="26"/>
  <c r="F53" i="26"/>
  <c r="F47" i="26"/>
  <c r="F41" i="26"/>
  <c r="F33" i="26"/>
  <c r="F21" i="26"/>
  <c r="F5" i="26"/>
  <c r="G5" i="26" s="1"/>
  <c r="E4" i="25"/>
  <c r="G21" i="25"/>
  <c r="E21" i="25"/>
  <c r="E5" i="25"/>
  <c r="E52" i="25"/>
  <c r="F58" i="25"/>
  <c r="F37" i="25"/>
  <c r="F15" i="25"/>
  <c r="G15" i="25" s="1"/>
  <c r="E56" i="25"/>
  <c r="E13" i="25"/>
  <c r="E41" i="25"/>
  <c r="E25" i="25"/>
  <c r="E9" i="25"/>
  <c r="F53" i="25"/>
  <c r="G53" i="25" s="1"/>
  <c r="F31" i="25"/>
  <c r="G31" i="25" s="1"/>
  <c r="E48" i="25"/>
  <c r="F8" i="25"/>
  <c r="F12" i="25"/>
  <c r="G12" i="25" s="1"/>
  <c r="F16" i="25"/>
  <c r="F20" i="25"/>
  <c r="G20" i="25" s="1"/>
  <c r="F24" i="25"/>
  <c r="F28" i="25"/>
  <c r="F32" i="25"/>
  <c r="G32" i="25" s="1"/>
  <c r="F36" i="25"/>
  <c r="F40" i="25"/>
  <c r="F44" i="25"/>
  <c r="F48" i="25"/>
  <c r="G48" i="25" s="1"/>
  <c r="F52" i="25"/>
  <c r="G52" i="25" s="1"/>
  <c r="F56" i="25"/>
  <c r="G56" i="25" s="1"/>
  <c r="F60" i="25"/>
  <c r="F4" i="25"/>
  <c r="G4" i="25" s="1"/>
  <c r="F18" i="25"/>
  <c r="F39" i="25"/>
  <c r="F55" i="25"/>
  <c r="F9" i="25"/>
  <c r="G9" i="25" s="1"/>
  <c r="F19" i="25"/>
  <c r="G19" i="25" s="1"/>
  <c r="F30" i="25"/>
  <c r="F41" i="25"/>
  <c r="G41" i="25" s="1"/>
  <c r="F57" i="25"/>
  <c r="F6" i="25"/>
  <c r="G6" i="25" s="1"/>
  <c r="F11" i="25"/>
  <c r="G11" i="25" s="1"/>
  <c r="F17" i="25"/>
  <c r="F22" i="25"/>
  <c r="F27" i="25"/>
  <c r="G27" i="25" s="1"/>
  <c r="F33" i="25"/>
  <c r="G33" i="25" s="1"/>
  <c r="F38" i="25"/>
  <c r="F43" i="25"/>
  <c r="G43" i="25" s="1"/>
  <c r="F49" i="25"/>
  <c r="G49" i="25" s="1"/>
  <c r="F54" i="25"/>
  <c r="F59" i="25"/>
  <c r="G59" i="25" s="1"/>
  <c r="F7" i="25"/>
  <c r="G7" i="25" s="1"/>
  <c r="F13" i="25"/>
  <c r="G13" i="25" s="1"/>
  <c r="F23" i="25"/>
  <c r="G23" i="25" s="1"/>
  <c r="F29" i="25"/>
  <c r="G29" i="25" s="1"/>
  <c r="F34" i="25"/>
  <c r="F45" i="25"/>
  <c r="G45" i="25" s="1"/>
  <c r="F50" i="25"/>
  <c r="F61" i="25"/>
  <c r="G61" i="25" s="1"/>
  <c r="F14" i="25"/>
  <c r="F25" i="25"/>
  <c r="G25" i="25" s="1"/>
  <c r="F35" i="25"/>
  <c r="G35" i="25" s="1"/>
  <c r="F46" i="25"/>
  <c r="F51" i="25"/>
  <c r="G51" i="25" s="1"/>
  <c r="F62" i="25"/>
  <c r="E60" i="25"/>
  <c r="G55" i="25"/>
  <c r="G44" i="25"/>
  <c r="E44" i="25"/>
  <c r="G39" i="25"/>
  <c r="E53" i="25"/>
  <c r="E37" i="25"/>
  <c r="F47" i="25"/>
  <c r="G47" i="25" s="1"/>
  <c r="F26" i="25"/>
  <c r="F5" i="25"/>
  <c r="G5" i="25" s="1"/>
  <c r="G36" i="25"/>
  <c r="G24" i="25"/>
  <c r="E20" i="25"/>
  <c r="E12" i="25"/>
  <c r="E32" i="25"/>
  <c r="E55" i="25"/>
  <c r="E51" i="25"/>
  <c r="E39" i="25"/>
  <c r="D62" i="25"/>
  <c r="D58" i="25"/>
  <c r="D54" i="25"/>
  <c r="D50" i="25"/>
  <c r="D46" i="25"/>
  <c r="D42" i="25"/>
  <c r="D38" i="25"/>
  <c r="D34" i="25"/>
  <c r="D30" i="25"/>
  <c r="D26" i="25"/>
  <c r="D22" i="25"/>
  <c r="D18" i="25"/>
  <c r="D14" i="25"/>
  <c r="D10" i="25"/>
  <c r="G40" i="25"/>
  <c r="G28" i="25"/>
  <c r="E16" i="25"/>
  <c r="G8" i="25"/>
  <c r="E8" i="25"/>
  <c r="E36" i="25"/>
  <c r="E28" i="25"/>
  <c r="F6" i="20"/>
  <c r="F7" i="20"/>
  <c r="F10" i="20"/>
  <c r="F11" i="20"/>
  <c r="F14" i="20"/>
  <c r="F15" i="20"/>
  <c r="F18" i="20"/>
  <c r="F19" i="20"/>
  <c r="F22" i="20"/>
  <c r="F23" i="20"/>
  <c r="F26" i="20"/>
  <c r="F27" i="20"/>
  <c r="F30" i="20"/>
  <c r="F31" i="20"/>
  <c r="F34" i="20"/>
  <c r="F35" i="20"/>
  <c r="F38" i="20"/>
  <c r="F39" i="20"/>
  <c r="F42" i="20"/>
  <c r="F43" i="20"/>
  <c r="F46" i="20"/>
  <c r="F47" i="20"/>
  <c r="F50" i="20"/>
  <c r="F51" i="20"/>
  <c r="F54" i="20"/>
  <c r="F55" i="20"/>
  <c r="F58" i="20"/>
  <c r="F59" i="20"/>
  <c r="F62" i="20"/>
  <c r="F63" i="20"/>
  <c r="C66" i="20"/>
  <c r="F8" i="20" s="1"/>
  <c r="C65" i="20"/>
  <c r="D31" i="20" s="1"/>
  <c r="G31" i="20" l="1"/>
  <c r="E31" i="20"/>
  <c r="D8" i="20"/>
  <c r="D12" i="20"/>
  <c r="D16" i="20"/>
  <c r="D20" i="20"/>
  <c r="D24" i="20"/>
  <c r="D28" i="20"/>
  <c r="D32" i="20"/>
  <c r="D36" i="20"/>
  <c r="D40" i="20"/>
  <c r="D44" i="20"/>
  <c r="D48" i="20"/>
  <c r="D52" i="20"/>
  <c r="D56" i="20"/>
  <c r="D5" i="20"/>
  <c r="D9" i="20"/>
  <c r="D13" i="20"/>
  <c r="D17" i="20"/>
  <c r="D21" i="20"/>
  <c r="D25" i="20"/>
  <c r="D29" i="20"/>
  <c r="D33" i="20"/>
  <c r="D37" i="20"/>
  <c r="D41" i="20"/>
  <c r="D45" i="20"/>
  <c r="D49" i="20"/>
  <c r="D53" i="20"/>
  <c r="D57" i="20"/>
  <c r="D61" i="20"/>
  <c r="D4" i="20"/>
  <c r="D62" i="20"/>
  <c r="D6" i="20"/>
  <c r="D10" i="20"/>
  <c r="D14" i="20"/>
  <c r="D18" i="20"/>
  <c r="D22" i="20"/>
  <c r="D26" i="20"/>
  <c r="D30" i="20"/>
  <c r="D34" i="20"/>
  <c r="D38" i="20"/>
  <c r="D42" i="20"/>
  <c r="D46" i="20"/>
  <c r="D50" i="20"/>
  <c r="D54" i="20"/>
  <c r="D58" i="20"/>
  <c r="D47" i="20"/>
  <c r="D59" i="20"/>
  <c r="D43" i="20"/>
  <c r="D11" i="20"/>
  <c r="D55" i="20"/>
  <c r="D23" i="20"/>
  <c r="D60" i="20"/>
  <c r="D15" i="20"/>
  <c r="D27" i="20"/>
  <c r="D39" i="20"/>
  <c r="D7" i="20"/>
  <c r="D63" i="20"/>
  <c r="D51" i="20"/>
  <c r="D35" i="20"/>
  <c r="D19" i="20"/>
  <c r="G14" i="26"/>
  <c r="E14" i="26"/>
  <c r="G30" i="26"/>
  <c r="E30" i="26"/>
  <c r="G46" i="26"/>
  <c r="E46" i="26"/>
  <c r="G62" i="26"/>
  <c r="E62" i="26"/>
  <c r="G7" i="26"/>
  <c r="E7" i="26"/>
  <c r="G23" i="26"/>
  <c r="E23" i="26"/>
  <c r="G39" i="26"/>
  <c r="E39" i="26"/>
  <c r="G55" i="26"/>
  <c r="E55" i="26"/>
  <c r="G9" i="24"/>
  <c r="E9" i="24"/>
  <c r="G25" i="24"/>
  <c r="E25" i="24"/>
  <c r="E41" i="24"/>
  <c r="G41" i="24"/>
  <c r="E57" i="24"/>
  <c r="G57" i="24"/>
  <c r="G6" i="24"/>
  <c r="E6" i="24"/>
  <c r="G22" i="24"/>
  <c r="E22" i="24"/>
  <c r="G38" i="24"/>
  <c r="E38" i="24"/>
  <c r="G54" i="24"/>
  <c r="E54" i="24"/>
  <c r="G11" i="24"/>
  <c r="E11" i="24"/>
  <c r="G27" i="24"/>
  <c r="E27" i="24"/>
  <c r="G43" i="24"/>
  <c r="E43" i="24"/>
  <c r="G59" i="24"/>
  <c r="E59" i="24"/>
  <c r="G49" i="26"/>
  <c r="E49" i="26"/>
  <c r="F61" i="20"/>
  <c r="F57" i="20"/>
  <c r="F53" i="20"/>
  <c r="F49" i="20"/>
  <c r="F45" i="20"/>
  <c r="F41" i="20"/>
  <c r="F37" i="20"/>
  <c r="F33" i="20"/>
  <c r="F29" i="20"/>
  <c r="F25" i="20"/>
  <c r="F21" i="20"/>
  <c r="F17" i="20"/>
  <c r="F13" i="20"/>
  <c r="F9" i="20"/>
  <c r="F5" i="20"/>
  <c r="G57" i="25"/>
  <c r="G16" i="25"/>
  <c r="G37" i="25"/>
  <c r="G21" i="26"/>
  <c r="E21" i="26"/>
  <c r="E37" i="26"/>
  <c r="G37" i="26"/>
  <c r="E53" i="26"/>
  <c r="G53" i="26"/>
  <c r="G18" i="26"/>
  <c r="E18" i="26"/>
  <c r="G34" i="26"/>
  <c r="E34" i="26"/>
  <c r="G50" i="26"/>
  <c r="E50" i="26"/>
  <c r="G11" i="26"/>
  <c r="E11" i="26"/>
  <c r="G27" i="26"/>
  <c r="E27" i="26"/>
  <c r="G43" i="26"/>
  <c r="E43" i="26"/>
  <c r="G59" i="26"/>
  <c r="E59" i="26"/>
  <c r="E13" i="24"/>
  <c r="G13" i="24"/>
  <c r="E29" i="24"/>
  <c r="G29" i="24"/>
  <c r="E45" i="24"/>
  <c r="G45" i="24"/>
  <c r="E61" i="24"/>
  <c r="G61" i="24"/>
  <c r="G10" i="24"/>
  <c r="E10" i="24"/>
  <c r="G26" i="24"/>
  <c r="E26" i="24"/>
  <c r="E42" i="24"/>
  <c r="G42" i="24"/>
  <c r="G58" i="24"/>
  <c r="E58" i="24"/>
  <c r="G15" i="24"/>
  <c r="E15" i="24"/>
  <c r="G31" i="24"/>
  <c r="E31" i="24"/>
  <c r="G47" i="24"/>
  <c r="E47" i="24"/>
  <c r="G63" i="24"/>
  <c r="E63" i="24"/>
  <c r="G17" i="26"/>
  <c r="E17" i="26"/>
  <c r="G33" i="26"/>
  <c r="E33" i="26"/>
  <c r="F4" i="20"/>
  <c r="F60" i="20"/>
  <c r="F56" i="20"/>
  <c r="F52" i="20"/>
  <c r="F48" i="20"/>
  <c r="F44" i="20"/>
  <c r="F40" i="20"/>
  <c r="F36" i="20"/>
  <c r="F32" i="20"/>
  <c r="F28" i="20"/>
  <c r="F24" i="20"/>
  <c r="F20" i="20"/>
  <c r="F16" i="20"/>
  <c r="F12" i="20"/>
  <c r="G17" i="25"/>
  <c r="G60" i="25"/>
  <c r="E9" i="26"/>
  <c r="G9" i="26"/>
  <c r="E25" i="26"/>
  <c r="G25" i="26"/>
  <c r="E41" i="26"/>
  <c r="G41" i="26"/>
  <c r="E57" i="26"/>
  <c r="G57" i="26"/>
  <c r="G6" i="26"/>
  <c r="E6" i="26"/>
  <c r="G22" i="26"/>
  <c r="E22" i="26"/>
  <c r="G38" i="26"/>
  <c r="E38" i="26"/>
  <c r="G54" i="26"/>
  <c r="E54" i="26"/>
  <c r="G15" i="26"/>
  <c r="E15" i="26"/>
  <c r="G31" i="26"/>
  <c r="E31" i="26"/>
  <c r="G47" i="26"/>
  <c r="E47" i="26"/>
  <c r="G63" i="26"/>
  <c r="E63" i="26"/>
  <c r="G17" i="24"/>
  <c r="E17" i="24"/>
  <c r="E33" i="24"/>
  <c r="G33" i="24"/>
  <c r="E49" i="24"/>
  <c r="G49" i="24"/>
  <c r="G14" i="24"/>
  <c r="E14" i="24"/>
  <c r="G30" i="24"/>
  <c r="E30" i="24"/>
  <c r="G46" i="24"/>
  <c r="E46" i="24"/>
  <c r="G62" i="24"/>
  <c r="E62" i="24"/>
  <c r="G19" i="24"/>
  <c r="E19" i="24"/>
  <c r="G35" i="24"/>
  <c r="E35" i="24"/>
  <c r="G51" i="24"/>
  <c r="E51" i="24"/>
  <c r="G13" i="26"/>
  <c r="E13" i="26"/>
  <c r="E29" i="26"/>
  <c r="G29" i="26"/>
  <c r="E45" i="26"/>
  <c r="G45" i="26"/>
  <c r="E61" i="26"/>
  <c r="G61" i="26"/>
  <c r="G10" i="26"/>
  <c r="E10" i="26"/>
  <c r="G26" i="26"/>
  <c r="E26" i="26"/>
  <c r="G42" i="26"/>
  <c r="E42" i="26"/>
  <c r="G58" i="26"/>
  <c r="E58" i="26"/>
  <c r="G19" i="26"/>
  <c r="E19" i="26"/>
  <c r="G35" i="26"/>
  <c r="E35" i="26"/>
  <c r="G51" i="26"/>
  <c r="E51" i="26"/>
  <c r="E21" i="24"/>
  <c r="G21" i="24"/>
  <c r="E37" i="24"/>
  <c r="G37" i="24"/>
  <c r="G53" i="24"/>
  <c r="E53" i="24"/>
  <c r="E18" i="24"/>
  <c r="G18" i="24"/>
  <c r="E34" i="24"/>
  <c r="G34" i="24"/>
  <c r="E50" i="24"/>
  <c r="G50" i="24"/>
  <c r="G7" i="24"/>
  <c r="E7" i="24"/>
  <c r="G23" i="24"/>
  <c r="E23" i="24"/>
  <c r="G39" i="24"/>
  <c r="E39" i="24"/>
  <c r="G55" i="24"/>
  <c r="E55" i="24"/>
  <c r="G34" i="25"/>
  <c r="E34" i="25"/>
  <c r="E22" i="25"/>
  <c r="G22" i="25"/>
  <c r="E38" i="25"/>
  <c r="G38" i="25"/>
  <c r="E54" i="25"/>
  <c r="G54" i="25"/>
  <c r="G10" i="25"/>
  <c r="E10" i="25"/>
  <c r="G26" i="25"/>
  <c r="E26" i="25"/>
  <c r="E42" i="25"/>
  <c r="G42" i="25"/>
  <c r="G58" i="25"/>
  <c r="E58" i="25"/>
  <c r="G18" i="25"/>
  <c r="E18" i="25"/>
  <c r="G50" i="25"/>
  <c r="E50" i="25"/>
  <c r="G14" i="25"/>
  <c r="E14" i="25"/>
  <c r="E30" i="25"/>
  <c r="G30" i="25"/>
  <c r="E46" i="25"/>
  <c r="G46" i="25"/>
  <c r="G62" i="25"/>
  <c r="E62" i="25"/>
  <c r="D5" i="19"/>
  <c r="D7" i="19"/>
  <c r="D9" i="19"/>
  <c r="D11" i="19"/>
  <c r="D13" i="19"/>
  <c r="E13" i="19" s="1"/>
  <c r="D15" i="19"/>
  <c r="D17" i="19"/>
  <c r="E17" i="19" s="1"/>
  <c r="D19" i="19"/>
  <c r="D21" i="19"/>
  <c r="D23" i="19"/>
  <c r="D25" i="19"/>
  <c r="D27" i="19"/>
  <c r="D29" i="19"/>
  <c r="E29" i="19" s="1"/>
  <c r="D31" i="19"/>
  <c r="D33" i="19"/>
  <c r="E33" i="19" s="1"/>
  <c r="D35" i="19"/>
  <c r="D37" i="19"/>
  <c r="D39" i="19"/>
  <c r="D41" i="19"/>
  <c r="D43" i="19"/>
  <c r="D45" i="19"/>
  <c r="E45" i="19" s="1"/>
  <c r="D47" i="19"/>
  <c r="D49" i="19"/>
  <c r="E49" i="19" s="1"/>
  <c r="D51" i="19"/>
  <c r="D53" i="19"/>
  <c r="D55" i="19"/>
  <c r="D57" i="19"/>
  <c r="D59" i="19"/>
  <c r="D61" i="19"/>
  <c r="E61" i="19" s="1"/>
  <c r="D63" i="19"/>
  <c r="C66" i="19"/>
  <c r="C65" i="19"/>
  <c r="D6" i="19" s="1"/>
  <c r="G37" i="19" l="1"/>
  <c r="F6" i="19"/>
  <c r="F10" i="19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7" i="19"/>
  <c r="F11" i="19"/>
  <c r="F15" i="19"/>
  <c r="F19" i="19"/>
  <c r="F23" i="19"/>
  <c r="F27" i="19"/>
  <c r="F31" i="19"/>
  <c r="G31" i="19" s="1"/>
  <c r="F35" i="19"/>
  <c r="F39" i="19"/>
  <c r="F43" i="19"/>
  <c r="F47" i="19"/>
  <c r="F51" i="19"/>
  <c r="F55" i="19"/>
  <c r="F59" i="19"/>
  <c r="F63" i="19"/>
  <c r="G63" i="19" s="1"/>
  <c r="F8" i="19"/>
  <c r="F12" i="19"/>
  <c r="F16" i="19"/>
  <c r="F20" i="19"/>
  <c r="F24" i="19"/>
  <c r="F28" i="19"/>
  <c r="F32" i="19"/>
  <c r="F36" i="19"/>
  <c r="F40" i="19"/>
  <c r="F44" i="19"/>
  <c r="F48" i="19"/>
  <c r="F52" i="19"/>
  <c r="F56" i="19"/>
  <c r="F60" i="19"/>
  <c r="F4" i="19"/>
  <c r="E57" i="19"/>
  <c r="E41" i="19"/>
  <c r="E25" i="19"/>
  <c r="E9" i="19"/>
  <c r="F53" i="19"/>
  <c r="G53" i="19" s="1"/>
  <c r="F37" i="19"/>
  <c r="F21" i="19"/>
  <c r="G21" i="19" s="1"/>
  <c r="F5" i="19"/>
  <c r="G5" i="19" s="1"/>
  <c r="G49" i="19"/>
  <c r="C68" i="26"/>
  <c r="G55" i="19"/>
  <c r="G47" i="19"/>
  <c r="G39" i="19"/>
  <c r="G23" i="19"/>
  <c r="G15" i="19"/>
  <c r="G7" i="19"/>
  <c r="E53" i="19"/>
  <c r="E37" i="19"/>
  <c r="E21" i="19"/>
  <c r="E5" i="19"/>
  <c r="F49" i="19"/>
  <c r="F33" i="19"/>
  <c r="G33" i="19" s="1"/>
  <c r="F17" i="19"/>
  <c r="G17" i="19" s="1"/>
  <c r="F61" i="19"/>
  <c r="G61" i="19" s="1"/>
  <c r="F45" i="19"/>
  <c r="G45" i="19" s="1"/>
  <c r="F29" i="19"/>
  <c r="G29" i="19" s="1"/>
  <c r="F13" i="19"/>
  <c r="G13" i="19" s="1"/>
  <c r="C67" i="26"/>
  <c r="C70" i="26" s="1"/>
  <c r="C67" i="24"/>
  <c r="C70" i="24" s="1"/>
  <c r="G6" i="19"/>
  <c r="E6" i="19"/>
  <c r="G59" i="19"/>
  <c r="G51" i="19"/>
  <c r="G43" i="19"/>
  <c r="G35" i="19"/>
  <c r="G27" i="19"/>
  <c r="G19" i="19"/>
  <c r="G11" i="19"/>
  <c r="F57" i="19"/>
  <c r="G57" i="19" s="1"/>
  <c r="F41" i="19"/>
  <c r="G41" i="19" s="1"/>
  <c r="F25" i="19"/>
  <c r="G25" i="19" s="1"/>
  <c r="F9" i="19"/>
  <c r="G9" i="19" s="1"/>
  <c r="C68" i="24"/>
  <c r="G51" i="20"/>
  <c r="E51" i="20"/>
  <c r="G27" i="20"/>
  <c r="E27" i="20"/>
  <c r="G23" i="20"/>
  <c r="E23" i="20"/>
  <c r="G59" i="20"/>
  <c r="E59" i="20"/>
  <c r="G50" i="20"/>
  <c r="E50" i="20"/>
  <c r="G34" i="20"/>
  <c r="E34" i="20"/>
  <c r="G18" i="20"/>
  <c r="E18" i="20"/>
  <c r="G62" i="20"/>
  <c r="E62" i="20"/>
  <c r="G53" i="20"/>
  <c r="E53" i="20"/>
  <c r="G37" i="20"/>
  <c r="E37" i="20"/>
  <c r="G21" i="20"/>
  <c r="E21" i="20"/>
  <c r="G5" i="20"/>
  <c r="E5" i="20"/>
  <c r="G44" i="20"/>
  <c r="E44" i="20"/>
  <c r="G28" i="20"/>
  <c r="E28" i="20"/>
  <c r="G12" i="20"/>
  <c r="E12" i="20"/>
  <c r="D4" i="19"/>
  <c r="D60" i="19"/>
  <c r="D56" i="19"/>
  <c r="D52" i="19"/>
  <c r="D48" i="19"/>
  <c r="D44" i="19"/>
  <c r="D40" i="19"/>
  <c r="D36" i="19"/>
  <c r="D32" i="19"/>
  <c r="D28" i="19"/>
  <c r="D24" i="19"/>
  <c r="D20" i="19"/>
  <c r="D16" i="19"/>
  <c r="D12" i="19"/>
  <c r="D8" i="19"/>
  <c r="G63" i="20"/>
  <c r="E63" i="20"/>
  <c r="G15" i="20"/>
  <c r="E15" i="20"/>
  <c r="G55" i="20"/>
  <c r="E55" i="20"/>
  <c r="G47" i="20"/>
  <c r="E47" i="20"/>
  <c r="G46" i="20"/>
  <c r="E46" i="20"/>
  <c r="E30" i="20"/>
  <c r="G30" i="20"/>
  <c r="E14" i="20"/>
  <c r="G14" i="20"/>
  <c r="G4" i="20"/>
  <c r="E4" i="20"/>
  <c r="G49" i="20"/>
  <c r="E49" i="20"/>
  <c r="G33" i="20"/>
  <c r="E33" i="20"/>
  <c r="G17" i="20"/>
  <c r="E17" i="20"/>
  <c r="G56" i="20"/>
  <c r="E56" i="20"/>
  <c r="G40" i="20"/>
  <c r="E40" i="20"/>
  <c r="G24" i="20"/>
  <c r="E24" i="20"/>
  <c r="G8" i="20"/>
  <c r="E8" i="20"/>
  <c r="E63" i="19"/>
  <c r="E59" i="19"/>
  <c r="E55" i="19"/>
  <c r="E51" i="19"/>
  <c r="E47" i="19"/>
  <c r="E43" i="19"/>
  <c r="E39" i="19"/>
  <c r="E35" i="19"/>
  <c r="E31" i="19"/>
  <c r="E27" i="19"/>
  <c r="E23" i="19"/>
  <c r="E19" i="19"/>
  <c r="E15" i="19"/>
  <c r="E11" i="19"/>
  <c r="E7" i="19"/>
  <c r="C68" i="25"/>
  <c r="G19" i="20"/>
  <c r="E19" i="20"/>
  <c r="G7" i="20"/>
  <c r="E7" i="20"/>
  <c r="G60" i="20"/>
  <c r="E60" i="20"/>
  <c r="G11" i="20"/>
  <c r="E11" i="20"/>
  <c r="G58" i="20"/>
  <c r="E58" i="20"/>
  <c r="G42" i="20"/>
  <c r="E42" i="20"/>
  <c r="G26" i="20"/>
  <c r="E26" i="20"/>
  <c r="G10" i="20"/>
  <c r="E10" i="20"/>
  <c r="G61" i="20"/>
  <c r="E61" i="20"/>
  <c r="G45" i="20"/>
  <c r="E45" i="20"/>
  <c r="G29" i="20"/>
  <c r="E29" i="20"/>
  <c r="G13" i="20"/>
  <c r="E13" i="20"/>
  <c r="G52" i="20"/>
  <c r="E52" i="20"/>
  <c r="G36" i="20"/>
  <c r="E36" i="20"/>
  <c r="G20" i="20"/>
  <c r="E20" i="20"/>
  <c r="D62" i="19"/>
  <c r="D58" i="19"/>
  <c r="D54" i="19"/>
  <c r="D50" i="19"/>
  <c r="D46" i="19"/>
  <c r="D42" i="19"/>
  <c r="D38" i="19"/>
  <c r="D34" i="19"/>
  <c r="D30" i="19"/>
  <c r="D26" i="19"/>
  <c r="D22" i="19"/>
  <c r="D18" i="19"/>
  <c r="D14" i="19"/>
  <c r="D10" i="19"/>
  <c r="C67" i="25"/>
  <c r="C70" i="25" s="1"/>
  <c r="G35" i="20"/>
  <c r="E35" i="20"/>
  <c r="G39" i="20"/>
  <c r="E39" i="20"/>
  <c r="G43" i="20"/>
  <c r="E43" i="20"/>
  <c r="G54" i="20"/>
  <c r="E54" i="20"/>
  <c r="E38" i="20"/>
  <c r="G38" i="20"/>
  <c r="E22" i="20"/>
  <c r="G22" i="20"/>
  <c r="E6" i="20"/>
  <c r="G6" i="20"/>
  <c r="G57" i="20"/>
  <c r="E57" i="20"/>
  <c r="G41" i="20"/>
  <c r="E41" i="20"/>
  <c r="G25" i="20"/>
  <c r="E25" i="20"/>
  <c r="G9" i="20"/>
  <c r="E9" i="20"/>
  <c r="G48" i="20"/>
  <c r="E48" i="20"/>
  <c r="G32" i="20"/>
  <c r="E32" i="20"/>
  <c r="G16" i="20"/>
  <c r="E16" i="20"/>
  <c r="C71" i="25"/>
  <c r="E18" i="17"/>
  <c r="E34" i="17"/>
  <c r="E50" i="17"/>
  <c r="D63" i="17"/>
  <c r="E63" i="17" s="1"/>
  <c r="D5" i="17"/>
  <c r="E5" i="17" s="1"/>
  <c r="D8" i="17"/>
  <c r="E8" i="17" s="1"/>
  <c r="D9" i="17"/>
  <c r="D10" i="17"/>
  <c r="D13" i="17"/>
  <c r="E13" i="17" s="1"/>
  <c r="D14" i="17"/>
  <c r="E14" i="17" s="1"/>
  <c r="D16" i="17"/>
  <c r="E16" i="17" s="1"/>
  <c r="D18" i="17"/>
  <c r="D20" i="17"/>
  <c r="E20" i="17" s="1"/>
  <c r="D21" i="17"/>
  <c r="E21" i="17" s="1"/>
  <c r="D24" i="17"/>
  <c r="E24" i="17" s="1"/>
  <c r="D25" i="17"/>
  <c r="D26" i="17"/>
  <c r="E26" i="17" s="1"/>
  <c r="D29" i="17"/>
  <c r="E29" i="17" s="1"/>
  <c r="D30" i="17"/>
  <c r="E30" i="17" s="1"/>
  <c r="D32" i="17"/>
  <c r="E32" i="17" s="1"/>
  <c r="D34" i="17"/>
  <c r="D36" i="17"/>
  <c r="E36" i="17" s="1"/>
  <c r="D37" i="17"/>
  <c r="E37" i="17" s="1"/>
  <c r="D40" i="17"/>
  <c r="E40" i="17" s="1"/>
  <c r="D41" i="17"/>
  <c r="D42" i="17"/>
  <c r="D45" i="17"/>
  <c r="E45" i="17" s="1"/>
  <c r="D46" i="17"/>
  <c r="E46" i="17" s="1"/>
  <c r="D48" i="17"/>
  <c r="E48" i="17" s="1"/>
  <c r="D50" i="17"/>
  <c r="D52" i="17"/>
  <c r="E52" i="17" s="1"/>
  <c r="D53" i="17"/>
  <c r="E53" i="17" s="1"/>
  <c r="D56" i="17"/>
  <c r="E56" i="17" s="1"/>
  <c r="D57" i="17"/>
  <c r="E57" i="17" s="1"/>
  <c r="D58" i="17"/>
  <c r="E58" i="17" s="1"/>
  <c r="D61" i="17"/>
  <c r="E61" i="17" s="1"/>
  <c r="D62" i="17"/>
  <c r="C67" i="17"/>
  <c r="C66" i="17"/>
  <c r="F11" i="17" l="1"/>
  <c r="F19" i="17"/>
  <c r="F27" i="17"/>
  <c r="G27" i="17" s="1"/>
  <c r="F35" i="17"/>
  <c r="F43" i="17"/>
  <c r="F51" i="17"/>
  <c r="F59" i="17"/>
  <c r="G59" i="17" s="1"/>
  <c r="F6" i="17"/>
  <c r="F10" i="17"/>
  <c r="F14" i="17"/>
  <c r="F18" i="17"/>
  <c r="F22" i="17"/>
  <c r="F26" i="17"/>
  <c r="F30" i="17"/>
  <c r="F34" i="17"/>
  <c r="G34" i="17" s="1"/>
  <c r="F38" i="17"/>
  <c r="F42" i="17"/>
  <c r="F46" i="17"/>
  <c r="F50" i="17"/>
  <c r="G50" i="17" s="1"/>
  <c r="F54" i="17"/>
  <c r="F58" i="17"/>
  <c r="F62" i="17"/>
  <c r="F7" i="17"/>
  <c r="G7" i="17" s="1"/>
  <c r="F15" i="17"/>
  <c r="G15" i="17" s="1"/>
  <c r="F23" i="17"/>
  <c r="F31" i="17"/>
  <c r="F39" i="17"/>
  <c r="G39" i="17" s="1"/>
  <c r="F47" i="17"/>
  <c r="G47" i="17" s="1"/>
  <c r="F55" i="17"/>
  <c r="F63" i="17"/>
  <c r="G63" i="17" s="1"/>
  <c r="G42" i="17"/>
  <c r="G58" i="17"/>
  <c r="F57" i="17"/>
  <c r="G57" i="17" s="1"/>
  <c r="F25" i="17"/>
  <c r="G25" i="17" s="1"/>
  <c r="G14" i="19"/>
  <c r="E14" i="19"/>
  <c r="G10" i="17"/>
  <c r="F49" i="17"/>
  <c r="F17" i="17"/>
  <c r="G62" i="19"/>
  <c r="E62" i="19"/>
  <c r="E41" i="17"/>
  <c r="F48" i="17"/>
  <c r="G48" i="17" s="1"/>
  <c r="G34" i="19"/>
  <c r="E34" i="19"/>
  <c r="G8" i="19"/>
  <c r="E8" i="19"/>
  <c r="G24" i="19"/>
  <c r="E24" i="19"/>
  <c r="G56" i="19"/>
  <c r="E56" i="19"/>
  <c r="C71" i="26"/>
  <c r="F33" i="17"/>
  <c r="G30" i="19"/>
  <c r="E30" i="19"/>
  <c r="G20" i="19"/>
  <c r="E20" i="19"/>
  <c r="E25" i="17"/>
  <c r="E10" i="17"/>
  <c r="G37" i="17"/>
  <c r="F4" i="17"/>
  <c r="F40" i="17"/>
  <c r="G40" i="17" s="1"/>
  <c r="F16" i="17"/>
  <c r="G16" i="17" s="1"/>
  <c r="G18" i="19"/>
  <c r="E18" i="19"/>
  <c r="G18" i="17"/>
  <c r="G30" i="17"/>
  <c r="F61" i="17"/>
  <c r="G61" i="17" s="1"/>
  <c r="F45" i="17"/>
  <c r="F29" i="17"/>
  <c r="G29" i="17" s="1"/>
  <c r="F5" i="17"/>
  <c r="G26" i="17"/>
  <c r="F41" i="17"/>
  <c r="G41" i="17" s="1"/>
  <c r="F9" i="17"/>
  <c r="G9" i="17" s="1"/>
  <c r="G46" i="19"/>
  <c r="E46" i="19"/>
  <c r="G36" i="19"/>
  <c r="E36" i="19"/>
  <c r="G62" i="17"/>
  <c r="E9" i="17"/>
  <c r="E42" i="17"/>
  <c r="G21" i="17"/>
  <c r="F56" i="17"/>
  <c r="G56" i="17" s="1"/>
  <c r="F32" i="17"/>
  <c r="G32" i="17" s="1"/>
  <c r="F24" i="17"/>
  <c r="G24" i="17" s="1"/>
  <c r="F8" i="17"/>
  <c r="G8" i="17" s="1"/>
  <c r="G50" i="19"/>
  <c r="E50" i="19"/>
  <c r="C68" i="20"/>
  <c r="G40" i="19"/>
  <c r="E40" i="19"/>
  <c r="G46" i="17"/>
  <c r="G14" i="17"/>
  <c r="F53" i="17"/>
  <c r="G53" i="17" s="1"/>
  <c r="F37" i="17"/>
  <c r="F21" i="17"/>
  <c r="F13" i="17"/>
  <c r="G13" i="17" s="1"/>
  <c r="D7" i="17"/>
  <c r="E7" i="17" s="1"/>
  <c r="D11" i="17"/>
  <c r="E11" i="17" s="1"/>
  <c r="D15" i="17"/>
  <c r="E15" i="17" s="1"/>
  <c r="D19" i="17"/>
  <c r="E19" i="17" s="1"/>
  <c r="D23" i="17"/>
  <c r="E23" i="17" s="1"/>
  <c r="D27" i="17"/>
  <c r="E27" i="17" s="1"/>
  <c r="D31" i="17"/>
  <c r="E31" i="17" s="1"/>
  <c r="D35" i="17"/>
  <c r="E35" i="17" s="1"/>
  <c r="D39" i="17"/>
  <c r="E39" i="17" s="1"/>
  <c r="D43" i="17"/>
  <c r="E43" i="17" s="1"/>
  <c r="D47" i="17"/>
  <c r="E47" i="17" s="1"/>
  <c r="D51" i="17"/>
  <c r="E51" i="17" s="1"/>
  <c r="D55" i="17"/>
  <c r="E55" i="17" s="1"/>
  <c r="D59" i="17"/>
  <c r="E59" i="17" s="1"/>
  <c r="D4" i="17"/>
  <c r="E4" i="17" s="1"/>
  <c r="D60" i="17"/>
  <c r="E60" i="17" s="1"/>
  <c r="D54" i="17"/>
  <c r="D49" i="17"/>
  <c r="D44" i="17"/>
  <c r="E44" i="17" s="1"/>
  <c r="D38" i="17"/>
  <c r="D33" i="17"/>
  <c r="D28" i="17"/>
  <c r="E28" i="17" s="1"/>
  <c r="D22" i="17"/>
  <c r="D17" i="17"/>
  <c r="D12" i="17"/>
  <c r="E12" i="17" s="1"/>
  <c r="D6" i="17"/>
  <c r="E62" i="17"/>
  <c r="G45" i="17"/>
  <c r="F60" i="17"/>
  <c r="F52" i="17"/>
  <c r="G52" i="17" s="1"/>
  <c r="F44" i="17"/>
  <c r="F36" i="17"/>
  <c r="G36" i="17" s="1"/>
  <c r="F28" i="17"/>
  <c r="G28" i="17" s="1"/>
  <c r="F20" i="17"/>
  <c r="G20" i="17" s="1"/>
  <c r="F12" i="17"/>
  <c r="G12" i="17" s="1"/>
  <c r="G38" i="19"/>
  <c r="E38" i="19"/>
  <c r="C67" i="20"/>
  <c r="C70" i="20" s="1"/>
  <c r="G10" i="19"/>
  <c r="E10" i="19"/>
  <c r="G26" i="19"/>
  <c r="E26" i="19"/>
  <c r="G42" i="19"/>
  <c r="E42" i="19"/>
  <c r="G58" i="19"/>
  <c r="E58" i="19"/>
  <c r="G16" i="19"/>
  <c r="E16" i="19"/>
  <c r="G32" i="19"/>
  <c r="E32" i="19"/>
  <c r="G48" i="19"/>
  <c r="E48" i="19"/>
  <c r="G4" i="19"/>
  <c r="E4" i="19"/>
  <c r="G52" i="19"/>
  <c r="E52" i="19"/>
  <c r="C71" i="24"/>
  <c r="G22" i="19"/>
  <c r="E22" i="19"/>
  <c r="G54" i="19"/>
  <c r="E54" i="19"/>
  <c r="G12" i="19"/>
  <c r="E12" i="19"/>
  <c r="G28" i="19"/>
  <c r="E28" i="19"/>
  <c r="G44" i="19"/>
  <c r="E44" i="19"/>
  <c r="G60" i="19"/>
  <c r="E60" i="19"/>
  <c r="H5" i="25"/>
  <c r="H9" i="25"/>
  <c r="H13" i="25"/>
  <c r="H17" i="25"/>
  <c r="H8" i="25"/>
  <c r="H12" i="25"/>
  <c r="H16" i="25"/>
  <c r="H20" i="25"/>
  <c r="H24" i="25"/>
  <c r="H28" i="25"/>
  <c r="H32" i="25"/>
  <c r="H36" i="25"/>
  <c r="H40" i="25"/>
  <c r="H44" i="25"/>
  <c r="H48" i="25"/>
  <c r="H52" i="25"/>
  <c r="H56" i="25"/>
  <c r="H60" i="25"/>
  <c r="H4" i="25"/>
  <c r="H11" i="25"/>
  <c r="H57" i="25"/>
  <c r="H6" i="25"/>
  <c r="H21" i="25"/>
  <c r="H31" i="25"/>
  <c r="H42" i="25"/>
  <c r="H53" i="25"/>
  <c r="H63" i="25"/>
  <c r="H10" i="25"/>
  <c r="H18" i="25"/>
  <c r="H23" i="25"/>
  <c r="H29" i="25"/>
  <c r="H34" i="25"/>
  <c r="H39" i="25"/>
  <c r="H45" i="25"/>
  <c r="H50" i="25"/>
  <c r="H55" i="25"/>
  <c r="H61" i="25"/>
  <c r="H19" i="25"/>
  <c r="H25" i="25"/>
  <c r="H30" i="25"/>
  <c r="H35" i="25"/>
  <c r="H41" i="25"/>
  <c r="H46" i="25"/>
  <c r="H51" i="25"/>
  <c r="H62" i="25"/>
  <c r="H14" i="25"/>
  <c r="H26" i="25"/>
  <c r="H37" i="25"/>
  <c r="H47" i="25"/>
  <c r="H58" i="25"/>
  <c r="H22" i="25"/>
  <c r="H43" i="25"/>
  <c r="H27" i="25"/>
  <c r="H49" i="25"/>
  <c r="H7" i="25"/>
  <c r="H33" i="25"/>
  <c r="H54" i="25"/>
  <c r="H15" i="25"/>
  <c r="H38" i="25"/>
  <c r="H59" i="25"/>
  <c r="C21" i="11"/>
  <c r="C68" i="19" l="1"/>
  <c r="G17" i="17"/>
  <c r="E17" i="17"/>
  <c r="E38" i="17"/>
  <c r="G38" i="17"/>
  <c r="C67" i="19"/>
  <c r="C70" i="19" s="1"/>
  <c r="G60" i="17"/>
  <c r="C71" i="20"/>
  <c r="E22" i="17"/>
  <c r="C69" i="17" s="1"/>
  <c r="G22" i="17"/>
  <c r="E6" i="17"/>
  <c r="G6" i="17"/>
  <c r="G49" i="17"/>
  <c r="E49" i="17"/>
  <c r="H6" i="26"/>
  <c r="H10" i="26"/>
  <c r="H14" i="26"/>
  <c r="H18" i="26"/>
  <c r="H22" i="26"/>
  <c r="H26" i="26"/>
  <c r="H30" i="26"/>
  <c r="H34" i="26"/>
  <c r="H38" i="26"/>
  <c r="H42" i="26"/>
  <c r="H46" i="26"/>
  <c r="H50" i="26"/>
  <c r="H54" i="26"/>
  <c r="H58" i="26"/>
  <c r="H62" i="26"/>
  <c r="H7" i="26"/>
  <c r="H11" i="26"/>
  <c r="H15" i="26"/>
  <c r="H19" i="26"/>
  <c r="H23" i="26"/>
  <c r="H27" i="26"/>
  <c r="H31" i="26"/>
  <c r="H35" i="26"/>
  <c r="H39" i="26"/>
  <c r="H43" i="26"/>
  <c r="H47" i="26"/>
  <c r="H51" i="26"/>
  <c r="H55" i="26"/>
  <c r="H59" i="26"/>
  <c r="H63" i="26"/>
  <c r="H8" i="26"/>
  <c r="H12" i="26"/>
  <c r="H16" i="26"/>
  <c r="H20" i="26"/>
  <c r="H24" i="26"/>
  <c r="H28" i="26"/>
  <c r="H32" i="26"/>
  <c r="H36" i="26"/>
  <c r="H40" i="26"/>
  <c r="H44" i="26"/>
  <c r="H48" i="26"/>
  <c r="H52" i="26"/>
  <c r="H56" i="26"/>
  <c r="H60" i="26"/>
  <c r="H4" i="26"/>
  <c r="H17" i="26"/>
  <c r="H33" i="26"/>
  <c r="H49" i="26"/>
  <c r="H5" i="26"/>
  <c r="H21" i="26"/>
  <c r="H37" i="26"/>
  <c r="H53" i="26"/>
  <c r="H9" i="26"/>
  <c r="H25" i="26"/>
  <c r="H41" i="26"/>
  <c r="H57" i="26"/>
  <c r="H13" i="26"/>
  <c r="H29" i="26"/>
  <c r="H45" i="26"/>
  <c r="H61" i="26"/>
  <c r="G31" i="17"/>
  <c r="G51" i="17"/>
  <c r="G19" i="17"/>
  <c r="H7" i="24"/>
  <c r="H11" i="24"/>
  <c r="H15" i="24"/>
  <c r="H19" i="24"/>
  <c r="H23" i="24"/>
  <c r="H27" i="24"/>
  <c r="H4" i="24"/>
  <c r="H8" i="24"/>
  <c r="H13" i="24"/>
  <c r="H18" i="24"/>
  <c r="H24" i="24"/>
  <c r="H29" i="24"/>
  <c r="H33" i="24"/>
  <c r="H37" i="24"/>
  <c r="H41" i="24"/>
  <c r="H9" i="24"/>
  <c r="H14" i="24"/>
  <c r="H20" i="24"/>
  <c r="H25" i="24"/>
  <c r="H30" i="24"/>
  <c r="H34" i="24"/>
  <c r="H38" i="24"/>
  <c r="H42" i="24"/>
  <c r="H46" i="24"/>
  <c r="H50" i="24"/>
  <c r="H54" i="24"/>
  <c r="H58" i="24"/>
  <c r="H62" i="24"/>
  <c r="H5" i="24"/>
  <c r="H10" i="24"/>
  <c r="H16" i="24"/>
  <c r="H21" i="24"/>
  <c r="H26" i="24"/>
  <c r="H31" i="24"/>
  <c r="H35" i="24"/>
  <c r="H39" i="24"/>
  <c r="H43" i="24"/>
  <c r="H47" i="24"/>
  <c r="H51" i="24"/>
  <c r="H55" i="24"/>
  <c r="H59" i="24"/>
  <c r="H63" i="24"/>
  <c r="H12" i="24"/>
  <c r="H32" i="24"/>
  <c r="H45" i="24"/>
  <c r="H53" i="24"/>
  <c r="H61" i="24"/>
  <c r="H17" i="24"/>
  <c r="H36" i="24"/>
  <c r="H48" i="24"/>
  <c r="H56" i="24"/>
  <c r="H22" i="24"/>
  <c r="H40" i="24"/>
  <c r="H49" i="24"/>
  <c r="H57" i="24"/>
  <c r="H6" i="24"/>
  <c r="H28" i="24"/>
  <c r="H44" i="24"/>
  <c r="H52" i="24"/>
  <c r="H60" i="24"/>
  <c r="G35" i="17"/>
  <c r="G44" i="17"/>
  <c r="G33" i="17"/>
  <c r="E33" i="17"/>
  <c r="E54" i="17"/>
  <c r="G54" i="17"/>
  <c r="G4" i="17"/>
  <c r="G55" i="17"/>
  <c r="G23" i="17"/>
  <c r="G43" i="17"/>
  <c r="G11" i="17"/>
  <c r="J59" i="25"/>
  <c r="I59" i="25"/>
  <c r="J33" i="25"/>
  <c r="I33" i="25"/>
  <c r="J43" i="25"/>
  <c r="I43" i="25"/>
  <c r="J37" i="25"/>
  <c r="I37" i="25"/>
  <c r="J51" i="25"/>
  <c r="I51" i="25"/>
  <c r="I30" i="25"/>
  <c r="J30" i="25"/>
  <c r="I55" i="25"/>
  <c r="J55" i="25"/>
  <c r="J34" i="25"/>
  <c r="I34" i="25"/>
  <c r="J10" i="25"/>
  <c r="I10" i="25"/>
  <c r="I31" i="25"/>
  <c r="J31" i="25"/>
  <c r="J11" i="25"/>
  <c r="I11" i="25"/>
  <c r="J52" i="25"/>
  <c r="I52" i="25"/>
  <c r="J36" i="25"/>
  <c r="I36" i="25"/>
  <c r="J20" i="25"/>
  <c r="I20" i="25"/>
  <c r="J17" i="25"/>
  <c r="I17" i="25"/>
  <c r="J38" i="25"/>
  <c r="I38" i="25"/>
  <c r="I7" i="25"/>
  <c r="J7" i="25"/>
  <c r="I22" i="25"/>
  <c r="J22" i="25"/>
  <c r="J26" i="25"/>
  <c r="I26" i="25"/>
  <c r="I46" i="25"/>
  <c r="J46" i="25"/>
  <c r="J25" i="25"/>
  <c r="I25" i="25"/>
  <c r="J50" i="25"/>
  <c r="I50" i="25"/>
  <c r="J29" i="25"/>
  <c r="I29" i="25"/>
  <c r="I63" i="25"/>
  <c r="J63" i="25"/>
  <c r="J21" i="25"/>
  <c r="I21" i="25"/>
  <c r="J4" i="25"/>
  <c r="I4" i="25"/>
  <c r="J48" i="25"/>
  <c r="I48" i="25"/>
  <c r="J32" i="25"/>
  <c r="I32" i="25"/>
  <c r="J16" i="25"/>
  <c r="I16" i="25"/>
  <c r="J13" i="25"/>
  <c r="I13" i="25"/>
  <c r="I15" i="25"/>
  <c r="J15" i="25"/>
  <c r="J49" i="25"/>
  <c r="I49" i="25"/>
  <c r="J58" i="25"/>
  <c r="I58" i="25"/>
  <c r="I14" i="25"/>
  <c r="J14" i="25"/>
  <c r="J41" i="25"/>
  <c r="I41" i="25"/>
  <c r="J19" i="25"/>
  <c r="I19" i="25"/>
  <c r="J45" i="25"/>
  <c r="I45" i="25"/>
  <c r="I23" i="25"/>
  <c r="J23" i="25"/>
  <c r="J53" i="25"/>
  <c r="I53" i="25"/>
  <c r="I6" i="25"/>
  <c r="J6" i="25"/>
  <c r="J60" i="25"/>
  <c r="I60" i="25"/>
  <c r="J44" i="25"/>
  <c r="I44" i="25"/>
  <c r="J28" i="25"/>
  <c r="I28" i="25"/>
  <c r="J12" i="25"/>
  <c r="I12" i="25"/>
  <c r="J9" i="25"/>
  <c r="I9" i="25"/>
  <c r="I54" i="25"/>
  <c r="J54" i="25"/>
  <c r="J27" i="25"/>
  <c r="I27" i="25"/>
  <c r="I47" i="25"/>
  <c r="J47" i="25"/>
  <c r="I62" i="25"/>
  <c r="J62" i="25"/>
  <c r="J35" i="25"/>
  <c r="I35" i="25"/>
  <c r="J61" i="25"/>
  <c r="I61" i="25"/>
  <c r="I39" i="25"/>
  <c r="J39" i="25"/>
  <c r="J18" i="25"/>
  <c r="I18" i="25"/>
  <c r="I42" i="25"/>
  <c r="J42" i="25"/>
  <c r="J57" i="25"/>
  <c r="I57" i="25"/>
  <c r="J56" i="25"/>
  <c r="I56" i="25"/>
  <c r="J40" i="25"/>
  <c r="I40" i="25"/>
  <c r="J24" i="25"/>
  <c r="I24" i="25"/>
  <c r="J8" i="25"/>
  <c r="I8" i="25"/>
  <c r="J5" i="25"/>
  <c r="I5" i="25"/>
  <c r="J60" i="24" l="1"/>
  <c r="I60" i="24"/>
  <c r="J17" i="24"/>
  <c r="I17" i="24"/>
  <c r="I39" i="24"/>
  <c r="J39" i="24"/>
  <c r="J30" i="24"/>
  <c r="I30" i="24"/>
  <c r="J8" i="24"/>
  <c r="I8" i="24"/>
  <c r="J41" i="26"/>
  <c r="I41" i="26"/>
  <c r="I33" i="26"/>
  <c r="J33" i="26"/>
  <c r="J24" i="26"/>
  <c r="I24" i="26"/>
  <c r="J35" i="26"/>
  <c r="I35" i="26"/>
  <c r="J44" i="24"/>
  <c r="I44" i="24"/>
  <c r="J49" i="24"/>
  <c r="I49" i="24"/>
  <c r="J48" i="24"/>
  <c r="I48" i="24"/>
  <c r="I53" i="24"/>
  <c r="J53" i="24"/>
  <c r="I63" i="24"/>
  <c r="J63" i="24"/>
  <c r="I47" i="24"/>
  <c r="J47" i="24"/>
  <c r="I31" i="24"/>
  <c r="J31" i="24"/>
  <c r="J10" i="24"/>
  <c r="I10" i="24"/>
  <c r="J54" i="24"/>
  <c r="I54" i="24"/>
  <c r="J38" i="24"/>
  <c r="I38" i="24"/>
  <c r="J20" i="24"/>
  <c r="I20" i="24"/>
  <c r="I37" i="24"/>
  <c r="J37" i="24"/>
  <c r="J18" i="24"/>
  <c r="I18" i="24"/>
  <c r="I27" i="24"/>
  <c r="J27" i="24"/>
  <c r="I11" i="24"/>
  <c r="J11" i="24"/>
  <c r="I13" i="26"/>
  <c r="J13" i="26"/>
  <c r="J9" i="26"/>
  <c r="I9" i="26"/>
  <c r="I5" i="26"/>
  <c r="J5" i="26"/>
  <c r="J4" i="26"/>
  <c r="I4" i="26"/>
  <c r="J48" i="26"/>
  <c r="I48" i="26"/>
  <c r="J32" i="26"/>
  <c r="I32" i="26"/>
  <c r="J16" i="26"/>
  <c r="I16" i="26"/>
  <c r="J59" i="26"/>
  <c r="I59" i="26"/>
  <c r="J43" i="26"/>
  <c r="I43" i="26"/>
  <c r="J27" i="26"/>
  <c r="I27" i="26"/>
  <c r="J11" i="26"/>
  <c r="I11" i="26"/>
  <c r="J54" i="26"/>
  <c r="I54" i="26"/>
  <c r="J38" i="26"/>
  <c r="I38" i="26"/>
  <c r="J22" i="26"/>
  <c r="I22" i="26"/>
  <c r="J6" i="26"/>
  <c r="I6" i="26"/>
  <c r="J22" i="24"/>
  <c r="I22" i="24"/>
  <c r="I55" i="24"/>
  <c r="J55" i="24"/>
  <c r="J62" i="24"/>
  <c r="I62" i="24"/>
  <c r="J29" i="24"/>
  <c r="I29" i="24"/>
  <c r="I45" i="26"/>
  <c r="J45" i="26"/>
  <c r="C71" i="19"/>
  <c r="J28" i="24"/>
  <c r="I28" i="24"/>
  <c r="J40" i="24"/>
  <c r="I40" i="24"/>
  <c r="J36" i="24"/>
  <c r="I36" i="24"/>
  <c r="J45" i="24"/>
  <c r="I45" i="24"/>
  <c r="I59" i="24"/>
  <c r="J59" i="24"/>
  <c r="I43" i="24"/>
  <c r="J43" i="24"/>
  <c r="J26" i="24"/>
  <c r="I26" i="24"/>
  <c r="I5" i="24"/>
  <c r="J5" i="24"/>
  <c r="J50" i="24"/>
  <c r="I50" i="24"/>
  <c r="J34" i="24"/>
  <c r="I34" i="24"/>
  <c r="J14" i="24"/>
  <c r="I14" i="24"/>
  <c r="J33" i="24"/>
  <c r="I33" i="24"/>
  <c r="J13" i="24"/>
  <c r="I13" i="24"/>
  <c r="I23" i="24"/>
  <c r="J23" i="24"/>
  <c r="I7" i="24"/>
  <c r="J7" i="24"/>
  <c r="I61" i="26"/>
  <c r="J61" i="26"/>
  <c r="J57" i="26"/>
  <c r="I57" i="26"/>
  <c r="I53" i="26"/>
  <c r="J53" i="26"/>
  <c r="I49" i="26"/>
  <c r="J49" i="26"/>
  <c r="J60" i="26"/>
  <c r="I60" i="26"/>
  <c r="J44" i="26"/>
  <c r="I44" i="26"/>
  <c r="J28" i="26"/>
  <c r="I28" i="26"/>
  <c r="J12" i="26"/>
  <c r="I12" i="26"/>
  <c r="J55" i="26"/>
  <c r="I55" i="26"/>
  <c r="J39" i="26"/>
  <c r="I39" i="26"/>
  <c r="J23" i="26"/>
  <c r="I23" i="26"/>
  <c r="J7" i="26"/>
  <c r="I7" i="26"/>
  <c r="J50" i="26"/>
  <c r="I50" i="26"/>
  <c r="J34" i="26"/>
  <c r="I34" i="26"/>
  <c r="J18" i="26"/>
  <c r="I18" i="26"/>
  <c r="J6" i="24"/>
  <c r="I6" i="24"/>
  <c r="J32" i="24"/>
  <c r="I32" i="24"/>
  <c r="I21" i="24"/>
  <c r="J21" i="24"/>
  <c r="J46" i="24"/>
  <c r="I46" i="24"/>
  <c r="J9" i="24"/>
  <c r="I9" i="24"/>
  <c r="I19" i="24"/>
  <c r="J19" i="24"/>
  <c r="I37" i="26"/>
  <c r="J37" i="26"/>
  <c r="J56" i="26"/>
  <c r="I56" i="26"/>
  <c r="J40" i="26"/>
  <c r="I40" i="26"/>
  <c r="J8" i="26"/>
  <c r="I8" i="26"/>
  <c r="J51" i="26"/>
  <c r="I51" i="26"/>
  <c r="J19" i="26"/>
  <c r="I19" i="26"/>
  <c r="J62" i="26"/>
  <c r="I62" i="26"/>
  <c r="J46" i="26"/>
  <c r="I46" i="26"/>
  <c r="J30" i="26"/>
  <c r="I30" i="26"/>
  <c r="J14" i="26"/>
  <c r="I14" i="26"/>
  <c r="J52" i="24"/>
  <c r="I52" i="24"/>
  <c r="J57" i="24"/>
  <c r="I57" i="24"/>
  <c r="J56" i="24"/>
  <c r="I56" i="24"/>
  <c r="J61" i="24"/>
  <c r="I61" i="24"/>
  <c r="J12" i="24"/>
  <c r="I12" i="24"/>
  <c r="I51" i="24"/>
  <c r="J51" i="24"/>
  <c r="I35" i="24"/>
  <c r="J35" i="24"/>
  <c r="J16" i="24"/>
  <c r="I16" i="24"/>
  <c r="J58" i="24"/>
  <c r="I58" i="24"/>
  <c r="J42" i="24"/>
  <c r="I42" i="24"/>
  <c r="J25" i="24"/>
  <c r="I25" i="24"/>
  <c r="J41" i="24"/>
  <c r="I41" i="24"/>
  <c r="J24" i="24"/>
  <c r="I24" i="24"/>
  <c r="J4" i="24"/>
  <c r="I4" i="24"/>
  <c r="I15" i="24"/>
  <c r="J15" i="24"/>
  <c r="I29" i="26"/>
  <c r="J29" i="26"/>
  <c r="J25" i="26"/>
  <c r="I25" i="26"/>
  <c r="I21" i="26"/>
  <c r="J21" i="26"/>
  <c r="I17" i="26"/>
  <c r="J17" i="26"/>
  <c r="J52" i="26"/>
  <c r="I52" i="26"/>
  <c r="J36" i="26"/>
  <c r="I36" i="26"/>
  <c r="J20" i="26"/>
  <c r="I20" i="26"/>
  <c r="J63" i="26"/>
  <c r="I63" i="26"/>
  <c r="J47" i="26"/>
  <c r="I47" i="26"/>
  <c r="J31" i="26"/>
  <c r="I31" i="26"/>
  <c r="J15" i="26"/>
  <c r="I15" i="26"/>
  <c r="J58" i="26"/>
  <c r="I58" i="26"/>
  <c r="J42" i="26"/>
  <c r="I42" i="26"/>
  <c r="J26" i="26"/>
  <c r="I26" i="26"/>
  <c r="J10" i="26"/>
  <c r="I10" i="26"/>
  <c r="H7" i="20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8" i="20"/>
  <c r="H12" i="20"/>
  <c r="H16" i="20"/>
  <c r="H20" i="20"/>
  <c r="H24" i="20"/>
  <c r="H28" i="20"/>
  <c r="H32" i="20"/>
  <c r="H36" i="20"/>
  <c r="H40" i="20"/>
  <c r="H44" i="20"/>
  <c r="H48" i="20"/>
  <c r="H52" i="20"/>
  <c r="H56" i="20"/>
  <c r="H60" i="20"/>
  <c r="H4" i="20"/>
  <c r="H10" i="20"/>
  <c r="H18" i="20"/>
  <c r="H26" i="20"/>
  <c r="H34" i="20"/>
  <c r="H42" i="20"/>
  <c r="H50" i="20"/>
  <c r="H58" i="20"/>
  <c r="H5" i="20"/>
  <c r="H9" i="20"/>
  <c r="H13" i="20"/>
  <c r="H17" i="20"/>
  <c r="H21" i="20"/>
  <c r="H25" i="20"/>
  <c r="H29" i="20"/>
  <c r="H33" i="20"/>
  <c r="H37" i="20"/>
  <c r="H41" i="20"/>
  <c r="H45" i="20"/>
  <c r="H49" i="20"/>
  <c r="H53" i="20"/>
  <c r="H57" i="20"/>
  <c r="H61" i="20"/>
  <c r="H6" i="20"/>
  <c r="H14" i="20"/>
  <c r="H22" i="20"/>
  <c r="H30" i="20"/>
  <c r="H38" i="20"/>
  <c r="H46" i="20"/>
  <c r="H54" i="20"/>
  <c r="H62" i="20"/>
  <c r="C75" i="25"/>
  <c r="C78" i="25"/>
  <c r="J49" i="20" l="1"/>
  <c r="I49" i="20"/>
  <c r="J58" i="20"/>
  <c r="I58" i="20"/>
  <c r="J28" i="20"/>
  <c r="I28" i="20"/>
  <c r="J39" i="20"/>
  <c r="I39" i="20"/>
  <c r="J61" i="20"/>
  <c r="I61" i="20"/>
  <c r="J29" i="20"/>
  <c r="I29" i="20"/>
  <c r="J13" i="20"/>
  <c r="I13" i="20"/>
  <c r="J50" i="20"/>
  <c r="I50" i="20"/>
  <c r="J18" i="20"/>
  <c r="I18" i="20"/>
  <c r="J56" i="20"/>
  <c r="I56" i="20"/>
  <c r="J40" i="20"/>
  <c r="I40" i="20"/>
  <c r="J24" i="20"/>
  <c r="I24" i="20"/>
  <c r="J8" i="20"/>
  <c r="I8" i="20"/>
  <c r="J51" i="20"/>
  <c r="I51" i="20"/>
  <c r="J35" i="20"/>
  <c r="I35" i="20"/>
  <c r="J19" i="20"/>
  <c r="I19" i="20"/>
  <c r="C75" i="24"/>
  <c r="C78" i="26"/>
  <c r="J33" i="20"/>
  <c r="I33" i="20"/>
  <c r="J26" i="20"/>
  <c r="I26" i="20"/>
  <c r="J12" i="20"/>
  <c r="I12" i="20"/>
  <c r="J23" i="20"/>
  <c r="I23" i="20"/>
  <c r="C75" i="26"/>
  <c r="I62" i="20"/>
  <c r="J62" i="20"/>
  <c r="I54" i="20"/>
  <c r="J54" i="20"/>
  <c r="J25" i="20"/>
  <c r="I25" i="20"/>
  <c r="J10" i="20"/>
  <c r="I10" i="20"/>
  <c r="J36" i="20"/>
  <c r="I36" i="20"/>
  <c r="J20" i="20"/>
  <c r="I20" i="20"/>
  <c r="J47" i="20"/>
  <c r="I47" i="20"/>
  <c r="J31" i="20"/>
  <c r="I31" i="20"/>
  <c r="J15" i="20"/>
  <c r="I15" i="20"/>
  <c r="C78" i="24"/>
  <c r="H7" i="19"/>
  <c r="H11" i="19"/>
  <c r="H15" i="19"/>
  <c r="H19" i="19"/>
  <c r="H23" i="19"/>
  <c r="H27" i="19"/>
  <c r="H31" i="19"/>
  <c r="H35" i="19"/>
  <c r="H39" i="19"/>
  <c r="H43" i="19"/>
  <c r="H47" i="19"/>
  <c r="H51" i="19"/>
  <c r="H55" i="19"/>
  <c r="H59" i="19"/>
  <c r="H63" i="19"/>
  <c r="H8" i="19"/>
  <c r="H12" i="19"/>
  <c r="H16" i="19"/>
  <c r="H20" i="19"/>
  <c r="H24" i="19"/>
  <c r="H28" i="19"/>
  <c r="H32" i="19"/>
  <c r="H36" i="19"/>
  <c r="H40" i="19"/>
  <c r="H44" i="19"/>
  <c r="H48" i="19"/>
  <c r="H52" i="19"/>
  <c r="H56" i="19"/>
  <c r="H60" i="19"/>
  <c r="H4" i="19"/>
  <c r="H5" i="19"/>
  <c r="H9" i="19"/>
  <c r="H13" i="19"/>
  <c r="H17" i="19"/>
  <c r="H21" i="19"/>
  <c r="H25" i="19"/>
  <c r="H29" i="19"/>
  <c r="H33" i="19"/>
  <c r="H37" i="19"/>
  <c r="H41" i="19"/>
  <c r="H45" i="19"/>
  <c r="H49" i="19"/>
  <c r="H53" i="19"/>
  <c r="H57" i="19"/>
  <c r="H61" i="19"/>
  <c r="H18" i="19"/>
  <c r="H34" i="19"/>
  <c r="H50" i="19"/>
  <c r="H6" i="19"/>
  <c r="H22" i="19"/>
  <c r="H38" i="19"/>
  <c r="H54" i="19"/>
  <c r="H10" i="19"/>
  <c r="H26" i="19"/>
  <c r="H42" i="19"/>
  <c r="H58" i="19"/>
  <c r="H14" i="19"/>
  <c r="H30" i="19"/>
  <c r="H46" i="19"/>
  <c r="H62" i="19"/>
  <c r="I38" i="20"/>
  <c r="J38" i="20"/>
  <c r="I6" i="20"/>
  <c r="J6" i="20"/>
  <c r="J17" i="20"/>
  <c r="I17" i="20"/>
  <c r="J60" i="20"/>
  <c r="I60" i="20"/>
  <c r="J44" i="20"/>
  <c r="I44" i="20"/>
  <c r="J55" i="20"/>
  <c r="I55" i="20"/>
  <c r="J7" i="20"/>
  <c r="I7" i="20"/>
  <c r="I30" i="20"/>
  <c r="J30" i="20"/>
  <c r="J45" i="20"/>
  <c r="I45" i="20"/>
  <c r="I22" i="20"/>
  <c r="J22" i="20"/>
  <c r="J57" i="20"/>
  <c r="I57" i="20"/>
  <c r="J41" i="20"/>
  <c r="I41" i="20"/>
  <c r="J9" i="20"/>
  <c r="I9" i="20"/>
  <c r="J42" i="20"/>
  <c r="I42" i="20"/>
  <c r="J52" i="20"/>
  <c r="I52" i="20"/>
  <c r="J63" i="20"/>
  <c r="I63" i="20"/>
  <c r="I46" i="20"/>
  <c r="J46" i="20"/>
  <c r="I14" i="20"/>
  <c r="J14" i="20"/>
  <c r="J53" i="20"/>
  <c r="I53" i="20"/>
  <c r="J37" i="20"/>
  <c r="I37" i="20"/>
  <c r="J21" i="20"/>
  <c r="I21" i="20"/>
  <c r="J5" i="20"/>
  <c r="I5" i="20"/>
  <c r="J34" i="20"/>
  <c r="I34" i="20"/>
  <c r="J4" i="20"/>
  <c r="I4" i="20"/>
  <c r="J48" i="20"/>
  <c r="I48" i="20"/>
  <c r="J32" i="20"/>
  <c r="I32" i="20"/>
  <c r="J16" i="20"/>
  <c r="I16" i="20"/>
  <c r="J59" i="20"/>
  <c r="I59" i="20"/>
  <c r="J43" i="20"/>
  <c r="I43" i="20"/>
  <c r="J27" i="20"/>
  <c r="I27" i="20"/>
  <c r="J11" i="20"/>
  <c r="I11" i="20"/>
  <c r="C83" i="25"/>
  <c r="C85" i="25" s="1"/>
  <c r="C79" i="25"/>
  <c r="C76" i="25"/>
  <c r="C77" i="25" s="1"/>
  <c r="C81" i="25" s="1"/>
  <c r="I65" i="25" s="1"/>
  <c r="I66" i="25" s="1"/>
  <c r="I67" i="25" s="1"/>
  <c r="C80" i="25"/>
  <c r="C9" i="14"/>
  <c r="C5" i="14"/>
  <c r="C8" i="14" s="1"/>
  <c r="C4" i="14"/>
  <c r="J30" i="19" l="1"/>
  <c r="I30" i="19"/>
  <c r="J26" i="19"/>
  <c r="I26" i="19"/>
  <c r="J22" i="19"/>
  <c r="I22" i="19"/>
  <c r="J18" i="19"/>
  <c r="I18" i="19"/>
  <c r="J49" i="19"/>
  <c r="I49" i="19"/>
  <c r="J33" i="19"/>
  <c r="I33" i="19"/>
  <c r="J17" i="19"/>
  <c r="I17" i="19"/>
  <c r="J4" i="19"/>
  <c r="I4" i="19"/>
  <c r="J48" i="19"/>
  <c r="I48" i="19"/>
  <c r="J32" i="19"/>
  <c r="I32" i="19"/>
  <c r="J16" i="19"/>
  <c r="I16" i="19"/>
  <c r="J59" i="19"/>
  <c r="I59" i="19"/>
  <c r="I43" i="19"/>
  <c r="J43" i="19"/>
  <c r="I27" i="19"/>
  <c r="J27" i="19"/>
  <c r="I11" i="19"/>
  <c r="J11" i="19"/>
  <c r="J14" i="19"/>
  <c r="I14" i="19"/>
  <c r="J10" i="19"/>
  <c r="I10" i="19"/>
  <c r="J6" i="19"/>
  <c r="I6" i="19"/>
  <c r="I61" i="19"/>
  <c r="J61" i="19"/>
  <c r="J45" i="19"/>
  <c r="I45" i="19"/>
  <c r="J29" i="19"/>
  <c r="I29" i="19"/>
  <c r="J13" i="19"/>
  <c r="I13" i="19"/>
  <c r="I60" i="19"/>
  <c r="J60" i="19"/>
  <c r="J44" i="19"/>
  <c r="I44" i="19"/>
  <c r="J28" i="19"/>
  <c r="I28" i="19"/>
  <c r="J12" i="19"/>
  <c r="I12" i="19"/>
  <c r="I55" i="19"/>
  <c r="J55" i="19"/>
  <c r="I39" i="19"/>
  <c r="J39" i="19"/>
  <c r="I23" i="19"/>
  <c r="J23" i="19"/>
  <c r="I7" i="19"/>
  <c r="J7" i="19"/>
  <c r="C80" i="26"/>
  <c r="C76" i="26"/>
  <c r="C77" i="26" s="1"/>
  <c r="C81" i="26" s="1"/>
  <c r="H65" i="26" s="1"/>
  <c r="H66" i="26" s="1"/>
  <c r="H67" i="26" s="1"/>
  <c r="C10" i="14"/>
  <c r="C75" i="20"/>
  <c r="I62" i="19"/>
  <c r="J62" i="19"/>
  <c r="J58" i="19"/>
  <c r="I58" i="19"/>
  <c r="J54" i="19"/>
  <c r="I54" i="19"/>
  <c r="J50" i="19"/>
  <c r="I50" i="19"/>
  <c r="J57" i="19"/>
  <c r="I57" i="19"/>
  <c r="J41" i="19"/>
  <c r="I41" i="19"/>
  <c r="J25" i="19"/>
  <c r="I25" i="19"/>
  <c r="J9" i="19"/>
  <c r="I9" i="19"/>
  <c r="J56" i="19"/>
  <c r="I56" i="19"/>
  <c r="J40" i="19"/>
  <c r="I40" i="19"/>
  <c r="J24" i="19"/>
  <c r="I24" i="19"/>
  <c r="J8" i="19"/>
  <c r="I8" i="19"/>
  <c r="I51" i="19"/>
  <c r="J51" i="19"/>
  <c r="I35" i="19"/>
  <c r="J35" i="19"/>
  <c r="I19" i="19"/>
  <c r="J19" i="19"/>
  <c r="C79" i="24"/>
  <c r="C79" i="26"/>
  <c r="C83" i="26"/>
  <c r="C85" i="26" s="1"/>
  <c r="C78" i="20"/>
  <c r="J46" i="19"/>
  <c r="I46" i="19"/>
  <c r="J42" i="19"/>
  <c r="I42" i="19"/>
  <c r="J38" i="19"/>
  <c r="I38" i="19"/>
  <c r="J34" i="19"/>
  <c r="I34" i="19"/>
  <c r="J53" i="19"/>
  <c r="I53" i="19"/>
  <c r="J37" i="19"/>
  <c r="I37" i="19"/>
  <c r="J21" i="19"/>
  <c r="I21" i="19"/>
  <c r="J5" i="19"/>
  <c r="I5" i="19"/>
  <c r="J52" i="19"/>
  <c r="I52" i="19"/>
  <c r="J36" i="19"/>
  <c r="I36" i="19"/>
  <c r="J20" i="19"/>
  <c r="I20" i="19"/>
  <c r="I63" i="19"/>
  <c r="J63" i="19"/>
  <c r="I47" i="19"/>
  <c r="J47" i="19"/>
  <c r="I31" i="19"/>
  <c r="J31" i="19"/>
  <c r="I15" i="19"/>
  <c r="J15" i="19"/>
  <c r="C76" i="24"/>
  <c r="C77" i="24" s="1"/>
  <c r="C81" i="24" s="1"/>
  <c r="I65" i="24" s="1"/>
  <c r="I66" i="24" s="1"/>
  <c r="I67" i="24" s="1"/>
  <c r="C80" i="24"/>
  <c r="C83" i="24" s="1"/>
  <c r="C85" i="24" s="1"/>
  <c r="I69" i="25"/>
  <c r="I70" i="25" s="1"/>
  <c r="I71" i="25" s="1"/>
  <c r="D13" i="14"/>
  <c r="C13" i="14"/>
  <c r="C80" i="20" l="1"/>
  <c r="C76" i="20"/>
  <c r="C77" i="20" s="1"/>
  <c r="C81" i="20" s="1"/>
  <c r="I65" i="20" s="1"/>
  <c r="I66" i="20" s="1"/>
  <c r="I67" i="20" s="1"/>
  <c r="C75" i="19"/>
  <c r="C79" i="20"/>
  <c r="I69" i="20" s="1"/>
  <c r="I70" i="20" s="1"/>
  <c r="I71" i="20" s="1"/>
  <c r="C83" i="20"/>
  <c r="C85" i="20" s="1"/>
  <c r="I69" i="24"/>
  <c r="I70" i="24" s="1"/>
  <c r="I71" i="24" s="1"/>
  <c r="C78" i="19"/>
  <c r="H69" i="26"/>
  <c r="H70" i="26" s="1"/>
  <c r="H71" i="26" s="1"/>
  <c r="C13" i="12"/>
  <c r="C11" i="12"/>
  <c r="C14" i="11"/>
  <c r="C79" i="19" l="1"/>
  <c r="H69" i="19" s="1"/>
  <c r="H70" i="19" s="1"/>
  <c r="H71" i="19" s="1"/>
  <c r="C76" i="19"/>
  <c r="C77" i="19" s="1"/>
  <c r="C81" i="19" s="1"/>
  <c r="H65" i="19" s="1"/>
  <c r="H66" i="19" s="1"/>
  <c r="H67" i="19" s="1"/>
  <c r="C80" i="19"/>
  <c r="C83" i="19" s="1"/>
  <c r="C85" i="19" s="1"/>
  <c r="C13" i="11"/>
  <c r="C9" i="11"/>
  <c r="C19" i="11" s="1"/>
  <c r="C8" i="11"/>
  <c r="C5" i="10"/>
  <c r="C4" i="10"/>
  <c r="C5" i="8"/>
  <c r="C4" i="8"/>
  <c r="C8" i="12"/>
  <c r="C7" i="12"/>
  <c r="C9" i="12" l="1"/>
  <c r="C14" i="12" s="1"/>
  <c r="C15" i="12" s="1"/>
  <c r="C16" i="12" s="1"/>
  <c r="C18" i="11"/>
  <c r="C23" i="11" s="1"/>
  <c r="C24" i="11" s="1"/>
  <c r="C32" i="11" l="1"/>
  <c r="C31" i="11"/>
  <c r="C30" i="11"/>
  <c r="C33" i="11" l="1"/>
  <c r="D36" i="11" s="1"/>
  <c r="C36" i="11" l="1"/>
  <c r="C9" i="10"/>
  <c r="C8" i="10"/>
  <c r="C8" i="8"/>
  <c r="C9" i="8"/>
  <c r="C10" i="10" l="1"/>
  <c r="C13" i="10" s="1"/>
  <c r="C10" i="8"/>
  <c r="C13" i="8" s="1"/>
  <c r="D13" i="10" l="1"/>
  <c r="D13" i="8"/>
  <c r="C25" i="11"/>
  <c r="G5" i="17" l="1"/>
  <c r="C68" i="17" s="1"/>
  <c r="C71" i="17" s="1"/>
  <c r="C72" i="17" l="1"/>
  <c r="H6" i="17" l="1"/>
  <c r="H10" i="17"/>
  <c r="H14" i="17"/>
  <c r="H18" i="17"/>
  <c r="H22" i="17"/>
  <c r="H26" i="17"/>
  <c r="H30" i="17"/>
  <c r="H34" i="17"/>
  <c r="H38" i="17"/>
  <c r="H42" i="17"/>
  <c r="H46" i="17"/>
  <c r="H50" i="17"/>
  <c r="H54" i="17"/>
  <c r="H58" i="17"/>
  <c r="H62" i="17"/>
  <c r="H8" i="17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4" i="17"/>
  <c r="H11" i="17"/>
  <c r="H19" i="17"/>
  <c r="H27" i="17"/>
  <c r="H35" i="17"/>
  <c r="H43" i="17"/>
  <c r="H51" i="17"/>
  <c r="H59" i="17"/>
  <c r="H23" i="17"/>
  <c r="H39" i="17"/>
  <c r="H55" i="17"/>
  <c r="H9" i="17"/>
  <c r="H25" i="17"/>
  <c r="H41" i="17"/>
  <c r="H57" i="17"/>
  <c r="H5" i="17"/>
  <c r="H13" i="17"/>
  <c r="H21" i="17"/>
  <c r="H29" i="17"/>
  <c r="H37" i="17"/>
  <c r="H45" i="17"/>
  <c r="H53" i="17"/>
  <c r="H61" i="17"/>
  <c r="H7" i="17"/>
  <c r="H15" i="17"/>
  <c r="H31" i="17"/>
  <c r="H47" i="17"/>
  <c r="H63" i="17"/>
  <c r="H17" i="17"/>
  <c r="H33" i="17"/>
  <c r="H49" i="17"/>
  <c r="J17" i="17" l="1"/>
  <c r="I17" i="17"/>
  <c r="J49" i="17"/>
  <c r="I49" i="17"/>
  <c r="J61" i="17"/>
  <c r="I61" i="17"/>
  <c r="J57" i="17"/>
  <c r="I57" i="17"/>
  <c r="J51" i="17"/>
  <c r="I51" i="17"/>
  <c r="I56" i="17"/>
  <c r="J56" i="17"/>
  <c r="I40" i="17"/>
  <c r="J40" i="17"/>
  <c r="I24" i="17"/>
  <c r="J24" i="17"/>
  <c r="I8" i="17"/>
  <c r="J8" i="17"/>
  <c r="I50" i="17"/>
  <c r="J50" i="17"/>
  <c r="I34" i="17"/>
  <c r="J34" i="17"/>
  <c r="I18" i="17"/>
  <c r="J18" i="17"/>
  <c r="J63" i="17"/>
  <c r="I63" i="17"/>
  <c r="J47" i="17"/>
  <c r="I47" i="17"/>
  <c r="J29" i="17"/>
  <c r="I29" i="17"/>
  <c r="J55" i="17"/>
  <c r="I55" i="17"/>
  <c r="J19" i="17"/>
  <c r="I19" i="17"/>
  <c r="J33" i="17"/>
  <c r="I33" i="17"/>
  <c r="J31" i="17"/>
  <c r="I31" i="17"/>
  <c r="J53" i="17"/>
  <c r="I53" i="17"/>
  <c r="J21" i="17"/>
  <c r="I21" i="17"/>
  <c r="J41" i="17"/>
  <c r="I41" i="17"/>
  <c r="J39" i="17"/>
  <c r="I39" i="17"/>
  <c r="J43" i="17"/>
  <c r="I43" i="17"/>
  <c r="I11" i="17"/>
  <c r="J11" i="17"/>
  <c r="I52" i="17"/>
  <c r="J52" i="17"/>
  <c r="I36" i="17"/>
  <c r="J36" i="17"/>
  <c r="I20" i="17"/>
  <c r="J20" i="17"/>
  <c r="I62" i="17"/>
  <c r="J62" i="17"/>
  <c r="I46" i="17"/>
  <c r="J46" i="17"/>
  <c r="I30" i="17"/>
  <c r="J30" i="17"/>
  <c r="I14" i="17"/>
  <c r="J14" i="17"/>
  <c r="I15" i="17"/>
  <c r="J15" i="17"/>
  <c r="J45" i="17"/>
  <c r="I45" i="17"/>
  <c r="J13" i="17"/>
  <c r="I13" i="17"/>
  <c r="J25" i="17"/>
  <c r="I25" i="17"/>
  <c r="J23" i="17"/>
  <c r="I23" i="17"/>
  <c r="J35" i="17"/>
  <c r="I35" i="17"/>
  <c r="I4" i="17"/>
  <c r="J4" i="17"/>
  <c r="I48" i="17"/>
  <c r="J48" i="17"/>
  <c r="I32" i="17"/>
  <c r="J32" i="17"/>
  <c r="I16" i="17"/>
  <c r="J16" i="17"/>
  <c r="I58" i="17"/>
  <c r="J58" i="17"/>
  <c r="I42" i="17"/>
  <c r="J42" i="17"/>
  <c r="I26" i="17"/>
  <c r="J26" i="17"/>
  <c r="I10" i="17"/>
  <c r="J10" i="17"/>
  <c r="I7" i="17"/>
  <c r="J7" i="17"/>
  <c r="J37" i="17"/>
  <c r="I37" i="17"/>
  <c r="J5" i="17"/>
  <c r="I5" i="17"/>
  <c r="J9" i="17"/>
  <c r="I9" i="17"/>
  <c r="J59" i="17"/>
  <c r="I59" i="17"/>
  <c r="J27" i="17"/>
  <c r="I27" i="17"/>
  <c r="I60" i="17"/>
  <c r="J60" i="17"/>
  <c r="I44" i="17"/>
  <c r="J44" i="17"/>
  <c r="I28" i="17"/>
  <c r="J28" i="17"/>
  <c r="I12" i="17"/>
  <c r="J12" i="17"/>
  <c r="I54" i="17"/>
  <c r="J54" i="17"/>
  <c r="I38" i="17"/>
  <c r="J38" i="17"/>
  <c r="I22" i="17"/>
  <c r="J22" i="17"/>
  <c r="I6" i="17"/>
  <c r="J6" i="17"/>
  <c r="C79" i="17" l="1"/>
  <c r="C76" i="17"/>
  <c r="C77" i="17" l="1"/>
  <c r="C78" i="17" s="1"/>
  <c r="C82" i="17" s="1"/>
  <c r="G66" i="17" s="1"/>
  <c r="G67" i="17" s="1"/>
  <c r="G68" i="17" s="1"/>
  <c r="C81" i="17"/>
  <c r="C84" i="17" s="1"/>
  <c r="C86" i="17" s="1"/>
  <c r="C80" i="17"/>
  <c r="G70" i="17" l="1"/>
  <c r="G71" i="17" s="1"/>
  <c r="G72" i="17" s="1"/>
</calcChain>
</file>

<file path=xl/sharedStrings.xml><?xml version="1.0" encoding="utf-8"?>
<sst xmlns="http://schemas.openxmlformats.org/spreadsheetml/2006/main" count="454" uniqueCount="169">
  <si>
    <t>Mean</t>
  </si>
  <si>
    <t>Observations</t>
  </si>
  <si>
    <t>df</t>
  </si>
  <si>
    <t>t Stat</t>
  </si>
  <si>
    <t>Standard Error</t>
  </si>
  <si>
    <t>F</t>
  </si>
  <si>
    <t>Sample Variance</t>
  </si>
  <si>
    <t>Low</t>
  </si>
  <si>
    <t>High</t>
  </si>
  <si>
    <t>Conclusion</t>
  </si>
  <si>
    <t>Sample Standard Deviation</t>
  </si>
  <si>
    <t>Sample Size</t>
  </si>
  <si>
    <t>T value at a/2</t>
  </si>
  <si>
    <t>Degrees of Freedom</t>
  </si>
  <si>
    <t>Margin of Error</t>
  </si>
  <si>
    <t>Standard Error of Difference</t>
  </si>
  <si>
    <t>T Test Statistic</t>
  </si>
  <si>
    <t>Point Estimator of the Difference</t>
  </si>
  <si>
    <t>T Value at Alpha/2</t>
  </si>
  <si>
    <t>Standard Error of the Difference</t>
  </si>
  <si>
    <t>F Test Statistic</t>
  </si>
  <si>
    <t>Two Tail P Value</t>
  </si>
  <si>
    <t>One Tail P Value</t>
  </si>
  <si>
    <t>Two Tail Confidence Level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</si>
  <si>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</si>
  <si>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</si>
  <si>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</si>
  <si>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</si>
  <si>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</si>
  <si>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</si>
  <si>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</si>
  <si>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</si>
  <si>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</si>
  <si>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</si>
  <si>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</si>
  <si>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</si>
  <si>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</si>
  <si>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</si>
  <si>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</si>
  <si>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</si>
  <si>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</si>
  <si>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</si>
  <si>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Sample Market</t>
  </si>
  <si>
    <t>Eagle Mean Price</t>
  </si>
  <si>
    <t>Competitor Mean Price</t>
  </si>
  <si>
    <t>Median Family Income in Thousands</t>
  </si>
  <si>
    <t>Promotional Budget in Thousands</t>
  </si>
  <si>
    <t>We can extrapolate that Eagle's price mean is higher</t>
  </si>
  <si>
    <t>Eagle's Average Price</t>
  </si>
  <si>
    <t>Competitior's Average Price</t>
  </si>
  <si>
    <t>95% Confidence Interval of the Difference in Mean Price</t>
  </si>
  <si>
    <t>99.99% confident that the variance of the prices are different</t>
  </si>
  <si>
    <t>T Value at Alpha / 2</t>
  </si>
  <si>
    <t xml:space="preserve">95% Confidence Mean Price Interval </t>
  </si>
  <si>
    <t>Confidence Level</t>
  </si>
  <si>
    <t>Mean of X</t>
  </si>
  <si>
    <t>Mean of Y</t>
  </si>
  <si>
    <t>X - X Bar</t>
  </si>
  <si>
    <t>Y - Y Bar</t>
  </si>
  <si>
    <t>X - X Bar Squared</t>
  </si>
  <si>
    <t>B1 (Slope)</t>
  </si>
  <si>
    <t>B0 (Y Intercept)</t>
  </si>
  <si>
    <t>Sum of X - X Bar Squared</t>
  </si>
  <si>
    <t>SSE</t>
  </si>
  <si>
    <t>SST</t>
  </si>
  <si>
    <t>Difference in Estimated Y and Mean Y Squared</t>
  </si>
  <si>
    <t>Difference in Actual Y and Estimated Y Squared</t>
  </si>
  <si>
    <t>SSR</t>
  </si>
  <si>
    <t>Correlation Coefficient</t>
  </si>
  <si>
    <t>Regression Model</t>
  </si>
  <si>
    <t>MSE</t>
  </si>
  <si>
    <t>P Value</t>
  </si>
  <si>
    <t>MSR</t>
  </si>
  <si>
    <t>Standard Error of B1 (Slope)</t>
  </si>
  <si>
    <t>Product of Differences</t>
  </si>
  <si>
    <t>Sum of X and Y Mean Difference Product</t>
  </si>
  <si>
    <t>Conclusion:</t>
  </si>
  <si>
    <t>Monthly Average Gross Sales</t>
  </si>
  <si>
    <t>99.97% confident that the mean prices are different</t>
  </si>
  <si>
    <t>RESIDUAL OUTPUT</t>
  </si>
  <si>
    <t>Observation</t>
  </si>
  <si>
    <t>Residuals</t>
  </si>
  <si>
    <t>Predicted Montly Sales in Thousands</t>
  </si>
  <si>
    <t>X - X Bar Square</t>
  </si>
  <si>
    <t>Product of Difference</t>
  </si>
  <si>
    <t>Sum of X - X Bar Square</t>
  </si>
  <si>
    <t>Y Value of Model Equation</t>
  </si>
  <si>
    <t>Coefficient of Determination (R Squared)</t>
  </si>
  <si>
    <t>Dependent Variable</t>
  </si>
  <si>
    <t>Independent Variable</t>
  </si>
  <si>
    <t>Promotional Budget = 44.03229262 + 2.72412557 *(Eagle Price in Dollars and Cents)</t>
  </si>
  <si>
    <t>Eagle Price =2.447068678 + 0.124569821*(Competitor's Price in Dollars and Cents)</t>
  </si>
  <si>
    <t>P value</t>
  </si>
  <si>
    <t>Eagle's average price and market promotional budget have a correlation coefficient of 0.143028753 indicating that they have a very weak positive correlation.</t>
  </si>
  <si>
    <t>Summ of x - xbar square</t>
  </si>
  <si>
    <t>Promotional Budget (In Thousands of Dollars) = 51.29564323 + 0.094159467 * (Competitor Price)</t>
  </si>
  <si>
    <t>Pvalue</t>
  </si>
  <si>
    <t>Cofidence Level</t>
  </si>
  <si>
    <t>Regression Model Equation</t>
  </si>
  <si>
    <t>Eagle Price = 2.559113046 + 0.004822652 * (Median Family Income)</t>
  </si>
  <si>
    <t>Confidence Interval</t>
  </si>
  <si>
    <t>Regression Equation</t>
  </si>
  <si>
    <t>Competitor Price = 1.802186203 + 0.015966918 * (Market Median Income)</t>
  </si>
  <si>
    <t>Difference in Acutal Y and Estimated Y Squared</t>
  </si>
  <si>
    <t>F Test Statisic</t>
  </si>
  <si>
    <t>Sum of Mean Difference Product</t>
  </si>
  <si>
    <t>Promotional Budge in Thousands of Dollars = 44.89743568 + 0.167004267 * (Median Income)</t>
  </si>
  <si>
    <t>Difference in Estimated Y and Y Mean Squared</t>
  </si>
  <si>
    <t>Standard Erro of B1 (Slope)</t>
  </si>
  <si>
    <t>The market median family income and promotional budget have a correlation coefficient of 0.098964281 indicating they have a very weak positive correlation.</t>
  </si>
  <si>
    <t>We are 99.99% confident that the overall model is statistically significant.  This model explains 35.9% of the variation in gross sales.</t>
  </si>
  <si>
    <t>Eagle's average price and the leading competitor's price have a correlation coefficient of 0.261901129 indicating that they have a weak positive correlation.</t>
  </si>
  <si>
    <t>Confidence level</t>
  </si>
  <si>
    <t>Montly Sales in Thousands of Dollars</t>
  </si>
  <si>
    <t>Promotional Budget in Thousands of Dollars</t>
  </si>
  <si>
    <t>Median Family Income in Thousands of Dollars</t>
  </si>
  <si>
    <t>This leads us to conclude that the competitor's price and Eagle's price are correlated and therefore they cannot both be utilized in a multi variable regression model.</t>
  </si>
  <si>
    <t>With only a 72.4% confidence level in both the T and F tests, we cannot reject the null hypothesis that Eagle's average price is not a good predictor of the promotional budget of a market.</t>
  </si>
  <si>
    <t>With only a 6.3% confidence level in both the T and F tests, we cannot reject the null hypothesis that the competitior's price is not a good predictor of the market's promotional budget.</t>
  </si>
  <si>
    <t>With only a 48.5% confidence level for both the T and F tests, we cannot reject the null hypothesis that the median income is not a good predictor of the competitor's price.</t>
  </si>
  <si>
    <t>With a confidence level of only 54.8%, we cannot reject the null hypothesis that the median income is not a good predictor of the market promotional budget.</t>
  </si>
  <si>
    <t xml:space="preserve">Conclusion: </t>
  </si>
  <si>
    <t>A new model will be generated that excludes the independent variable of median family income.</t>
  </si>
  <si>
    <t xml:space="preserve">This model only explains 10.8% of the variation in gross sales in a market compared to 39.4% of variation explained by the  model that exclusively has Eagle's averag price as an independent variable. </t>
  </si>
  <si>
    <t>This model explains 39.4% of the variation in gross sales.</t>
  </si>
  <si>
    <t>With a confidence level of only 91% in the F test, this model is also not statistically significant based upon an alpha of 0.05.</t>
  </si>
  <si>
    <t>The Regression model is: Gross Sales in Thousands of Dollars = 149.6939533 + 1.141813473 * (Promotional Budget of the Market in Thousands of Dollars) - 40.55113341 * (Average Eagle Market Price in Dollars and Cents)</t>
  </si>
  <si>
    <t>Competitior's Average Market Price</t>
  </si>
  <si>
    <t>Eagle's Average Market Price</t>
  </si>
  <si>
    <t>Pricing Difference</t>
  </si>
  <si>
    <t>P Bar</t>
  </si>
  <si>
    <t>Z Value at Alpha / 2 for 95% Confidence Level</t>
  </si>
  <si>
    <t>Total Sample Size</t>
  </si>
  <si>
    <t>95% Confidence Interval of the Proportion</t>
  </si>
  <si>
    <t>Proportion of Markets $0.50 or More Above Competitor's Market Price</t>
  </si>
  <si>
    <t>Number of Markets $0.50 or More Above Competitor's Price</t>
  </si>
  <si>
    <t>Standard Error of the P Bar</t>
  </si>
  <si>
    <t xml:space="preserve">Standard Error </t>
  </si>
  <si>
    <t>T Value at a/2</t>
  </si>
  <si>
    <t>95% Confidence Mean Budget Interval</t>
  </si>
  <si>
    <t xml:space="preserve">95% Confidence Mean Budget Interval </t>
  </si>
  <si>
    <t>Market Promotional Budget Mean</t>
  </si>
  <si>
    <t>Market Promotional Budget Mean in Samples Over $0.50 Difference in Price</t>
  </si>
  <si>
    <t xml:space="preserve">Ho: The mean price is the same for Eagle and the leading competitor </t>
  </si>
  <si>
    <t>T Test for Price Means</t>
  </si>
  <si>
    <t>Ha: The mean price is different for Eagle and the leading competitor</t>
  </si>
  <si>
    <t>Eagle Price</t>
  </si>
  <si>
    <t>Leading Competitor Price</t>
  </si>
  <si>
    <t>Difference In Sample Price</t>
  </si>
  <si>
    <t>F Test for Price Variance</t>
  </si>
  <si>
    <t>Ho: The variance of price is the same for Eagle and the leading competitor</t>
  </si>
  <si>
    <t>Ha: The variance of price is different for Eagle and the leading competitor</t>
  </si>
  <si>
    <t>Eagle Price Variance</t>
  </si>
  <si>
    <t>Competitor Price Variance</t>
  </si>
  <si>
    <t>Eagle Sample Size</t>
  </si>
  <si>
    <t>Eagle Degrees of Freedom</t>
  </si>
  <si>
    <t>Leading Competitor Sample Size</t>
  </si>
  <si>
    <t>Leading Competitor Degrees of Freedom</t>
  </si>
  <si>
    <t>We can extrapolate that the competitor's prices have a higher variance</t>
  </si>
  <si>
    <t>The T and F tests indicate with 95.7% confidence that the competitor's price is statistically significant in predicting Eagle's market average price.</t>
  </si>
  <si>
    <t>Two separate multivariable regressions will be be constructed to see which model explains more variation in gross sales.</t>
  </si>
  <si>
    <t>Both independent variables can be utilized in a multivariable regression.</t>
  </si>
  <si>
    <t>The leading competitor's market average price and the market promotional budget have a correlation coefficient of 0.010394049 indicating that they have a very weak positive correlation.</t>
  </si>
  <si>
    <t>The market median income and Eagle's market average price have a correlation coefficient of 0.054430287 indicating that they have a very weak positive correlation.</t>
  </si>
  <si>
    <t>With only a 32% confidence level in both the T and F tests, we cannot reject the null hypothesis that the median income is not a good predictor of Eagle's market average price.</t>
  </si>
  <si>
    <t>Both variables can be utilized in a multivariable regression.</t>
  </si>
  <si>
    <t>The market median income and the leading competitor's market average price have a correlation coefficient of 0.0857139 indicating they have a very weak positive correlation.</t>
  </si>
  <si>
    <t>With a confidence level of only 92.4%, the median family income is not statistically significant based on an alpha of 0.05.</t>
  </si>
  <si>
    <t>95% Confidence Interval of Market Average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</si>
</sst>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"/>
    <numFmt numFmtId="166" formatCode="0.0000"/>
  </numFmts>
  <fonts count="2">
    <font>
      <sz val="10"/>
      <color theme="1"/>
      <name val="Century Gothic"/>
      <family val="2"/>
    </font>
    <font>
      <i/>
      <sz val="10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0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3" xfId="0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6" borderId="4" xfId="0" applyFill="1" applyBorder="1"/>
    <xf numFmtId="0" fontId="0" fillId="0" borderId="3" xfId="0" applyFill="1" applyBorder="1" applyAlignment="1"/>
    <xf numFmtId="0" fontId="0" fillId="4" borderId="5" xfId="0" applyFill="1" applyBorder="1"/>
    <xf numFmtId="165" fontId="0" fillId="0" borderId="3" xfId="0" applyNumberFormat="1" applyBorder="1"/>
    <xf numFmtId="164" fontId="0" fillId="0" borderId="3" xfId="0" applyNumberFormat="1" applyBorder="1"/>
    <xf numFmtId="0" fontId="0" fillId="4" borderId="4" xfId="0" applyFill="1" applyBorder="1"/>
    <xf numFmtId="0" fontId="0" fillId="6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2" fontId="0" fillId="0" borderId="3" xfId="0" applyNumberFormat="1" applyBorder="1"/>
    <xf numFmtId="0" fontId="0" fillId="6" borderId="3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11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0" borderId="0" xfId="0" applyBorder="1"/>
    <xf numFmtId="0" fontId="0" fillId="4" borderId="3" xfId="0" applyFill="1" applyBorder="1" applyAlignment="1"/>
    <xf numFmtId="0" fontId="1" fillId="0" borderId="0" xfId="0" applyFont="1" applyFill="1" applyBorder="1" applyAlignment="1">
      <alignment horizontal="centerContinuous"/>
    </xf>
    <xf numFmtId="0" fontId="0" fillId="9" borderId="3" xfId="0" applyFill="1" applyBorder="1" applyAlignment="1"/>
    <xf numFmtId="0" fontId="0" fillId="16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2" borderId="3" xfId="0" applyFill="1" applyBorder="1"/>
    <xf numFmtId="0" fontId="0" fillId="23" borderId="3" xfId="0" applyFill="1" applyBorder="1"/>
    <xf numFmtId="0" fontId="0" fillId="17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4" borderId="6" xfId="0" applyFill="1" applyBorder="1"/>
    <xf numFmtId="166" fontId="0" fillId="0" borderId="3" xfId="0" applyNumberFormat="1" applyBorder="1"/>
    <xf numFmtId="2" fontId="0" fillId="0" borderId="3" xfId="0" applyNumberFormat="1" applyBorder="1" applyAlignment="1">
      <alignment horizontal="right"/>
    </xf>
    <xf numFmtId="0" fontId="1" fillId="6" borderId="3" xfId="0" applyFont="1" applyFill="1" applyBorder="1" applyAlignment="1">
      <alignment horizontal="centerContinuous"/>
    </xf>
    <xf numFmtId="0" fontId="0" fillId="8" borderId="3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Price Plots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4012598508386063E-2"/>
                  <c:y val="-0.19675035886606965"/>
                </c:manualLayout>
              </c:layout>
              <c:numFmt formatCode="General" sourceLinked="0"/>
            </c:trendlineLbl>
          </c:trendline>
          <c:xVal>
            <c:numRef>
              <c:f>'Eagle &amp; Comp Price Collinearity'!$C$4:$C$63</c:f>
              <c:numCache>
                <c:formatCode>General</c:formatCode>
                <c:ptCount val="60"/>
                <c:pt idx="0">
                  <c:v>2.84</c:v>
                </c:pt>
                <c:pt idx="1">
                  <c:v>1.62</c:v>
                </c:pt>
                <c:pt idx="2">
                  <c:v>2.87</c:v>
                </c:pt>
                <c:pt idx="3">
                  <c:v>2.06</c:v>
                </c:pt>
                <c:pt idx="4">
                  <c:v>2.17</c:v>
                </c:pt>
                <c:pt idx="5">
                  <c:v>3.43</c:v>
                </c:pt>
                <c:pt idx="6">
                  <c:v>1.85</c:v>
                </c:pt>
                <c:pt idx="7">
                  <c:v>2.54</c:v>
                </c:pt>
                <c:pt idx="8">
                  <c:v>3.09</c:v>
                </c:pt>
                <c:pt idx="9">
                  <c:v>1.63</c:v>
                </c:pt>
                <c:pt idx="10">
                  <c:v>1.52</c:v>
                </c:pt>
                <c:pt idx="11">
                  <c:v>1.82</c:v>
                </c:pt>
                <c:pt idx="12">
                  <c:v>1.81</c:v>
                </c:pt>
                <c:pt idx="13">
                  <c:v>2.8</c:v>
                </c:pt>
                <c:pt idx="14">
                  <c:v>3.38</c:v>
                </c:pt>
                <c:pt idx="15">
                  <c:v>2.78</c:v>
                </c:pt>
                <c:pt idx="16">
                  <c:v>1.71</c:v>
                </c:pt>
                <c:pt idx="17">
                  <c:v>2.0699999999999998</c:v>
                </c:pt>
                <c:pt idx="18">
                  <c:v>3.29</c:v>
                </c:pt>
                <c:pt idx="19">
                  <c:v>3.28</c:v>
                </c:pt>
                <c:pt idx="20">
                  <c:v>2.64</c:v>
                </c:pt>
                <c:pt idx="21">
                  <c:v>1.75</c:v>
                </c:pt>
                <c:pt idx="22">
                  <c:v>3.25</c:v>
                </c:pt>
                <c:pt idx="23">
                  <c:v>1.81</c:v>
                </c:pt>
                <c:pt idx="24">
                  <c:v>3.15</c:v>
                </c:pt>
                <c:pt idx="25">
                  <c:v>2.5499999999999998</c:v>
                </c:pt>
                <c:pt idx="26">
                  <c:v>2.0499999999999998</c:v>
                </c:pt>
                <c:pt idx="27">
                  <c:v>2.19</c:v>
                </c:pt>
                <c:pt idx="28">
                  <c:v>1.91</c:v>
                </c:pt>
                <c:pt idx="29">
                  <c:v>2.3199999999999998</c:v>
                </c:pt>
                <c:pt idx="30">
                  <c:v>2.0699999999999998</c:v>
                </c:pt>
                <c:pt idx="31">
                  <c:v>1.95</c:v>
                </c:pt>
                <c:pt idx="32">
                  <c:v>1.74</c:v>
                </c:pt>
                <c:pt idx="33">
                  <c:v>1.76</c:v>
                </c:pt>
                <c:pt idx="34">
                  <c:v>2.41</c:v>
                </c:pt>
                <c:pt idx="35">
                  <c:v>3.33</c:v>
                </c:pt>
                <c:pt idx="36">
                  <c:v>1.62</c:v>
                </c:pt>
                <c:pt idx="37">
                  <c:v>2.37</c:v>
                </c:pt>
                <c:pt idx="38">
                  <c:v>2.25</c:v>
                </c:pt>
                <c:pt idx="39">
                  <c:v>2.5299999999999998</c:v>
                </c:pt>
                <c:pt idx="40">
                  <c:v>3.31</c:v>
                </c:pt>
                <c:pt idx="41">
                  <c:v>3.45</c:v>
                </c:pt>
                <c:pt idx="42">
                  <c:v>2.02</c:v>
                </c:pt>
                <c:pt idx="43">
                  <c:v>3.07</c:v>
                </c:pt>
                <c:pt idx="44">
                  <c:v>2.54</c:v>
                </c:pt>
                <c:pt idx="45">
                  <c:v>2.75</c:v>
                </c:pt>
                <c:pt idx="46">
                  <c:v>3.12</c:v>
                </c:pt>
                <c:pt idx="47">
                  <c:v>2.0699999999999998</c:v>
                </c:pt>
                <c:pt idx="48">
                  <c:v>2.75</c:v>
                </c:pt>
                <c:pt idx="49">
                  <c:v>1.87</c:v>
                </c:pt>
                <c:pt idx="50">
                  <c:v>2.64</c:v>
                </c:pt>
                <c:pt idx="51">
                  <c:v>2.16</c:v>
                </c:pt>
                <c:pt idx="52">
                  <c:v>2.2000000000000002</c:v>
                </c:pt>
                <c:pt idx="53">
                  <c:v>1.94</c:v>
                </c:pt>
                <c:pt idx="54">
                  <c:v>3.05</c:v>
                </c:pt>
                <c:pt idx="55">
                  <c:v>2.85</c:v>
                </c:pt>
                <c:pt idx="56">
                  <c:v>3.38</c:v>
                </c:pt>
                <c:pt idx="57">
                  <c:v>1.56</c:v>
                </c:pt>
                <c:pt idx="58">
                  <c:v>2.14</c:v>
                </c:pt>
                <c:pt idx="59">
                  <c:v>3.07</c:v>
                </c:pt>
              </c:numCache>
            </c:numRef>
          </c:xVal>
          <c:yVal>
            <c:numRef>
              <c:f>'Eagle &amp; Comp Price Collinearity'!$B$4:$B$63</c:f>
              <c:numCache>
                <c:formatCode>General</c:formatCode>
                <c:ptCount val="60"/>
                <c:pt idx="0">
                  <c:v>2.76</c:v>
                </c:pt>
                <c:pt idx="1">
                  <c:v>2.96</c:v>
                </c:pt>
                <c:pt idx="2">
                  <c:v>2.5</c:v>
                </c:pt>
                <c:pt idx="3">
                  <c:v>2.42</c:v>
                </c:pt>
                <c:pt idx="4">
                  <c:v>2.71</c:v>
                </c:pt>
                <c:pt idx="5">
                  <c:v>3.01</c:v>
                </c:pt>
                <c:pt idx="6">
                  <c:v>2.97</c:v>
                </c:pt>
                <c:pt idx="7">
                  <c:v>3.09</c:v>
                </c:pt>
                <c:pt idx="8">
                  <c:v>2.4900000000000002</c:v>
                </c:pt>
                <c:pt idx="9">
                  <c:v>2.75</c:v>
                </c:pt>
                <c:pt idx="10">
                  <c:v>2.3199999999999998</c:v>
                </c:pt>
                <c:pt idx="11">
                  <c:v>2.2200000000000002</c:v>
                </c:pt>
                <c:pt idx="12">
                  <c:v>2.6</c:v>
                </c:pt>
                <c:pt idx="13">
                  <c:v>3.11</c:v>
                </c:pt>
                <c:pt idx="14">
                  <c:v>2.84</c:v>
                </c:pt>
                <c:pt idx="15">
                  <c:v>2.52</c:v>
                </c:pt>
                <c:pt idx="16">
                  <c:v>2.58</c:v>
                </c:pt>
                <c:pt idx="17">
                  <c:v>3.1</c:v>
                </c:pt>
                <c:pt idx="18">
                  <c:v>3.02</c:v>
                </c:pt>
                <c:pt idx="19">
                  <c:v>2.86</c:v>
                </c:pt>
                <c:pt idx="20">
                  <c:v>3.04</c:v>
                </c:pt>
                <c:pt idx="21">
                  <c:v>2.35</c:v>
                </c:pt>
                <c:pt idx="22">
                  <c:v>2.89</c:v>
                </c:pt>
                <c:pt idx="23">
                  <c:v>2.34</c:v>
                </c:pt>
                <c:pt idx="24">
                  <c:v>2.81</c:v>
                </c:pt>
                <c:pt idx="25">
                  <c:v>2.39</c:v>
                </c:pt>
                <c:pt idx="26">
                  <c:v>2.73</c:v>
                </c:pt>
                <c:pt idx="27">
                  <c:v>2.4900000000000002</c:v>
                </c:pt>
                <c:pt idx="28">
                  <c:v>2.74</c:v>
                </c:pt>
                <c:pt idx="29">
                  <c:v>2.73</c:v>
                </c:pt>
                <c:pt idx="30">
                  <c:v>2.52</c:v>
                </c:pt>
                <c:pt idx="31">
                  <c:v>2.66</c:v>
                </c:pt>
                <c:pt idx="32">
                  <c:v>2.54</c:v>
                </c:pt>
                <c:pt idx="33">
                  <c:v>3.06</c:v>
                </c:pt>
                <c:pt idx="34">
                  <c:v>2.78</c:v>
                </c:pt>
                <c:pt idx="35">
                  <c:v>2.81</c:v>
                </c:pt>
                <c:pt idx="36">
                  <c:v>2.97</c:v>
                </c:pt>
                <c:pt idx="37">
                  <c:v>3.27</c:v>
                </c:pt>
                <c:pt idx="38">
                  <c:v>2.96</c:v>
                </c:pt>
                <c:pt idx="39">
                  <c:v>2.5099999999999998</c:v>
                </c:pt>
                <c:pt idx="40">
                  <c:v>3.09</c:v>
                </c:pt>
                <c:pt idx="41">
                  <c:v>2.83</c:v>
                </c:pt>
                <c:pt idx="42">
                  <c:v>2.95</c:v>
                </c:pt>
                <c:pt idx="43">
                  <c:v>2.42</c:v>
                </c:pt>
                <c:pt idx="44">
                  <c:v>2.94</c:v>
                </c:pt>
                <c:pt idx="45">
                  <c:v>3.1</c:v>
                </c:pt>
                <c:pt idx="46">
                  <c:v>3.03</c:v>
                </c:pt>
                <c:pt idx="47">
                  <c:v>2.73</c:v>
                </c:pt>
                <c:pt idx="48">
                  <c:v>2.04</c:v>
                </c:pt>
                <c:pt idx="49">
                  <c:v>2.67</c:v>
                </c:pt>
                <c:pt idx="50">
                  <c:v>2.52</c:v>
                </c:pt>
                <c:pt idx="51">
                  <c:v>2.36</c:v>
                </c:pt>
                <c:pt idx="52">
                  <c:v>2.3199999999999998</c:v>
                </c:pt>
                <c:pt idx="53">
                  <c:v>2.76</c:v>
                </c:pt>
                <c:pt idx="54">
                  <c:v>2.86</c:v>
                </c:pt>
                <c:pt idx="55">
                  <c:v>3.16</c:v>
                </c:pt>
                <c:pt idx="56">
                  <c:v>2.99</c:v>
                </c:pt>
                <c:pt idx="57">
                  <c:v>3.13</c:v>
                </c:pt>
                <c:pt idx="58">
                  <c:v>2.59</c:v>
                </c:pt>
                <c:pt idx="59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3-604A-A25C-9531FD34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3312"/>
        <c:axId val="139063680"/>
      </c:scatterChart>
      <c:valAx>
        <c:axId val="1390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Competitor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63680"/>
        <c:crosses val="autoZero"/>
        <c:crossBetween val="midCat"/>
      </c:valAx>
      <c:valAx>
        <c:axId val="139063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Eagle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Promotional Budget in Thousands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Data'!$D$3:$D$62</c:f>
              <c:numCache>
                <c:formatCode>General</c:formatCode>
                <c:ptCount val="60"/>
                <c:pt idx="0">
                  <c:v>57.5</c:v>
                </c:pt>
                <c:pt idx="1">
                  <c:v>47.9</c:v>
                </c:pt>
                <c:pt idx="2">
                  <c:v>54.6</c:v>
                </c:pt>
                <c:pt idx="3">
                  <c:v>54.7</c:v>
                </c:pt>
                <c:pt idx="4">
                  <c:v>52.2</c:v>
                </c:pt>
                <c:pt idx="5">
                  <c:v>52.6</c:v>
                </c:pt>
                <c:pt idx="6">
                  <c:v>60.9</c:v>
                </c:pt>
                <c:pt idx="7">
                  <c:v>61.3</c:v>
                </c:pt>
                <c:pt idx="8">
                  <c:v>53</c:v>
                </c:pt>
                <c:pt idx="9">
                  <c:v>51.9</c:v>
                </c:pt>
                <c:pt idx="10">
                  <c:v>56.1</c:v>
                </c:pt>
                <c:pt idx="11">
                  <c:v>47.8</c:v>
                </c:pt>
                <c:pt idx="12">
                  <c:v>48</c:v>
                </c:pt>
                <c:pt idx="13">
                  <c:v>59</c:v>
                </c:pt>
                <c:pt idx="14">
                  <c:v>50.3</c:v>
                </c:pt>
                <c:pt idx="15">
                  <c:v>48.4</c:v>
                </c:pt>
                <c:pt idx="16">
                  <c:v>51.8</c:v>
                </c:pt>
                <c:pt idx="17">
                  <c:v>45.1</c:v>
                </c:pt>
                <c:pt idx="18">
                  <c:v>55.1</c:v>
                </c:pt>
                <c:pt idx="19">
                  <c:v>46.4</c:v>
                </c:pt>
                <c:pt idx="20">
                  <c:v>48.6</c:v>
                </c:pt>
                <c:pt idx="21">
                  <c:v>48.2</c:v>
                </c:pt>
                <c:pt idx="22">
                  <c:v>52.3</c:v>
                </c:pt>
                <c:pt idx="23">
                  <c:v>53.6</c:v>
                </c:pt>
                <c:pt idx="24">
                  <c:v>43.9</c:v>
                </c:pt>
                <c:pt idx="25">
                  <c:v>50.6</c:v>
                </c:pt>
                <c:pt idx="26">
                  <c:v>56.3</c:v>
                </c:pt>
                <c:pt idx="27">
                  <c:v>50.7</c:v>
                </c:pt>
                <c:pt idx="28">
                  <c:v>49.8</c:v>
                </c:pt>
                <c:pt idx="29">
                  <c:v>53.1</c:v>
                </c:pt>
                <c:pt idx="30">
                  <c:v>47.9</c:v>
                </c:pt>
                <c:pt idx="31">
                  <c:v>47.6</c:v>
                </c:pt>
                <c:pt idx="32">
                  <c:v>43.3</c:v>
                </c:pt>
                <c:pt idx="33">
                  <c:v>51.1</c:v>
                </c:pt>
                <c:pt idx="34">
                  <c:v>53.4</c:v>
                </c:pt>
                <c:pt idx="35">
                  <c:v>47.3</c:v>
                </c:pt>
                <c:pt idx="36">
                  <c:v>50.1</c:v>
                </c:pt>
                <c:pt idx="37">
                  <c:v>44.8</c:v>
                </c:pt>
                <c:pt idx="38">
                  <c:v>50.6</c:v>
                </c:pt>
                <c:pt idx="39">
                  <c:v>42.6</c:v>
                </c:pt>
                <c:pt idx="40">
                  <c:v>61.2</c:v>
                </c:pt>
                <c:pt idx="41">
                  <c:v>55.5</c:v>
                </c:pt>
                <c:pt idx="42">
                  <c:v>55</c:v>
                </c:pt>
                <c:pt idx="43">
                  <c:v>40.9</c:v>
                </c:pt>
                <c:pt idx="44">
                  <c:v>50.7</c:v>
                </c:pt>
                <c:pt idx="45">
                  <c:v>48.2</c:v>
                </c:pt>
                <c:pt idx="46">
                  <c:v>59.1</c:v>
                </c:pt>
                <c:pt idx="47">
                  <c:v>58.4</c:v>
                </c:pt>
                <c:pt idx="48">
                  <c:v>42.9</c:v>
                </c:pt>
                <c:pt idx="49">
                  <c:v>64.099999999999994</c:v>
                </c:pt>
                <c:pt idx="50">
                  <c:v>57.9</c:v>
                </c:pt>
                <c:pt idx="51">
                  <c:v>46.1</c:v>
                </c:pt>
                <c:pt idx="52">
                  <c:v>59.5</c:v>
                </c:pt>
                <c:pt idx="53">
                  <c:v>46.9</c:v>
                </c:pt>
                <c:pt idx="54">
                  <c:v>52.5</c:v>
                </c:pt>
                <c:pt idx="55">
                  <c:v>48.5</c:v>
                </c:pt>
                <c:pt idx="56">
                  <c:v>43.5</c:v>
                </c:pt>
                <c:pt idx="57">
                  <c:v>47.5</c:v>
                </c:pt>
                <c:pt idx="58">
                  <c:v>55.7</c:v>
                </c:pt>
                <c:pt idx="59">
                  <c:v>57</c:v>
                </c:pt>
              </c:numCache>
            </c:numRef>
          </c:xVal>
          <c:yVal>
            <c:numRef>
              <c:f>'Eagle Price Regression'!$C$26:$C$85</c:f>
              <c:numCache>
                <c:formatCode>General</c:formatCode>
                <c:ptCount val="60"/>
                <c:pt idx="0">
                  <c:v>-13.612655162149807</c:v>
                </c:pt>
                <c:pt idx="1">
                  <c:v>-0.29659427643977665</c:v>
                </c:pt>
                <c:pt idx="2">
                  <c:v>15.342701024890161</c:v>
                </c:pt>
                <c:pt idx="3">
                  <c:v>-28.674479856882016</c:v>
                </c:pt>
                <c:pt idx="4">
                  <c:v>20.32963508619612</c:v>
                </c:pt>
                <c:pt idx="5">
                  <c:v>25.699935370128443</c:v>
                </c:pt>
                <c:pt idx="6">
                  <c:v>-30.473950567524952</c:v>
                </c:pt>
                <c:pt idx="7">
                  <c:v>3.9960873322075514</c:v>
                </c:pt>
                <c:pt idx="8">
                  <c:v>1.9579292371504238</c:v>
                </c:pt>
                <c:pt idx="9">
                  <c:v>-3.8626797180751424</c:v>
                </c:pt>
                <c:pt idx="10">
                  <c:v>1.3570313974762342</c:v>
                </c:pt>
                <c:pt idx="11">
                  <c:v>16.688605193811767</c:v>
                </c:pt>
                <c:pt idx="12">
                  <c:v>-22.301016951088258</c:v>
                </c:pt>
                <c:pt idx="13">
                  <c:v>22.038222923138292</c:v>
                </c:pt>
                <c:pt idx="14">
                  <c:v>-20.823739618158342</c:v>
                </c:pt>
                <c:pt idx="15">
                  <c:v>-21.059720315350603</c:v>
                </c:pt>
                <c:pt idx="16">
                  <c:v>18.643236477971698</c:v>
                </c:pt>
                <c:pt idx="17">
                  <c:v>-12.15421471038281</c:v>
                </c:pt>
                <c:pt idx="18">
                  <c:v>6.0148348214256657</c:v>
                </c:pt>
                <c:pt idx="19">
                  <c:v>-6.9522726770804582</c:v>
                </c:pt>
                <c:pt idx="20">
                  <c:v>-18.675216588605075</c:v>
                </c:pt>
                <c:pt idx="21">
                  <c:v>1.5589388009582734</c:v>
                </c:pt>
                <c:pt idx="22">
                  <c:v>-6.2097404315410643</c:v>
                </c:pt>
                <c:pt idx="23">
                  <c:v>22.061069036082927</c:v>
                </c:pt>
                <c:pt idx="24">
                  <c:v>12.867657641675734</c:v>
                </c:pt>
                <c:pt idx="25">
                  <c:v>2.7406257144530173</c:v>
                </c:pt>
                <c:pt idx="26">
                  <c:v>1.9699650695738882</c:v>
                </c:pt>
                <c:pt idx="27">
                  <c:v>-3.4792265651880427</c:v>
                </c:pt>
                <c:pt idx="28">
                  <c:v>-3.9866270187664696</c:v>
                </c:pt>
                <c:pt idx="29">
                  <c:v>-9.8625708839256845</c:v>
                </c:pt>
                <c:pt idx="30">
                  <c:v>-9.7431645661753237</c:v>
                </c:pt>
                <c:pt idx="31">
                  <c:v>21.062646290655209</c:v>
                </c:pt>
                <c:pt idx="32">
                  <c:v>16.609693953822486</c:v>
                </c:pt>
                <c:pt idx="33">
                  <c:v>12.096386043696612</c:v>
                </c:pt>
                <c:pt idx="34">
                  <c:v>4.119721343312051</c:v>
                </c:pt>
                <c:pt idx="35">
                  <c:v>0.82583653995384054</c:v>
                </c:pt>
                <c:pt idx="36">
                  <c:v>-11.723431130110882</c:v>
                </c:pt>
                <c:pt idx="37">
                  <c:v>20.534160697006755</c:v>
                </c:pt>
                <c:pt idx="38">
                  <c:v>-30.927827579154588</c:v>
                </c:pt>
                <c:pt idx="39">
                  <c:v>-18.260974042609277</c:v>
                </c:pt>
                <c:pt idx="40">
                  <c:v>-4.5442834994168493</c:v>
                </c:pt>
                <c:pt idx="41">
                  <c:v>-13.400682351526825</c:v>
                </c:pt>
                <c:pt idx="42">
                  <c:v>32.304796644080213</c:v>
                </c:pt>
                <c:pt idx="43">
                  <c:v>-2.8695272059460137</c:v>
                </c:pt>
                <c:pt idx="44">
                  <c:v>-4.4166118387888389</c:v>
                </c:pt>
                <c:pt idx="45">
                  <c:v>27.487137898018162</c:v>
                </c:pt>
                <c:pt idx="46">
                  <c:v>-16.831395499056669</c:v>
                </c:pt>
                <c:pt idx="47">
                  <c:v>33.023129154766622</c:v>
                </c:pt>
                <c:pt idx="48">
                  <c:v>-5.6214775962605614</c:v>
                </c:pt>
                <c:pt idx="49">
                  <c:v>4.9779284975279694</c:v>
                </c:pt>
                <c:pt idx="50">
                  <c:v>1.0496379821182984</c:v>
                </c:pt>
                <c:pt idx="51">
                  <c:v>-3.3316108712854913</c:v>
                </c:pt>
                <c:pt idx="52">
                  <c:v>-7.9375871843037658</c:v>
                </c:pt>
                <c:pt idx="53">
                  <c:v>5.4844909697732902</c:v>
                </c:pt>
                <c:pt idx="54">
                  <c:v>-4.0853445486400233</c:v>
                </c:pt>
                <c:pt idx="55">
                  <c:v>-9.2427291748756062</c:v>
                </c:pt>
                <c:pt idx="56">
                  <c:v>19.635000375808687</c:v>
                </c:pt>
                <c:pt idx="57">
                  <c:v>-22.370205994061664</c:v>
                </c:pt>
                <c:pt idx="58">
                  <c:v>3.6490990669719565</c:v>
                </c:pt>
                <c:pt idx="59">
                  <c:v>-8.3945821612828837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E-4D43-BAC2-22A1D9D4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5664"/>
        <c:axId val="157840128"/>
      </c:scatterChart>
      <c:valAx>
        <c:axId val="1578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Promotional Budget in Thousands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40128"/>
        <c:crosses val="autoZero"/>
        <c:crossBetween val="midCat"/>
      </c:valAx>
      <c:valAx>
        <c:axId val="15784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2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Eagle's Average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Data'!$F$3:$F$62</c:f>
              <c:numCache>
                <c:formatCode>General</c:formatCode>
                <c:ptCount val="60"/>
                <c:pt idx="0">
                  <c:v>2.76</c:v>
                </c:pt>
                <c:pt idx="1">
                  <c:v>2.96</c:v>
                </c:pt>
                <c:pt idx="2">
                  <c:v>2.5</c:v>
                </c:pt>
                <c:pt idx="3">
                  <c:v>2.42</c:v>
                </c:pt>
                <c:pt idx="4">
                  <c:v>2.71</c:v>
                </c:pt>
                <c:pt idx="5">
                  <c:v>3.01</c:v>
                </c:pt>
                <c:pt idx="6">
                  <c:v>2.97</c:v>
                </c:pt>
                <c:pt idx="7">
                  <c:v>3.09</c:v>
                </c:pt>
                <c:pt idx="8">
                  <c:v>2.4900000000000002</c:v>
                </c:pt>
                <c:pt idx="9">
                  <c:v>2.75</c:v>
                </c:pt>
                <c:pt idx="10">
                  <c:v>2.3199999999999998</c:v>
                </c:pt>
                <c:pt idx="11">
                  <c:v>2.2200000000000002</c:v>
                </c:pt>
                <c:pt idx="12">
                  <c:v>2.6</c:v>
                </c:pt>
                <c:pt idx="13">
                  <c:v>3.11</c:v>
                </c:pt>
                <c:pt idx="14">
                  <c:v>2.84</c:v>
                </c:pt>
                <c:pt idx="15">
                  <c:v>2.52</c:v>
                </c:pt>
                <c:pt idx="16">
                  <c:v>2.58</c:v>
                </c:pt>
                <c:pt idx="17">
                  <c:v>3.1</c:v>
                </c:pt>
                <c:pt idx="18">
                  <c:v>3.02</c:v>
                </c:pt>
                <c:pt idx="19">
                  <c:v>2.86</c:v>
                </c:pt>
                <c:pt idx="20">
                  <c:v>3.04</c:v>
                </c:pt>
                <c:pt idx="21">
                  <c:v>2.35</c:v>
                </c:pt>
                <c:pt idx="22">
                  <c:v>2.89</c:v>
                </c:pt>
                <c:pt idx="23">
                  <c:v>2.34</c:v>
                </c:pt>
                <c:pt idx="24">
                  <c:v>2.81</c:v>
                </c:pt>
                <c:pt idx="25">
                  <c:v>2.39</c:v>
                </c:pt>
                <c:pt idx="26">
                  <c:v>2.73</c:v>
                </c:pt>
                <c:pt idx="27">
                  <c:v>2.4900000000000002</c:v>
                </c:pt>
                <c:pt idx="28">
                  <c:v>2.74</c:v>
                </c:pt>
                <c:pt idx="29">
                  <c:v>2.73</c:v>
                </c:pt>
                <c:pt idx="30">
                  <c:v>2.52</c:v>
                </c:pt>
                <c:pt idx="31">
                  <c:v>2.66</c:v>
                </c:pt>
                <c:pt idx="32">
                  <c:v>2.54</c:v>
                </c:pt>
                <c:pt idx="33">
                  <c:v>3.06</c:v>
                </c:pt>
                <c:pt idx="34">
                  <c:v>2.78</c:v>
                </c:pt>
                <c:pt idx="35">
                  <c:v>2.81</c:v>
                </c:pt>
                <c:pt idx="36">
                  <c:v>2.97</c:v>
                </c:pt>
                <c:pt idx="37">
                  <c:v>3.27</c:v>
                </c:pt>
                <c:pt idx="38">
                  <c:v>2.96</c:v>
                </c:pt>
                <c:pt idx="39">
                  <c:v>2.5099999999999998</c:v>
                </c:pt>
                <c:pt idx="40">
                  <c:v>3.09</c:v>
                </c:pt>
                <c:pt idx="41">
                  <c:v>2.83</c:v>
                </c:pt>
                <c:pt idx="42">
                  <c:v>2.95</c:v>
                </c:pt>
                <c:pt idx="43">
                  <c:v>2.42</c:v>
                </c:pt>
                <c:pt idx="44">
                  <c:v>2.94</c:v>
                </c:pt>
                <c:pt idx="45">
                  <c:v>3.1</c:v>
                </c:pt>
                <c:pt idx="46">
                  <c:v>3.03</c:v>
                </c:pt>
                <c:pt idx="47">
                  <c:v>2.73</c:v>
                </c:pt>
                <c:pt idx="48">
                  <c:v>2.04</c:v>
                </c:pt>
                <c:pt idx="49">
                  <c:v>2.67</c:v>
                </c:pt>
                <c:pt idx="50">
                  <c:v>2.52</c:v>
                </c:pt>
                <c:pt idx="51">
                  <c:v>2.36</c:v>
                </c:pt>
                <c:pt idx="52">
                  <c:v>2.3199999999999998</c:v>
                </c:pt>
                <c:pt idx="53">
                  <c:v>2.76</c:v>
                </c:pt>
                <c:pt idx="54">
                  <c:v>2.86</c:v>
                </c:pt>
                <c:pt idx="55">
                  <c:v>3.16</c:v>
                </c:pt>
                <c:pt idx="56">
                  <c:v>2.99</c:v>
                </c:pt>
                <c:pt idx="57">
                  <c:v>3.13</c:v>
                </c:pt>
                <c:pt idx="58">
                  <c:v>2.59</c:v>
                </c:pt>
                <c:pt idx="59">
                  <c:v>3.12</c:v>
                </c:pt>
              </c:numCache>
            </c:numRef>
          </c:xVal>
          <c:yVal>
            <c:numRef>
              <c:f>'Eagle Price Regression'!$C$26:$C$85</c:f>
              <c:numCache>
                <c:formatCode>General</c:formatCode>
                <c:ptCount val="60"/>
                <c:pt idx="0">
                  <c:v>-13.612655162149807</c:v>
                </c:pt>
                <c:pt idx="1">
                  <c:v>-0.29659427643977665</c:v>
                </c:pt>
                <c:pt idx="2">
                  <c:v>15.342701024890161</c:v>
                </c:pt>
                <c:pt idx="3">
                  <c:v>-28.674479856882016</c:v>
                </c:pt>
                <c:pt idx="4">
                  <c:v>20.32963508619612</c:v>
                </c:pt>
                <c:pt idx="5">
                  <c:v>25.699935370128443</c:v>
                </c:pt>
                <c:pt idx="6">
                  <c:v>-30.473950567524952</c:v>
                </c:pt>
                <c:pt idx="7">
                  <c:v>3.9960873322075514</c:v>
                </c:pt>
                <c:pt idx="8">
                  <c:v>1.9579292371504238</c:v>
                </c:pt>
                <c:pt idx="9">
                  <c:v>-3.8626797180751424</c:v>
                </c:pt>
                <c:pt idx="10">
                  <c:v>1.3570313974762342</c:v>
                </c:pt>
                <c:pt idx="11">
                  <c:v>16.688605193811767</c:v>
                </c:pt>
                <c:pt idx="12">
                  <c:v>-22.301016951088258</c:v>
                </c:pt>
                <c:pt idx="13">
                  <c:v>22.038222923138292</c:v>
                </c:pt>
                <c:pt idx="14">
                  <c:v>-20.823739618158342</c:v>
                </c:pt>
                <c:pt idx="15">
                  <c:v>-21.059720315350603</c:v>
                </c:pt>
                <c:pt idx="16">
                  <c:v>18.643236477971698</c:v>
                </c:pt>
                <c:pt idx="17">
                  <c:v>-12.15421471038281</c:v>
                </c:pt>
                <c:pt idx="18">
                  <c:v>6.0148348214256657</c:v>
                </c:pt>
                <c:pt idx="19">
                  <c:v>-6.9522726770804582</c:v>
                </c:pt>
                <c:pt idx="20">
                  <c:v>-18.675216588605075</c:v>
                </c:pt>
                <c:pt idx="21">
                  <c:v>1.5589388009582734</c:v>
                </c:pt>
                <c:pt idx="22">
                  <c:v>-6.2097404315410643</c:v>
                </c:pt>
                <c:pt idx="23">
                  <c:v>22.061069036082927</c:v>
                </c:pt>
                <c:pt idx="24">
                  <c:v>12.867657641675734</c:v>
                </c:pt>
                <c:pt idx="25">
                  <c:v>2.7406257144530173</c:v>
                </c:pt>
                <c:pt idx="26">
                  <c:v>1.9699650695738882</c:v>
                </c:pt>
                <c:pt idx="27">
                  <c:v>-3.4792265651880427</c:v>
                </c:pt>
                <c:pt idx="28">
                  <c:v>-3.9866270187664696</c:v>
                </c:pt>
                <c:pt idx="29">
                  <c:v>-9.8625708839256845</c:v>
                </c:pt>
                <c:pt idx="30">
                  <c:v>-9.7431645661753237</c:v>
                </c:pt>
                <c:pt idx="31">
                  <c:v>21.062646290655209</c:v>
                </c:pt>
                <c:pt idx="32">
                  <c:v>16.609693953822486</c:v>
                </c:pt>
                <c:pt idx="33">
                  <c:v>12.096386043696612</c:v>
                </c:pt>
                <c:pt idx="34">
                  <c:v>4.119721343312051</c:v>
                </c:pt>
                <c:pt idx="35">
                  <c:v>0.82583653995384054</c:v>
                </c:pt>
                <c:pt idx="36">
                  <c:v>-11.723431130110882</c:v>
                </c:pt>
                <c:pt idx="37">
                  <c:v>20.534160697006755</c:v>
                </c:pt>
                <c:pt idx="38">
                  <c:v>-30.927827579154588</c:v>
                </c:pt>
                <c:pt idx="39">
                  <c:v>-18.260974042609277</c:v>
                </c:pt>
                <c:pt idx="40">
                  <c:v>-4.5442834994168493</c:v>
                </c:pt>
                <c:pt idx="41">
                  <c:v>-13.400682351526825</c:v>
                </c:pt>
                <c:pt idx="42">
                  <c:v>32.304796644080213</c:v>
                </c:pt>
                <c:pt idx="43">
                  <c:v>-2.8695272059460137</c:v>
                </c:pt>
                <c:pt idx="44">
                  <c:v>-4.4166118387888389</c:v>
                </c:pt>
                <c:pt idx="45">
                  <c:v>27.487137898018162</c:v>
                </c:pt>
                <c:pt idx="46">
                  <c:v>-16.831395499056669</c:v>
                </c:pt>
                <c:pt idx="47">
                  <c:v>33.023129154766622</c:v>
                </c:pt>
                <c:pt idx="48">
                  <c:v>-5.6214775962605614</c:v>
                </c:pt>
                <c:pt idx="49">
                  <c:v>4.9779284975279694</c:v>
                </c:pt>
                <c:pt idx="50">
                  <c:v>1.0496379821182984</c:v>
                </c:pt>
                <c:pt idx="51">
                  <c:v>-3.3316108712854913</c:v>
                </c:pt>
                <c:pt idx="52">
                  <c:v>-7.9375871843037658</c:v>
                </c:pt>
                <c:pt idx="53">
                  <c:v>5.4844909697732902</c:v>
                </c:pt>
                <c:pt idx="54">
                  <c:v>-4.0853445486400233</c:v>
                </c:pt>
                <c:pt idx="55">
                  <c:v>-9.2427291748756062</c:v>
                </c:pt>
                <c:pt idx="56">
                  <c:v>19.635000375808687</c:v>
                </c:pt>
                <c:pt idx="57">
                  <c:v>-22.370205994061664</c:v>
                </c:pt>
                <c:pt idx="58">
                  <c:v>3.6490990669719565</c:v>
                </c:pt>
                <c:pt idx="59">
                  <c:v>-8.3945821612828837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5-8C4D-B3C7-D6452E8A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6080"/>
        <c:axId val="158608000"/>
      </c:scatterChart>
      <c:valAx>
        <c:axId val="158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Eagle's Average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08000"/>
        <c:crosses val="autoZero"/>
        <c:crossBetween val="midCat"/>
      </c:valAx>
      <c:valAx>
        <c:axId val="1586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Family Income in Thousands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Data'!$E$3:$E$62</c:f>
              <c:numCache>
                <c:formatCode>General</c:formatCode>
                <c:ptCount val="60"/>
                <c:pt idx="0">
                  <c:v>42.9</c:v>
                </c:pt>
                <c:pt idx="1">
                  <c:v>41.6</c:v>
                </c:pt>
                <c:pt idx="2">
                  <c:v>36.1</c:v>
                </c:pt>
                <c:pt idx="3">
                  <c:v>44.3</c:v>
                </c:pt>
                <c:pt idx="4">
                  <c:v>42.9</c:v>
                </c:pt>
                <c:pt idx="5">
                  <c:v>40.200000000000003</c:v>
                </c:pt>
                <c:pt idx="6">
                  <c:v>38.799999999999997</c:v>
                </c:pt>
                <c:pt idx="7">
                  <c:v>36.1</c:v>
                </c:pt>
                <c:pt idx="8">
                  <c:v>37.5</c:v>
                </c:pt>
                <c:pt idx="9">
                  <c:v>40.799999999999997</c:v>
                </c:pt>
                <c:pt idx="10">
                  <c:v>37.4</c:v>
                </c:pt>
                <c:pt idx="11">
                  <c:v>35.4</c:v>
                </c:pt>
                <c:pt idx="12">
                  <c:v>39.200000000000003</c:v>
                </c:pt>
                <c:pt idx="13">
                  <c:v>43.5</c:v>
                </c:pt>
                <c:pt idx="14">
                  <c:v>45</c:v>
                </c:pt>
                <c:pt idx="15">
                  <c:v>35.1</c:v>
                </c:pt>
                <c:pt idx="16">
                  <c:v>38</c:v>
                </c:pt>
                <c:pt idx="17">
                  <c:v>37.9</c:v>
                </c:pt>
                <c:pt idx="18">
                  <c:v>43.1</c:v>
                </c:pt>
                <c:pt idx="19">
                  <c:v>35.200000000000003</c:v>
                </c:pt>
                <c:pt idx="20">
                  <c:v>35</c:v>
                </c:pt>
                <c:pt idx="21">
                  <c:v>39.9</c:v>
                </c:pt>
                <c:pt idx="22">
                  <c:v>42.1</c:v>
                </c:pt>
                <c:pt idx="23">
                  <c:v>44.1</c:v>
                </c:pt>
                <c:pt idx="24">
                  <c:v>40.5</c:v>
                </c:pt>
                <c:pt idx="25">
                  <c:v>42.2</c:v>
                </c:pt>
                <c:pt idx="26">
                  <c:v>42.3</c:v>
                </c:pt>
                <c:pt idx="27">
                  <c:v>38.5</c:v>
                </c:pt>
                <c:pt idx="28">
                  <c:v>37.799999999999997</c:v>
                </c:pt>
                <c:pt idx="29">
                  <c:v>43.6</c:v>
                </c:pt>
                <c:pt idx="30">
                  <c:v>35.200000000000003</c:v>
                </c:pt>
                <c:pt idx="31">
                  <c:v>44.6</c:v>
                </c:pt>
                <c:pt idx="32">
                  <c:v>36.700000000000003</c:v>
                </c:pt>
                <c:pt idx="33">
                  <c:v>35.299999999999997</c:v>
                </c:pt>
                <c:pt idx="34">
                  <c:v>38.6</c:v>
                </c:pt>
                <c:pt idx="35">
                  <c:v>37.1</c:v>
                </c:pt>
                <c:pt idx="36">
                  <c:v>42.9</c:v>
                </c:pt>
                <c:pt idx="37">
                  <c:v>42.3</c:v>
                </c:pt>
                <c:pt idx="38">
                  <c:v>38.4</c:v>
                </c:pt>
                <c:pt idx="39">
                  <c:v>43.8</c:v>
                </c:pt>
                <c:pt idx="40">
                  <c:v>43</c:v>
                </c:pt>
                <c:pt idx="41">
                  <c:v>42.5</c:v>
                </c:pt>
                <c:pt idx="42">
                  <c:v>39</c:v>
                </c:pt>
                <c:pt idx="43">
                  <c:v>37.299999999999997</c:v>
                </c:pt>
                <c:pt idx="44">
                  <c:v>44.4</c:v>
                </c:pt>
                <c:pt idx="45">
                  <c:v>38.5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37.200000000000003</c:v>
                </c:pt>
                <c:pt idx="49">
                  <c:v>38.200000000000003</c:v>
                </c:pt>
                <c:pt idx="50">
                  <c:v>45</c:v>
                </c:pt>
                <c:pt idx="51">
                  <c:v>37.799999999999997</c:v>
                </c:pt>
                <c:pt idx="52">
                  <c:v>41.4</c:v>
                </c:pt>
                <c:pt idx="53">
                  <c:v>44.8</c:v>
                </c:pt>
                <c:pt idx="54">
                  <c:v>40.799999999999997</c:v>
                </c:pt>
                <c:pt idx="55">
                  <c:v>37.9</c:v>
                </c:pt>
                <c:pt idx="56">
                  <c:v>40.799999999999997</c:v>
                </c:pt>
                <c:pt idx="57">
                  <c:v>36.799999999999997</c:v>
                </c:pt>
                <c:pt idx="58">
                  <c:v>35.200000000000003</c:v>
                </c:pt>
                <c:pt idx="59">
                  <c:v>36.799999999999997</c:v>
                </c:pt>
              </c:numCache>
            </c:numRef>
          </c:xVal>
          <c:yVal>
            <c:numRef>
              <c:f>'Eagle Price Regression'!$C$26:$C$85</c:f>
              <c:numCache>
                <c:formatCode>General</c:formatCode>
                <c:ptCount val="60"/>
                <c:pt idx="0">
                  <c:v>-13.612655162149807</c:v>
                </c:pt>
                <c:pt idx="1">
                  <c:v>-0.29659427643977665</c:v>
                </c:pt>
                <c:pt idx="2">
                  <c:v>15.342701024890161</c:v>
                </c:pt>
                <c:pt idx="3">
                  <c:v>-28.674479856882016</c:v>
                </c:pt>
                <c:pt idx="4">
                  <c:v>20.32963508619612</c:v>
                </c:pt>
                <c:pt idx="5">
                  <c:v>25.699935370128443</c:v>
                </c:pt>
                <c:pt idx="6">
                  <c:v>-30.473950567524952</c:v>
                </c:pt>
                <c:pt idx="7">
                  <c:v>3.9960873322075514</c:v>
                </c:pt>
                <c:pt idx="8">
                  <c:v>1.9579292371504238</c:v>
                </c:pt>
                <c:pt idx="9">
                  <c:v>-3.8626797180751424</c:v>
                </c:pt>
                <c:pt idx="10">
                  <c:v>1.3570313974762342</c:v>
                </c:pt>
                <c:pt idx="11">
                  <c:v>16.688605193811767</c:v>
                </c:pt>
                <c:pt idx="12">
                  <c:v>-22.301016951088258</c:v>
                </c:pt>
                <c:pt idx="13">
                  <c:v>22.038222923138292</c:v>
                </c:pt>
                <c:pt idx="14">
                  <c:v>-20.823739618158342</c:v>
                </c:pt>
                <c:pt idx="15">
                  <c:v>-21.059720315350603</c:v>
                </c:pt>
                <c:pt idx="16">
                  <c:v>18.643236477971698</c:v>
                </c:pt>
                <c:pt idx="17">
                  <c:v>-12.15421471038281</c:v>
                </c:pt>
                <c:pt idx="18">
                  <c:v>6.0148348214256657</c:v>
                </c:pt>
                <c:pt idx="19">
                  <c:v>-6.9522726770804582</c:v>
                </c:pt>
                <c:pt idx="20">
                  <c:v>-18.675216588605075</c:v>
                </c:pt>
                <c:pt idx="21">
                  <c:v>1.5589388009582734</c:v>
                </c:pt>
                <c:pt idx="22">
                  <c:v>-6.2097404315410643</c:v>
                </c:pt>
                <c:pt idx="23">
                  <c:v>22.061069036082927</c:v>
                </c:pt>
                <c:pt idx="24">
                  <c:v>12.867657641675734</c:v>
                </c:pt>
                <c:pt idx="25">
                  <c:v>2.7406257144530173</c:v>
                </c:pt>
                <c:pt idx="26">
                  <c:v>1.9699650695738882</c:v>
                </c:pt>
                <c:pt idx="27">
                  <c:v>-3.4792265651880427</c:v>
                </c:pt>
                <c:pt idx="28">
                  <c:v>-3.9866270187664696</c:v>
                </c:pt>
                <c:pt idx="29">
                  <c:v>-9.8625708839256845</c:v>
                </c:pt>
                <c:pt idx="30">
                  <c:v>-9.7431645661753237</c:v>
                </c:pt>
                <c:pt idx="31">
                  <c:v>21.062646290655209</c:v>
                </c:pt>
                <c:pt idx="32">
                  <c:v>16.609693953822486</c:v>
                </c:pt>
                <c:pt idx="33">
                  <c:v>12.096386043696612</c:v>
                </c:pt>
                <c:pt idx="34">
                  <c:v>4.119721343312051</c:v>
                </c:pt>
                <c:pt idx="35">
                  <c:v>0.82583653995384054</c:v>
                </c:pt>
                <c:pt idx="36">
                  <c:v>-11.723431130110882</c:v>
                </c:pt>
                <c:pt idx="37">
                  <c:v>20.534160697006755</c:v>
                </c:pt>
                <c:pt idx="38">
                  <c:v>-30.927827579154588</c:v>
                </c:pt>
                <c:pt idx="39">
                  <c:v>-18.260974042609277</c:v>
                </c:pt>
                <c:pt idx="40">
                  <c:v>-4.5442834994168493</c:v>
                </c:pt>
                <c:pt idx="41">
                  <c:v>-13.400682351526825</c:v>
                </c:pt>
                <c:pt idx="42">
                  <c:v>32.304796644080213</c:v>
                </c:pt>
                <c:pt idx="43">
                  <c:v>-2.8695272059460137</c:v>
                </c:pt>
                <c:pt idx="44">
                  <c:v>-4.4166118387888389</c:v>
                </c:pt>
                <c:pt idx="45">
                  <c:v>27.487137898018162</c:v>
                </c:pt>
                <c:pt idx="46">
                  <c:v>-16.831395499056669</c:v>
                </c:pt>
                <c:pt idx="47">
                  <c:v>33.023129154766622</c:v>
                </c:pt>
                <c:pt idx="48">
                  <c:v>-5.6214775962605614</c:v>
                </c:pt>
                <c:pt idx="49">
                  <c:v>4.9779284975279694</c:v>
                </c:pt>
                <c:pt idx="50">
                  <c:v>1.0496379821182984</c:v>
                </c:pt>
                <c:pt idx="51">
                  <c:v>-3.3316108712854913</c:v>
                </c:pt>
                <c:pt idx="52">
                  <c:v>-7.9375871843037658</c:v>
                </c:pt>
                <c:pt idx="53">
                  <c:v>5.4844909697732902</c:v>
                </c:pt>
                <c:pt idx="54">
                  <c:v>-4.0853445486400233</c:v>
                </c:pt>
                <c:pt idx="55">
                  <c:v>-9.2427291748756062</c:v>
                </c:pt>
                <c:pt idx="56">
                  <c:v>19.635000375808687</c:v>
                </c:pt>
                <c:pt idx="57">
                  <c:v>-22.370205994061664</c:v>
                </c:pt>
                <c:pt idx="58">
                  <c:v>3.6490990669719565</c:v>
                </c:pt>
                <c:pt idx="59">
                  <c:v>-8.3945821612828837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9-D24A-8CC2-031A1E99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0288"/>
        <c:axId val="158638848"/>
      </c:scatterChart>
      <c:valAx>
        <c:axId val="1586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Family Income in Thousands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38848"/>
        <c:crosses val="autoZero"/>
        <c:crossBetween val="midCat"/>
      </c:valAx>
      <c:valAx>
        <c:axId val="15863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Promotional Budget in Thousands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Data'!$D$3:$D$62</c:f>
              <c:numCache>
                <c:formatCode>General</c:formatCode>
                <c:ptCount val="60"/>
                <c:pt idx="0">
                  <c:v>57.5</c:v>
                </c:pt>
                <c:pt idx="1">
                  <c:v>47.9</c:v>
                </c:pt>
                <c:pt idx="2">
                  <c:v>54.6</c:v>
                </c:pt>
                <c:pt idx="3">
                  <c:v>54.7</c:v>
                </c:pt>
                <c:pt idx="4">
                  <c:v>52.2</c:v>
                </c:pt>
                <c:pt idx="5">
                  <c:v>52.6</c:v>
                </c:pt>
                <c:pt idx="6">
                  <c:v>60.9</c:v>
                </c:pt>
                <c:pt idx="7">
                  <c:v>61.3</c:v>
                </c:pt>
                <c:pt idx="8">
                  <c:v>53</c:v>
                </c:pt>
                <c:pt idx="9">
                  <c:v>51.9</c:v>
                </c:pt>
                <c:pt idx="10">
                  <c:v>56.1</c:v>
                </c:pt>
                <c:pt idx="11">
                  <c:v>47.8</c:v>
                </c:pt>
                <c:pt idx="12">
                  <c:v>48</c:v>
                </c:pt>
                <c:pt idx="13">
                  <c:v>59</c:v>
                </c:pt>
                <c:pt idx="14">
                  <c:v>50.3</c:v>
                </c:pt>
                <c:pt idx="15">
                  <c:v>48.4</c:v>
                </c:pt>
                <c:pt idx="16">
                  <c:v>51.8</c:v>
                </c:pt>
                <c:pt idx="17">
                  <c:v>45.1</c:v>
                </c:pt>
                <c:pt idx="18">
                  <c:v>55.1</c:v>
                </c:pt>
                <c:pt idx="19">
                  <c:v>46.4</c:v>
                </c:pt>
                <c:pt idx="20">
                  <c:v>48.6</c:v>
                </c:pt>
                <c:pt idx="21">
                  <c:v>48.2</c:v>
                </c:pt>
                <c:pt idx="22">
                  <c:v>52.3</c:v>
                </c:pt>
                <c:pt idx="23">
                  <c:v>53.6</c:v>
                </c:pt>
                <c:pt idx="24">
                  <c:v>43.9</c:v>
                </c:pt>
                <c:pt idx="25">
                  <c:v>50.6</c:v>
                </c:pt>
                <c:pt idx="26">
                  <c:v>56.3</c:v>
                </c:pt>
                <c:pt idx="27">
                  <c:v>50.7</c:v>
                </c:pt>
                <c:pt idx="28">
                  <c:v>49.8</c:v>
                </c:pt>
                <c:pt idx="29">
                  <c:v>53.1</c:v>
                </c:pt>
                <c:pt idx="30">
                  <c:v>47.9</c:v>
                </c:pt>
                <c:pt idx="31">
                  <c:v>47.6</c:v>
                </c:pt>
                <c:pt idx="32">
                  <c:v>43.3</c:v>
                </c:pt>
                <c:pt idx="33">
                  <c:v>51.1</c:v>
                </c:pt>
                <c:pt idx="34">
                  <c:v>53.4</c:v>
                </c:pt>
                <c:pt idx="35">
                  <c:v>47.3</c:v>
                </c:pt>
                <c:pt idx="36">
                  <c:v>50.1</c:v>
                </c:pt>
                <c:pt idx="37">
                  <c:v>44.8</c:v>
                </c:pt>
                <c:pt idx="38">
                  <c:v>50.6</c:v>
                </c:pt>
                <c:pt idx="39">
                  <c:v>42.6</c:v>
                </c:pt>
                <c:pt idx="40">
                  <c:v>61.2</c:v>
                </c:pt>
                <c:pt idx="41">
                  <c:v>55.5</c:v>
                </c:pt>
                <c:pt idx="42">
                  <c:v>55</c:v>
                </c:pt>
                <c:pt idx="43">
                  <c:v>40.9</c:v>
                </c:pt>
                <c:pt idx="44">
                  <c:v>50.7</c:v>
                </c:pt>
                <c:pt idx="45">
                  <c:v>48.2</c:v>
                </c:pt>
                <c:pt idx="46">
                  <c:v>59.1</c:v>
                </c:pt>
                <c:pt idx="47">
                  <c:v>58.4</c:v>
                </c:pt>
                <c:pt idx="48">
                  <c:v>42.9</c:v>
                </c:pt>
                <c:pt idx="49">
                  <c:v>64.099999999999994</c:v>
                </c:pt>
                <c:pt idx="50">
                  <c:v>57.9</c:v>
                </c:pt>
                <c:pt idx="51">
                  <c:v>46.1</c:v>
                </c:pt>
                <c:pt idx="52">
                  <c:v>59.5</c:v>
                </c:pt>
                <c:pt idx="53">
                  <c:v>46.9</c:v>
                </c:pt>
                <c:pt idx="54">
                  <c:v>52.5</c:v>
                </c:pt>
                <c:pt idx="55">
                  <c:v>48.5</c:v>
                </c:pt>
                <c:pt idx="56">
                  <c:v>43.5</c:v>
                </c:pt>
                <c:pt idx="57">
                  <c:v>47.5</c:v>
                </c:pt>
                <c:pt idx="58">
                  <c:v>55.7</c:v>
                </c:pt>
                <c:pt idx="59">
                  <c:v>57</c:v>
                </c:pt>
              </c:numCache>
            </c:numRef>
          </c:xVal>
          <c:yVal>
            <c:numRef>
              <c:f>'Revised Multiple Regression'!$C$25:$C$84</c:f>
              <c:numCache>
                <c:formatCode>General</c:formatCode>
                <c:ptCount val="60"/>
                <c:pt idx="0">
                  <c:v>-10.127099731125696</c:v>
                </c:pt>
                <c:pt idx="1">
                  <c:v>2.144536287991798</c:v>
                </c:pt>
                <c:pt idx="2">
                  <c:v>10.94086465199527</c:v>
                </c:pt>
                <c:pt idx="3">
                  <c:v>-23.117407368277114</c:v>
                </c:pt>
                <c:pt idx="4">
                  <c:v>24.196955002807357</c:v>
                </c:pt>
                <c:pt idx="5">
                  <c:v>26.105569637594726</c:v>
                </c:pt>
                <c:pt idx="6">
                  <c:v>-32.293527521161934</c:v>
                </c:pt>
                <c:pt idx="7">
                  <c:v>-1.1841169006614081</c:v>
                </c:pt>
                <c:pt idx="8">
                  <c:v>-0.63774512603568212</c:v>
                </c:pt>
                <c:pt idx="9">
                  <c:v>-2.5384556189164016</c:v>
                </c:pt>
                <c:pt idx="10">
                  <c:v>-1.4710595711316614</c:v>
                </c:pt>
                <c:pt idx="11">
                  <c:v>12.050878909846361</c:v>
                </c:pt>
                <c:pt idx="12">
                  <c:v>-22.568053087837853</c:v>
                </c:pt>
                <c:pt idx="13">
                  <c:v>25.953076754480847</c:v>
                </c:pt>
                <c:pt idx="14">
                  <c:v>-14.361952055676909</c:v>
                </c:pt>
                <c:pt idx="15">
                  <c:v>-26.268869149878256</c:v>
                </c:pt>
                <c:pt idx="16">
                  <c:v>16.682033048179804</c:v>
                </c:pt>
                <c:pt idx="17">
                  <c:v>-14.081227311061362</c:v>
                </c:pt>
                <c:pt idx="18">
                  <c:v>9.7565472903216488</c:v>
                </c:pt>
                <c:pt idx="19">
                  <c:v>-12.097856844438567</c:v>
                </c:pt>
                <c:pt idx="20">
                  <c:v>-24.310642469783851</c:v>
                </c:pt>
                <c:pt idx="21">
                  <c:v>2.2658008644739454</c:v>
                </c:pt>
                <c:pt idx="22">
                  <c:v>-3.41802233016179</c:v>
                </c:pt>
                <c:pt idx="23">
                  <c:v>27.494496778522574</c:v>
                </c:pt>
                <c:pt idx="24">
                  <c:v>14.329120166326348</c:v>
                </c:pt>
                <c:pt idx="25">
                  <c:v>6.0474938668379963</c:v>
                </c:pt>
                <c:pt idx="26">
                  <c:v>4.8265424335652227</c:v>
                </c:pt>
                <c:pt idx="27">
                  <c:v>-4.7115741391475439</c:v>
                </c:pt>
                <c:pt idx="28">
                  <c:v>-6.1461586606673109</c:v>
                </c:pt>
                <c:pt idx="29">
                  <c:v>-5.2196544542425869</c:v>
                </c:pt>
                <c:pt idx="30">
                  <c:v>-14.797962413598228</c:v>
                </c:pt>
                <c:pt idx="31">
                  <c:v>27.321740305948424</c:v>
                </c:pt>
                <c:pt idx="32">
                  <c:v>13.665402228432143</c:v>
                </c:pt>
                <c:pt idx="33">
                  <c:v>6.6458465170700549</c:v>
                </c:pt>
                <c:pt idx="34">
                  <c:v>2.6653581746246289</c:v>
                </c:pt>
                <c:pt idx="35">
                  <c:v>-2.0530456403778459</c:v>
                </c:pt>
                <c:pt idx="36">
                  <c:v>-7.8619420175132859</c:v>
                </c:pt>
                <c:pt idx="37">
                  <c:v>23.855009410866415</c:v>
                </c:pt>
                <c:pt idx="38">
                  <c:v>-32.53836008792036</c:v>
                </c:pt>
                <c:pt idx="39">
                  <c:v>-12.551862343156969</c:v>
                </c:pt>
                <c:pt idx="40">
                  <c:v>-1.3699355534053836</c:v>
                </c:pt>
                <c:pt idx="41">
                  <c:v>-10.304893447116271</c:v>
                </c:pt>
                <c:pt idx="42">
                  <c:v>31.132149298688347</c:v>
                </c:pt>
                <c:pt idx="43">
                  <c:v>-4.8603814469482671</c:v>
                </c:pt>
                <c:pt idx="44">
                  <c:v>1.2364358965695317</c:v>
                </c:pt>
                <c:pt idx="45">
                  <c:v>26.07915092400242</c:v>
                </c:pt>
                <c:pt idx="46">
                  <c:v>-21.105195265791551</c:v>
                </c:pt>
                <c:pt idx="47">
                  <c:v>27.028734141189076</c:v>
                </c:pt>
                <c:pt idx="48">
                  <c:v>-7.6534390888961497</c:v>
                </c:pt>
                <c:pt idx="49">
                  <c:v>2.3873293428344908</c:v>
                </c:pt>
                <c:pt idx="50">
                  <c:v>7.1839028608011688</c:v>
                </c:pt>
                <c:pt idx="51">
                  <c:v>-5.0308795090228813</c:v>
                </c:pt>
                <c:pt idx="52">
                  <c:v>-6.1532253778358807</c:v>
                </c:pt>
                <c:pt idx="53">
                  <c:v>11.976123078010943</c:v>
                </c:pt>
                <c:pt idx="54">
                  <c:v>-2.8629190270549429</c:v>
                </c:pt>
                <c:pt idx="55">
                  <c:v>-11.430325113003306</c:v>
                </c:pt>
                <c:pt idx="56">
                  <c:v>21.385049569637218</c:v>
                </c:pt>
                <c:pt idx="57">
                  <c:v>-25.805045642824382</c:v>
                </c:pt>
                <c:pt idx="58">
                  <c:v>-1.9655281606773798</c:v>
                </c:pt>
                <c:pt idx="59">
                  <c:v>-12.457784966272015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C-A04D-9C8D-51997714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7904"/>
        <c:axId val="158669824"/>
      </c:scatterChart>
      <c:valAx>
        <c:axId val="1586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Promotional Budget in Thousands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69824"/>
        <c:crosses val="autoZero"/>
        <c:crossBetween val="midCat"/>
      </c:valAx>
      <c:valAx>
        <c:axId val="15866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6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Eagle's Average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Data'!$F$3:$F$62</c:f>
              <c:numCache>
                <c:formatCode>General</c:formatCode>
                <c:ptCount val="60"/>
                <c:pt idx="0">
                  <c:v>2.76</c:v>
                </c:pt>
                <c:pt idx="1">
                  <c:v>2.96</c:v>
                </c:pt>
                <c:pt idx="2">
                  <c:v>2.5</c:v>
                </c:pt>
                <c:pt idx="3">
                  <c:v>2.42</c:v>
                </c:pt>
                <c:pt idx="4">
                  <c:v>2.71</c:v>
                </c:pt>
                <c:pt idx="5">
                  <c:v>3.01</c:v>
                </c:pt>
                <c:pt idx="6">
                  <c:v>2.97</c:v>
                </c:pt>
                <c:pt idx="7">
                  <c:v>3.09</c:v>
                </c:pt>
                <c:pt idx="8">
                  <c:v>2.4900000000000002</c:v>
                </c:pt>
                <c:pt idx="9">
                  <c:v>2.75</c:v>
                </c:pt>
                <c:pt idx="10">
                  <c:v>2.3199999999999998</c:v>
                </c:pt>
                <c:pt idx="11">
                  <c:v>2.2200000000000002</c:v>
                </c:pt>
                <c:pt idx="12">
                  <c:v>2.6</c:v>
                </c:pt>
                <c:pt idx="13">
                  <c:v>3.11</c:v>
                </c:pt>
                <c:pt idx="14">
                  <c:v>2.84</c:v>
                </c:pt>
                <c:pt idx="15">
                  <c:v>2.52</c:v>
                </c:pt>
                <c:pt idx="16">
                  <c:v>2.58</c:v>
                </c:pt>
                <c:pt idx="17">
                  <c:v>3.1</c:v>
                </c:pt>
                <c:pt idx="18">
                  <c:v>3.02</c:v>
                </c:pt>
                <c:pt idx="19">
                  <c:v>2.86</c:v>
                </c:pt>
                <c:pt idx="20">
                  <c:v>3.04</c:v>
                </c:pt>
                <c:pt idx="21">
                  <c:v>2.35</c:v>
                </c:pt>
                <c:pt idx="22">
                  <c:v>2.89</c:v>
                </c:pt>
                <c:pt idx="23">
                  <c:v>2.34</c:v>
                </c:pt>
                <c:pt idx="24">
                  <c:v>2.81</c:v>
                </c:pt>
                <c:pt idx="25">
                  <c:v>2.39</c:v>
                </c:pt>
                <c:pt idx="26">
                  <c:v>2.73</c:v>
                </c:pt>
                <c:pt idx="27">
                  <c:v>2.4900000000000002</c:v>
                </c:pt>
                <c:pt idx="28">
                  <c:v>2.74</c:v>
                </c:pt>
                <c:pt idx="29">
                  <c:v>2.73</c:v>
                </c:pt>
                <c:pt idx="30">
                  <c:v>2.52</c:v>
                </c:pt>
                <c:pt idx="31">
                  <c:v>2.66</c:v>
                </c:pt>
                <c:pt idx="32">
                  <c:v>2.54</c:v>
                </c:pt>
                <c:pt idx="33">
                  <c:v>3.06</c:v>
                </c:pt>
                <c:pt idx="34">
                  <c:v>2.78</c:v>
                </c:pt>
                <c:pt idx="35">
                  <c:v>2.81</c:v>
                </c:pt>
                <c:pt idx="36">
                  <c:v>2.97</c:v>
                </c:pt>
                <c:pt idx="37">
                  <c:v>3.27</c:v>
                </c:pt>
                <c:pt idx="38">
                  <c:v>2.96</c:v>
                </c:pt>
                <c:pt idx="39">
                  <c:v>2.5099999999999998</c:v>
                </c:pt>
                <c:pt idx="40">
                  <c:v>3.09</c:v>
                </c:pt>
                <c:pt idx="41">
                  <c:v>2.83</c:v>
                </c:pt>
                <c:pt idx="42">
                  <c:v>2.95</c:v>
                </c:pt>
                <c:pt idx="43">
                  <c:v>2.42</c:v>
                </c:pt>
                <c:pt idx="44">
                  <c:v>2.94</c:v>
                </c:pt>
                <c:pt idx="45">
                  <c:v>3.1</c:v>
                </c:pt>
                <c:pt idx="46">
                  <c:v>3.03</c:v>
                </c:pt>
                <c:pt idx="47">
                  <c:v>2.73</c:v>
                </c:pt>
                <c:pt idx="48">
                  <c:v>2.04</c:v>
                </c:pt>
                <c:pt idx="49">
                  <c:v>2.67</c:v>
                </c:pt>
                <c:pt idx="50">
                  <c:v>2.52</c:v>
                </c:pt>
                <c:pt idx="51">
                  <c:v>2.36</c:v>
                </c:pt>
                <c:pt idx="52">
                  <c:v>2.3199999999999998</c:v>
                </c:pt>
                <c:pt idx="53">
                  <c:v>2.76</c:v>
                </c:pt>
                <c:pt idx="54">
                  <c:v>2.86</c:v>
                </c:pt>
                <c:pt idx="55">
                  <c:v>3.16</c:v>
                </c:pt>
                <c:pt idx="56">
                  <c:v>2.99</c:v>
                </c:pt>
                <c:pt idx="57">
                  <c:v>3.13</c:v>
                </c:pt>
                <c:pt idx="58">
                  <c:v>2.59</c:v>
                </c:pt>
                <c:pt idx="59">
                  <c:v>3.12</c:v>
                </c:pt>
              </c:numCache>
            </c:numRef>
          </c:xVal>
          <c:yVal>
            <c:numRef>
              <c:f>'Revised Multiple Regression'!$C$25:$C$84</c:f>
              <c:numCache>
                <c:formatCode>General</c:formatCode>
                <c:ptCount val="60"/>
                <c:pt idx="0">
                  <c:v>-10.127099731125696</c:v>
                </c:pt>
                <c:pt idx="1">
                  <c:v>2.144536287991798</c:v>
                </c:pt>
                <c:pt idx="2">
                  <c:v>10.94086465199527</c:v>
                </c:pt>
                <c:pt idx="3">
                  <c:v>-23.117407368277114</c:v>
                </c:pt>
                <c:pt idx="4">
                  <c:v>24.196955002807357</c:v>
                </c:pt>
                <c:pt idx="5">
                  <c:v>26.105569637594726</c:v>
                </c:pt>
                <c:pt idx="6">
                  <c:v>-32.293527521161934</c:v>
                </c:pt>
                <c:pt idx="7">
                  <c:v>-1.1841169006614081</c:v>
                </c:pt>
                <c:pt idx="8">
                  <c:v>-0.63774512603568212</c:v>
                </c:pt>
                <c:pt idx="9">
                  <c:v>-2.5384556189164016</c:v>
                </c:pt>
                <c:pt idx="10">
                  <c:v>-1.4710595711316614</c:v>
                </c:pt>
                <c:pt idx="11">
                  <c:v>12.050878909846361</c:v>
                </c:pt>
                <c:pt idx="12">
                  <c:v>-22.568053087837853</c:v>
                </c:pt>
                <c:pt idx="13">
                  <c:v>25.953076754480847</c:v>
                </c:pt>
                <c:pt idx="14">
                  <c:v>-14.361952055676909</c:v>
                </c:pt>
                <c:pt idx="15">
                  <c:v>-26.268869149878256</c:v>
                </c:pt>
                <c:pt idx="16">
                  <c:v>16.682033048179804</c:v>
                </c:pt>
                <c:pt idx="17">
                  <c:v>-14.081227311061362</c:v>
                </c:pt>
                <c:pt idx="18">
                  <c:v>9.7565472903216488</c:v>
                </c:pt>
                <c:pt idx="19">
                  <c:v>-12.097856844438567</c:v>
                </c:pt>
                <c:pt idx="20">
                  <c:v>-24.310642469783851</c:v>
                </c:pt>
                <c:pt idx="21">
                  <c:v>2.2658008644739454</c:v>
                </c:pt>
                <c:pt idx="22">
                  <c:v>-3.41802233016179</c:v>
                </c:pt>
                <c:pt idx="23">
                  <c:v>27.494496778522574</c:v>
                </c:pt>
                <c:pt idx="24">
                  <c:v>14.329120166326348</c:v>
                </c:pt>
                <c:pt idx="25">
                  <c:v>6.0474938668379963</c:v>
                </c:pt>
                <c:pt idx="26">
                  <c:v>4.8265424335652227</c:v>
                </c:pt>
                <c:pt idx="27">
                  <c:v>-4.7115741391475439</c:v>
                </c:pt>
                <c:pt idx="28">
                  <c:v>-6.1461586606673109</c:v>
                </c:pt>
                <c:pt idx="29">
                  <c:v>-5.2196544542425869</c:v>
                </c:pt>
                <c:pt idx="30">
                  <c:v>-14.797962413598228</c:v>
                </c:pt>
                <c:pt idx="31">
                  <c:v>27.321740305948424</c:v>
                </c:pt>
                <c:pt idx="32">
                  <c:v>13.665402228432143</c:v>
                </c:pt>
                <c:pt idx="33">
                  <c:v>6.6458465170700549</c:v>
                </c:pt>
                <c:pt idx="34">
                  <c:v>2.6653581746246289</c:v>
                </c:pt>
                <c:pt idx="35">
                  <c:v>-2.0530456403778459</c:v>
                </c:pt>
                <c:pt idx="36">
                  <c:v>-7.8619420175132859</c:v>
                </c:pt>
                <c:pt idx="37">
                  <c:v>23.855009410866415</c:v>
                </c:pt>
                <c:pt idx="38">
                  <c:v>-32.53836008792036</c:v>
                </c:pt>
                <c:pt idx="39">
                  <c:v>-12.551862343156969</c:v>
                </c:pt>
                <c:pt idx="40">
                  <c:v>-1.3699355534053836</c:v>
                </c:pt>
                <c:pt idx="41">
                  <c:v>-10.304893447116271</c:v>
                </c:pt>
                <c:pt idx="42">
                  <c:v>31.132149298688347</c:v>
                </c:pt>
                <c:pt idx="43">
                  <c:v>-4.8603814469482671</c:v>
                </c:pt>
                <c:pt idx="44">
                  <c:v>1.2364358965695317</c:v>
                </c:pt>
                <c:pt idx="45">
                  <c:v>26.07915092400242</c:v>
                </c:pt>
                <c:pt idx="46">
                  <c:v>-21.105195265791551</c:v>
                </c:pt>
                <c:pt idx="47">
                  <c:v>27.028734141189076</c:v>
                </c:pt>
                <c:pt idx="48">
                  <c:v>-7.6534390888961497</c:v>
                </c:pt>
                <c:pt idx="49">
                  <c:v>2.3873293428344908</c:v>
                </c:pt>
                <c:pt idx="50">
                  <c:v>7.1839028608011688</c:v>
                </c:pt>
                <c:pt idx="51">
                  <c:v>-5.0308795090228813</c:v>
                </c:pt>
                <c:pt idx="52">
                  <c:v>-6.1532253778358807</c:v>
                </c:pt>
                <c:pt idx="53">
                  <c:v>11.976123078010943</c:v>
                </c:pt>
                <c:pt idx="54">
                  <c:v>-2.8629190270549429</c:v>
                </c:pt>
                <c:pt idx="55">
                  <c:v>-11.430325113003306</c:v>
                </c:pt>
                <c:pt idx="56">
                  <c:v>21.385049569637218</c:v>
                </c:pt>
                <c:pt idx="57">
                  <c:v>-25.805045642824382</c:v>
                </c:pt>
                <c:pt idx="58">
                  <c:v>-1.9655281606773798</c:v>
                </c:pt>
                <c:pt idx="59">
                  <c:v>-12.457784966272015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254A-BE54-77D1919B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0784"/>
        <c:axId val="158712960"/>
      </c:scatterChart>
      <c:valAx>
        <c:axId val="1587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Eagle's Average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12960"/>
        <c:crosses val="autoZero"/>
        <c:crossBetween val="midCat"/>
      </c:valAx>
      <c:valAx>
        <c:axId val="15871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1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and Promotional Budget Plot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77589294098768558"/>
                  <c:y val="-0.19591741838980695"/>
                </c:manualLayout>
              </c:layout>
              <c:numFmt formatCode="General" sourceLinked="0"/>
            </c:trendlineLbl>
          </c:trendline>
          <c:xVal>
            <c:numRef>
              <c:f>'Price &amp; Promo Collinearity'!$C$4:$C$63</c:f>
              <c:numCache>
                <c:formatCode>General</c:formatCode>
                <c:ptCount val="60"/>
                <c:pt idx="0">
                  <c:v>2.76</c:v>
                </c:pt>
                <c:pt idx="1">
                  <c:v>2.96</c:v>
                </c:pt>
                <c:pt idx="2">
                  <c:v>2.5</c:v>
                </c:pt>
                <c:pt idx="3">
                  <c:v>2.42</c:v>
                </c:pt>
                <c:pt idx="4">
                  <c:v>2.71</c:v>
                </c:pt>
                <c:pt idx="5">
                  <c:v>3.01</c:v>
                </c:pt>
                <c:pt idx="6">
                  <c:v>2.97</c:v>
                </c:pt>
                <c:pt idx="7">
                  <c:v>3.09</c:v>
                </c:pt>
                <c:pt idx="8">
                  <c:v>2.4900000000000002</c:v>
                </c:pt>
                <c:pt idx="9">
                  <c:v>2.75</c:v>
                </c:pt>
                <c:pt idx="10">
                  <c:v>2.3199999999999998</c:v>
                </c:pt>
                <c:pt idx="11">
                  <c:v>2.2200000000000002</c:v>
                </c:pt>
                <c:pt idx="12">
                  <c:v>2.6</c:v>
                </c:pt>
                <c:pt idx="13">
                  <c:v>3.11</c:v>
                </c:pt>
                <c:pt idx="14">
                  <c:v>2.84</c:v>
                </c:pt>
                <c:pt idx="15">
                  <c:v>2.52</c:v>
                </c:pt>
                <c:pt idx="16">
                  <c:v>2.58</c:v>
                </c:pt>
                <c:pt idx="17">
                  <c:v>3.1</c:v>
                </c:pt>
                <c:pt idx="18">
                  <c:v>3.02</c:v>
                </c:pt>
                <c:pt idx="19">
                  <c:v>2.86</c:v>
                </c:pt>
                <c:pt idx="20">
                  <c:v>3.04</c:v>
                </c:pt>
                <c:pt idx="21">
                  <c:v>2.35</c:v>
                </c:pt>
                <c:pt idx="22">
                  <c:v>2.89</c:v>
                </c:pt>
                <c:pt idx="23">
                  <c:v>2.34</c:v>
                </c:pt>
                <c:pt idx="24">
                  <c:v>2.81</c:v>
                </c:pt>
                <c:pt idx="25">
                  <c:v>2.39</c:v>
                </c:pt>
                <c:pt idx="26">
                  <c:v>2.73</c:v>
                </c:pt>
                <c:pt idx="27">
                  <c:v>2.4900000000000002</c:v>
                </c:pt>
                <c:pt idx="28">
                  <c:v>2.74</c:v>
                </c:pt>
                <c:pt idx="29">
                  <c:v>2.73</c:v>
                </c:pt>
                <c:pt idx="30">
                  <c:v>2.52</c:v>
                </c:pt>
                <c:pt idx="31">
                  <c:v>2.66</c:v>
                </c:pt>
                <c:pt idx="32">
                  <c:v>2.54</c:v>
                </c:pt>
                <c:pt idx="33">
                  <c:v>3.06</c:v>
                </c:pt>
                <c:pt idx="34">
                  <c:v>2.78</c:v>
                </c:pt>
                <c:pt idx="35">
                  <c:v>2.81</c:v>
                </c:pt>
                <c:pt idx="36">
                  <c:v>2.97</c:v>
                </c:pt>
                <c:pt idx="37">
                  <c:v>3.27</c:v>
                </c:pt>
                <c:pt idx="38">
                  <c:v>2.96</c:v>
                </c:pt>
                <c:pt idx="39">
                  <c:v>2.5099999999999998</c:v>
                </c:pt>
                <c:pt idx="40">
                  <c:v>3.09</c:v>
                </c:pt>
                <c:pt idx="41">
                  <c:v>2.83</c:v>
                </c:pt>
                <c:pt idx="42">
                  <c:v>2.95</c:v>
                </c:pt>
                <c:pt idx="43">
                  <c:v>2.42</c:v>
                </c:pt>
                <c:pt idx="44">
                  <c:v>2.94</c:v>
                </c:pt>
                <c:pt idx="45">
                  <c:v>3.1</c:v>
                </c:pt>
                <c:pt idx="46">
                  <c:v>3.03</c:v>
                </c:pt>
                <c:pt idx="47">
                  <c:v>2.73</c:v>
                </c:pt>
                <c:pt idx="48">
                  <c:v>2.04</c:v>
                </c:pt>
                <c:pt idx="49">
                  <c:v>2.67</c:v>
                </c:pt>
                <c:pt idx="50">
                  <c:v>2.52</c:v>
                </c:pt>
                <c:pt idx="51">
                  <c:v>2.36</c:v>
                </c:pt>
                <c:pt idx="52">
                  <c:v>2.3199999999999998</c:v>
                </c:pt>
                <c:pt idx="53">
                  <c:v>2.76</c:v>
                </c:pt>
                <c:pt idx="54">
                  <c:v>2.86</c:v>
                </c:pt>
                <c:pt idx="55">
                  <c:v>3.16</c:v>
                </c:pt>
                <c:pt idx="56">
                  <c:v>2.99</c:v>
                </c:pt>
                <c:pt idx="57">
                  <c:v>3.13</c:v>
                </c:pt>
                <c:pt idx="58">
                  <c:v>2.59</c:v>
                </c:pt>
                <c:pt idx="59">
                  <c:v>3.12</c:v>
                </c:pt>
              </c:numCache>
            </c:numRef>
          </c:xVal>
          <c:yVal>
            <c:numRef>
              <c:f>'Price &amp; Promo Collinearity'!$B$4:$B$63</c:f>
              <c:numCache>
                <c:formatCode>General</c:formatCode>
                <c:ptCount val="60"/>
                <c:pt idx="0">
                  <c:v>57.5</c:v>
                </c:pt>
                <c:pt idx="1">
                  <c:v>47.9</c:v>
                </c:pt>
                <c:pt idx="2">
                  <c:v>54.6</c:v>
                </c:pt>
                <c:pt idx="3">
                  <c:v>54.7</c:v>
                </c:pt>
                <c:pt idx="4">
                  <c:v>52.2</c:v>
                </c:pt>
                <c:pt idx="5">
                  <c:v>52.6</c:v>
                </c:pt>
                <c:pt idx="6">
                  <c:v>60.9</c:v>
                </c:pt>
                <c:pt idx="7">
                  <c:v>61.3</c:v>
                </c:pt>
                <c:pt idx="8">
                  <c:v>53</c:v>
                </c:pt>
                <c:pt idx="9">
                  <c:v>51.9</c:v>
                </c:pt>
                <c:pt idx="10">
                  <c:v>56.1</c:v>
                </c:pt>
                <c:pt idx="11">
                  <c:v>47.8</c:v>
                </c:pt>
                <c:pt idx="12">
                  <c:v>48</c:v>
                </c:pt>
                <c:pt idx="13">
                  <c:v>59</c:v>
                </c:pt>
                <c:pt idx="14">
                  <c:v>50.3</c:v>
                </c:pt>
                <c:pt idx="15">
                  <c:v>48.4</c:v>
                </c:pt>
                <c:pt idx="16">
                  <c:v>51.8</c:v>
                </c:pt>
                <c:pt idx="17">
                  <c:v>45.1</c:v>
                </c:pt>
                <c:pt idx="18">
                  <c:v>55.1</c:v>
                </c:pt>
                <c:pt idx="19">
                  <c:v>46.4</c:v>
                </c:pt>
                <c:pt idx="20">
                  <c:v>48.6</c:v>
                </c:pt>
                <c:pt idx="21">
                  <c:v>48.2</c:v>
                </c:pt>
                <c:pt idx="22">
                  <c:v>52.3</c:v>
                </c:pt>
                <c:pt idx="23">
                  <c:v>53.6</c:v>
                </c:pt>
                <c:pt idx="24">
                  <c:v>43.9</c:v>
                </c:pt>
                <c:pt idx="25">
                  <c:v>50.6</c:v>
                </c:pt>
                <c:pt idx="26">
                  <c:v>56.3</c:v>
                </c:pt>
                <c:pt idx="27">
                  <c:v>50.7</c:v>
                </c:pt>
                <c:pt idx="28">
                  <c:v>49.8</c:v>
                </c:pt>
                <c:pt idx="29">
                  <c:v>53.1</c:v>
                </c:pt>
                <c:pt idx="30">
                  <c:v>47.9</c:v>
                </c:pt>
                <c:pt idx="31">
                  <c:v>47.6</c:v>
                </c:pt>
                <c:pt idx="32">
                  <c:v>43.3</c:v>
                </c:pt>
                <c:pt idx="33">
                  <c:v>51.1</c:v>
                </c:pt>
                <c:pt idx="34">
                  <c:v>53.4</c:v>
                </c:pt>
                <c:pt idx="35">
                  <c:v>47.3</c:v>
                </c:pt>
                <c:pt idx="36">
                  <c:v>50.1</c:v>
                </c:pt>
                <c:pt idx="37">
                  <c:v>44.8</c:v>
                </c:pt>
                <c:pt idx="38">
                  <c:v>50.6</c:v>
                </c:pt>
                <c:pt idx="39">
                  <c:v>42.6</c:v>
                </c:pt>
                <c:pt idx="40">
                  <c:v>61.2</c:v>
                </c:pt>
                <c:pt idx="41">
                  <c:v>55.5</c:v>
                </c:pt>
                <c:pt idx="42">
                  <c:v>55</c:v>
                </c:pt>
                <c:pt idx="43">
                  <c:v>40.9</c:v>
                </c:pt>
                <c:pt idx="44">
                  <c:v>50.7</c:v>
                </c:pt>
                <c:pt idx="45">
                  <c:v>48.2</c:v>
                </c:pt>
                <c:pt idx="46">
                  <c:v>59.1</c:v>
                </c:pt>
                <c:pt idx="47">
                  <c:v>58.4</c:v>
                </c:pt>
                <c:pt idx="48">
                  <c:v>42.9</c:v>
                </c:pt>
                <c:pt idx="49">
                  <c:v>64.099999999999994</c:v>
                </c:pt>
                <c:pt idx="50">
                  <c:v>57.9</c:v>
                </c:pt>
                <c:pt idx="51">
                  <c:v>46.1</c:v>
                </c:pt>
                <c:pt idx="52">
                  <c:v>59.5</c:v>
                </c:pt>
                <c:pt idx="53">
                  <c:v>46.9</c:v>
                </c:pt>
                <c:pt idx="54">
                  <c:v>52.5</c:v>
                </c:pt>
                <c:pt idx="55">
                  <c:v>48.5</c:v>
                </c:pt>
                <c:pt idx="56">
                  <c:v>43.5</c:v>
                </c:pt>
                <c:pt idx="57">
                  <c:v>47.5</c:v>
                </c:pt>
                <c:pt idx="58">
                  <c:v>55.7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7-8D40-B896-124B6B65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7328"/>
        <c:axId val="156069248"/>
      </c:scatterChart>
      <c:valAx>
        <c:axId val="1560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Eagle Average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69248"/>
        <c:crosses val="autoZero"/>
        <c:crossBetween val="midCat"/>
      </c:valAx>
      <c:valAx>
        <c:axId val="156069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Market Promotional </a:t>
                </a:r>
              </a:p>
              <a:p>
                <a:pPr>
                  <a:defRPr/>
                </a:pPr>
                <a:r>
                  <a:rPr lang="en-US" sz="1200"/>
                  <a:t>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6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Competitor Price and Promotional Budget Plot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7129528284024742"/>
                  <c:y val="-0.18583404386063571"/>
                </c:manualLayout>
              </c:layout>
              <c:numFmt formatCode="General" sourceLinked="0"/>
            </c:trendlineLbl>
          </c:trendline>
          <c:xVal>
            <c:numRef>
              <c:f>'Com Price &amp; Promo Collinearity'!$C$4:$C$63</c:f>
              <c:numCache>
                <c:formatCode>General</c:formatCode>
                <c:ptCount val="60"/>
                <c:pt idx="0">
                  <c:v>2.84</c:v>
                </c:pt>
                <c:pt idx="1">
                  <c:v>1.62</c:v>
                </c:pt>
                <c:pt idx="2">
                  <c:v>2.87</c:v>
                </c:pt>
                <c:pt idx="3">
                  <c:v>2.06</c:v>
                </c:pt>
                <c:pt idx="4">
                  <c:v>2.17</c:v>
                </c:pt>
                <c:pt idx="5">
                  <c:v>3.43</c:v>
                </c:pt>
                <c:pt idx="6">
                  <c:v>1.85</c:v>
                </c:pt>
                <c:pt idx="7">
                  <c:v>2.54</c:v>
                </c:pt>
                <c:pt idx="8">
                  <c:v>3.09</c:v>
                </c:pt>
                <c:pt idx="9">
                  <c:v>1.63</c:v>
                </c:pt>
                <c:pt idx="10">
                  <c:v>1.52</c:v>
                </c:pt>
                <c:pt idx="11">
                  <c:v>1.82</c:v>
                </c:pt>
                <c:pt idx="12">
                  <c:v>1.81</c:v>
                </c:pt>
                <c:pt idx="13">
                  <c:v>2.8</c:v>
                </c:pt>
                <c:pt idx="14">
                  <c:v>3.38</c:v>
                </c:pt>
                <c:pt idx="15">
                  <c:v>2.78</c:v>
                </c:pt>
                <c:pt idx="16">
                  <c:v>1.71</c:v>
                </c:pt>
                <c:pt idx="17">
                  <c:v>2.0699999999999998</c:v>
                </c:pt>
                <c:pt idx="18">
                  <c:v>3.29</c:v>
                </c:pt>
                <c:pt idx="19">
                  <c:v>3.28</c:v>
                </c:pt>
                <c:pt idx="20">
                  <c:v>2.64</c:v>
                </c:pt>
                <c:pt idx="21">
                  <c:v>1.75</c:v>
                </c:pt>
                <c:pt idx="22">
                  <c:v>3.25</c:v>
                </c:pt>
                <c:pt idx="23">
                  <c:v>1.81</c:v>
                </c:pt>
                <c:pt idx="24">
                  <c:v>3.15</c:v>
                </c:pt>
                <c:pt idx="25">
                  <c:v>2.5499999999999998</c:v>
                </c:pt>
                <c:pt idx="26">
                  <c:v>2.0499999999999998</c:v>
                </c:pt>
                <c:pt idx="27">
                  <c:v>2.19</c:v>
                </c:pt>
                <c:pt idx="28">
                  <c:v>1.91</c:v>
                </c:pt>
                <c:pt idx="29">
                  <c:v>2.3199999999999998</c:v>
                </c:pt>
                <c:pt idx="30">
                  <c:v>2.0699999999999998</c:v>
                </c:pt>
                <c:pt idx="31">
                  <c:v>1.95</c:v>
                </c:pt>
                <c:pt idx="32">
                  <c:v>1.74</c:v>
                </c:pt>
                <c:pt idx="33">
                  <c:v>1.76</c:v>
                </c:pt>
                <c:pt idx="34">
                  <c:v>2.41</c:v>
                </c:pt>
                <c:pt idx="35">
                  <c:v>3.33</c:v>
                </c:pt>
                <c:pt idx="36">
                  <c:v>1.62</c:v>
                </c:pt>
                <c:pt idx="37">
                  <c:v>2.37</c:v>
                </c:pt>
                <c:pt idx="38">
                  <c:v>2.25</c:v>
                </c:pt>
                <c:pt idx="39">
                  <c:v>2.5299999999999998</c:v>
                </c:pt>
                <c:pt idx="40">
                  <c:v>3.31</c:v>
                </c:pt>
                <c:pt idx="41">
                  <c:v>3.45</c:v>
                </c:pt>
                <c:pt idx="42">
                  <c:v>2.02</c:v>
                </c:pt>
                <c:pt idx="43">
                  <c:v>3.07</c:v>
                </c:pt>
                <c:pt idx="44">
                  <c:v>2.54</c:v>
                </c:pt>
                <c:pt idx="45">
                  <c:v>2.75</c:v>
                </c:pt>
                <c:pt idx="46">
                  <c:v>3.12</c:v>
                </c:pt>
                <c:pt idx="47">
                  <c:v>2.0699999999999998</c:v>
                </c:pt>
                <c:pt idx="48">
                  <c:v>2.75</c:v>
                </c:pt>
                <c:pt idx="49">
                  <c:v>1.87</c:v>
                </c:pt>
                <c:pt idx="50">
                  <c:v>2.64</c:v>
                </c:pt>
                <c:pt idx="51">
                  <c:v>2.16</c:v>
                </c:pt>
                <c:pt idx="52">
                  <c:v>2.2000000000000002</c:v>
                </c:pt>
                <c:pt idx="53">
                  <c:v>1.94</c:v>
                </c:pt>
                <c:pt idx="54">
                  <c:v>3.05</c:v>
                </c:pt>
                <c:pt idx="55">
                  <c:v>2.85</c:v>
                </c:pt>
                <c:pt idx="56">
                  <c:v>3.38</c:v>
                </c:pt>
                <c:pt idx="57">
                  <c:v>1.56</c:v>
                </c:pt>
                <c:pt idx="58">
                  <c:v>2.14</c:v>
                </c:pt>
                <c:pt idx="59">
                  <c:v>3.07</c:v>
                </c:pt>
              </c:numCache>
            </c:numRef>
          </c:xVal>
          <c:yVal>
            <c:numRef>
              <c:f>'Com Price &amp; Promo Collinearity'!$B$4:$B$63</c:f>
              <c:numCache>
                <c:formatCode>General</c:formatCode>
                <c:ptCount val="60"/>
                <c:pt idx="0">
                  <c:v>57.5</c:v>
                </c:pt>
                <c:pt idx="1">
                  <c:v>47.9</c:v>
                </c:pt>
                <c:pt idx="2">
                  <c:v>54.6</c:v>
                </c:pt>
                <c:pt idx="3">
                  <c:v>54.7</c:v>
                </c:pt>
                <c:pt idx="4">
                  <c:v>52.2</c:v>
                </c:pt>
                <c:pt idx="5">
                  <c:v>52.6</c:v>
                </c:pt>
                <c:pt idx="6">
                  <c:v>60.9</c:v>
                </c:pt>
                <c:pt idx="7">
                  <c:v>61.3</c:v>
                </c:pt>
                <c:pt idx="8">
                  <c:v>53</c:v>
                </c:pt>
                <c:pt idx="9">
                  <c:v>51.9</c:v>
                </c:pt>
                <c:pt idx="10">
                  <c:v>56.1</c:v>
                </c:pt>
                <c:pt idx="11">
                  <c:v>47.8</c:v>
                </c:pt>
                <c:pt idx="12">
                  <c:v>48</c:v>
                </c:pt>
                <c:pt idx="13">
                  <c:v>59</c:v>
                </c:pt>
                <c:pt idx="14">
                  <c:v>50.3</c:v>
                </c:pt>
                <c:pt idx="15">
                  <c:v>48.4</c:v>
                </c:pt>
                <c:pt idx="16">
                  <c:v>51.8</c:v>
                </c:pt>
                <c:pt idx="17">
                  <c:v>45.1</c:v>
                </c:pt>
                <c:pt idx="18">
                  <c:v>55.1</c:v>
                </c:pt>
                <c:pt idx="19">
                  <c:v>46.4</c:v>
                </c:pt>
                <c:pt idx="20">
                  <c:v>48.6</c:v>
                </c:pt>
                <c:pt idx="21">
                  <c:v>48.2</c:v>
                </c:pt>
                <c:pt idx="22">
                  <c:v>52.3</c:v>
                </c:pt>
                <c:pt idx="23">
                  <c:v>53.6</c:v>
                </c:pt>
                <c:pt idx="24">
                  <c:v>43.9</c:v>
                </c:pt>
                <c:pt idx="25">
                  <c:v>50.6</c:v>
                </c:pt>
                <c:pt idx="26">
                  <c:v>56.3</c:v>
                </c:pt>
                <c:pt idx="27">
                  <c:v>50.7</c:v>
                </c:pt>
                <c:pt idx="28">
                  <c:v>49.8</c:v>
                </c:pt>
                <c:pt idx="29">
                  <c:v>53.1</c:v>
                </c:pt>
                <c:pt idx="30">
                  <c:v>47.9</c:v>
                </c:pt>
                <c:pt idx="31">
                  <c:v>47.6</c:v>
                </c:pt>
                <c:pt idx="32">
                  <c:v>43.3</c:v>
                </c:pt>
                <c:pt idx="33">
                  <c:v>51.1</c:v>
                </c:pt>
                <c:pt idx="34">
                  <c:v>53.4</c:v>
                </c:pt>
                <c:pt idx="35">
                  <c:v>47.3</c:v>
                </c:pt>
                <c:pt idx="36">
                  <c:v>50.1</c:v>
                </c:pt>
                <c:pt idx="37">
                  <c:v>44.8</c:v>
                </c:pt>
                <c:pt idx="38">
                  <c:v>50.6</c:v>
                </c:pt>
                <c:pt idx="39">
                  <c:v>42.6</c:v>
                </c:pt>
                <c:pt idx="40">
                  <c:v>61.2</c:v>
                </c:pt>
                <c:pt idx="41">
                  <c:v>55.5</c:v>
                </c:pt>
                <c:pt idx="42">
                  <c:v>55</c:v>
                </c:pt>
                <c:pt idx="43">
                  <c:v>40.9</c:v>
                </c:pt>
                <c:pt idx="44">
                  <c:v>50.7</c:v>
                </c:pt>
                <c:pt idx="45">
                  <c:v>48.2</c:v>
                </c:pt>
                <c:pt idx="46">
                  <c:v>59.1</c:v>
                </c:pt>
                <c:pt idx="47">
                  <c:v>58.4</c:v>
                </c:pt>
                <c:pt idx="48">
                  <c:v>42.9</c:v>
                </c:pt>
                <c:pt idx="49">
                  <c:v>64.099999999999994</c:v>
                </c:pt>
                <c:pt idx="50">
                  <c:v>57.9</c:v>
                </c:pt>
                <c:pt idx="51">
                  <c:v>46.1</c:v>
                </c:pt>
                <c:pt idx="52">
                  <c:v>59.5</c:v>
                </c:pt>
                <c:pt idx="53">
                  <c:v>46.9</c:v>
                </c:pt>
                <c:pt idx="54">
                  <c:v>52.5</c:v>
                </c:pt>
                <c:pt idx="55">
                  <c:v>48.5</c:v>
                </c:pt>
                <c:pt idx="56">
                  <c:v>43.5</c:v>
                </c:pt>
                <c:pt idx="57">
                  <c:v>47.5</c:v>
                </c:pt>
                <c:pt idx="58">
                  <c:v>55.7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C-1D4A-B3C5-F8A7ACF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9408"/>
        <c:axId val="157499776"/>
      </c:scatterChart>
      <c:valAx>
        <c:axId val="1574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Competitor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99776"/>
        <c:crosses val="autoZero"/>
        <c:crossBetween val="midCat"/>
      </c:valAx>
      <c:valAx>
        <c:axId val="157499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Promotional 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Income and Eagle Price Plot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72717528190754543"/>
                  <c:y val="-0.21333327278205608"/>
                </c:manualLayout>
              </c:layout>
              <c:numFmt formatCode="General" sourceLinked="0"/>
            </c:trendlineLbl>
          </c:trendline>
          <c:xVal>
            <c:numRef>
              <c:f>'Income and Price Collinearity'!$C$4:$C$63</c:f>
              <c:numCache>
                <c:formatCode>General</c:formatCode>
                <c:ptCount val="60"/>
                <c:pt idx="0">
                  <c:v>42.9</c:v>
                </c:pt>
                <c:pt idx="1">
                  <c:v>41.6</c:v>
                </c:pt>
                <c:pt idx="2">
                  <c:v>36.1</c:v>
                </c:pt>
                <c:pt idx="3">
                  <c:v>44.3</c:v>
                </c:pt>
                <c:pt idx="4">
                  <c:v>42.9</c:v>
                </c:pt>
                <c:pt idx="5">
                  <c:v>40.200000000000003</c:v>
                </c:pt>
                <c:pt idx="6">
                  <c:v>38.799999999999997</c:v>
                </c:pt>
                <c:pt idx="7">
                  <c:v>36.1</c:v>
                </c:pt>
                <c:pt idx="8">
                  <c:v>37.5</c:v>
                </c:pt>
                <c:pt idx="9">
                  <c:v>40.799999999999997</c:v>
                </c:pt>
                <c:pt idx="10">
                  <c:v>37.4</c:v>
                </c:pt>
                <c:pt idx="11">
                  <c:v>35.4</c:v>
                </c:pt>
                <c:pt idx="12">
                  <c:v>39.200000000000003</c:v>
                </c:pt>
                <c:pt idx="13">
                  <c:v>43.5</c:v>
                </c:pt>
                <c:pt idx="14">
                  <c:v>45</c:v>
                </c:pt>
                <c:pt idx="15">
                  <c:v>35.1</c:v>
                </c:pt>
                <c:pt idx="16">
                  <c:v>38</c:v>
                </c:pt>
                <c:pt idx="17">
                  <c:v>37.9</c:v>
                </c:pt>
                <c:pt idx="18">
                  <c:v>43.1</c:v>
                </c:pt>
                <c:pt idx="19">
                  <c:v>35.200000000000003</c:v>
                </c:pt>
                <c:pt idx="20">
                  <c:v>35</c:v>
                </c:pt>
                <c:pt idx="21">
                  <c:v>39.9</c:v>
                </c:pt>
                <c:pt idx="22">
                  <c:v>42.1</c:v>
                </c:pt>
                <c:pt idx="23">
                  <c:v>44.1</c:v>
                </c:pt>
                <c:pt idx="24">
                  <c:v>40.5</c:v>
                </c:pt>
                <c:pt idx="25">
                  <c:v>42.2</c:v>
                </c:pt>
                <c:pt idx="26">
                  <c:v>42.3</c:v>
                </c:pt>
                <c:pt idx="27">
                  <c:v>38.5</c:v>
                </c:pt>
                <c:pt idx="28">
                  <c:v>37.799999999999997</c:v>
                </c:pt>
                <c:pt idx="29">
                  <c:v>43.6</c:v>
                </c:pt>
                <c:pt idx="30">
                  <c:v>35.200000000000003</c:v>
                </c:pt>
                <c:pt idx="31">
                  <c:v>44.6</c:v>
                </c:pt>
                <c:pt idx="32">
                  <c:v>36.700000000000003</c:v>
                </c:pt>
                <c:pt idx="33">
                  <c:v>35.299999999999997</c:v>
                </c:pt>
                <c:pt idx="34">
                  <c:v>38.6</c:v>
                </c:pt>
                <c:pt idx="35">
                  <c:v>37.1</c:v>
                </c:pt>
                <c:pt idx="36">
                  <c:v>42.9</c:v>
                </c:pt>
                <c:pt idx="37">
                  <c:v>42.3</c:v>
                </c:pt>
                <c:pt idx="38">
                  <c:v>38.4</c:v>
                </c:pt>
                <c:pt idx="39">
                  <c:v>43.8</c:v>
                </c:pt>
                <c:pt idx="40">
                  <c:v>43</c:v>
                </c:pt>
                <c:pt idx="41">
                  <c:v>42.5</c:v>
                </c:pt>
                <c:pt idx="42">
                  <c:v>39</c:v>
                </c:pt>
                <c:pt idx="43">
                  <c:v>37.299999999999997</c:v>
                </c:pt>
                <c:pt idx="44">
                  <c:v>44.4</c:v>
                </c:pt>
                <c:pt idx="45">
                  <c:v>38.5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37.200000000000003</c:v>
                </c:pt>
                <c:pt idx="49">
                  <c:v>38.200000000000003</c:v>
                </c:pt>
                <c:pt idx="50">
                  <c:v>45</c:v>
                </c:pt>
                <c:pt idx="51">
                  <c:v>37.799999999999997</c:v>
                </c:pt>
                <c:pt idx="52">
                  <c:v>41.4</c:v>
                </c:pt>
                <c:pt idx="53">
                  <c:v>44.8</c:v>
                </c:pt>
                <c:pt idx="54">
                  <c:v>40.799999999999997</c:v>
                </c:pt>
                <c:pt idx="55">
                  <c:v>37.9</c:v>
                </c:pt>
                <c:pt idx="56">
                  <c:v>40.799999999999997</c:v>
                </c:pt>
                <c:pt idx="57">
                  <c:v>36.799999999999997</c:v>
                </c:pt>
                <c:pt idx="58">
                  <c:v>35.200000000000003</c:v>
                </c:pt>
                <c:pt idx="59">
                  <c:v>36.799999999999997</c:v>
                </c:pt>
              </c:numCache>
            </c:numRef>
          </c:xVal>
          <c:yVal>
            <c:numRef>
              <c:f>'Income and Price Collinearity'!$B$4:$B$63</c:f>
              <c:numCache>
                <c:formatCode>General</c:formatCode>
                <c:ptCount val="60"/>
                <c:pt idx="0">
                  <c:v>2.76</c:v>
                </c:pt>
                <c:pt idx="1">
                  <c:v>2.96</c:v>
                </c:pt>
                <c:pt idx="2">
                  <c:v>2.5</c:v>
                </c:pt>
                <c:pt idx="3">
                  <c:v>2.42</c:v>
                </c:pt>
                <c:pt idx="4">
                  <c:v>2.71</c:v>
                </c:pt>
                <c:pt idx="5">
                  <c:v>3.01</c:v>
                </c:pt>
                <c:pt idx="6">
                  <c:v>2.97</c:v>
                </c:pt>
                <c:pt idx="7">
                  <c:v>3.09</c:v>
                </c:pt>
                <c:pt idx="8">
                  <c:v>2.4900000000000002</c:v>
                </c:pt>
                <c:pt idx="9">
                  <c:v>2.75</c:v>
                </c:pt>
                <c:pt idx="10">
                  <c:v>2.3199999999999998</c:v>
                </c:pt>
                <c:pt idx="11">
                  <c:v>2.2200000000000002</c:v>
                </c:pt>
                <c:pt idx="12">
                  <c:v>2.6</c:v>
                </c:pt>
                <c:pt idx="13">
                  <c:v>3.11</c:v>
                </c:pt>
                <c:pt idx="14">
                  <c:v>2.84</c:v>
                </c:pt>
                <c:pt idx="15">
                  <c:v>2.52</c:v>
                </c:pt>
                <c:pt idx="16">
                  <c:v>2.58</c:v>
                </c:pt>
                <c:pt idx="17">
                  <c:v>3.1</c:v>
                </c:pt>
                <c:pt idx="18">
                  <c:v>3.02</c:v>
                </c:pt>
                <c:pt idx="19">
                  <c:v>2.86</c:v>
                </c:pt>
                <c:pt idx="20">
                  <c:v>3.04</c:v>
                </c:pt>
                <c:pt idx="21">
                  <c:v>2.35</c:v>
                </c:pt>
                <c:pt idx="22">
                  <c:v>2.89</c:v>
                </c:pt>
                <c:pt idx="23">
                  <c:v>2.34</c:v>
                </c:pt>
                <c:pt idx="24">
                  <c:v>2.81</c:v>
                </c:pt>
                <c:pt idx="25">
                  <c:v>2.39</c:v>
                </c:pt>
                <c:pt idx="26">
                  <c:v>2.73</c:v>
                </c:pt>
                <c:pt idx="27">
                  <c:v>2.4900000000000002</c:v>
                </c:pt>
                <c:pt idx="28">
                  <c:v>2.74</c:v>
                </c:pt>
                <c:pt idx="29">
                  <c:v>2.73</c:v>
                </c:pt>
                <c:pt idx="30">
                  <c:v>2.52</c:v>
                </c:pt>
                <c:pt idx="31">
                  <c:v>2.66</c:v>
                </c:pt>
                <c:pt idx="32">
                  <c:v>2.54</c:v>
                </c:pt>
                <c:pt idx="33">
                  <c:v>3.06</c:v>
                </c:pt>
                <c:pt idx="34">
                  <c:v>2.78</c:v>
                </c:pt>
                <c:pt idx="35">
                  <c:v>2.81</c:v>
                </c:pt>
                <c:pt idx="36">
                  <c:v>2.97</c:v>
                </c:pt>
                <c:pt idx="37">
                  <c:v>3.27</c:v>
                </c:pt>
                <c:pt idx="38">
                  <c:v>2.96</c:v>
                </c:pt>
                <c:pt idx="39">
                  <c:v>2.5099999999999998</c:v>
                </c:pt>
                <c:pt idx="40">
                  <c:v>3.09</c:v>
                </c:pt>
                <c:pt idx="41">
                  <c:v>2.83</c:v>
                </c:pt>
                <c:pt idx="42">
                  <c:v>2.95</c:v>
                </c:pt>
                <c:pt idx="43">
                  <c:v>2.42</c:v>
                </c:pt>
                <c:pt idx="44">
                  <c:v>2.94</c:v>
                </c:pt>
                <c:pt idx="45">
                  <c:v>3.1</c:v>
                </c:pt>
                <c:pt idx="46">
                  <c:v>3.03</c:v>
                </c:pt>
                <c:pt idx="47">
                  <c:v>2.73</c:v>
                </c:pt>
                <c:pt idx="48">
                  <c:v>2.04</c:v>
                </c:pt>
                <c:pt idx="49">
                  <c:v>2.67</c:v>
                </c:pt>
                <c:pt idx="50">
                  <c:v>2.52</c:v>
                </c:pt>
                <c:pt idx="51">
                  <c:v>2.36</c:v>
                </c:pt>
                <c:pt idx="52">
                  <c:v>2.3199999999999998</c:v>
                </c:pt>
                <c:pt idx="53">
                  <c:v>2.76</c:v>
                </c:pt>
                <c:pt idx="54">
                  <c:v>2.86</c:v>
                </c:pt>
                <c:pt idx="55">
                  <c:v>3.16</c:v>
                </c:pt>
                <c:pt idx="56">
                  <c:v>2.99</c:v>
                </c:pt>
                <c:pt idx="57">
                  <c:v>3.13</c:v>
                </c:pt>
                <c:pt idx="58">
                  <c:v>2.59</c:v>
                </c:pt>
                <c:pt idx="59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F-EF44-AB36-EA9A7A36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4656"/>
        <c:axId val="157576576"/>
      </c:scatterChart>
      <c:valAx>
        <c:axId val="1575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Market Median Income in Thousand sof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76576"/>
        <c:crosses val="autoZero"/>
        <c:crossBetween val="midCat"/>
      </c:valAx>
      <c:valAx>
        <c:axId val="157576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Eagle</a:t>
                </a:r>
                <a:r>
                  <a:rPr lang="en-US" sz="1200" baseline="0"/>
                  <a:t> Price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7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Income and Competitor Price Plot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70878434193576201"/>
                  <c:y val="-0.29727915946630451"/>
                </c:manualLayout>
              </c:layout>
              <c:numFmt formatCode="General" sourceLinked="0"/>
            </c:trendlineLbl>
          </c:trendline>
          <c:xVal>
            <c:numRef>
              <c:f>'Income &amp; Com Price Collinearity'!$C$4:$C$63</c:f>
              <c:numCache>
                <c:formatCode>General</c:formatCode>
                <c:ptCount val="60"/>
                <c:pt idx="0">
                  <c:v>42.9</c:v>
                </c:pt>
                <c:pt idx="1">
                  <c:v>41.6</c:v>
                </c:pt>
                <c:pt idx="2">
                  <c:v>36.1</c:v>
                </c:pt>
                <c:pt idx="3">
                  <c:v>44.3</c:v>
                </c:pt>
                <c:pt idx="4">
                  <c:v>42.9</c:v>
                </c:pt>
                <c:pt idx="5">
                  <c:v>40.200000000000003</c:v>
                </c:pt>
                <c:pt idx="6">
                  <c:v>38.799999999999997</c:v>
                </c:pt>
                <c:pt idx="7">
                  <c:v>36.1</c:v>
                </c:pt>
                <c:pt idx="8">
                  <c:v>37.5</c:v>
                </c:pt>
                <c:pt idx="9">
                  <c:v>40.799999999999997</c:v>
                </c:pt>
                <c:pt idx="10">
                  <c:v>37.4</c:v>
                </c:pt>
                <c:pt idx="11">
                  <c:v>35.4</c:v>
                </c:pt>
                <c:pt idx="12">
                  <c:v>39.200000000000003</c:v>
                </c:pt>
                <c:pt idx="13">
                  <c:v>43.5</c:v>
                </c:pt>
                <c:pt idx="14">
                  <c:v>45</c:v>
                </c:pt>
                <c:pt idx="15">
                  <c:v>35.1</c:v>
                </c:pt>
                <c:pt idx="16">
                  <c:v>38</c:v>
                </c:pt>
                <c:pt idx="17">
                  <c:v>37.9</c:v>
                </c:pt>
                <c:pt idx="18">
                  <c:v>43.1</c:v>
                </c:pt>
                <c:pt idx="19">
                  <c:v>35.200000000000003</c:v>
                </c:pt>
                <c:pt idx="20">
                  <c:v>35</c:v>
                </c:pt>
                <c:pt idx="21">
                  <c:v>39.9</c:v>
                </c:pt>
                <c:pt idx="22">
                  <c:v>42.1</c:v>
                </c:pt>
                <c:pt idx="23">
                  <c:v>44.1</c:v>
                </c:pt>
                <c:pt idx="24">
                  <c:v>40.5</c:v>
                </c:pt>
                <c:pt idx="25">
                  <c:v>42.2</c:v>
                </c:pt>
                <c:pt idx="26">
                  <c:v>42.3</c:v>
                </c:pt>
                <c:pt idx="27">
                  <c:v>38.5</c:v>
                </c:pt>
                <c:pt idx="28">
                  <c:v>37.799999999999997</c:v>
                </c:pt>
                <c:pt idx="29">
                  <c:v>43.6</c:v>
                </c:pt>
                <c:pt idx="30">
                  <c:v>35.200000000000003</c:v>
                </c:pt>
                <c:pt idx="31">
                  <c:v>44.6</c:v>
                </c:pt>
                <c:pt idx="32">
                  <c:v>36.700000000000003</c:v>
                </c:pt>
                <c:pt idx="33">
                  <c:v>35.299999999999997</c:v>
                </c:pt>
                <c:pt idx="34">
                  <c:v>38.6</c:v>
                </c:pt>
                <c:pt idx="35">
                  <c:v>37.1</c:v>
                </c:pt>
                <c:pt idx="36">
                  <c:v>42.9</c:v>
                </c:pt>
                <c:pt idx="37">
                  <c:v>42.3</c:v>
                </c:pt>
                <c:pt idx="38">
                  <c:v>38.4</c:v>
                </c:pt>
                <c:pt idx="39">
                  <c:v>43.8</c:v>
                </c:pt>
                <c:pt idx="40">
                  <c:v>43</c:v>
                </c:pt>
                <c:pt idx="41">
                  <c:v>42.5</c:v>
                </c:pt>
                <c:pt idx="42">
                  <c:v>39</c:v>
                </c:pt>
                <c:pt idx="43">
                  <c:v>37.299999999999997</c:v>
                </c:pt>
                <c:pt idx="44">
                  <c:v>44.4</c:v>
                </c:pt>
                <c:pt idx="45">
                  <c:v>38.5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37.200000000000003</c:v>
                </c:pt>
                <c:pt idx="49">
                  <c:v>38.200000000000003</c:v>
                </c:pt>
                <c:pt idx="50">
                  <c:v>45</c:v>
                </c:pt>
                <c:pt idx="51">
                  <c:v>37.799999999999997</c:v>
                </c:pt>
                <c:pt idx="52">
                  <c:v>41.4</c:v>
                </c:pt>
                <c:pt idx="53">
                  <c:v>44.8</c:v>
                </c:pt>
                <c:pt idx="54">
                  <c:v>40.799999999999997</c:v>
                </c:pt>
                <c:pt idx="55">
                  <c:v>37.9</c:v>
                </c:pt>
                <c:pt idx="56">
                  <c:v>40.799999999999997</c:v>
                </c:pt>
                <c:pt idx="57">
                  <c:v>36.799999999999997</c:v>
                </c:pt>
                <c:pt idx="58">
                  <c:v>35.200000000000003</c:v>
                </c:pt>
                <c:pt idx="59">
                  <c:v>36.799999999999997</c:v>
                </c:pt>
              </c:numCache>
            </c:numRef>
          </c:xVal>
          <c:yVal>
            <c:numRef>
              <c:f>'Income &amp; Com Price Collinearity'!$B$4:$B$63</c:f>
              <c:numCache>
                <c:formatCode>General</c:formatCode>
                <c:ptCount val="60"/>
                <c:pt idx="0">
                  <c:v>2.84</c:v>
                </c:pt>
                <c:pt idx="1">
                  <c:v>1.62</c:v>
                </c:pt>
                <c:pt idx="2">
                  <c:v>2.87</c:v>
                </c:pt>
                <c:pt idx="3">
                  <c:v>2.06</c:v>
                </c:pt>
                <c:pt idx="4">
                  <c:v>2.17</c:v>
                </c:pt>
                <c:pt idx="5">
                  <c:v>3.43</c:v>
                </c:pt>
                <c:pt idx="6">
                  <c:v>1.85</c:v>
                </c:pt>
                <c:pt idx="7">
                  <c:v>2.54</c:v>
                </c:pt>
                <c:pt idx="8">
                  <c:v>3.09</c:v>
                </c:pt>
                <c:pt idx="9">
                  <c:v>1.63</c:v>
                </c:pt>
                <c:pt idx="10">
                  <c:v>1.52</c:v>
                </c:pt>
                <c:pt idx="11">
                  <c:v>1.82</c:v>
                </c:pt>
                <c:pt idx="12">
                  <c:v>1.81</c:v>
                </c:pt>
                <c:pt idx="13">
                  <c:v>2.8</c:v>
                </c:pt>
                <c:pt idx="14">
                  <c:v>3.38</c:v>
                </c:pt>
                <c:pt idx="15">
                  <c:v>2.78</c:v>
                </c:pt>
                <c:pt idx="16">
                  <c:v>1.71</c:v>
                </c:pt>
                <c:pt idx="17">
                  <c:v>2.0699999999999998</c:v>
                </c:pt>
                <c:pt idx="18">
                  <c:v>3.29</c:v>
                </c:pt>
                <c:pt idx="19">
                  <c:v>3.28</c:v>
                </c:pt>
                <c:pt idx="20">
                  <c:v>2.64</c:v>
                </c:pt>
                <c:pt idx="21">
                  <c:v>1.75</c:v>
                </c:pt>
                <c:pt idx="22">
                  <c:v>3.25</c:v>
                </c:pt>
                <c:pt idx="23">
                  <c:v>1.81</c:v>
                </c:pt>
                <c:pt idx="24">
                  <c:v>3.15</c:v>
                </c:pt>
                <c:pt idx="25">
                  <c:v>2.5499999999999998</c:v>
                </c:pt>
                <c:pt idx="26">
                  <c:v>2.0499999999999998</c:v>
                </c:pt>
                <c:pt idx="27">
                  <c:v>2.19</c:v>
                </c:pt>
                <c:pt idx="28">
                  <c:v>1.91</c:v>
                </c:pt>
                <c:pt idx="29">
                  <c:v>2.3199999999999998</c:v>
                </c:pt>
                <c:pt idx="30">
                  <c:v>2.0699999999999998</c:v>
                </c:pt>
                <c:pt idx="31">
                  <c:v>1.95</c:v>
                </c:pt>
                <c:pt idx="32">
                  <c:v>1.74</c:v>
                </c:pt>
                <c:pt idx="33">
                  <c:v>1.76</c:v>
                </c:pt>
                <c:pt idx="34">
                  <c:v>2.41</c:v>
                </c:pt>
                <c:pt idx="35">
                  <c:v>3.33</c:v>
                </c:pt>
                <c:pt idx="36">
                  <c:v>1.62</c:v>
                </c:pt>
                <c:pt idx="37">
                  <c:v>2.37</c:v>
                </c:pt>
                <c:pt idx="38">
                  <c:v>2.25</c:v>
                </c:pt>
                <c:pt idx="39">
                  <c:v>2.5299999999999998</c:v>
                </c:pt>
                <c:pt idx="40">
                  <c:v>3.31</c:v>
                </c:pt>
                <c:pt idx="41">
                  <c:v>3.45</c:v>
                </c:pt>
                <c:pt idx="42">
                  <c:v>2.02</c:v>
                </c:pt>
                <c:pt idx="43">
                  <c:v>3.07</c:v>
                </c:pt>
                <c:pt idx="44">
                  <c:v>2.54</c:v>
                </c:pt>
                <c:pt idx="45">
                  <c:v>2.75</c:v>
                </c:pt>
                <c:pt idx="46">
                  <c:v>3.12</c:v>
                </c:pt>
                <c:pt idx="47">
                  <c:v>2.0699999999999998</c:v>
                </c:pt>
                <c:pt idx="48">
                  <c:v>2.75</c:v>
                </c:pt>
                <c:pt idx="49">
                  <c:v>1.87</c:v>
                </c:pt>
                <c:pt idx="50">
                  <c:v>2.64</c:v>
                </c:pt>
                <c:pt idx="51">
                  <c:v>2.16</c:v>
                </c:pt>
                <c:pt idx="52">
                  <c:v>2.2000000000000002</c:v>
                </c:pt>
                <c:pt idx="53">
                  <c:v>1.94</c:v>
                </c:pt>
                <c:pt idx="54">
                  <c:v>3.05</c:v>
                </c:pt>
                <c:pt idx="55">
                  <c:v>2.85</c:v>
                </c:pt>
                <c:pt idx="56">
                  <c:v>3.38</c:v>
                </c:pt>
                <c:pt idx="57">
                  <c:v>1.56</c:v>
                </c:pt>
                <c:pt idx="58">
                  <c:v>2.14</c:v>
                </c:pt>
                <c:pt idx="59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2-C648-86D7-1C4F5497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8224"/>
        <c:axId val="156310144"/>
      </c:scatterChart>
      <c:valAx>
        <c:axId val="1563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Market Median Income</a:t>
                </a:r>
                <a:r>
                  <a:rPr lang="en-US" sz="1200" baseline="0"/>
                  <a:t> in Thousands of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310144"/>
        <c:crosses val="autoZero"/>
        <c:crossBetween val="midCat"/>
      </c:valAx>
      <c:valAx>
        <c:axId val="156310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Competitor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30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Income and Promomotional Budget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Income and Promo Budget Plot+'Income and Promomotional Budget Plot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71993091755201655"/>
                  <c:y val="-0.19527797037462452"/>
                </c:manualLayout>
              </c:layout>
              <c:numFmt formatCode="General" sourceLinked="0"/>
            </c:trendlineLbl>
          </c:trendline>
          <c:xVal>
            <c:numRef>
              <c:f>'Income and Promo Collinearity'!$C$4:$C$63</c:f>
              <c:numCache>
                <c:formatCode>General</c:formatCode>
                <c:ptCount val="60"/>
                <c:pt idx="0">
                  <c:v>42.9</c:v>
                </c:pt>
                <c:pt idx="1">
                  <c:v>41.6</c:v>
                </c:pt>
                <c:pt idx="2">
                  <c:v>36.1</c:v>
                </c:pt>
                <c:pt idx="3">
                  <c:v>44.3</c:v>
                </c:pt>
                <c:pt idx="4">
                  <c:v>42.9</c:v>
                </c:pt>
                <c:pt idx="5">
                  <c:v>40.200000000000003</c:v>
                </c:pt>
                <c:pt idx="6">
                  <c:v>38.799999999999997</c:v>
                </c:pt>
                <c:pt idx="7">
                  <c:v>36.1</c:v>
                </c:pt>
                <c:pt idx="8">
                  <c:v>37.5</c:v>
                </c:pt>
                <c:pt idx="9">
                  <c:v>40.799999999999997</c:v>
                </c:pt>
                <c:pt idx="10">
                  <c:v>37.4</c:v>
                </c:pt>
                <c:pt idx="11">
                  <c:v>35.4</c:v>
                </c:pt>
                <c:pt idx="12">
                  <c:v>39.200000000000003</c:v>
                </c:pt>
                <c:pt idx="13">
                  <c:v>43.5</c:v>
                </c:pt>
                <c:pt idx="14">
                  <c:v>45</c:v>
                </c:pt>
                <c:pt idx="15">
                  <c:v>35.1</c:v>
                </c:pt>
                <c:pt idx="16">
                  <c:v>38</c:v>
                </c:pt>
                <c:pt idx="17">
                  <c:v>37.9</c:v>
                </c:pt>
                <c:pt idx="18">
                  <c:v>43.1</c:v>
                </c:pt>
                <c:pt idx="19">
                  <c:v>35.200000000000003</c:v>
                </c:pt>
                <c:pt idx="20">
                  <c:v>35</c:v>
                </c:pt>
                <c:pt idx="21">
                  <c:v>39.9</c:v>
                </c:pt>
                <c:pt idx="22">
                  <c:v>42.1</c:v>
                </c:pt>
                <c:pt idx="23">
                  <c:v>44.1</c:v>
                </c:pt>
                <c:pt idx="24">
                  <c:v>40.5</c:v>
                </c:pt>
                <c:pt idx="25">
                  <c:v>42.2</c:v>
                </c:pt>
                <c:pt idx="26">
                  <c:v>42.3</c:v>
                </c:pt>
                <c:pt idx="27">
                  <c:v>38.5</c:v>
                </c:pt>
                <c:pt idx="28">
                  <c:v>37.799999999999997</c:v>
                </c:pt>
                <c:pt idx="29">
                  <c:v>43.6</c:v>
                </c:pt>
                <c:pt idx="30">
                  <c:v>35.200000000000003</c:v>
                </c:pt>
                <c:pt idx="31">
                  <c:v>44.6</c:v>
                </c:pt>
                <c:pt idx="32">
                  <c:v>36.700000000000003</c:v>
                </c:pt>
                <c:pt idx="33">
                  <c:v>35.299999999999997</c:v>
                </c:pt>
                <c:pt idx="34">
                  <c:v>38.6</c:v>
                </c:pt>
                <c:pt idx="35">
                  <c:v>37.1</c:v>
                </c:pt>
                <c:pt idx="36">
                  <c:v>42.9</c:v>
                </c:pt>
                <c:pt idx="37">
                  <c:v>42.3</c:v>
                </c:pt>
                <c:pt idx="38">
                  <c:v>38.4</c:v>
                </c:pt>
                <c:pt idx="39">
                  <c:v>43.8</c:v>
                </c:pt>
                <c:pt idx="40">
                  <c:v>43</c:v>
                </c:pt>
                <c:pt idx="41">
                  <c:v>42.5</c:v>
                </c:pt>
                <c:pt idx="42">
                  <c:v>39</c:v>
                </c:pt>
                <c:pt idx="43">
                  <c:v>37.299999999999997</c:v>
                </c:pt>
                <c:pt idx="44">
                  <c:v>44.4</c:v>
                </c:pt>
                <c:pt idx="45">
                  <c:v>38.5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37.200000000000003</c:v>
                </c:pt>
                <c:pt idx="49">
                  <c:v>38.200000000000003</c:v>
                </c:pt>
                <c:pt idx="50">
                  <c:v>45</c:v>
                </c:pt>
                <c:pt idx="51">
                  <c:v>37.799999999999997</c:v>
                </c:pt>
                <c:pt idx="52">
                  <c:v>41.4</c:v>
                </c:pt>
                <c:pt idx="53">
                  <c:v>44.8</c:v>
                </c:pt>
                <c:pt idx="54">
                  <c:v>40.799999999999997</c:v>
                </c:pt>
                <c:pt idx="55">
                  <c:v>37.9</c:v>
                </c:pt>
                <c:pt idx="56">
                  <c:v>40.799999999999997</c:v>
                </c:pt>
                <c:pt idx="57">
                  <c:v>36.799999999999997</c:v>
                </c:pt>
                <c:pt idx="58">
                  <c:v>35.200000000000003</c:v>
                </c:pt>
                <c:pt idx="59">
                  <c:v>36.799999999999997</c:v>
                </c:pt>
              </c:numCache>
            </c:numRef>
          </c:xVal>
          <c:yVal>
            <c:numRef>
              <c:f>'Income and Promo Collinearity'!$B$4:$B$63</c:f>
              <c:numCache>
                <c:formatCode>General</c:formatCode>
                <c:ptCount val="60"/>
                <c:pt idx="0">
                  <c:v>57.5</c:v>
                </c:pt>
                <c:pt idx="1">
                  <c:v>47.9</c:v>
                </c:pt>
                <c:pt idx="2">
                  <c:v>54.6</c:v>
                </c:pt>
                <c:pt idx="3">
                  <c:v>54.7</c:v>
                </c:pt>
                <c:pt idx="4">
                  <c:v>52.2</c:v>
                </c:pt>
                <c:pt idx="5">
                  <c:v>52.6</c:v>
                </c:pt>
                <c:pt idx="6">
                  <c:v>60.9</c:v>
                </c:pt>
                <c:pt idx="7">
                  <c:v>61.3</c:v>
                </c:pt>
                <c:pt idx="8">
                  <c:v>53</c:v>
                </c:pt>
                <c:pt idx="9">
                  <c:v>51.9</c:v>
                </c:pt>
                <c:pt idx="10">
                  <c:v>56.1</c:v>
                </c:pt>
                <c:pt idx="11">
                  <c:v>47.8</c:v>
                </c:pt>
                <c:pt idx="12">
                  <c:v>48</c:v>
                </c:pt>
                <c:pt idx="13">
                  <c:v>59</c:v>
                </c:pt>
                <c:pt idx="14">
                  <c:v>50.3</c:v>
                </c:pt>
                <c:pt idx="15">
                  <c:v>48.4</c:v>
                </c:pt>
                <c:pt idx="16">
                  <c:v>51.8</c:v>
                </c:pt>
                <c:pt idx="17">
                  <c:v>45.1</c:v>
                </c:pt>
                <c:pt idx="18">
                  <c:v>55.1</c:v>
                </c:pt>
                <c:pt idx="19">
                  <c:v>46.4</c:v>
                </c:pt>
                <c:pt idx="20">
                  <c:v>48.6</c:v>
                </c:pt>
                <c:pt idx="21">
                  <c:v>48.2</c:v>
                </c:pt>
                <c:pt idx="22">
                  <c:v>52.3</c:v>
                </c:pt>
                <c:pt idx="23">
                  <c:v>53.6</c:v>
                </c:pt>
                <c:pt idx="24">
                  <c:v>43.9</c:v>
                </c:pt>
                <c:pt idx="25">
                  <c:v>50.6</c:v>
                </c:pt>
                <c:pt idx="26">
                  <c:v>56.3</c:v>
                </c:pt>
                <c:pt idx="27">
                  <c:v>50.7</c:v>
                </c:pt>
                <c:pt idx="28">
                  <c:v>49.8</c:v>
                </c:pt>
                <c:pt idx="29">
                  <c:v>53.1</c:v>
                </c:pt>
                <c:pt idx="30">
                  <c:v>47.9</c:v>
                </c:pt>
                <c:pt idx="31">
                  <c:v>47.6</c:v>
                </c:pt>
                <c:pt idx="32">
                  <c:v>43.3</c:v>
                </c:pt>
                <c:pt idx="33">
                  <c:v>51.1</c:v>
                </c:pt>
                <c:pt idx="34">
                  <c:v>53.4</c:v>
                </c:pt>
                <c:pt idx="35">
                  <c:v>47.3</c:v>
                </c:pt>
                <c:pt idx="36">
                  <c:v>50.1</c:v>
                </c:pt>
                <c:pt idx="37">
                  <c:v>44.8</c:v>
                </c:pt>
                <c:pt idx="38">
                  <c:v>50.6</c:v>
                </c:pt>
                <c:pt idx="39">
                  <c:v>42.6</c:v>
                </c:pt>
                <c:pt idx="40">
                  <c:v>61.2</c:v>
                </c:pt>
                <c:pt idx="41">
                  <c:v>55.5</c:v>
                </c:pt>
                <c:pt idx="42">
                  <c:v>55</c:v>
                </c:pt>
                <c:pt idx="43">
                  <c:v>40.9</c:v>
                </c:pt>
                <c:pt idx="44">
                  <c:v>50.7</c:v>
                </c:pt>
                <c:pt idx="45">
                  <c:v>48.2</c:v>
                </c:pt>
                <c:pt idx="46">
                  <c:v>59.1</c:v>
                </c:pt>
                <c:pt idx="47">
                  <c:v>58.4</c:v>
                </c:pt>
                <c:pt idx="48">
                  <c:v>42.9</c:v>
                </c:pt>
                <c:pt idx="49">
                  <c:v>64.099999999999994</c:v>
                </c:pt>
                <c:pt idx="50">
                  <c:v>57.9</c:v>
                </c:pt>
                <c:pt idx="51">
                  <c:v>46.1</c:v>
                </c:pt>
                <c:pt idx="52">
                  <c:v>59.5</c:v>
                </c:pt>
                <c:pt idx="53">
                  <c:v>46.9</c:v>
                </c:pt>
                <c:pt idx="54">
                  <c:v>52.5</c:v>
                </c:pt>
                <c:pt idx="55">
                  <c:v>48.5</c:v>
                </c:pt>
                <c:pt idx="56">
                  <c:v>43.5</c:v>
                </c:pt>
                <c:pt idx="57">
                  <c:v>47.5</c:v>
                </c:pt>
                <c:pt idx="58">
                  <c:v>55.7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5-2F41-A77B-AF54BA84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6864"/>
        <c:axId val="157647232"/>
      </c:scatterChart>
      <c:valAx>
        <c:axId val="1576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Market Median Family 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47232"/>
        <c:crosses val="autoZero"/>
        <c:crossBetween val="midCat"/>
      </c:valAx>
      <c:valAx>
        <c:axId val="157647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Market</a:t>
                </a:r>
                <a:r>
                  <a:rPr lang="en-US" sz="1200" baseline="0"/>
                  <a:t> Promotional Budget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Promotional Budget in Thousands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Data'!$D$3:$D$62</c:f>
              <c:numCache>
                <c:formatCode>General</c:formatCode>
                <c:ptCount val="60"/>
                <c:pt idx="0">
                  <c:v>57.5</c:v>
                </c:pt>
                <c:pt idx="1">
                  <c:v>47.9</c:v>
                </c:pt>
                <c:pt idx="2">
                  <c:v>54.6</c:v>
                </c:pt>
                <c:pt idx="3">
                  <c:v>54.7</c:v>
                </c:pt>
                <c:pt idx="4">
                  <c:v>52.2</c:v>
                </c:pt>
                <c:pt idx="5">
                  <c:v>52.6</c:v>
                </c:pt>
                <c:pt idx="6">
                  <c:v>60.9</c:v>
                </c:pt>
                <c:pt idx="7">
                  <c:v>61.3</c:v>
                </c:pt>
                <c:pt idx="8">
                  <c:v>53</c:v>
                </c:pt>
                <c:pt idx="9">
                  <c:v>51.9</c:v>
                </c:pt>
                <c:pt idx="10">
                  <c:v>56.1</c:v>
                </c:pt>
                <c:pt idx="11">
                  <c:v>47.8</c:v>
                </c:pt>
                <c:pt idx="12">
                  <c:v>48</c:v>
                </c:pt>
                <c:pt idx="13">
                  <c:v>59</c:v>
                </c:pt>
                <c:pt idx="14">
                  <c:v>50.3</c:v>
                </c:pt>
                <c:pt idx="15">
                  <c:v>48.4</c:v>
                </c:pt>
                <c:pt idx="16">
                  <c:v>51.8</c:v>
                </c:pt>
                <c:pt idx="17">
                  <c:v>45.1</c:v>
                </c:pt>
                <c:pt idx="18">
                  <c:v>55.1</c:v>
                </c:pt>
                <c:pt idx="19">
                  <c:v>46.4</c:v>
                </c:pt>
                <c:pt idx="20">
                  <c:v>48.6</c:v>
                </c:pt>
                <c:pt idx="21">
                  <c:v>48.2</c:v>
                </c:pt>
                <c:pt idx="22">
                  <c:v>52.3</c:v>
                </c:pt>
                <c:pt idx="23">
                  <c:v>53.6</c:v>
                </c:pt>
                <c:pt idx="24">
                  <c:v>43.9</c:v>
                </c:pt>
                <c:pt idx="25">
                  <c:v>50.6</c:v>
                </c:pt>
                <c:pt idx="26">
                  <c:v>56.3</c:v>
                </c:pt>
                <c:pt idx="27">
                  <c:v>50.7</c:v>
                </c:pt>
                <c:pt idx="28">
                  <c:v>49.8</c:v>
                </c:pt>
                <c:pt idx="29">
                  <c:v>53.1</c:v>
                </c:pt>
                <c:pt idx="30">
                  <c:v>47.9</c:v>
                </c:pt>
                <c:pt idx="31">
                  <c:v>47.6</c:v>
                </c:pt>
                <c:pt idx="32">
                  <c:v>43.3</c:v>
                </c:pt>
                <c:pt idx="33">
                  <c:v>51.1</c:v>
                </c:pt>
                <c:pt idx="34">
                  <c:v>53.4</c:v>
                </c:pt>
                <c:pt idx="35">
                  <c:v>47.3</c:v>
                </c:pt>
                <c:pt idx="36">
                  <c:v>50.1</c:v>
                </c:pt>
                <c:pt idx="37">
                  <c:v>44.8</c:v>
                </c:pt>
                <c:pt idx="38">
                  <c:v>50.6</c:v>
                </c:pt>
                <c:pt idx="39">
                  <c:v>42.6</c:v>
                </c:pt>
                <c:pt idx="40">
                  <c:v>61.2</c:v>
                </c:pt>
                <c:pt idx="41">
                  <c:v>55.5</c:v>
                </c:pt>
                <c:pt idx="42">
                  <c:v>55</c:v>
                </c:pt>
                <c:pt idx="43">
                  <c:v>40.9</c:v>
                </c:pt>
                <c:pt idx="44">
                  <c:v>50.7</c:v>
                </c:pt>
                <c:pt idx="45">
                  <c:v>48.2</c:v>
                </c:pt>
                <c:pt idx="46">
                  <c:v>59.1</c:v>
                </c:pt>
                <c:pt idx="47">
                  <c:v>58.4</c:v>
                </c:pt>
                <c:pt idx="48">
                  <c:v>42.9</c:v>
                </c:pt>
                <c:pt idx="49">
                  <c:v>64.099999999999994</c:v>
                </c:pt>
                <c:pt idx="50">
                  <c:v>57.9</c:v>
                </c:pt>
                <c:pt idx="51">
                  <c:v>46.1</c:v>
                </c:pt>
                <c:pt idx="52">
                  <c:v>59.5</c:v>
                </c:pt>
                <c:pt idx="53">
                  <c:v>46.9</c:v>
                </c:pt>
                <c:pt idx="54">
                  <c:v>52.5</c:v>
                </c:pt>
                <c:pt idx="55">
                  <c:v>48.5</c:v>
                </c:pt>
                <c:pt idx="56">
                  <c:v>43.5</c:v>
                </c:pt>
                <c:pt idx="57">
                  <c:v>47.5</c:v>
                </c:pt>
                <c:pt idx="58">
                  <c:v>55.7</c:v>
                </c:pt>
                <c:pt idx="59">
                  <c:v>57</c:v>
                </c:pt>
              </c:numCache>
            </c:numRef>
          </c:xVal>
          <c:yVal>
            <c:numRef>
              <c:f>'Competitor Price Regression'!$C$26:$C$85</c:f>
              <c:numCache>
                <c:formatCode>General</c:formatCode>
                <c:ptCount val="60"/>
                <c:pt idx="0">
                  <c:v>-9.5594370374433595</c:v>
                </c:pt>
                <c:pt idx="1">
                  <c:v>-14.942357405741944</c:v>
                </c:pt>
                <c:pt idx="2">
                  <c:v>29.066763907094341</c:v>
                </c:pt>
                <c:pt idx="3">
                  <c:v>-16.233199501281462</c:v>
                </c:pt>
                <c:pt idx="4">
                  <c:v>20.71213153083778</c:v>
                </c:pt>
                <c:pt idx="5">
                  <c:v>21.525528980752611</c:v>
                </c:pt>
                <c:pt idx="6">
                  <c:v>-40.364062133780266</c:v>
                </c:pt>
                <c:pt idx="7">
                  <c:v>-6.5753558281066233</c:v>
                </c:pt>
                <c:pt idx="8">
                  <c:v>17.045056552095701</c:v>
                </c:pt>
                <c:pt idx="9">
                  <c:v>-8.657747336374058</c:v>
                </c:pt>
                <c:pt idx="10">
                  <c:v>14.646047348495188</c:v>
                </c:pt>
                <c:pt idx="11">
                  <c:v>33.365188277629258</c:v>
                </c:pt>
                <c:pt idx="12">
                  <c:v>-21.060639020874873</c:v>
                </c:pt>
                <c:pt idx="13">
                  <c:v>11.932585308867772</c:v>
                </c:pt>
                <c:pt idx="14">
                  <c:v>-18.76697338730736</c:v>
                </c:pt>
                <c:pt idx="15">
                  <c:v>-10.616239602791765</c:v>
                </c:pt>
                <c:pt idx="16">
                  <c:v>21.163112388645672</c:v>
                </c:pt>
                <c:pt idx="17">
                  <c:v>-30.793238824240184</c:v>
                </c:pt>
                <c:pt idx="18">
                  <c:v>1.4544030130607553</c:v>
                </c:pt>
                <c:pt idx="19">
                  <c:v>-7.9877349819816175</c:v>
                </c:pt>
                <c:pt idx="20">
                  <c:v>-30.421203153021473</c:v>
                </c:pt>
                <c:pt idx="21">
                  <c:v>12.800938989304342</c:v>
                </c:pt>
                <c:pt idx="22">
                  <c:v>-6.5589888313789544</c:v>
                </c:pt>
                <c:pt idx="23">
                  <c:v>35.906900415067156</c:v>
                </c:pt>
                <c:pt idx="24">
                  <c:v>12.600243125124692</c:v>
                </c:pt>
                <c:pt idx="25">
                  <c:v>18.116209989185421</c:v>
                </c:pt>
                <c:pt idx="26">
                  <c:v>1.9831922254194581</c:v>
                </c:pt>
                <c:pt idx="27">
                  <c:v>5.4051574952629409</c:v>
                </c:pt>
                <c:pt idx="28">
                  <c:v>-7.4154266177065153</c:v>
                </c:pt>
                <c:pt idx="29">
                  <c:v>-9.0711612838267115</c:v>
                </c:pt>
                <c:pt idx="30">
                  <c:v>-3.8344910342363079</c:v>
                </c:pt>
                <c:pt idx="31">
                  <c:v>20.850586897331695</c:v>
                </c:pt>
                <c:pt idx="32">
                  <c:v>18.355798761485701</c:v>
                </c:pt>
                <c:pt idx="33">
                  <c:v>-5.1517501556138541</c:v>
                </c:pt>
                <c:pt idx="34">
                  <c:v>3.2534150900238785</c:v>
                </c:pt>
                <c:pt idx="35">
                  <c:v>2.5183774356636519</c:v>
                </c:pt>
                <c:pt idx="36">
                  <c:v>-26.058562500702479</c:v>
                </c:pt>
                <c:pt idx="37">
                  <c:v>-3.1100704650491764</c:v>
                </c:pt>
                <c:pt idx="38">
                  <c:v>-41.030168928828353</c:v>
                </c:pt>
                <c:pt idx="39">
                  <c:v>-10.253010149550292</c:v>
                </c:pt>
                <c:pt idx="40">
                  <c:v>-10.041606911878773</c:v>
                </c:pt>
                <c:pt idx="41">
                  <c:v>-9.0706339040316095</c:v>
                </c:pt>
                <c:pt idx="42">
                  <c:v>22.53555692000505</c:v>
                </c:pt>
                <c:pt idx="43">
                  <c:v>11.347191278444427</c:v>
                </c:pt>
                <c:pt idx="44">
                  <c:v>-11.575678978507042</c:v>
                </c:pt>
                <c:pt idx="45">
                  <c:v>14.008873547071062</c:v>
                </c:pt>
                <c:pt idx="46">
                  <c:v>-21.976983744273042</c:v>
                </c:pt>
                <c:pt idx="47">
                  <c:v>33.429909261359825</c:v>
                </c:pt>
                <c:pt idx="48">
                  <c:v>22.831747018973587</c:v>
                </c:pt>
                <c:pt idx="49">
                  <c:v>8.4714223491273231</c:v>
                </c:pt>
                <c:pt idx="50">
                  <c:v>13.95689254715677</c:v>
                </c:pt>
                <c:pt idx="51">
                  <c:v>9.3029657103962222</c:v>
                </c:pt>
                <c:pt idx="52">
                  <c:v>10.770610611030918</c:v>
                </c:pt>
                <c:pt idx="53">
                  <c:v>0.9001534736169674</c:v>
                </c:pt>
                <c:pt idx="54">
                  <c:v>-4.4427446017756012</c:v>
                </c:pt>
                <c:pt idx="55">
                  <c:v>-24.509549026695396</c:v>
                </c:pt>
                <c:pt idx="56">
                  <c:v>13.284967800188781</c:v>
                </c:pt>
                <c:pt idx="57">
                  <c:v>-44.73392806998109</c:v>
                </c:pt>
                <c:pt idx="58">
                  <c:v>9.4428775987100977</c:v>
                </c:pt>
                <c:pt idx="59">
                  <c:v>-18.171862430449593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C-8B4C-A6DB-26358C41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3376"/>
        <c:axId val="157895296"/>
      </c:scatterChart>
      <c:valAx>
        <c:axId val="15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Promotional Budget in Thousands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5296"/>
        <c:crosses val="autoZero"/>
        <c:crossBetween val="midCat"/>
      </c:valAx>
      <c:valAx>
        <c:axId val="15789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Competitior's Average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Data'!$G$3:$G$62</c:f>
              <c:numCache>
                <c:formatCode>General</c:formatCode>
                <c:ptCount val="60"/>
                <c:pt idx="0">
                  <c:v>2.84</c:v>
                </c:pt>
                <c:pt idx="1">
                  <c:v>1.62</c:v>
                </c:pt>
                <c:pt idx="2">
                  <c:v>2.87</c:v>
                </c:pt>
                <c:pt idx="3">
                  <c:v>2.06</c:v>
                </c:pt>
                <c:pt idx="4">
                  <c:v>2.17</c:v>
                </c:pt>
                <c:pt idx="5">
                  <c:v>3.43</c:v>
                </c:pt>
                <c:pt idx="6">
                  <c:v>1.85</c:v>
                </c:pt>
                <c:pt idx="7">
                  <c:v>2.54</c:v>
                </c:pt>
                <c:pt idx="8">
                  <c:v>3.09</c:v>
                </c:pt>
                <c:pt idx="9">
                  <c:v>1.63</c:v>
                </c:pt>
                <c:pt idx="10">
                  <c:v>1.52</c:v>
                </c:pt>
                <c:pt idx="11">
                  <c:v>1.82</c:v>
                </c:pt>
                <c:pt idx="12">
                  <c:v>1.81</c:v>
                </c:pt>
                <c:pt idx="13">
                  <c:v>2.8</c:v>
                </c:pt>
                <c:pt idx="14">
                  <c:v>3.38</c:v>
                </c:pt>
                <c:pt idx="15">
                  <c:v>2.78</c:v>
                </c:pt>
                <c:pt idx="16">
                  <c:v>1.71</c:v>
                </c:pt>
                <c:pt idx="17">
                  <c:v>2.0699999999999998</c:v>
                </c:pt>
                <c:pt idx="18">
                  <c:v>3.29</c:v>
                </c:pt>
                <c:pt idx="19">
                  <c:v>3.28</c:v>
                </c:pt>
                <c:pt idx="20">
                  <c:v>2.64</c:v>
                </c:pt>
                <c:pt idx="21">
                  <c:v>1.75</c:v>
                </c:pt>
                <c:pt idx="22">
                  <c:v>3.25</c:v>
                </c:pt>
                <c:pt idx="23">
                  <c:v>1.81</c:v>
                </c:pt>
                <c:pt idx="24">
                  <c:v>3.15</c:v>
                </c:pt>
                <c:pt idx="25">
                  <c:v>2.5499999999999998</c:v>
                </c:pt>
                <c:pt idx="26">
                  <c:v>2.0499999999999998</c:v>
                </c:pt>
                <c:pt idx="27">
                  <c:v>2.19</c:v>
                </c:pt>
                <c:pt idx="28">
                  <c:v>1.91</c:v>
                </c:pt>
                <c:pt idx="29">
                  <c:v>2.3199999999999998</c:v>
                </c:pt>
                <c:pt idx="30">
                  <c:v>2.0699999999999998</c:v>
                </c:pt>
                <c:pt idx="31">
                  <c:v>1.95</c:v>
                </c:pt>
                <c:pt idx="32">
                  <c:v>1.74</c:v>
                </c:pt>
                <c:pt idx="33">
                  <c:v>1.76</c:v>
                </c:pt>
                <c:pt idx="34">
                  <c:v>2.41</c:v>
                </c:pt>
                <c:pt idx="35">
                  <c:v>3.33</c:v>
                </c:pt>
                <c:pt idx="36">
                  <c:v>1.62</c:v>
                </c:pt>
                <c:pt idx="37">
                  <c:v>2.37</c:v>
                </c:pt>
                <c:pt idx="38">
                  <c:v>2.25</c:v>
                </c:pt>
                <c:pt idx="39">
                  <c:v>2.5299999999999998</c:v>
                </c:pt>
                <c:pt idx="40">
                  <c:v>3.31</c:v>
                </c:pt>
                <c:pt idx="41">
                  <c:v>3.45</c:v>
                </c:pt>
                <c:pt idx="42">
                  <c:v>2.02</c:v>
                </c:pt>
                <c:pt idx="43">
                  <c:v>3.07</c:v>
                </c:pt>
                <c:pt idx="44">
                  <c:v>2.54</c:v>
                </c:pt>
                <c:pt idx="45">
                  <c:v>2.75</c:v>
                </c:pt>
                <c:pt idx="46">
                  <c:v>3.12</c:v>
                </c:pt>
                <c:pt idx="47">
                  <c:v>2.0699999999999998</c:v>
                </c:pt>
                <c:pt idx="48">
                  <c:v>2.75</c:v>
                </c:pt>
                <c:pt idx="49">
                  <c:v>1.87</c:v>
                </c:pt>
                <c:pt idx="50">
                  <c:v>2.64</c:v>
                </c:pt>
                <c:pt idx="51">
                  <c:v>2.16</c:v>
                </c:pt>
                <c:pt idx="52">
                  <c:v>2.2000000000000002</c:v>
                </c:pt>
                <c:pt idx="53">
                  <c:v>1.94</c:v>
                </c:pt>
                <c:pt idx="54">
                  <c:v>3.05</c:v>
                </c:pt>
                <c:pt idx="55">
                  <c:v>2.85</c:v>
                </c:pt>
                <c:pt idx="56">
                  <c:v>3.38</c:v>
                </c:pt>
                <c:pt idx="57">
                  <c:v>1.56</c:v>
                </c:pt>
                <c:pt idx="58">
                  <c:v>2.14</c:v>
                </c:pt>
                <c:pt idx="59">
                  <c:v>3.07</c:v>
                </c:pt>
              </c:numCache>
            </c:numRef>
          </c:xVal>
          <c:yVal>
            <c:numRef>
              <c:f>'Competitor Price Regression'!$C$26:$C$85</c:f>
              <c:numCache>
                <c:formatCode>General</c:formatCode>
                <c:ptCount val="60"/>
                <c:pt idx="0">
                  <c:v>-9.5594370374433595</c:v>
                </c:pt>
                <c:pt idx="1">
                  <c:v>-14.942357405741944</c:v>
                </c:pt>
                <c:pt idx="2">
                  <c:v>29.066763907094341</c:v>
                </c:pt>
                <c:pt idx="3">
                  <c:v>-16.233199501281462</c:v>
                </c:pt>
                <c:pt idx="4">
                  <c:v>20.71213153083778</c:v>
                </c:pt>
                <c:pt idx="5">
                  <c:v>21.525528980752611</c:v>
                </c:pt>
                <c:pt idx="6">
                  <c:v>-40.364062133780266</c:v>
                </c:pt>
                <c:pt idx="7">
                  <c:v>-6.5753558281066233</c:v>
                </c:pt>
                <c:pt idx="8">
                  <c:v>17.045056552095701</c:v>
                </c:pt>
                <c:pt idx="9">
                  <c:v>-8.657747336374058</c:v>
                </c:pt>
                <c:pt idx="10">
                  <c:v>14.646047348495188</c:v>
                </c:pt>
                <c:pt idx="11">
                  <c:v>33.365188277629258</c:v>
                </c:pt>
                <c:pt idx="12">
                  <c:v>-21.060639020874873</c:v>
                </c:pt>
                <c:pt idx="13">
                  <c:v>11.932585308867772</c:v>
                </c:pt>
                <c:pt idx="14">
                  <c:v>-18.76697338730736</c:v>
                </c:pt>
                <c:pt idx="15">
                  <c:v>-10.616239602791765</c:v>
                </c:pt>
                <c:pt idx="16">
                  <c:v>21.163112388645672</c:v>
                </c:pt>
                <c:pt idx="17">
                  <c:v>-30.793238824240184</c:v>
                </c:pt>
                <c:pt idx="18">
                  <c:v>1.4544030130607553</c:v>
                </c:pt>
                <c:pt idx="19">
                  <c:v>-7.9877349819816175</c:v>
                </c:pt>
                <c:pt idx="20">
                  <c:v>-30.421203153021473</c:v>
                </c:pt>
                <c:pt idx="21">
                  <c:v>12.800938989304342</c:v>
                </c:pt>
                <c:pt idx="22">
                  <c:v>-6.5589888313789544</c:v>
                </c:pt>
                <c:pt idx="23">
                  <c:v>35.906900415067156</c:v>
                </c:pt>
                <c:pt idx="24">
                  <c:v>12.600243125124692</c:v>
                </c:pt>
                <c:pt idx="25">
                  <c:v>18.116209989185421</c:v>
                </c:pt>
                <c:pt idx="26">
                  <c:v>1.9831922254194581</c:v>
                </c:pt>
                <c:pt idx="27">
                  <c:v>5.4051574952629409</c:v>
                </c:pt>
                <c:pt idx="28">
                  <c:v>-7.4154266177065153</c:v>
                </c:pt>
                <c:pt idx="29">
                  <c:v>-9.0711612838267115</c:v>
                </c:pt>
                <c:pt idx="30">
                  <c:v>-3.8344910342363079</c:v>
                </c:pt>
                <c:pt idx="31">
                  <c:v>20.850586897331695</c:v>
                </c:pt>
                <c:pt idx="32">
                  <c:v>18.355798761485701</c:v>
                </c:pt>
                <c:pt idx="33">
                  <c:v>-5.1517501556138541</c:v>
                </c:pt>
                <c:pt idx="34">
                  <c:v>3.2534150900238785</c:v>
                </c:pt>
                <c:pt idx="35">
                  <c:v>2.5183774356636519</c:v>
                </c:pt>
                <c:pt idx="36">
                  <c:v>-26.058562500702479</c:v>
                </c:pt>
                <c:pt idx="37">
                  <c:v>-3.1100704650491764</c:v>
                </c:pt>
                <c:pt idx="38">
                  <c:v>-41.030168928828353</c:v>
                </c:pt>
                <c:pt idx="39">
                  <c:v>-10.253010149550292</c:v>
                </c:pt>
                <c:pt idx="40">
                  <c:v>-10.041606911878773</c:v>
                </c:pt>
                <c:pt idx="41">
                  <c:v>-9.0706339040316095</c:v>
                </c:pt>
                <c:pt idx="42">
                  <c:v>22.53555692000505</c:v>
                </c:pt>
                <c:pt idx="43">
                  <c:v>11.347191278444427</c:v>
                </c:pt>
                <c:pt idx="44">
                  <c:v>-11.575678978507042</c:v>
                </c:pt>
                <c:pt idx="45">
                  <c:v>14.008873547071062</c:v>
                </c:pt>
                <c:pt idx="46">
                  <c:v>-21.976983744273042</c:v>
                </c:pt>
                <c:pt idx="47">
                  <c:v>33.429909261359825</c:v>
                </c:pt>
                <c:pt idx="48">
                  <c:v>22.831747018973587</c:v>
                </c:pt>
                <c:pt idx="49">
                  <c:v>8.4714223491273231</c:v>
                </c:pt>
                <c:pt idx="50">
                  <c:v>13.95689254715677</c:v>
                </c:pt>
                <c:pt idx="51">
                  <c:v>9.3029657103962222</c:v>
                </c:pt>
                <c:pt idx="52">
                  <c:v>10.770610611030918</c:v>
                </c:pt>
                <c:pt idx="53">
                  <c:v>0.9001534736169674</c:v>
                </c:pt>
                <c:pt idx="54">
                  <c:v>-4.4427446017756012</c:v>
                </c:pt>
                <c:pt idx="55">
                  <c:v>-24.509549026695396</c:v>
                </c:pt>
                <c:pt idx="56">
                  <c:v>13.284967800188781</c:v>
                </c:pt>
                <c:pt idx="57">
                  <c:v>-44.73392806998109</c:v>
                </c:pt>
                <c:pt idx="58">
                  <c:v>9.4428775987100977</c:v>
                </c:pt>
                <c:pt idx="59">
                  <c:v>-18.171862430449593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A-5D42-82FE-A7EFF225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7680"/>
        <c:axId val="157745536"/>
      </c:scatterChart>
      <c:valAx>
        <c:axId val="157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Competitior's Average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45536"/>
        <c:crosses val="autoZero"/>
        <c:crossBetween val="midCat"/>
      </c:valAx>
      <c:valAx>
        <c:axId val="15774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2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Family Income in Thousands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Data'!$E$3:$E$62</c:f>
              <c:numCache>
                <c:formatCode>General</c:formatCode>
                <c:ptCount val="60"/>
                <c:pt idx="0">
                  <c:v>42.9</c:v>
                </c:pt>
                <c:pt idx="1">
                  <c:v>41.6</c:v>
                </c:pt>
                <c:pt idx="2">
                  <c:v>36.1</c:v>
                </c:pt>
                <c:pt idx="3">
                  <c:v>44.3</c:v>
                </c:pt>
                <c:pt idx="4">
                  <c:v>42.9</c:v>
                </c:pt>
                <c:pt idx="5">
                  <c:v>40.200000000000003</c:v>
                </c:pt>
                <c:pt idx="6">
                  <c:v>38.799999999999997</c:v>
                </c:pt>
                <c:pt idx="7">
                  <c:v>36.1</c:v>
                </c:pt>
                <c:pt idx="8">
                  <c:v>37.5</c:v>
                </c:pt>
                <c:pt idx="9">
                  <c:v>40.799999999999997</c:v>
                </c:pt>
                <c:pt idx="10">
                  <c:v>37.4</c:v>
                </c:pt>
                <c:pt idx="11">
                  <c:v>35.4</c:v>
                </c:pt>
                <c:pt idx="12">
                  <c:v>39.200000000000003</c:v>
                </c:pt>
                <c:pt idx="13">
                  <c:v>43.5</c:v>
                </c:pt>
                <c:pt idx="14">
                  <c:v>45</c:v>
                </c:pt>
                <c:pt idx="15">
                  <c:v>35.1</c:v>
                </c:pt>
                <c:pt idx="16">
                  <c:v>38</c:v>
                </c:pt>
                <c:pt idx="17">
                  <c:v>37.9</c:v>
                </c:pt>
                <c:pt idx="18">
                  <c:v>43.1</c:v>
                </c:pt>
                <c:pt idx="19">
                  <c:v>35.200000000000003</c:v>
                </c:pt>
                <c:pt idx="20">
                  <c:v>35</c:v>
                </c:pt>
                <c:pt idx="21">
                  <c:v>39.9</c:v>
                </c:pt>
                <c:pt idx="22">
                  <c:v>42.1</c:v>
                </c:pt>
                <c:pt idx="23">
                  <c:v>44.1</c:v>
                </c:pt>
                <c:pt idx="24">
                  <c:v>40.5</c:v>
                </c:pt>
                <c:pt idx="25">
                  <c:v>42.2</c:v>
                </c:pt>
                <c:pt idx="26">
                  <c:v>42.3</c:v>
                </c:pt>
                <c:pt idx="27">
                  <c:v>38.5</c:v>
                </c:pt>
                <c:pt idx="28">
                  <c:v>37.799999999999997</c:v>
                </c:pt>
                <c:pt idx="29">
                  <c:v>43.6</c:v>
                </c:pt>
                <c:pt idx="30">
                  <c:v>35.200000000000003</c:v>
                </c:pt>
                <c:pt idx="31">
                  <c:v>44.6</c:v>
                </c:pt>
                <c:pt idx="32">
                  <c:v>36.700000000000003</c:v>
                </c:pt>
                <c:pt idx="33">
                  <c:v>35.299999999999997</c:v>
                </c:pt>
                <c:pt idx="34">
                  <c:v>38.6</c:v>
                </c:pt>
                <c:pt idx="35">
                  <c:v>37.1</c:v>
                </c:pt>
                <c:pt idx="36">
                  <c:v>42.9</c:v>
                </c:pt>
                <c:pt idx="37">
                  <c:v>42.3</c:v>
                </c:pt>
                <c:pt idx="38">
                  <c:v>38.4</c:v>
                </c:pt>
                <c:pt idx="39">
                  <c:v>43.8</c:v>
                </c:pt>
                <c:pt idx="40">
                  <c:v>43</c:v>
                </c:pt>
                <c:pt idx="41">
                  <c:v>42.5</c:v>
                </c:pt>
                <c:pt idx="42">
                  <c:v>39</c:v>
                </c:pt>
                <c:pt idx="43">
                  <c:v>37.299999999999997</c:v>
                </c:pt>
                <c:pt idx="44">
                  <c:v>44.4</c:v>
                </c:pt>
                <c:pt idx="45">
                  <c:v>38.5</c:v>
                </c:pt>
                <c:pt idx="46">
                  <c:v>36.700000000000003</c:v>
                </c:pt>
                <c:pt idx="47">
                  <c:v>35.1</c:v>
                </c:pt>
                <c:pt idx="48">
                  <c:v>37.200000000000003</c:v>
                </c:pt>
                <c:pt idx="49">
                  <c:v>38.200000000000003</c:v>
                </c:pt>
                <c:pt idx="50">
                  <c:v>45</c:v>
                </c:pt>
                <c:pt idx="51">
                  <c:v>37.799999999999997</c:v>
                </c:pt>
                <c:pt idx="52">
                  <c:v>41.4</c:v>
                </c:pt>
                <c:pt idx="53">
                  <c:v>44.8</c:v>
                </c:pt>
                <c:pt idx="54">
                  <c:v>40.799999999999997</c:v>
                </c:pt>
                <c:pt idx="55">
                  <c:v>37.9</c:v>
                </c:pt>
                <c:pt idx="56">
                  <c:v>40.799999999999997</c:v>
                </c:pt>
                <c:pt idx="57">
                  <c:v>36.799999999999997</c:v>
                </c:pt>
                <c:pt idx="58">
                  <c:v>35.200000000000003</c:v>
                </c:pt>
                <c:pt idx="59">
                  <c:v>36.799999999999997</c:v>
                </c:pt>
              </c:numCache>
            </c:numRef>
          </c:xVal>
          <c:yVal>
            <c:numRef>
              <c:f>'Competitor Price Regression'!$C$26:$C$85</c:f>
              <c:numCache>
                <c:formatCode>General</c:formatCode>
                <c:ptCount val="60"/>
                <c:pt idx="0">
                  <c:v>-9.5594370374433595</c:v>
                </c:pt>
                <c:pt idx="1">
                  <c:v>-14.942357405741944</c:v>
                </c:pt>
                <c:pt idx="2">
                  <c:v>29.066763907094341</c:v>
                </c:pt>
                <c:pt idx="3">
                  <c:v>-16.233199501281462</c:v>
                </c:pt>
                <c:pt idx="4">
                  <c:v>20.71213153083778</c:v>
                </c:pt>
                <c:pt idx="5">
                  <c:v>21.525528980752611</c:v>
                </c:pt>
                <c:pt idx="6">
                  <c:v>-40.364062133780266</c:v>
                </c:pt>
                <c:pt idx="7">
                  <c:v>-6.5753558281066233</c:v>
                </c:pt>
                <c:pt idx="8">
                  <c:v>17.045056552095701</c:v>
                </c:pt>
                <c:pt idx="9">
                  <c:v>-8.657747336374058</c:v>
                </c:pt>
                <c:pt idx="10">
                  <c:v>14.646047348495188</c:v>
                </c:pt>
                <c:pt idx="11">
                  <c:v>33.365188277629258</c:v>
                </c:pt>
                <c:pt idx="12">
                  <c:v>-21.060639020874873</c:v>
                </c:pt>
                <c:pt idx="13">
                  <c:v>11.932585308867772</c:v>
                </c:pt>
                <c:pt idx="14">
                  <c:v>-18.76697338730736</c:v>
                </c:pt>
                <c:pt idx="15">
                  <c:v>-10.616239602791765</c:v>
                </c:pt>
                <c:pt idx="16">
                  <c:v>21.163112388645672</c:v>
                </c:pt>
                <c:pt idx="17">
                  <c:v>-30.793238824240184</c:v>
                </c:pt>
                <c:pt idx="18">
                  <c:v>1.4544030130607553</c:v>
                </c:pt>
                <c:pt idx="19">
                  <c:v>-7.9877349819816175</c:v>
                </c:pt>
                <c:pt idx="20">
                  <c:v>-30.421203153021473</c:v>
                </c:pt>
                <c:pt idx="21">
                  <c:v>12.800938989304342</c:v>
                </c:pt>
                <c:pt idx="22">
                  <c:v>-6.5589888313789544</c:v>
                </c:pt>
                <c:pt idx="23">
                  <c:v>35.906900415067156</c:v>
                </c:pt>
                <c:pt idx="24">
                  <c:v>12.600243125124692</c:v>
                </c:pt>
                <c:pt idx="25">
                  <c:v>18.116209989185421</c:v>
                </c:pt>
                <c:pt idx="26">
                  <c:v>1.9831922254194581</c:v>
                </c:pt>
                <c:pt idx="27">
                  <c:v>5.4051574952629409</c:v>
                </c:pt>
                <c:pt idx="28">
                  <c:v>-7.4154266177065153</c:v>
                </c:pt>
                <c:pt idx="29">
                  <c:v>-9.0711612838267115</c:v>
                </c:pt>
                <c:pt idx="30">
                  <c:v>-3.8344910342363079</c:v>
                </c:pt>
                <c:pt idx="31">
                  <c:v>20.850586897331695</c:v>
                </c:pt>
                <c:pt idx="32">
                  <c:v>18.355798761485701</c:v>
                </c:pt>
                <c:pt idx="33">
                  <c:v>-5.1517501556138541</c:v>
                </c:pt>
                <c:pt idx="34">
                  <c:v>3.2534150900238785</c:v>
                </c:pt>
                <c:pt idx="35">
                  <c:v>2.5183774356636519</c:v>
                </c:pt>
                <c:pt idx="36">
                  <c:v>-26.058562500702479</c:v>
                </c:pt>
                <c:pt idx="37">
                  <c:v>-3.1100704650491764</c:v>
                </c:pt>
                <c:pt idx="38">
                  <c:v>-41.030168928828353</c:v>
                </c:pt>
                <c:pt idx="39">
                  <c:v>-10.253010149550292</c:v>
                </c:pt>
                <c:pt idx="40">
                  <c:v>-10.041606911878773</c:v>
                </c:pt>
                <c:pt idx="41">
                  <c:v>-9.0706339040316095</c:v>
                </c:pt>
                <c:pt idx="42">
                  <c:v>22.53555692000505</c:v>
                </c:pt>
                <c:pt idx="43">
                  <c:v>11.347191278444427</c:v>
                </c:pt>
                <c:pt idx="44">
                  <c:v>-11.575678978507042</c:v>
                </c:pt>
                <c:pt idx="45">
                  <c:v>14.008873547071062</c:v>
                </c:pt>
                <c:pt idx="46">
                  <c:v>-21.976983744273042</c:v>
                </c:pt>
                <c:pt idx="47">
                  <c:v>33.429909261359825</c:v>
                </c:pt>
                <c:pt idx="48">
                  <c:v>22.831747018973587</c:v>
                </c:pt>
                <c:pt idx="49">
                  <c:v>8.4714223491273231</c:v>
                </c:pt>
                <c:pt idx="50">
                  <c:v>13.95689254715677</c:v>
                </c:pt>
                <c:pt idx="51">
                  <c:v>9.3029657103962222</c:v>
                </c:pt>
                <c:pt idx="52">
                  <c:v>10.770610611030918</c:v>
                </c:pt>
                <c:pt idx="53">
                  <c:v>0.9001534736169674</c:v>
                </c:pt>
                <c:pt idx="54">
                  <c:v>-4.4427446017756012</c:v>
                </c:pt>
                <c:pt idx="55">
                  <c:v>-24.509549026695396</c:v>
                </c:pt>
                <c:pt idx="56">
                  <c:v>13.284967800188781</c:v>
                </c:pt>
                <c:pt idx="57">
                  <c:v>-44.73392806998109</c:v>
                </c:pt>
                <c:pt idx="58">
                  <c:v>9.4428775987100977</c:v>
                </c:pt>
                <c:pt idx="59">
                  <c:v>-18.171862430449593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7-6647-890E-F4D9F8A7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208"/>
        <c:axId val="157776128"/>
      </c:scatterChart>
      <c:valAx>
        <c:axId val="1577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Family Income in Thousands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76128"/>
        <c:crosses val="autoZero"/>
        <c:crossBetween val="midCat"/>
      </c:valAx>
      <c:valAx>
        <c:axId val="1577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7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32657</xdr:colOff>
      <xdr:row>2</xdr:row>
      <xdr:rowOff>38099</xdr:rowOff>
    </xdr:from>
    <xdr:to>
      <xdr:col>17</xdr:col>
      <xdr:colOff>751114</xdr:colOff>
      <xdr:row>25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720435</xdr:colOff>
      <xdr:row>2</xdr:row>
      <xdr:rowOff>249382</xdr:rowOff>
    </xdr:from>
    <xdr:to>
      <xdr:col>20</xdr:col>
      <xdr:colOff>401781</xdr:colOff>
      <xdr:row>33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83127</xdr:rowOff>
    </xdr:from>
    <xdr:to>
      <xdr:col>18</xdr:col>
      <xdr:colOff>983673</xdr:colOff>
      <xdr:row>36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598713</xdr:colOff>
      <xdr:row>2</xdr:row>
      <xdr:rowOff>146957</xdr:rowOff>
    </xdr:from>
    <xdr:to>
      <xdr:col>20</xdr:col>
      <xdr:colOff>108856</xdr:colOff>
      <xdr:row>28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21771</xdr:colOff>
      <xdr:row>2</xdr:row>
      <xdr:rowOff>48985</xdr:rowOff>
    </xdr:from>
    <xdr:to>
      <xdr:col>22</xdr:col>
      <xdr:colOff>261257</xdr:colOff>
      <xdr:row>27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10885</xdr:colOff>
      <xdr:row>2</xdr:row>
      <xdr:rowOff>146957</xdr:rowOff>
    </xdr:from>
    <xdr:to>
      <xdr:col>22</xdr:col>
      <xdr:colOff>555171</xdr:colOff>
      <xdr:row>31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</xdr:colOff>
      <xdr:row>67</xdr:row>
      <xdr:rowOff>10885</xdr:rowOff>
    </xdr:from>
    <xdr:to>
      <xdr:col>9</xdr:col>
      <xdr:colOff>598713</xdr:colOff>
      <xdr:row>85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23950</xdr:colOff>
      <xdr:row>44</xdr:row>
      <xdr:rowOff>21772</xdr:rowOff>
    </xdr:from>
    <xdr:to>
      <xdr:col>10</xdr:col>
      <xdr:colOff>10885</xdr:colOff>
      <xdr:row>64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2177</xdr:colOff>
      <xdr:row>24</xdr:row>
      <xdr:rowOff>10885</xdr:rowOff>
    </xdr:from>
    <xdr:to>
      <xdr:col>9</xdr:col>
      <xdr:colOff>598713</xdr:colOff>
      <xdr:row>42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</xdr:colOff>
      <xdr:row>60</xdr:row>
      <xdr:rowOff>10884</xdr:rowOff>
    </xdr:from>
    <xdr:to>
      <xdr:col>10</xdr:col>
      <xdr:colOff>54429</xdr:colOff>
      <xdr:row>78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34834</xdr:colOff>
      <xdr:row>42</xdr:row>
      <xdr:rowOff>21771</xdr:rowOff>
    </xdr:from>
    <xdr:to>
      <xdr:col>10</xdr:col>
      <xdr:colOff>32657</xdr:colOff>
      <xdr:row>58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856704</xdr:colOff>
      <xdr:row>24</xdr:row>
      <xdr:rowOff>3266</xdr:rowOff>
    </xdr:from>
    <xdr:to>
      <xdr:col>10</xdr:col>
      <xdr:colOff>21771</xdr:colOff>
      <xdr:row>40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274321</xdr:colOff>
      <xdr:row>42</xdr:row>
      <xdr:rowOff>138546</xdr:rowOff>
    </xdr:from>
    <xdr:to>
      <xdr:col>10</xdr:col>
      <xdr:colOff>47106</xdr:colOff>
      <xdr:row>61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250075</xdr:colOff>
      <xdr:row>21</xdr:row>
      <xdr:rowOff>76893</xdr:rowOff>
    </xdr:from>
    <xdr:to>
      <xdr:col>10</xdr:col>
      <xdr:colOff>22860</xdr:colOff>
      <xdr:row>41</xdr:row>
      <xdr:rowOff>84513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2"/>
  <sheetViews>
    <sheetView showGridLines="0" zoomScale="70" zoomScaleNormal="70" workbookViewId="0">
      <selection activeCell="K13" sqref="K13"/>
    </sheetView>
  </sheetViews>
  <sheetFormatPr baseColWidth="10" defaultColWidth="8.83203125" defaultRowHeight="13"/>
  <cols>
    <col min="1" max="2" width="15.1640625" bestFit="1" customWidth="1"/>
    <col min="3" max="3" width="12.6640625" bestFit="1" customWidth="1"/>
    <col min="4" max="4" width="11.83203125" bestFit="1" customWidth="1"/>
    <col min="5" max="7" width="14.33203125" bestFit="1" customWidth="1"/>
  </cols>
  <sheetData>
    <row r="2" spans="2:7" ht="56">
      <c r="B2" s="22" t="s">
        <v>42</v>
      </c>
      <c r="C2" s="23" t="s">
        <v>113</v>
      </c>
      <c r="D2" s="23" t="s">
        <v>114</v>
      </c>
      <c r="E2" s="23" t="s">
        <v>115</v>
      </c>
      <c r="F2" s="23" t="s">
        <v>128</v>
      </c>
      <c r="G2" s="23" t="s">
        <v>127</v>
      </c>
    </row>
    <row r="3" spans="2:7">
      <c r="B3" s="7">
        <v>1</v>
      </c>
      <c r="C3" s="4">
        <v>93.3</v>
      </c>
      <c r="D3" s="8">
        <v>57.5</v>
      </c>
      <c r="E3" s="5">
        <v>42.9</v>
      </c>
      <c r="F3" s="25">
        <v>2.76</v>
      </c>
      <c r="G3" s="10">
        <v>2.84</v>
      </c>
    </row>
    <row r="4" spans="2:7">
      <c r="B4" s="7">
        <v>2</v>
      </c>
      <c r="C4" s="4">
        <v>86.5</v>
      </c>
      <c r="D4" s="8">
        <v>47.9</v>
      </c>
      <c r="E4" s="5">
        <v>41.6</v>
      </c>
      <c r="F4" s="9">
        <v>2.96</v>
      </c>
      <c r="G4" s="10">
        <v>1.62</v>
      </c>
    </row>
    <row r="5" spans="2:7">
      <c r="B5" s="7">
        <v>3</v>
      </c>
      <c r="C5" s="4">
        <v>121.6</v>
      </c>
      <c r="D5" s="8">
        <v>54.6</v>
      </c>
      <c r="E5" s="5">
        <v>36.1</v>
      </c>
      <c r="F5" s="9">
        <v>2.5</v>
      </c>
      <c r="G5" s="10">
        <v>2.87</v>
      </c>
    </row>
    <row r="6" spans="2:7">
      <c r="B6" s="7">
        <v>4</v>
      </c>
      <c r="C6" s="4">
        <v>90.9</v>
      </c>
      <c r="D6" s="8">
        <v>54.7</v>
      </c>
      <c r="E6" s="5">
        <v>44.3</v>
      </c>
      <c r="F6" s="9">
        <v>2.42</v>
      </c>
      <c r="G6" s="10">
        <v>2.06</v>
      </c>
    </row>
    <row r="7" spans="2:7">
      <c r="B7" s="7">
        <v>5</v>
      </c>
      <c r="C7" s="4">
        <v>123.6</v>
      </c>
      <c r="D7" s="8">
        <v>52.2</v>
      </c>
      <c r="E7" s="5">
        <v>42.9</v>
      </c>
      <c r="F7" s="9">
        <v>2.71</v>
      </c>
      <c r="G7" s="10">
        <v>2.17</v>
      </c>
    </row>
    <row r="8" spans="2:7">
      <c r="B8" s="7">
        <v>6</v>
      </c>
      <c r="C8" s="4">
        <v>113.8</v>
      </c>
      <c r="D8" s="8">
        <v>52.6</v>
      </c>
      <c r="E8" s="5">
        <v>40.200000000000003</v>
      </c>
      <c r="F8" s="9">
        <v>3.01</v>
      </c>
      <c r="G8" s="10">
        <v>3.43</v>
      </c>
    </row>
    <row r="9" spans="2:7">
      <c r="B9" s="7">
        <v>7</v>
      </c>
      <c r="C9" s="4">
        <v>66.5</v>
      </c>
      <c r="D9" s="8">
        <v>60.9</v>
      </c>
      <c r="E9" s="5">
        <v>38.799999999999997</v>
      </c>
      <c r="F9" s="9">
        <v>2.97</v>
      </c>
      <c r="G9" s="10">
        <v>1.85</v>
      </c>
    </row>
    <row r="10" spans="2:7">
      <c r="B10" s="7">
        <v>8</v>
      </c>
      <c r="C10" s="4">
        <v>93.2</v>
      </c>
      <c r="D10" s="8">
        <v>61.3</v>
      </c>
      <c r="E10" s="5">
        <v>36.1</v>
      </c>
      <c r="F10" s="9">
        <v>3.09</v>
      </c>
      <c r="G10" s="10">
        <v>2.54</v>
      </c>
    </row>
    <row r="11" spans="2:7">
      <c r="B11" s="7">
        <v>9</v>
      </c>
      <c r="C11" s="4">
        <v>108.6</v>
      </c>
      <c r="D11" s="8">
        <v>53</v>
      </c>
      <c r="E11" s="5">
        <v>37.5</v>
      </c>
      <c r="F11" s="9">
        <v>2.4900000000000002</v>
      </c>
      <c r="G11" s="10">
        <v>3.09</v>
      </c>
    </row>
    <row r="12" spans="2:7">
      <c r="B12" s="7">
        <v>10</v>
      </c>
      <c r="C12" s="4">
        <v>94.9</v>
      </c>
      <c r="D12" s="8">
        <v>51.9</v>
      </c>
      <c r="E12" s="5">
        <v>40.799999999999997</v>
      </c>
      <c r="F12" s="9">
        <v>2.75</v>
      </c>
      <c r="G12" s="10">
        <v>1.63</v>
      </c>
    </row>
    <row r="13" spans="2:7">
      <c r="B13" s="7">
        <v>11</v>
      </c>
      <c r="C13" s="4">
        <v>118.2</v>
      </c>
      <c r="D13" s="8">
        <v>56.1</v>
      </c>
      <c r="E13" s="5">
        <v>37.4</v>
      </c>
      <c r="F13" s="9">
        <v>2.3199999999999998</v>
      </c>
      <c r="G13" s="10">
        <v>1.52</v>
      </c>
    </row>
    <row r="14" spans="2:7">
      <c r="B14" s="7">
        <v>12</v>
      </c>
      <c r="C14" s="4">
        <v>126.3</v>
      </c>
      <c r="D14" s="8">
        <v>47.8</v>
      </c>
      <c r="E14" s="5">
        <v>35.4</v>
      </c>
      <c r="F14" s="9">
        <v>2.2200000000000002</v>
      </c>
      <c r="G14" s="10">
        <v>1.82</v>
      </c>
    </row>
    <row r="15" spans="2:7">
      <c r="B15" s="7">
        <v>13</v>
      </c>
      <c r="C15" s="4">
        <v>76.5</v>
      </c>
      <c r="D15" s="8">
        <v>48</v>
      </c>
      <c r="E15" s="5">
        <v>39.200000000000003</v>
      </c>
      <c r="F15" s="9">
        <v>2.6</v>
      </c>
      <c r="G15" s="10">
        <v>1.81</v>
      </c>
    </row>
    <row r="16" spans="2:7">
      <c r="B16" s="7">
        <v>14</v>
      </c>
      <c r="C16" s="4">
        <v>116.9</v>
      </c>
      <c r="D16" s="8">
        <v>59</v>
      </c>
      <c r="E16" s="5">
        <v>43.5</v>
      </c>
      <c r="F16" s="9">
        <v>3.11</v>
      </c>
      <c r="G16" s="10">
        <v>2.8</v>
      </c>
    </row>
    <row r="17" spans="2:7">
      <c r="B17" s="7">
        <v>15</v>
      </c>
      <c r="C17" s="4">
        <v>77.599999999999994</v>
      </c>
      <c r="D17" s="8">
        <v>50.3</v>
      </c>
      <c r="E17" s="5">
        <v>45</v>
      </c>
      <c r="F17" s="9">
        <v>2.84</v>
      </c>
      <c r="G17" s="10">
        <v>3.38</v>
      </c>
    </row>
    <row r="18" spans="2:7">
      <c r="B18" s="7">
        <v>16</v>
      </c>
      <c r="C18" s="4">
        <v>76.5</v>
      </c>
      <c r="D18" s="8">
        <v>48.4</v>
      </c>
      <c r="E18" s="5">
        <v>35.1</v>
      </c>
      <c r="F18" s="9">
        <v>2.52</v>
      </c>
      <c r="G18" s="10">
        <v>2.78</v>
      </c>
    </row>
    <row r="19" spans="2:7">
      <c r="B19" s="7">
        <v>17</v>
      </c>
      <c r="C19" s="4">
        <v>120.9</v>
      </c>
      <c r="D19" s="8">
        <v>51.8</v>
      </c>
      <c r="E19" s="5">
        <v>38</v>
      </c>
      <c r="F19" s="9">
        <v>2.58</v>
      </c>
      <c r="G19" s="10">
        <v>1.71</v>
      </c>
    </row>
    <row r="20" spans="2:7">
      <c r="B20" s="7">
        <v>18</v>
      </c>
      <c r="C20" s="4">
        <v>61.4</v>
      </c>
      <c r="D20" s="8">
        <v>45.1</v>
      </c>
      <c r="E20" s="5">
        <v>37.9</v>
      </c>
      <c r="F20" s="9">
        <v>3.1</v>
      </c>
      <c r="G20" s="10">
        <v>2.0699999999999998</v>
      </c>
    </row>
    <row r="21" spans="2:7">
      <c r="B21" s="7">
        <v>19</v>
      </c>
      <c r="C21" s="4">
        <v>99.9</v>
      </c>
      <c r="D21" s="8">
        <v>55.1</v>
      </c>
      <c r="E21" s="5">
        <v>43.1</v>
      </c>
      <c r="F21" s="9">
        <v>3.02</v>
      </c>
      <c r="G21" s="10">
        <v>3.29</v>
      </c>
    </row>
    <row r="22" spans="2:7">
      <c r="B22" s="7">
        <v>20</v>
      </c>
      <c r="C22" s="4">
        <v>74.599999999999994</v>
      </c>
      <c r="D22" s="8">
        <v>46.4</v>
      </c>
      <c r="E22" s="5">
        <v>35.200000000000003</v>
      </c>
      <c r="F22" s="9">
        <v>2.86</v>
      </c>
      <c r="G22" s="10">
        <v>3.28</v>
      </c>
    </row>
    <row r="23" spans="2:7">
      <c r="B23" s="7">
        <v>21</v>
      </c>
      <c r="C23" s="4">
        <v>57.6</v>
      </c>
      <c r="D23" s="8">
        <v>48.6</v>
      </c>
      <c r="E23" s="5">
        <v>35</v>
      </c>
      <c r="F23" s="9">
        <v>3.04</v>
      </c>
      <c r="G23" s="10">
        <v>2.64</v>
      </c>
    </row>
    <row r="24" spans="2:7">
      <c r="B24" s="7">
        <v>22</v>
      </c>
      <c r="C24" s="4">
        <v>111.7</v>
      </c>
      <c r="D24" s="8">
        <v>48.2</v>
      </c>
      <c r="E24" s="5">
        <v>39.9</v>
      </c>
      <c r="F24" s="9">
        <v>2.35</v>
      </c>
      <c r="G24" s="10">
        <v>1.75</v>
      </c>
    </row>
    <row r="25" spans="2:7">
      <c r="B25" s="7">
        <v>23</v>
      </c>
      <c r="C25" s="4">
        <v>88.8</v>
      </c>
      <c r="D25" s="8">
        <v>52.3</v>
      </c>
      <c r="E25" s="5">
        <v>42.1</v>
      </c>
      <c r="F25" s="9">
        <v>2.89</v>
      </c>
      <c r="G25" s="10">
        <v>3.25</v>
      </c>
    </row>
    <row r="26" spans="2:7">
      <c r="B26" s="7">
        <v>24</v>
      </c>
      <c r="C26" s="4">
        <v>143.5</v>
      </c>
      <c r="D26" s="8">
        <v>53.6</v>
      </c>
      <c r="E26" s="5">
        <v>44.1</v>
      </c>
      <c r="F26" s="9">
        <v>2.34</v>
      </c>
      <c r="G26" s="10">
        <v>1.81</v>
      </c>
    </row>
    <row r="27" spans="2:7">
      <c r="B27" s="7">
        <v>25</v>
      </c>
      <c r="C27" s="4">
        <v>100.2</v>
      </c>
      <c r="D27" s="8">
        <v>43.9</v>
      </c>
      <c r="E27" s="5">
        <v>40.5</v>
      </c>
      <c r="F27" s="9">
        <v>2.81</v>
      </c>
      <c r="G27" s="10">
        <v>3.15</v>
      </c>
    </row>
    <row r="28" spans="2:7">
      <c r="B28" s="7">
        <v>26</v>
      </c>
      <c r="C28" s="4">
        <v>116.6</v>
      </c>
      <c r="D28" s="8">
        <v>50.6</v>
      </c>
      <c r="E28" s="5">
        <v>42.2</v>
      </c>
      <c r="F28" s="9">
        <v>2.39</v>
      </c>
      <c r="G28" s="10">
        <v>2.5499999999999998</v>
      </c>
    </row>
    <row r="29" spans="2:7">
      <c r="B29" s="7">
        <v>27</v>
      </c>
      <c r="C29" s="4">
        <v>108.1</v>
      </c>
      <c r="D29" s="8">
        <v>56.3</v>
      </c>
      <c r="E29" s="5">
        <v>42.3</v>
      </c>
      <c r="F29" s="9">
        <v>2.73</v>
      </c>
      <c r="G29" s="10">
        <v>2.0499999999999998</v>
      </c>
    </row>
    <row r="30" spans="2:7">
      <c r="B30" s="7">
        <v>28</v>
      </c>
      <c r="C30" s="4">
        <v>101.9</v>
      </c>
      <c r="D30" s="8">
        <v>50.7</v>
      </c>
      <c r="E30" s="5">
        <v>38.5</v>
      </c>
      <c r="F30" s="9">
        <v>2.4900000000000002</v>
      </c>
      <c r="G30" s="10">
        <v>2.19</v>
      </c>
    </row>
    <row r="31" spans="2:7">
      <c r="B31" s="7">
        <v>29</v>
      </c>
      <c r="C31" s="4">
        <v>89.3</v>
      </c>
      <c r="D31" s="8">
        <v>49.8</v>
      </c>
      <c r="E31" s="5">
        <v>37.799999999999997</v>
      </c>
      <c r="F31" s="9">
        <v>2.74</v>
      </c>
      <c r="G31" s="10">
        <v>1.91</v>
      </c>
    </row>
    <row r="32" spans="2:7">
      <c r="B32" s="7">
        <v>30</v>
      </c>
      <c r="C32" s="4">
        <v>94.4</v>
      </c>
      <c r="D32" s="8">
        <v>53.1</v>
      </c>
      <c r="E32" s="5">
        <v>43.6</v>
      </c>
      <c r="F32" s="9">
        <v>2.73</v>
      </c>
      <c r="G32" s="10">
        <v>2.3199999999999998</v>
      </c>
    </row>
    <row r="33" spans="2:7">
      <c r="B33" s="7">
        <v>31</v>
      </c>
      <c r="C33" s="4">
        <v>87.4</v>
      </c>
      <c r="D33" s="8">
        <v>47.9</v>
      </c>
      <c r="E33" s="5">
        <v>35.200000000000003</v>
      </c>
      <c r="F33" s="9">
        <v>2.52</v>
      </c>
      <c r="G33" s="10">
        <v>2.0699999999999998</v>
      </c>
    </row>
    <row r="34" spans="2:7">
      <c r="B34" s="7">
        <v>32</v>
      </c>
      <c r="C34" s="4">
        <v>123.5</v>
      </c>
      <c r="D34" s="8">
        <v>47.6</v>
      </c>
      <c r="E34" s="5">
        <v>44.6</v>
      </c>
      <c r="F34" s="9">
        <v>2.66</v>
      </c>
      <c r="G34" s="10">
        <v>1.95</v>
      </c>
    </row>
    <row r="35" spans="2:7">
      <c r="B35" s="7">
        <v>33</v>
      </c>
      <c r="C35" s="4">
        <v>109.8</v>
      </c>
      <c r="D35" s="8">
        <v>43.3</v>
      </c>
      <c r="E35" s="5">
        <v>36.700000000000003</v>
      </c>
      <c r="F35" s="9">
        <v>2.54</v>
      </c>
      <c r="G35" s="10">
        <v>1.74</v>
      </c>
    </row>
    <row r="36" spans="2:7">
      <c r="B36" s="7">
        <v>34</v>
      </c>
      <c r="C36" s="4">
        <v>90.6</v>
      </c>
      <c r="D36" s="8">
        <v>51.1</v>
      </c>
      <c r="E36" s="5">
        <v>35.299999999999997</v>
      </c>
      <c r="F36" s="9">
        <v>3.06</v>
      </c>
      <c r="G36" s="10">
        <v>1.76</v>
      </c>
    </row>
    <row r="37" spans="2:7">
      <c r="B37" s="7">
        <v>35</v>
      </c>
      <c r="C37" s="4">
        <v>100.6</v>
      </c>
      <c r="D37" s="8">
        <v>53.4</v>
      </c>
      <c r="E37" s="5">
        <v>38.6</v>
      </c>
      <c r="F37" s="9">
        <v>2.78</v>
      </c>
      <c r="G37" s="10">
        <v>2.41</v>
      </c>
    </row>
    <row r="38" spans="2:7">
      <c r="B38" s="7">
        <v>36</v>
      </c>
      <c r="C38" s="4">
        <v>87.7</v>
      </c>
      <c r="D38" s="8">
        <v>47.3</v>
      </c>
      <c r="E38" s="5">
        <v>37.1</v>
      </c>
      <c r="F38" s="9">
        <v>2.81</v>
      </c>
      <c r="G38" s="10">
        <v>3.33</v>
      </c>
    </row>
    <row r="39" spans="2:7">
      <c r="B39" s="7">
        <v>37</v>
      </c>
      <c r="C39" s="4">
        <v>78.599999999999994</v>
      </c>
      <c r="D39" s="8">
        <v>50.1</v>
      </c>
      <c r="E39" s="5">
        <v>42.9</v>
      </c>
      <c r="F39" s="9">
        <v>2.97</v>
      </c>
      <c r="G39" s="10">
        <v>1.62</v>
      </c>
    </row>
    <row r="40" spans="2:7">
      <c r="B40" s="7">
        <v>38</v>
      </c>
      <c r="C40" s="4">
        <v>92.1</v>
      </c>
      <c r="D40" s="8">
        <v>44.8</v>
      </c>
      <c r="E40" s="5">
        <v>42.3</v>
      </c>
      <c r="F40" s="9">
        <v>3.27</v>
      </c>
      <c r="G40" s="10">
        <v>2.37</v>
      </c>
    </row>
    <row r="41" spans="2:7">
      <c r="B41" s="7">
        <v>39</v>
      </c>
      <c r="C41" s="4">
        <v>54.9</v>
      </c>
      <c r="D41" s="8">
        <v>50.6</v>
      </c>
      <c r="E41" s="5">
        <v>38.4</v>
      </c>
      <c r="F41" s="9">
        <v>2.96</v>
      </c>
      <c r="G41" s="10">
        <v>2.25</v>
      </c>
    </row>
    <row r="42" spans="2:7">
      <c r="B42" s="7">
        <v>40</v>
      </c>
      <c r="C42" s="4">
        <v>84</v>
      </c>
      <c r="D42" s="8">
        <v>42.6</v>
      </c>
      <c r="E42" s="5">
        <v>43.8</v>
      </c>
      <c r="F42" s="9">
        <v>2.5099999999999998</v>
      </c>
      <c r="G42" s="10">
        <v>2.5299999999999998</v>
      </c>
    </row>
    <row r="43" spans="2:7">
      <c r="B43" s="7">
        <v>41</v>
      </c>
      <c r="C43" s="4">
        <v>92.9</v>
      </c>
      <c r="D43" s="8">
        <v>61.2</v>
      </c>
      <c r="E43" s="5">
        <v>43</v>
      </c>
      <c r="F43" s="9">
        <v>3.09</v>
      </c>
      <c r="G43" s="10">
        <v>3.31</v>
      </c>
    </row>
    <row r="44" spans="2:7">
      <c r="B44" s="7">
        <v>42</v>
      </c>
      <c r="C44" s="4">
        <v>88</v>
      </c>
      <c r="D44" s="8">
        <v>55.5</v>
      </c>
      <c r="E44" s="5">
        <v>42.5</v>
      </c>
      <c r="F44" s="9">
        <v>2.83</v>
      </c>
      <c r="G44" s="10">
        <v>3.45</v>
      </c>
    </row>
    <row r="45" spans="2:7">
      <c r="B45" s="7">
        <v>43</v>
      </c>
      <c r="C45" s="4">
        <v>124</v>
      </c>
      <c r="D45" s="8">
        <v>55</v>
      </c>
      <c r="E45" s="5">
        <v>39</v>
      </c>
      <c r="F45" s="9">
        <v>2.95</v>
      </c>
      <c r="G45" s="10">
        <v>2.02</v>
      </c>
    </row>
    <row r="46" spans="2:7">
      <c r="B46" s="7">
        <v>44</v>
      </c>
      <c r="C46" s="4">
        <v>93.4</v>
      </c>
      <c r="D46" s="8">
        <v>40.9</v>
      </c>
      <c r="E46" s="5">
        <v>37.299999999999997</v>
      </c>
      <c r="F46" s="9">
        <v>2.42</v>
      </c>
      <c r="G46" s="10">
        <v>3.07</v>
      </c>
    </row>
    <row r="47" spans="2:7">
      <c r="B47" s="7">
        <v>45</v>
      </c>
      <c r="C47" s="4">
        <v>89.6</v>
      </c>
      <c r="D47" s="8">
        <v>50.7</v>
      </c>
      <c r="E47" s="5">
        <v>44.4</v>
      </c>
      <c r="F47" s="9">
        <v>2.94</v>
      </c>
      <c r="G47" s="10">
        <v>2.54</v>
      </c>
    </row>
    <row r="48" spans="2:7">
      <c r="B48" s="7">
        <v>46</v>
      </c>
      <c r="C48" s="4">
        <v>105.1</v>
      </c>
      <c r="D48" s="8">
        <v>48.2</v>
      </c>
      <c r="E48" s="5">
        <v>38.5</v>
      </c>
      <c r="F48" s="9">
        <v>3.1</v>
      </c>
      <c r="G48" s="10">
        <v>2.75</v>
      </c>
    </row>
    <row r="49" spans="2:7">
      <c r="B49" s="7">
        <v>47</v>
      </c>
      <c r="C49" s="4">
        <v>73.2</v>
      </c>
      <c r="D49" s="8">
        <v>59.1</v>
      </c>
      <c r="E49" s="5">
        <v>36.700000000000003</v>
      </c>
      <c r="F49" s="9">
        <v>3.03</v>
      </c>
      <c r="G49" s="10">
        <v>3.12</v>
      </c>
    </row>
    <row r="50" spans="2:7">
      <c r="B50" s="7">
        <v>48</v>
      </c>
      <c r="C50" s="4">
        <v>132.69999999999999</v>
      </c>
      <c r="D50" s="8">
        <v>58.4</v>
      </c>
      <c r="E50" s="5">
        <v>35.1</v>
      </c>
      <c r="F50" s="9">
        <v>2.73</v>
      </c>
      <c r="G50" s="10">
        <v>2.0699999999999998</v>
      </c>
    </row>
    <row r="51" spans="2:7">
      <c r="B51" s="7">
        <v>49</v>
      </c>
      <c r="C51" s="4">
        <v>108.3</v>
      </c>
      <c r="D51" s="8">
        <v>42.9</v>
      </c>
      <c r="E51" s="5">
        <v>37.200000000000003</v>
      </c>
      <c r="F51" s="9">
        <v>2.04</v>
      </c>
      <c r="G51" s="10">
        <v>2.75</v>
      </c>
    </row>
    <row r="52" spans="2:7">
      <c r="B52" s="7">
        <v>50</v>
      </c>
      <c r="C52" s="4">
        <v>117</v>
      </c>
      <c r="D52" s="8">
        <v>64.099999999999994</v>
      </c>
      <c r="E52" s="5">
        <v>38.200000000000003</v>
      </c>
      <c r="F52" s="9">
        <v>2.67</v>
      </c>
      <c r="G52" s="10">
        <v>1.87</v>
      </c>
    </row>
    <row r="53" spans="2:7">
      <c r="B53" s="7">
        <v>51</v>
      </c>
      <c r="C53" s="4">
        <v>120.8</v>
      </c>
      <c r="D53" s="8">
        <v>57.9</v>
      </c>
      <c r="E53" s="5">
        <v>45</v>
      </c>
      <c r="F53" s="9">
        <v>2.52</v>
      </c>
      <c r="G53" s="10">
        <v>2.64</v>
      </c>
    </row>
    <row r="54" spans="2:7">
      <c r="B54" s="7">
        <v>52</v>
      </c>
      <c r="C54" s="4">
        <v>101.6</v>
      </c>
      <c r="D54" s="8">
        <v>46.1</v>
      </c>
      <c r="E54" s="5">
        <v>37.799999999999997</v>
      </c>
      <c r="F54" s="9">
        <v>2.36</v>
      </c>
      <c r="G54" s="10">
        <v>2.16</v>
      </c>
    </row>
    <row r="55" spans="2:7">
      <c r="B55" s="7">
        <v>53</v>
      </c>
      <c r="C55" s="4">
        <v>117.4</v>
      </c>
      <c r="D55" s="8">
        <v>59.5</v>
      </c>
      <c r="E55" s="5">
        <v>41.4</v>
      </c>
      <c r="F55" s="9">
        <v>2.3199999999999998</v>
      </c>
      <c r="G55" s="10">
        <v>2.2000000000000002</v>
      </c>
    </row>
    <row r="56" spans="2:7">
      <c r="B56" s="7">
        <v>54</v>
      </c>
      <c r="C56" s="4">
        <v>103.3</v>
      </c>
      <c r="D56" s="8">
        <v>46.9</v>
      </c>
      <c r="E56" s="5">
        <v>44.8</v>
      </c>
      <c r="F56" s="9">
        <v>2.76</v>
      </c>
      <c r="G56" s="10">
        <v>1.94</v>
      </c>
    </row>
    <row r="57" spans="2:7">
      <c r="B57" s="7">
        <v>55</v>
      </c>
      <c r="C57" s="4">
        <v>90.8</v>
      </c>
      <c r="D57" s="8">
        <v>52.5</v>
      </c>
      <c r="E57" s="5">
        <v>40.799999999999997</v>
      </c>
      <c r="F57" s="9">
        <v>2.86</v>
      </c>
      <c r="G57" s="10">
        <v>3.05</v>
      </c>
    </row>
    <row r="58" spans="2:7">
      <c r="B58" s="7">
        <v>56</v>
      </c>
      <c r="C58" s="4">
        <v>65.5</v>
      </c>
      <c r="D58" s="8">
        <v>48.5</v>
      </c>
      <c r="E58" s="5">
        <v>37.9</v>
      </c>
      <c r="F58" s="9">
        <v>3.16</v>
      </c>
      <c r="G58" s="10">
        <v>2.85</v>
      </c>
    </row>
    <row r="59" spans="2:7">
      <c r="B59" s="7">
        <v>57</v>
      </c>
      <c r="C59" s="4">
        <v>99.5</v>
      </c>
      <c r="D59" s="8">
        <v>43.5</v>
      </c>
      <c r="E59" s="5">
        <v>40.799999999999997</v>
      </c>
      <c r="F59" s="9">
        <v>2.99</v>
      </c>
      <c r="G59" s="10">
        <v>3.38</v>
      </c>
    </row>
    <row r="60" spans="2:7">
      <c r="B60" s="7">
        <v>58</v>
      </c>
      <c r="C60" s="4">
        <v>51.2</v>
      </c>
      <c r="D60" s="8">
        <v>47.5</v>
      </c>
      <c r="E60" s="5">
        <v>36.799999999999997</v>
      </c>
      <c r="F60" s="9">
        <v>3.13</v>
      </c>
      <c r="G60" s="10">
        <v>1.56</v>
      </c>
    </row>
    <row r="61" spans="2:7">
      <c r="B61" s="7">
        <v>59</v>
      </c>
      <c r="C61" s="4">
        <v>106.3</v>
      </c>
      <c r="D61" s="8">
        <v>55.7</v>
      </c>
      <c r="E61" s="5">
        <v>35.200000000000003</v>
      </c>
      <c r="F61" s="9">
        <v>2.59</v>
      </c>
      <c r="G61" s="10">
        <v>2.14</v>
      </c>
    </row>
    <row r="62" spans="2:7">
      <c r="B62" s="7">
        <v>60</v>
      </c>
      <c r="C62" s="4">
        <v>75.8</v>
      </c>
      <c r="D62" s="8">
        <v>57</v>
      </c>
      <c r="E62" s="5">
        <v>36.799999999999997</v>
      </c>
      <c r="F62" s="9">
        <v>3.12</v>
      </c>
      <c r="G62" s="10">
        <v>3.07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B97"/>
  <sheetViews>
    <sheetView showGridLines="0" zoomScale="70" zoomScaleNormal="70" workbookViewId="0">
      <selection activeCell="T38" sqref="T38"/>
    </sheetView>
  </sheetViews>
  <sheetFormatPr baseColWidth="10" defaultColWidth="8.83203125" defaultRowHeight="13"/>
  <cols>
    <col min="2" max="2" width="39.5" bestFit="1" customWidth="1"/>
    <col min="3" max="3" width="22.1640625" bestFit="1" customWidth="1"/>
    <col min="4" max="4" width="8.5" bestFit="1" customWidth="1"/>
    <col min="5" max="5" width="10" bestFit="1" customWidth="1"/>
    <col min="6" max="7" width="12.6640625" bestFit="1" customWidth="1"/>
    <col min="8" max="8" width="17.5" bestFit="1" customWidth="1"/>
    <col min="9" max="9" width="12" bestFit="1" customWidth="1"/>
    <col min="10" max="10" width="14" customWidth="1"/>
    <col min="12" max="12" width="10.83203125" customWidth="1"/>
  </cols>
  <sheetData>
    <row r="2" spans="2:10">
      <c r="B2" s="4" t="s">
        <v>88</v>
      </c>
      <c r="C2" s="4" t="s">
        <v>89</v>
      </c>
    </row>
    <row r="3" spans="2:10" ht="56">
      <c r="B3" s="23" t="s">
        <v>49</v>
      </c>
      <c r="C3" s="23" t="s">
        <v>115</v>
      </c>
      <c r="D3" s="23" t="s">
        <v>57</v>
      </c>
      <c r="E3" s="23" t="s">
        <v>59</v>
      </c>
      <c r="F3" s="23" t="s">
        <v>58</v>
      </c>
      <c r="G3" s="23" t="s">
        <v>74</v>
      </c>
      <c r="H3" s="23" t="s">
        <v>86</v>
      </c>
      <c r="I3" s="23" t="s">
        <v>103</v>
      </c>
      <c r="J3" s="23" t="s">
        <v>65</v>
      </c>
    </row>
    <row r="4" spans="2:10">
      <c r="B4" s="10">
        <v>2.84</v>
      </c>
      <c r="C4" s="5">
        <v>42.9</v>
      </c>
      <c r="D4" s="4">
        <f>C4-$C$65</f>
        <v>3.2149999999999821</v>
      </c>
      <c r="E4" s="9">
        <f>D4^2</f>
        <v>10.336224999999885</v>
      </c>
      <c r="F4" s="5">
        <f>B4-$C$66</f>
        <v>0.40416666666666679</v>
      </c>
      <c r="G4" s="13">
        <f>D4*F4</f>
        <v>1.2993958333333264</v>
      </c>
      <c r="H4" s="30">
        <f>$C$71+$C$70*C4</f>
        <v>2.4871669738446598</v>
      </c>
      <c r="I4" s="14">
        <f>(B4-H4)^2</f>
        <v>0.12449114434593489</v>
      </c>
      <c r="J4" s="5">
        <f>(H4-$C$66)^2</f>
        <v>2.6351426481461236E-3</v>
      </c>
    </row>
    <row r="5" spans="2:10">
      <c r="B5" s="10">
        <v>1.62</v>
      </c>
      <c r="C5" s="5">
        <v>41.6</v>
      </c>
      <c r="D5" s="4">
        <f t="shared" ref="D5:D63" si="0">C5-$C$65</f>
        <v>1.9149999999999849</v>
      </c>
      <c r="E5" s="9">
        <f t="shared" ref="E5:E63" si="1">D5^2</f>
        <v>3.6672249999999424</v>
      </c>
      <c r="F5" s="5">
        <f t="shared" ref="F5:F63" si="2">B5-$C$66</f>
        <v>-0.81583333333333297</v>
      </c>
      <c r="G5" s="13">
        <f t="shared" ref="G5:G63" si="3">D5*F5</f>
        <v>-1.5623208333333203</v>
      </c>
      <c r="H5" s="30">
        <f t="shared" ref="H5:H63" si="4">$C$71+$C$70*C5</f>
        <v>2.4664099807918682</v>
      </c>
      <c r="I5" s="14">
        <f t="shared" ref="I5:I63" si="5">(B5-H5)^2</f>
        <v>0.71640985558409054</v>
      </c>
      <c r="J5" s="5">
        <f t="shared" ref="J5:J63" si="6">(H5-$C$66)^2</f>
        <v>9.3493136980354506E-4</v>
      </c>
    </row>
    <row r="6" spans="2:10">
      <c r="B6" s="10">
        <v>2.87</v>
      </c>
      <c r="C6" s="5">
        <v>36.1</v>
      </c>
      <c r="D6" s="4">
        <f t="shared" si="0"/>
        <v>-3.5850000000000151</v>
      </c>
      <c r="E6" s="9">
        <f t="shared" si="1"/>
        <v>12.852225000000107</v>
      </c>
      <c r="F6" s="5">
        <f t="shared" si="2"/>
        <v>0.43416666666666703</v>
      </c>
      <c r="G6" s="13">
        <f t="shared" si="3"/>
        <v>-1.5564875000000078</v>
      </c>
      <c r="H6" s="30">
        <f t="shared" si="4"/>
        <v>2.378591933260827</v>
      </c>
      <c r="I6" s="14">
        <f t="shared" si="5"/>
        <v>0.24148188805633164</v>
      </c>
      <c r="J6" s="5">
        <f t="shared" si="6"/>
        <v>3.2765778822607026E-3</v>
      </c>
    </row>
    <row r="7" spans="2:10">
      <c r="B7" s="10">
        <v>2.06</v>
      </c>
      <c r="C7" s="5">
        <v>44.3</v>
      </c>
      <c r="D7" s="4">
        <f t="shared" si="0"/>
        <v>4.6149999999999807</v>
      </c>
      <c r="E7" s="9">
        <f t="shared" si="1"/>
        <v>21.298224999999821</v>
      </c>
      <c r="F7" s="5">
        <f t="shared" si="2"/>
        <v>-0.37583333333333302</v>
      </c>
      <c r="G7" s="13">
        <f t="shared" si="3"/>
        <v>-1.7344708333333245</v>
      </c>
      <c r="H7" s="30">
        <f t="shared" si="4"/>
        <v>2.509520658670743</v>
      </c>
      <c r="I7" s="14">
        <f t="shared" si="5"/>
        <v>0.20206882257177861</v>
      </c>
      <c r="J7" s="5">
        <f t="shared" si="6"/>
        <v>5.4298219153812999E-3</v>
      </c>
    </row>
    <row r="8" spans="2:10">
      <c r="B8" s="10">
        <v>2.17</v>
      </c>
      <c r="C8" s="5">
        <v>42.9</v>
      </c>
      <c r="D8" s="4">
        <f t="shared" si="0"/>
        <v>3.2149999999999821</v>
      </c>
      <c r="E8" s="9">
        <f t="shared" si="1"/>
        <v>10.336224999999885</v>
      </c>
      <c r="F8" s="5">
        <f t="shared" si="2"/>
        <v>-0.26583333333333314</v>
      </c>
      <c r="G8" s="13">
        <f t="shared" si="3"/>
        <v>-0.85465416666666127</v>
      </c>
      <c r="H8" s="30">
        <f t="shared" si="4"/>
        <v>2.4871669738446598</v>
      </c>
      <c r="I8" s="14">
        <f t="shared" si="5"/>
        <v>0.10059488929777916</v>
      </c>
      <c r="J8" s="5">
        <f t="shared" si="6"/>
        <v>2.6351426481461236E-3</v>
      </c>
    </row>
    <row r="9" spans="2:10">
      <c r="B9" s="10">
        <v>3.43</v>
      </c>
      <c r="C9" s="5">
        <v>40.200000000000003</v>
      </c>
      <c r="D9" s="4">
        <f t="shared" si="0"/>
        <v>0.51499999999998636</v>
      </c>
      <c r="E9" s="9">
        <f t="shared" si="1"/>
        <v>0.26522499999998594</v>
      </c>
      <c r="F9" s="5">
        <f t="shared" si="2"/>
        <v>0.99416666666666709</v>
      </c>
      <c r="G9" s="13">
        <f t="shared" si="3"/>
        <v>0.51199583333331999</v>
      </c>
      <c r="H9" s="30">
        <f t="shared" si="4"/>
        <v>2.444056295965785</v>
      </c>
      <c r="I9" s="14">
        <f t="shared" si="5"/>
        <v>0.97208498752470807</v>
      </c>
      <c r="J9" s="5">
        <f t="shared" si="6"/>
        <v>6.7617114454700681E-5</v>
      </c>
    </row>
    <row r="10" spans="2:10">
      <c r="B10" s="10">
        <v>1.85</v>
      </c>
      <c r="C10" s="5">
        <v>38.799999999999997</v>
      </c>
      <c r="D10" s="4">
        <f t="shared" si="0"/>
        <v>-0.88500000000001933</v>
      </c>
      <c r="E10" s="9">
        <f t="shared" si="1"/>
        <v>0.78322500000003425</v>
      </c>
      <c r="F10" s="5">
        <f t="shared" si="2"/>
        <v>-0.58583333333333298</v>
      </c>
      <c r="G10" s="13">
        <f t="shared" si="3"/>
        <v>0.51846250000001104</v>
      </c>
      <c r="H10" s="30">
        <f t="shared" si="4"/>
        <v>2.4217026111397018</v>
      </c>
      <c r="I10" s="14">
        <f t="shared" si="5"/>
        <v>0.32684387558395295</v>
      </c>
      <c r="J10" s="5">
        <f t="shared" si="6"/>
        <v>1.9967730971358469E-4</v>
      </c>
    </row>
    <row r="11" spans="2:10">
      <c r="B11" s="10">
        <v>2.54</v>
      </c>
      <c r="C11" s="5">
        <v>36.1</v>
      </c>
      <c r="D11" s="4">
        <f t="shared" si="0"/>
        <v>-3.5850000000000151</v>
      </c>
      <c r="E11" s="9">
        <f t="shared" si="1"/>
        <v>12.852225000000107</v>
      </c>
      <c r="F11" s="5">
        <f t="shared" si="2"/>
        <v>0.10416666666666696</v>
      </c>
      <c r="G11" s="13">
        <f t="shared" si="3"/>
        <v>-0.37343750000000264</v>
      </c>
      <c r="H11" s="30">
        <f t="shared" si="4"/>
        <v>2.378591933260827</v>
      </c>
      <c r="I11" s="14">
        <f t="shared" si="5"/>
        <v>2.6052564008477348E-2</v>
      </c>
      <c r="J11" s="5">
        <f t="shared" si="6"/>
        <v>3.2765778822607026E-3</v>
      </c>
    </row>
    <row r="12" spans="2:10">
      <c r="B12" s="10">
        <v>3.09</v>
      </c>
      <c r="C12" s="5">
        <v>37.5</v>
      </c>
      <c r="D12" s="4">
        <f t="shared" si="0"/>
        <v>-2.1850000000000165</v>
      </c>
      <c r="E12" s="9">
        <f t="shared" si="1"/>
        <v>4.7742250000000723</v>
      </c>
      <c r="F12" s="5">
        <f t="shared" si="2"/>
        <v>0.65416666666666679</v>
      </c>
      <c r="G12" s="13">
        <f t="shared" si="3"/>
        <v>-1.4293541666666778</v>
      </c>
      <c r="H12" s="30">
        <f t="shared" si="4"/>
        <v>2.4009456180869102</v>
      </c>
      <c r="I12" s="14">
        <f t="shared" si="5"/>
        <v>0.47479594123363</v>
      </c>
      <c r="J12" s="5">
        <f t="shared" si="6"/>
        <v>1.2171526751154867E-3</v>
      </c>
    </row>
    <row r="13" spans="2:10">
      <c r="B13" s="10">
        <v>1.63</v>
      </c>
      <c r="C13" s="5">
        <v>40.799999999999997</v>
      </c>
      <c r="D13" s="4">
        <f t="shared" si="0"/>
        <v>1.1149999999999807</v>
      </c>
      <c r="E13" s="9">
        <f t="shared" si="1"/>
        <v>1.2432249999999569</v>
      </c>
      <c r="F13" s="5">
        <f t="shared" si="2"/>
        <v>-0.80583333333333318</v>
      </c>
      <c r="G13" s="13">
        <f t="shared" si="3"/>
        <v>-0.89850416666665089</v>
      </c>
      <c r="H13" s="30">
        <f t="shared" si="4"/>
        <v>2.4536364466055347</v>
      </c>
      <c r="I13" s="14">
        <f t="shared" si="5"/>
        <v>0.67837699617699199</v>
      </c>
      <c r="J13" s="5">
        <f t="shared" si="6"/>
        <v>3.1695084218284189E-4</v>
      </c>
    </row>
    <row r="14" spans="2:10">
      <c r="B14" s="10">
        <v>1.52</v>
      </c>
      <c r="C14" s="5">
        <v>37.4</v>
      </c>
      <c r="D14" s="4">
        <f t="shared" si="0"/>
        <v>-2.2850000000000179</v>
      </c>
      <c r="E14" s="9">
        <f t="shared" si="1"/>
        <v>5.2212250000000822</v>
      </c>
      <c r="F14" s="5">
        <f t="shared" si="2"/>
        <v>-0.91583333333333306</v>
      </c>
      <c r="G14" s="13">
        <f t="shared" si="3"/>
        <v>2.0926791666666826</v>
      </c>
      <c r="H14" s="30">
        <f t="shared" si="4"/>
        <v>2.3993489263136185</v>
      </c>
      <c r="I14" s="14">
        <f t="shared" si="5"/>
        <v>0.77325453420891366</v>
      </c>
      <c r="J14" s="5">
        <f t="shared" si="6"/>
        <v>1.3311119555801971E-3</v>
      </c>
    </row>
    <row r="15" spans="2:10">
      <c r="B15" s="10">
        <v>1.82</v>
      </c>
      <c r="C15" s="5">
        <v>35.4</v>
      </c>
      <c r="D15" s="4">
        <f t="shared" si="0"/>
        <v>-4.2850000000000179</v>
      </c>
      <c r="E15" s="9">
        <f t="shared" si="1"/>
        <v>18.361225000000154</v>
      </c>
      <c r="F15" s="5">
        <f t="shared" si="2"/>
        <v>-0.61583333333333301</v>
      </c>
      <c r="G15" s="13">
        <f t="shared" si="3"/>
        <v>2.6388458333333431</v>
      </c>
      <c r="H15" s="30">
        <f t="shared" si="4"/>
        <v>2.3674150908477856</v>
      </c>
      <c r="I15" s="14">
        <f t="shared" si="5"/>
        <v>0.29966328168788925</v>
      </c>
      <c r="J15" s="5">
        <f t="shared" si="6"/>
        <v>4.6810559048111782E-3</v>
      </c>
    </row>
    <row r="16" spans="2:10">
      <c r="B16" s="10">
        <v>1.81</v>
      </c>
      <c r="C16" s="5">
        <v>39.200000000000003</v>
      </c>
      <c r="D16" s="4">
        <f t="shared" si="0"/>
        <v>-0.48500000000001364</v>
      </c>
      <c r="E16" s="9">
        <f t="shared" si="1"/>
        <v>0.23522500000001323</v>
      </c>
      <c r="F16" s="5">
        <f t="shared" si="2"/>
        <v>-0.62583333333333302</v>
      </c>
      <c r="G16" s="13">
        <f t="shared" si="3"/>
        <v>0.30352916666667507</v>
      </c>
      <c r="H16" s="30">
        <f t="shared" si="4"/>
        <v>2.4280893782328685</v>
      </c>
      <c r="I16" s="14">
        <f t="shared" si="5"/>
        <v>0.38203447948429392</v>
      </c>
      <c r="J16" s="5">
        <f t="shared" si="6"/>
        <v>5.9968840598010923E-5</v>
      </c>
    </row>
    <row r="17" spans="2:28">
      <c r="B17" s="10">
        <v>2.8</v>
      </c>
      <c r="C17" s="5">
        <v>43.5</v>
      </c>
      <c r="D17" s="4">
        <f t="shared" si="0"/>
        <v>3.8149999999999835</v>
      </c>
      <c r="E17" s="9">
        <f t="shared" si="1"/>
        <v>14.554224999999875</v>
      </c>
      <c r="F17" s="5">
        <f t="shared" si="2"/>
        <v>0.36416666666666675</v>
      </c>
      <c r="G17" s="13">
        <f t="shared" si="3"/>
        <v>1.3892958333333276</v>
      </c>
      <c r="H17" s="30">
        <f t="shared" si="4"/>
        <v>2.4967471244844095</v>
      </c>
      <c r="I17" s="14">
        <f t="shared" si="5"/>
        <v>9.1962306508474118E-2</v>
      </c>
      <c r="J17" s="5">
        <f t="shared" si="6"/>
        <v>3.7104899523969564E-3</v>
      </c>
    </row>
    <row r="18" spans="2:28">
      <c r="B18" s="10">
        <v>3.38</v>
      </c>
      <c r="C18" s="5">
        <v>45</v>
      </c>
      <c r="D18" s="4">
        <f t="shared" si="0"/>
        <v>5.3149999999999835</v>
      </c>
      <c r="E18" s="9">
        <f t="shared" si="1"/>
        <v>28.249224999999825</v>
      </c>
      <c r="F18" s="5">
        <f t="shared" si="2"/>
        <v>0.94416666666666682</v>
      </c>
      <c r="G18" s="13">
        <f t="shared" si="3"/>
        <v>5.0182458333333182</v>
      </c>
      <c r="H18" s="30">
        <f t="shared" si="4"/>
        <v>2.5206975010837844</v>
      </c>
      <c r="I18" s="14">
        <f t="shared" si="5"/>
        <v>0.73840078464365244</v>
      </c>
      <c r="J18" s="5">
        <f t="shared" si="6"/>
        <v>7.2019269679767482E-3</v>
      </c>
    </row>
    <row r="19" spans="2:28">
      <c r="B19" s="10">
        <v>2.78</v>
      </c>
      <c r="C19" s="5">
        <v>35.1</v>
      </c>
      <c r="D19" s="4">
        <f t="shared" si="0"/>
        <v>-4.5850000000000151</v>
      </c>
      <c r="E19" s="9">
        <f t="shared" si="1"/>
        <v>21.022225000000137</v>
      </c>
      <c r="F19" s="5">
        <f t="shared" si="2"/>
        <v>0.34416666666666673</v>
      </c>
      <c r="G19" s="13">
        <f t="shared" si="3"/>
        <v>-1.5780041666666722</v>
      </c>
      <c r="H19" s="30">
        <f t="shared" si="4"/>
        <v>2.3626250155279105</v>
      </c>
      <c r="I19" s="14">
        <f t="shared" si="5"/>
        <v>0.17420187766307679</v>
      </c>
      <c r="J19" s="5">
        <f t="shared" si="6"/>
        <v>5.3594577958997539E-3</v>
      </c>
    </row>
    <row r="20" spans="2:28">
      <c r="B20" s="10">
        <v>1.71</v>
      </c>
      <c r="C20" s="5">
        <v>38</v>
      </c>
      <c r="D20" s="4">
        <f t="shared" si="0"/>
        <v>-1.6850000000000165</v>
      </c>
      <c r="E20" s="9">
        <f t="shared" si="1"/>
        <v>2.8392250000000554</v>
      </c>
      <c r="F20" s="5">
        <f t="shared" si="2"/>
        <v>-0.72583333333333311</v>
      </c>
      <c r="G20" s="13">
        <f t="shared" si="3"/>
        <v>1.2230291666666782</v>
      </c>
      <c r="H20" s="30">
        <f t="shared" si="4"/>
        <v>2.4089290769533687</v>
      </c>
      <c r="I20" s="14">
        <f t="shared" si="5"/>
        <v>0.48850185461088796</v>
      </c>
      <c r="J20" s="5">
        <f t="shared" si="6"/>
        <v>7.2383901135885558E-4</v>
      </c>
    </row>
    <row r="21" spans="2:28">
      <c r="B21" s="10">
        <v>2.0699999999999998</v>
      </c>
      <c r="C21" s="5">
        <v>37.9</v>
      </c>
      <c r="D21" s="4">
        <f t="shared" si="0"/>
        <v>-1.7850000000000179</v>
      </c>
      <c r="E21" s="9">
        <f t="shared" si="1"/>
        <v>3.1862250000000638</v>
      </c>
      <c r="F21" s="5">
        <f t="shared" si="2"/>
        <v>-0.36583333333333323</v>
      </c>
      <c r="G21" s="13">
        <f t="shared" si="3"/>
        <v>0.65301250000000632</v>
      </c>
      <c r="H21" s="30">
        <f t="shared" si="4"/>
        <v>2.407332385180077</v>
      </c>
      <c r="I21" s="14">
        <f t="shared" si="5"/>
        <v>0.11379313809127992</v>
      </c>
      <c r="J21" s="5">
        <f t="shared" si="6"/>
        <v>8.1230404563459237E-4</v>
      </c>
    </row>
    <row r="22" spans="2:28">
      <c r="B22" s="10">
        <v>3.29</v>
      </c>
      <c r="C22" s="5">
        <v>43.1</v>
      </c>
      <c r="D22" s="4">
        <f t="shared" si="0"/>
        <v>3.4149999999999849</v>
      </c>
      <c r="E22" s="9">
        <f t="shared" si="1"/>
        <v>11.662224999999896</v>
      </c>
      <c r="F22" s="5">
        <f t="shared" si="2"/>
        <v>0.85416666666666696</v>
      </c>
      <c r="G22" s="13">
        <f t="shared" si="3"/>
        <v>2.9169791666666547</v>
      </c>
      <c r="H22" s="30">
        <f t="shared" si="4"/>
        <v>2.4903603573912432</v>
      </c>
      <c r="I22" s="14">
        <f t="shared" si="5"/>
        <v>0.63942355803146045</v>
      </c>
      <c r="J22" s="5">
        <f t="shared" si="6"/>
        <v>2.9731963526119067E-3</v>
      </c>
    </row>
    <row r="23" spans="2:28">
      <c r="B23" s="10">
        <v>3.28</v>
      </c>
      <c r="C23" s="5">
        <v>35.200000000000003</v>
      </c>
      <c r="D23" s="4">
        <f t="shared" si="0"/>
        <v>-4.4850000000000136</v>
      </c>
      <c r="E23" s="9">
        <f t="shared" si="1"/>
        <v>20.115225000000123</v>
      </c>
      <c r="F23" s="5">
        <f t="shared" si="2"/>
        <v>0.84416666666666673</v>
      </c>
      <c r="G23" s="13">
        <f t="shared" si="3"/>
        <v>-3.7860875000000118</v>
      </c>
      <c r="H23" s="30">
        <f t="shared" si="4"/>
        <v>2.3642217073012022</v>
      </c>
      <c r="I23" s="14">
        <f t="shared" si="5"/>
        <v>0.83864988137832464</v>
      </c>
      <c r="J23" s="5">
        <f t="shared" si="6"/>
        <v>5.1282249829657667E-3</v>
      </c>
    </row>
    <row r="24" spans="2:28">
      <c r="B24" s="10">
        <v>2.64</v>
      </c>
      <c r="C24" s="5">
        <v>35</v>
      </c>
      <c r="D24" s="4">
        <f t="shared" si="0"/>
        <v>-4.6850000000000165</v>
      </c>
      <c r="E24" s="9">
        <f t="shared" si="1"/>
        <v>21.949225000000155</v>
      </c>
      <c r="F24" s="5">
        <f t="shared" si="2"/>
        <v>0.20416666666666705</v>
      </c>
      <c r="G24" s="13">
        <f t="shared" si="3"/>
        <v>-0.95652083333333848</v>
      </c>
      <c r="H24" s="30">
        <f t="shared" si="4"/>
        <v>2.3610283237546188</v>
      </c>
      <c r="I24" s="14">
        <f t="shared" si="5"/>
        <v>7.7825196147157855E-2</v>
      </c>
      <c r="J24" s="5">
        <f t="shared" si="6"/>
        <v>5.595789458071535E-3</v>
      </c>
    </row>
    <row r="25" spans="2:28">
      <c r="B25" s="10">
        <v>1.75</v>
      </c>
      <c r="C25" s="5">
        <v>39.9</v>
      </c>
      <c r="D25" s="4">
        <f t="shared" si="0"/>
        <v>0.21499999999998209</v>
      </c>
      <c r="E25" s="9">
        <f t="shared" si="1"/>
        <v>4.62249999999923E-2</v>
      </c>
      <c r="F25" s="5">
        <f t="shared" si="2"/>
        <v>-0.68583333333333307</v>
      </c>
      <c r="G25" s="13">
        <f t="shared" si="3"/>
        <v>-0.14745416666665434</v>
      </c>
      <c r="H25" s="30">
        <f t="shared" si="4"/>
        <v>2.4392662206459099</v>
      </c>
      <c r="I25" s="14">
        <f t="shared" si="5"/>
        <v>0.47508792292349616</v>
      </c>
      <c r="J25" s="5">
        <f t="shared" si="6"/>
        <v>1.17847153008511E-5</v>
      </c>
    </row>
    <row r="26" spans="2:28">
      <c r="B26" s="10">
        <v>3.25</v>
      </c>
      <c r="C26" s="5">
        <v>42.1</v>
      </c>
      <c r="D26" s="4">
        <f t="shared" si="0"/>
        <v>2.4149999999999849</v>
      </c>
      <c r="E26" s="9">
        <f t="shared" si="1"/>
        <v>5.8322249999999274</v>
      </c>
      <c r="F26" s="5">
        <f t="shared" si="2"/>
        <v>0.81416666666666693</v>
      </c>
      <c r="G26" s="13">
        <f t="shared" si="3"/>
        <v>1.9662124999999884</v>
      </c>
      <c r="H26" s="30">
        <f t="shared" si="4"/>
        <v>2.4743934396583267</v>
      </c>
      <c r="I26" s="14">
        <f t="shared" si="5"/>
        <v>0.60156553644504174</v>
      </c>
      <c r="J26" s="5">
        <f t="shared" si="6"/>
        <v>1.4868817997948135E-3</v>
      </c>
    </row>
    <row r="27" spans="2:28">
      <c r="B27" s="10">
        <v>1.81</v>
      </c>
      <c r="C27" s="5">
        <v>44.1</v>
      </c>
      <c r="D27" s="4">
        <f t="shared" si="0"/>
        <v>4.4149999999999849</v>
      </c>
      <c r="E27" s="9">
        <f t="shared" si="1"/>
        <v>19.492224999999866</v>
      </c>
      <c r="F27" s="5">
        <f t="shared" si="2"/>
        <v>-0.62583333333333302</v>
      </c>
      <c r="G27" s="13">
        <f t="shared" si="3"/>
        <v>-2.7630541666666559</v>
      </c>
      <c r="H27" s="30">
        <f t="shared" si="4"/>
        <v>2.5063272751241596</v>
      </c>
      <c r="I27" s="14">
        <f t="shared" si="5"/>
        <v>0.48487167408183707</v>
      </c>
      <c r="J27" s="5">
        <f t="shared" si="6"/>
        <v>4.9693958292084455E-3</v>
      </c>
    </row>
    <row r="28" spans="2:28">
      <c r="B28" s="10">
        <v>3.15</v>
      </c>
      <c r="C28" s="5">
        <v>40.5</v>
      </c>
      <c r="D28" s="4">
        <f t="shared" si="0"/>
        <v>0.81499999999998352</v>
      </c>
      <c r="E28" s="9">
        <f t="shared" si="1"/>
        <v>0.66422499999997309</v>
      </c>
      <c r="F28" s="5">
        <f t="shared" si="2"/>
        <v>0.71416666666666684</v>
      </c>
      <c r="G28" s="13">
        <f t="shared" si="3"/>
        <v>0.58204583333332172</v>
      </c>
      <c r="H28" s="30">
        <f t="shared" si="4"/>
        <v>2.4488463712856601</v>
      </c>
      <c r="I28" s="14">
        <f t="shared" si="5"/>
        <v>0.49161641105928633</v>
      </c>
      <c r="J28" s="5">
        <f t="shared" si="6"/>
        <v>1.6933915674870287E-4</v>
      </c>
    </row>
    <row r="29" spans="2:28">
      <c r="B29" s="10">
        <v>2.5499999999999998</v>
      </c>
      <c r="C29" s="5">
        <v>42.2</v>
      </c>
      <c r="D29" s="4">
        <f t="shared" si="0"/>
        <v>2.5149999999999864</v>
      </c>
      <c r="E29" s="9">
        <f t="shared" si="1"/>
        <v>6.3252249999999313</v>
      </c>
      <c r="F29" s="5">
        <f t="shared" si="2"/>
        <v>0.11416666666666675</v>
      </c>
      <c r="G29" s="13">
        <f t="shared" si="3"/>
        <v>0.28712916666666533</v>
      </c>
      <c r="H29" s="30">
        <f t="shared" si="4"/>
        <v>2.4759901314316179</v>
      </c>
      <c r="I29" s="14">
        <f t="shared" si="5"/>
        <v>5.4774606455091591E-3</v>
      </c>
      <c r="J29" s="5">
        <f t="shared" si="6"/>
        <v>1.6125684335064156E-3</v>
      </c>
    </row>
    <row r="30" spans="2:28">
      <c r="B30" s="10">
        <v>2.0499999999999998</v>
      </c>
      <c r="C30" s="5">
        <v>42.3</v>
      </c>
      <c r="D30" s="4">
        <f t="shared" si="0"/>
        <v>2.6149999999999807</v>
      </c>
      <c r="E30" s="9">
        <f t="shared" si="1"/>
        <v>6.8382249999998992</v>
      </c>
      <c r="F30" s="5">
        <f t="shared" si="2"/>
        <v>-0.38583333333333325</v>
      </c>
      <c r="G30" s="13">
        <f t="shared" si="3"/>
        <v>-1.008954166666659</v>
      </c>
      <c r="H30" s="30">
        <f t="shared" si="4"/>
        <v>2.4775868232049096</v>
      </c>
      <c r="I30" s="14">
        <f t="shared" si="5"/>
        <v>0.1828304913784668</v>
      </c>
      <c r="J30" s="5">
        <f t="shared" si="6"/>
        <v>1.7433539164558468E-3</v>
      </c>
    </row>
    <row r="31" spans="2:28">
      <c r="B31" s="10">
        <v>2.19</v>
      </c>
      <c r="C31" s="5">
        <v>38.5</v>
      </c>
      <c r="D31" s="4">
        <f t="shared" si="0"/>
        <v>-1.1850000000000165</v>
      </c>
      <c r="E31" s="9">
        <f t="shared" si="1"/>
        <v>1.4042250000000391</v>
      </c>
      <c r="F31" s="5">
        <f t="shared" si="2"/>
        <v>-0.24583333333333313</v>
      </c>
      <c r="G31" s="13">
        <f t="shared" si="3"/>
        <v>0.2913125000000038</v>
      </c>
      <c r="H31" s="30">
        <f t="shared" si="4"/>
        <v>2.4169125358198267</v>
      </c>
      <c r="I31" s="14">
        <f t="shared" si="5"/>
        <v>5.148929891218415E-2</v>
      </c>
      <c r="J31" s="5">
        <f t="shared" si="6"/>
        <v>3.5799657854710971E-4</v>
      </c>
      <c r="L31" s="6" t="s">
        <v>76</v>
      </c>
      <c r="M31" s="20" t="s">
        <v>166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6"/>
    </row>
    <row r="32" spans="2:28">
      <c r="B32" s="10">
        <v>1.91</v>
      </c>
      <c r="C32" s="5">
        <v>37.799999999999997</v>
      </c>
      <c r="D32" s="4">
        <f t="shared" si="0"/>
        <v>-1.8850000000000193</v>
      </c>
      <c r="E32" s="9">
        <f t="shared" si="1"/>
        <v>3.5532250000000727</v>
      </c>
      <c r="F32" s="5">
        <f t="shared" si="2"/>
        <v>-0.52583333333333315</v>
      </c>
      <c r="G32" s="13">
        <f t="shared" si="3"/>
        <v>0.99119583333334316</v>
      </c>
      <c r="H32" s="30">
        <f t="shared" si="4"/>
        <v>2.4057356934067853</v>
      </c>
      <c r="I32" s="14">
        <f t="shared" si="5"/>
        <v>0.24575387771750629</v>
      </c>
      <c r="J32" s="5">
        <f t="shared" si="6"/>
        <v>9.0586792914812376E-4</v>
      </c>
      <c r="M32" s="6" t="s">
        <v>119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2:19">
      <c r="B33" s="10">
        <v>2.3199999999999998</v>
      </c>
      <c r="C33" s="5">
        <v>43.6</v>
      </c>
      <c r="D33" s="4">
        <f t="shared" si="0"/>
        <v>3.9149999999999849</v>
      </c>
      <c r="E33" s="9">
        <f t="shared" si="1"/>
        <v>15.327224999999881</v>
      </c>
      <c r="F33" s="5">
        <f t="shared" si="2"/>
        <v>-0.11583333333333323</v>
      </c>
      <c r="G33" s="13">
        <f t="shared" si="3"/>
        <v>-0.45348749999999788</v>
      </c>
      <c r="H33" s="30">
        <f t="shared" si="4"/>
        <v>2.4983438162577012</v>
      </c>
      <c r="I33" s="14">
        <f t="shared" si="5"/>
        <v>3.180651679736074E-2</v>
      </c>
      <c r="J33" s="5">
        <f t="shared" si="6"/>
        <v>3.9075604754377179E-3</v>
      </c>
      <c r="M33" s="51" t="s">
        <v>161</v>
      </c>
      <c r="N33" s="51"/>
      <c r="O33" s="51"/>
      <c r="P33" s="51"/>
      <c r="Q33" s="51"/>
      <c r="R33" s="51"/>
      <c r="S33" s="51"/>
    </row>
    <row r="34" spans="2:19">
      <c r="B34" s="10">
        <v>2.0699999999999998</v>
      </c>
      <c r="C34" s="5">
        <v>35.200000000000003</v>
      </c>
      <c r="D34" s="4">
        <f t="shared" si="0"/>
        <v>-4.4850000000000136</v>
      </c>
      <c r="E34" s="9">
        <f t="shared" si="1"/>
        <v>20.115225000000123</v>
      </c>
      <c r="F34" s="5">
        <f t="shared" si="2"/>
        <v>-0.36583333333333323</v>
      </c>
      <c r="G34" s="13">
        <f t="shared" si="3"/>
        <v>1.6407625000000046</v>
      </c>
      <c r="H34" s="30">
        <f t="shared" si="4"/>
        <v>2.3642217073012022</v>
      </c>
      <c r="I34" s="14">
        <f t="shared" si="5"/>
        <v>8.6566413047234378E-2</v>
      </c>
      <c r="J34" s="5">
        <f t="shared" si="6"/>
        <v>5.1282249829657667E-3</v>
      </c>
    </row>
    <row r="35" spans="2:19">
      <c r="B35" s="10">
        <v>1.95</v>
      </c>
      <c r="C35" s="5">
        <v>44.6</v>
      </c>
      <c r="D35" s="4">
        <f t="shared" si="0"/>
        <v>4.9149999999999849</v>
      </c>
      <c r="E35" s="9">
        <f t="shared" si="1"/>
        <v>24.157224999999851</v>
      </c>
      <c r="F35" s="5">
        <f t="shared" si="2"/>
        <v>-0.48583333333333312</v>
      </c>
      <c r="G35" s="13">
        <f t="shared" si="3"/>
        <v>-2.3878708333333249</v>
      </c>
      <c r="H35" s="30">
        <f t="shared" si="4"/>
        <v>2.5143107339906177</v>
      </c>
      <c r="I35" s="14">
        <f t="shared" si="5"/>
        <v>0.31844660449702972</v>
      </c>
      <c r="J35" s="5">
        <f t="shared" si="6"/>
        <v>6.1587024139239718E-3</v>
      </c>
    </row>
    <row r="36" spans="2:19">
      <c r="B36" s="10">
        <v>1.74</v>
      </c>
      <c r="C36" s="5">
        <v>36.700000000000003</v>
      </c>
      <c r="D36" s="4">
        <f t="shared" si="0"/>
        <v>-2.9850000000000136</v>
      </c>
      <c r="E36" s="9">
        <f t="shared" si="1"/>
        <v>8.9102250000000822</v>
      </c>
      <c r="F36" s="5">
        <f t="shared" si="2"/>
        <v>-0.69583333333333308</v>
      </c>
      <c r="G36" s="13">
        <f t="shared" si="3"/>
        <v>2.0770625000000087</v>
      </c>
      <c r="H36" s="30">
        <f t="shared" si="4"/>
        <v>2.3881720839005771</v>
      </c>
      <c r="I36" s="14">
        <f t="shared" si="5"/>
        <v>0.42012705034801678</v>
      </c>
      <c r="J36" s="5">
        <f t="shared" si="6"/>
        <v>2.2715946974913802E-3</v>
      </c>
    </row>
    <row r="37" spans="2:19">
      <c r="B37" s="10">
        <v>1.76</v>
      </c>
      <c r="C37" s="5">
        <v>35.299999999999997</v>
      </c>
      <c r="D37" s="4">
        <f t="shared" si="0"/>
        <v>-4.3850000000000193</v>
      </c>
      <c r="E37" s="9">
        <f t="shared" si="1"/>
        <v>19.228225000000169</v>
      </c>
      <c r="F37" s="5">
        <f t="shared" si="2"/>
        <v>-0.67583333333333306</v>
      </c>
      <c r="G37" s="13">
        <f t="shared" si="3"/>
        <v>2.9635291666666785</v>
      </c>
      <c r="H37" s="30">
        <f t="shared" si="4"/>
        <v>2.3658183990744934</v>
      </c>
      <c r="I37" s="14">
        <f t="shared" si="5"/>
        <v>0.36701593265718219</v>
      </c>
      <c r="J37" s="5">
        <f t="shared" si="6"/>
        <v>4.902091019269637E-3</v>
      </c>
    </row>
    <row r="38" spans="2:19">
      <c r="B38" s="10">
        <v>2.41</v>
      </c>
      <c r="C38" s="5">
        <v>38.6</v>
      </c>
      <c r="D38" s="4">
        <f t="shared" si="0"/>
        <v>-1.0850000000000151</v>
      </c>
      <c r="E38" s="9">
        <f t="shared" si="1"/>
        <v>1.1772250000000326</v>
      </c>
      <c r="F38" s="5">
        <f t="shared" si="2"/>
        <v>-2.5833333333332931E-2</v>
      </c>
      <c r="G38" s="13">
        <f t="shared" si="3"/>
        <v>2.8029166666666619E-2</v>
      </c>
      <c r="H38" s="30">
        <f t="shared" si="4"/>
        <v>2.4185092275931184</v>
      </c>
      <c r="I38" s="14">
        <f t="shared" si="5"/>
        <v>7.2406954231484652E-5</v>
      </c>
      <c r="J38" s="5">
        <f t="shared" si="6"/>
        <v>3.0012463969813997E-4</v>
      </c>
    </row>
    <row r="39" spans="2:19">
      <c r="B39" s="10">
        <v>3.33</v>
      </c>
      <c r="C39" s="5">
        <v>37.1</v>
      </c>
      <c r="D39" s="4">
        <f t="shared" si="0"/>
        <v>-2.5850000000000151</v>
      </c>
      <c r="E39" s="9">
        <f t="shared" si="1"/>
        <v>6.682225000000078</v>
      </c>
      <c r="F39" s="5">
        <f t="shared" si="2"/>
        <v>0.894166666666667</v>
      </c>
      <c r="G39" s="13">
        <f t="shared" si="3"/>
        <v>-2.3114208333333477</v>
      </c>
      <c r="H39" s="30">
        <f t="shared" si="4"/>
        <v>2.3945588509937434</v>
      </c>
      <c r="I39" s="14">
        <f t="shared" si="5"/>
        <v>0.87505014325414565</v>
      </c>
      <c r="J39" s="5">
        <f t="shared" si="6"/>
        <v>1.7035828924010967E-3</v>
      </c>
    </row>
    <row r="40" spans="2:19">
      <c r="B40" s="10">
        <v>1.62</v>
      </c>
      <c r="C40" s="5">
        <v>42.9</v>
      </c>
      <c r="D40" s="4">
        <f t="shared" si="0"/>
        <v>3.2149999999999821</v>
      </c>
      <c r="E40" s="9">
        <f t="shared" si="1"/>
        <v>10.336224999999885</v>
      </c>
      <c r="F40" s="5">
        <f t="shared" si="2"/>
        <v>-0.81583333333333297</v>
      </c>
      <c r="G40" s="13">
        <f t="shared" si="3"/>
        <v>-2.6229041666666508</v>
      </c>
      <c r="H40" s="30">
        <f t="shared" si="4"/>
        <v>2.4871669738446598</v>
      </c>
      <c r="I40" s="14">
        <f t="shared" si="5"/>
        <v>0.7519785605269047</v>
      </c>
      <c r="J40" s="5">
        <f t="shared" si="6"/>
        <v>2.6351426481461236E-3</v>
      </c>
    </row>
    <row r="41" spans="2:19">
      <c r="B41" s="10">
        <v>2.37</v>
      </c>
      <c r="C41" s="5">
        <v>42.3</v>
      </c>
      <c r="D41" s="4">
        <f t="shared" si="0"/>
        <v>2.6149999999999807</v>
      </c>
      <c r="E41" s="9">
        <f t="shared" si="1"/>
        <v>6.8382249999998992</v>
      </c>
      <c r="F41" s="5">
        <f t="shared" si="2"/>
        <v>-6.5833333333332966E-2</v>
      </c>
      <c r="G41" s="13">
        <f t="shared" si="3"/>
        <v>-0.17215416666666444</v>
      </c>
      <c r="H41" s="30">
        <f t="shared" si="4"/>
        <v>2.4775868232049096</v>
      </c>
      <c r="I41" s="14">
        <f t="shared" si="5"/>
        <v>1.157492452732446E-2</v>
      </c>
      <c r="J41" s="5">
        <f t="shared" si="6"/>
        <v>1.7433539164558468E-3</v>
      </c>
    </row>
    <row r="42" spans="2:19">
      <c r="B42" s="10">
        <v>2.25</v>
      </c>
      <c r="C42" s="5">
        <v>38.4</v>
      </c>
      <c r="D42" s="4">
        <f t="shared" si="0"/>
        <v>-1.2850000000000179</v>
      </c>
      <c r="E42" s="9">
        <f t="shared" si="1"/>
        <v>1.6512250000000461</v>
      </c>
      <c r="F42" s="5">
        <f t="shared" si="2"/>
        <v>-0.18583333333333307</v>
      </c>
      <c r="G42" s="13">
        <f t="shared" si="3"/>
        <v>0.23879583333333632</v>
      </c>
      <c r="H42" s="30">
        <f t="shared" si="4"/>
        <v>2.415315844046535</v>
      </c>
      <c r="I42" s="14">
        <f t="shared" si="5"/>
        <v>2.7329328292818277E-2</v>
      </c>
      <c r="J42" s="5">
        <f t="shared" si="6"/>
        <v>4.209673666338742E-4</v>
      </c>
    </row>
    <row r="43" spans="2:19">
      <c r="B43" s="10">
        <v>2.5299999999999998</v>
      </c>
      <c r="C43" s="5">
        <v>43.8</v>
      </c>
      <c r="D43" s="4">
        <f t="shared" si="0"/>
        <v>4.1149999999999807</v>
      </c>
      <c r="E43" s="9">
        <f t="shared" si="1"/>
        <v>16.93322499999984</v>
      </c>
      <c r="F43" s="5">
        <f t="shared" si="2"/>
        <v>9.4166666666666732E-2</v>
      </c>
      <c r="G43" s="13">
        <f t="shared" si="3"/>
        <v>0.38749583333333176</v>
      </c>
      <c r="H43" s="30">
        <f t="shared" si="4"/>
        <v>2.5015371998042846</v>
      </c>
      <c r="I43" s="14">
        <f t="shared" si="5"/>
        <v>8.1013099498120707E-4</v>
      </c>
      <c r="J43" s="5">
        <f t="shared" si="6"/>
        <v>4.3169980692326247E-3</v>
      </c>
    </row>
    <row r="44" spans="2:19">
      <c r="B44" s="10">
        <v>3.31</v>
      </c>
      <c r="C44" s="5">
        <v>43</v>
      </c>
      <c r="D44" s="4">
        <f t="shared" si="0"/>
        <v>3.3149999999999835</v>
      </c>
      <c r="E44" s="9">
        <f t="shared" si="1"/>
        <v>10.989224999999891</v>
      </c>
      <c r="F44" s="5">
        <f t="shared" si="2"/>
        <v>0.87416666666666698</v>
      </c>
      <c r="G44" s="13">
        <f t="shared" si="3"/>
        <v>2.8978624999999867</v>
      </c>
      <c r="H44" s="30">
        <f t="shared" si="4"/>
        <v>2.4887636656179515</v>
      </c>
      <c r="I44" s="14">
        <f t="shared" si="5"/>
        <v>0.67442911690926388</v>
      </c>
      <c r="J44" s="5">
        <f t="shared" si="6"/>
        <v>2.8016200757601177E-3</v>
      </c>
    </row>
    <row r="45" spans="2:19">
      <c r="B45" s="10">
        <v>3.45</v>
      </c>
      <c r="C45" s="5">
        <v>42.5</v>
      </c>
      <c r="D45" s="4">
        <f t="shared" si="0"/>
        <v>2.8149999999999835</v>
      </c>
      <c r="E45" s="9">
        <f t="shared" si="1"/>
        <v>7.9242249999999075</v>
      </c>
      <c r="F45" s="5">
        <f t="shared" si="2"/>
        <v>1.0141666666666671</v>
      </c>
      <c r="G45" s="13">
        <f t="shared" si="3"/>
        <v>2.8548791666666511</v>
      </c>
      <c r="H45" s="30">
        <f t="shared" si="4"/>
        <v>2.480780206751493</v>
      </c>
      <c r="I45" s="14">
        <f t="shared" si="5"/>
        <v>0.93938700762467897</v>
      </c>
      <c r="J45" s="5">
        <f t="shared" si="6"/>
        <v>2.0202214300680935E-3</v>
      </c>
    </row>
    <row r="46" spans="2:19">
      <c r="B46" s="10">
        <v>2.02</v>
      </c>
      <c r="C46" s="5">
        <v>39</v>
      </c>
      <c r="D46" s="4">
        <f t="shared" si="0"/>
        <v>-0.68500000000001648</v>
      </c>
      <c r="E46" s="9">
        <f t="shared" si="1"/>
        <v>0.4692250000000226</v>
      </c>
      <c r="F46" s="5">
        <f t="shared" si="2"/>
        <v>-0.41583333333333306</v>
      </c>
      <c r="G46" s="13">
        <f t="shared" si="3"/>
        <v>0.28484583333334001</v>
      </c>
      <c r="H46" s="30">
        <f t="shared" si="4"/>
        <v>2.4248959946862851</v>
      </c>
      <c r="I46" s="14">
        <f t="shared" si="5"/>
        <v>0.16394076651299622</v>
      </c>
      <c r="J46" s="5">
        <f t="shared" si="6"/>
        <v>1.1962537668020833E-4</v>
      </c>
    </row>
    <row r="47" spans="2:19">
      <c r="B47" s="10">
        <v>3.07</v>
      </c>
      <c r="C47" s="5">
        <v>37.299999999999997</v>
      </c>
      <c r="D47" s="4">
        <f t="shared" si="0"/>
        <v>-2.3850000000000193</v>
      </c>
      <c r="E47" s="9">
        <f t="shared" si="1"/>
        <v>5.6882250000000925</v>
      </c>
      <c r="F47" s="5">
        <f t="shared" si="2"/>
        <v>0.63416666666666677</v>
      </c>
      <c r="G47" s="13">
        <f t="shared" si="3"/>
        <v>-1.5124875000000124</v>
      </c>
      <c r="H47" s="30">
        <f t="shared" si="4"/>
        <v>2.3977522345403268</v>
      </c>
      <c r="I47" s="14">
        <f t="shared" si="5"/>
        <v>0.45191705816552352</v>
      </c>
      <c r="J47" s="5">
        <f t="shared" si="6"/>
        <v>1.4501700852827021E-3</v>
      </c>
    </row>
    <row r="48" spans="2:19">
      <c r="B48" s="10">
        <v>2.54</v>
      </c>
      <c r="C48" s="5">
        <v>44.4</v>
      </c>
      <c r="D48" s="4">
        <f t="shared" si="0"/>
        <v>4.7149999999999821</v>
      </c>
      <c r="E48" s="9">
        <f t="shared" si="1"/>
        <v>22.231224999999831</v>
      </c>
      <c r="F48" s="5">
        <f t="shared" si="2"/>
        <v>0.10416666666666696</v>
      </c>
      <c r="G48" s="13">
        <f t="shared" si="3"/>
        <v>0.49114583333333284</v>
      </c>
      <c r="H48" s="30">
        <f t="shared" si="4"/>
        <v>2.5111173504440343</v>
      </c>
      <c r="I48" s="14">
        <f t="shared" si="5"/>
        <v>8.3420744537272883E-4</v>
      </c>
      <c r="J48" s="5">
        <f t="shared" si="6"/>
        <v>5.6676832323243522E-3</v>
      </c>
    </row>
    <row r="49" spans="2:20">
      <c r="B49" s="10">
        <v>2.75</v>
      </c>
      <c r="C49" s="5">
        <v>38.5</v>
      </c>
      <c r="D49" s="4">
        <f t="shared" si="0"/>
        <v>-1.1850000000000165</v>
      </c>
      <c r="E49" s="9">
        <f t="shared" si="1"/>
        <v>1.4042250000000391</v>
      </c>
      <c r="F49" s="5">
        <f t="shared" si="2"/>
        <v>0.31416666666666693</v>
      </c>
      <c r="G49" s="13">
        <f t="shared" si="3"/>
        <v>-0.37228750000000549</v>
      </c>
      <c r="H49" s="30">
        <f t="shared" si="4"/>
        <v>2.4169125358198267</v>
      </c>
      <c r="I49" s="14">
        <f t="shared" si="5"/>
        <v>0.11094725879397825</v>
      </c>
      <c r="J49" s="5">
        <f t="shared" si="6"/>
        <v>3.5799657854710971E-4</v>
      </c>
    </row>
    <row r="50" spans="2:20">
      <c r="B50" s="10">
        <v>3.12</v>
      </c>
      <c r="C50" s="5">
        <v>36.700000000000003</v>
      </c>
      <c r="D50" s="4">
        <f t="shared" si="0"/>
        <v>-2.9850000000000136</v>
      </c>
      <c r="E50" s="9">
        <f t="shared" si="1"/>
        <v>8.9102250000000822</v>
      </c>
      <c r="F50" s="5">
        <f t="shared" si="2"/>
        <v>0.68416666666666703</v>
      </c>
      <c r="G50" s="13">
        <f t="shared" si="3"/>
        <v>-2.0422375000000104</v>
      </c>
      <c r="H50" s="30">
        <f t="shared" si="4"/>
        <v>2.3881720839005771</v>
      </c>
      <c r="I50" s="14">
        <f t="shared" si="5"/>
        <v>0.53557209878242407</v>
      </c>
      <c r="J50" s="5">
        <f t="shared" si="6"/>
        <v>2.2715946974913802E-3</v>
      </c>
    </row>
    <row r="51" spans="2:20">
      <c r="B51" s="10">
        <v>2.0699999999999998</v>
      </c>
      <c r="C51" s="5">
        <v>35.1</v>
      </c>
      <c r="D51" s="4">
        <f t="shared" si="0"/>
        <v>-4.5850000000000151</v>
      </c>
      <c r="E51" s="9">
        <f t="shared" si="1"/>
        <v>21.022225000000137</v>
      </c>
      <c r="F51" s="5">
        <f t="shared" si="2"/>
        <v>-0.36583333333333323</v>
      </c>
      <c r="G51" s="13">
        <f t="shared" si="3"/>
        <v>1.6773458333333384</v>
      </c>
      <c r="H51" s="30">
        <f t="shared" si="4"/>
        <v>2.3626250155279105</v>
      </c>
      <c r="I51" s="14">
        <f t="shared" si="5"/>
        <v>8.5629399712709942E-2</v>
      </c>
      <c r="J51" s="5">
        <f t="shared" si="6"/>
        <v>5.3594577958997539E-3</v>
      </c>
    </row>
    <row r="52" spans="2:20">
      <c r="B52" s="10">
        <v>2.75</v>
      </c>
      <c r="C52" s="5">
        <v>37.200000000000003</v>
      </c>
      <c r="D52" s="4">
        <f t="shared" si="0"/>
        <v>-2.4850000000000136</v>
      </c>
      <c r="E52" s="9">
        <f t="shared" si="1"/>
        <v>6.1752250000000677</v>
      </c>
      <c r="F52" s="5">
        <f t="shared" si="2"/>
        <v>0.31416666666666693</v>
      </c>
      <c r="G52" s="13">
        <f t="shared" si="3"/>
        <v>-0.78070416666667164</v>
      </c>
      <c r="H52" s="30">
        <f t="shared" si="4"/>
        <v>2.3961555427670351</v>
      </c>
      <c r="I52" s="14">
        <f t="shared" si="5"/>
        <v>0.12520589991449149</v>
      </c>
      <c r="J52" s="5">
        <f t="shared" si="6"/>
        <v>1.5743270642230021E-3</v>
      </c>
    </row>
    <row r="53" spans="2:20">
      <c r="B53" s="10">
        <v>1.87</v>
      </c>
      <c r="C53" s="5">
        <v>38.200000000000003</v>
      </c>
      <c r="D53" s="4">
        <f t="shared" si="0"/>
        <v>-1.4850000000000136</v>
      </c>
      <c r="E53" s="9">
        <f t="shared" si="1"/>
        <v>2.2052250000000404</v>
      </c>
      <c r="F53" s="5">
        <f t="shared" si="2"/>
        <v>-0.56583333333333297</v>
      </c>
      <c r="G53" s="13">
        <f t="shared" si="3"/>
        <v>0.84026250000000713</v>
      </c>
      <c r="H53" s="30">
        <f t="shared" si="4"/>
        <v>2.412122460499952</v>
      </c>
      <c r="I53" s="14">
        <f t="shared" si="5"/>
        <v>0.29389676217852195</v>
      </c>
      <c r="J53" s="5">
        <f t="shared" si="6"/>
        <v>5.6220549052076634E-4</v>
      </c>
    </row>
    <row r="54" spans="2:20">
      <c r="B54" s="10">
        <v>2.64</v>
      </c>
      <c r="C54" s="5">
        <v>45</v>
      </c>
      <c r="D54" s="4">
        <f t="shared" si="0"/>
        <v>5.3149999999999835</v>
      </c>
      <c r="E54" s="9">
        <f t="shared" si="1"/>
        <v>28.249224999999825</v>
      </c>
      <c r="F54" s="5">
        <f t="shared" si="2"/>
        <v>0.20416666666666705</v>
      </c>
      <c r="G54" s="13">
        <f t="shared" si="3"/>
        <v>1.0851458333333319</v>
      </c>
      <c r="H54" s="30">
        <f t="shared" si="4"/>
        <v>2.5206975010837844</v>
      </c>
      <c r="I54" s="14">
        <f t="shared" si="5"/>
        <v>1.4233086247653647E-2</v>
      </c>
      <c r="J54" s="5">
        <f t="shared" si="6"/>
        <v>7.2019269679767482E-3</v>
      </c>
    </row>
    <row r="55" spans="2:20">
      <c r="B55" s="10">
        <v>2.16</v>
      </c>
      <c r="C55" s="5">
        <v>37.799999999999997</v>
      </c>
      <c r="D55" s="4">
        <f t="shared" si="0"/>
        <v>-1.8850000000000193</v>
      </c>
      <c r="E55" s="9">
        <f t="shared" si="1"/>
        <v>3.5532250000000727</v>
      </c>
      <c r="F55" s="5">
        <f t="shared" si="2"/>
        <v>-0.27583333333333293</v>
      </c>
      <c r="G55" s="13">
        <f t="shared" si="3"/>
        <v>0.51994583333333788</v>
      </c>
      <c r="H55" s="30">
        <f t="shared" si="4"/>
        <v>2.4057356934067853</v>
      </c>
      <c r="I55" s="14">
        <f t="shared" si="5"/>
        <v>6.0386031014113502E-2</v>
      </c>
      <c r="J55" s="5">
        <f t="shared" si="6"/>
        <v>9.0586792914812376E-4</v>
      </c>
    </row>
    <row r="56" spans="2:20">
      <c r="B56" s="10">
        <v>2.2000000000000002</v>
      </c>
      <c r="C56" s="5">
        <v>41.4</v>
      </c>
      <c r="D56" s="4">
        <f t="shared" si="0"/>
        <v>1.7149999999999821</v>
      </c>
      <c r="E56" s="9">
        <f t="shared" si="1"/>
        <v>2.9412249999999385</v>
      </c>
      <c r="F56" s="5">
        <f t="shared" si="2"/>
        <v>-0.2358333333333329</v>
      </c>
      <c r="G56" s="13">
        <f t="shared" si="3"/>
        <v>-0.40445416666666167</v>
      </c>
      <c r="H56" s="30">
        <f t="shared" si="4"/>
        <v>2.4632165972452849</v>
      </c>
      <c r="I56" s="14">
        <f t="shared" si="5"/>
        <v>6.92829770653864E-2</v>
      </c>
      <c r="J56" s="5">
        <f t="shared" si="6"/>
        <v>7.4984314247160085E-4</v>
      </c>
    </row>
    <row r="57" spans="2:20">
      <c r="B57" s="10">
        <v>1.94</v>
      </c>
      <c r="C57" s="5">
        <v>44.8</v>
      </c>
      <c r="D57" s="4">
        <f t="shared" si="0"/>
        <v>5.1149999999999807</v>
      </c>
      <c r="E57" s="9">
        <f t="shared" si="1"/>
        <v>26.163224999999802</v>
      </c>
      <c r="F57" s="5">
        <f t="shared" si="2"/>
        <v>-0.49583333333333313</v>
      </c>
      <c r="G57" s="13">
        <f t="shared" si="3"/>
        <v>-2.5361874999999894</v>
      </c>
      <c r="H57" s="30">
        <f t="shared" si="4"/>
        <v>2.517504117537201</v>
      </c>
      <c r="I57" s="14">
        <f t="shared" si="5"/>
        <v>0.33351100577242138</v>
      </c>
      <c r="J57" s="5">
        <f t="shared" si="6"/>
        <v>6.670116992474771E-3</v>
      </c>
    </row>
    <row r="58" spans="2:20">
      <c r="B58" s="10">
        <v>3.05</v>
      </c>
      <c r="C58" s="5">
        <v>40.799999999999997</v>
      </c>
      <c r="D58" s="4">
        <f t="shared" si="0"/>
        <v>1.1149999999999807</v>
      </c>
      <c r="E58" s="9">
        <f t="shared" si="1"/>
        <v>1.2432249999999569</v>
      </c>
      <c r="F58" s="5">
        <f t="shared" si="2"/>
        <v>0.61416666666666675</v>
      </c>
      <c r="G58" s="13">
        <f t="shared" si="3"/>
        <v>0.6847958333333215</v>
      </c>
      <c r="H58" s="30">
        <f t="shared" si="4"/>
        <v>2.4536364466055347</v>
      </c>
      <c r="I58" s="14">
        <f t="shared" si="5"/>
        <v>0.35564948781727307</v>
      </c>
      <c r="J58" s="5">
        <f t="shared" si="6"/>
        <v>3.1695084218284189E-4</v>
      </c>
      <c r="L58" s="32"/>
      <c r="M58" s="32"/>
      <c r="N58" s="32"/>
      <c r="O58" s="32"/>
      <c r="P58" s="32"/>
      <c r="Q58" s="32"/>
      <c r="R58" s="32"/>
      <c r="S58" s="32"/>
      <c r="T58" s="32"/>
    </row>
    <row r="59" spans="2:20">
      <c r="B59" s="10">
        <v>2.85</v>
      </c>
      <c r="C59" s="5">
        <v>37.9</v>
      </c>
      <c r="D59" s="4">
        <f t="shared" si="0"/>
        <v>-1.7850000000000179</v>
      </c>
      <c r="E59" s="9">
        <f t="shared" si="1"/>
        <v>3.1862250000000638</v>
      </c>
      <c r="F59" s="5">
        <f t="shared" si="2"/>
        <v>0.41416666666666702</v>
      </c>
      <c r="G59" s="13">
        <f t="shared" si="3"/>
        <v>-0.73928750000000809</v>
      </c>
      <c r="H59" s="30">
        <f t="shared" si="4"/>
        <v>2.407332385180077</v>
      </c>
      <c r="I59" s="14">
        <f t="shared" si="5"/>
        <v>0.19595461721035981</v>
      </c>
      <c r="J59" s="5">
        <f t="shared" si="6"/>
        <v>8.1230404563459237E-4</v>
      </c>
      <c r="L59" s="32"/>
      <c r="M59" s="32"/>
      <c r="N59" s="32"/>
      <c r="O59" s="32"/>
      <c r="P59" s="32"/>
      <c r="Q59" s="32"/>
      <c r="R59" s="32"/>
      <c r="S59" s="32"/>
      <c r="T59" s="32"/>
    </row>
    <row r="60" spans="2:20">
      <c r="B60" s="10">
        <v>3.38</v>
      </c>
      <c r="C60" s="5">
        <v>40.799999999999997</v>
      </c>
      <c r="D60" s="4">
        <f t="shared" si="0"/>
        <v>1.1149999999999807</v>
      </c>
      <c r="E60" s="9">
        <f t="shared" si="1"/>
        <v>1.2432249999999569</v>
      </c>
      <c r="F60" s="5">
        <f t="shared" si="2"/>
        <v>0.94416666666666682</v>
      </c>
      <c r="G60" s="13">
        <f t="shared" si="3"/>
        <v>1.0527458333333153</v>
      </c>
      <c r="H60" s="30">
        <f t="shared" si="4"/>
        <v>2.4536364466055347</v>
      </c>
      <c r="I60" s="14">
        <f t="shared" si="5"/>
        <v>0.85814943305762015</v>
      </c>
      <c r="J60" s="5">
        <f t="shared" si="6"/>
        <v>3.1695084218284189E-4</v>
      </c>
      <c r="L60" s="34"/>
      <c r="M60" s="34"/>
      <c r="N60" s="32"/>
      <c r="O60" s="32"/>
      <c r="P60" s="32"/>
      <c r="Q60" s="32"/>
      <c r="R60" s="32"/>
      <c r="S60" s="32"/>
      <c r="T60" s="32"/>
    </row>
    <row r="61" spans="2:20">
      <c r="B61" s="10">
        <v>1.56</v>
      </c>
      <c r="C61" s="5">
        <v>36.799999999999997</v>
      </c>
      <c r="D61" s="4">
        <f t="shared" si="0"/>
        <v>-2.8850000000000193</v>
      </c>
      <c r="E61" s="9">
        <f t="shared" si="1"/>
        <v>8.3232250000001109</v>
      </c>
      <c r="F61" s="5">
        <f t="shared" si="2"/>
        <v>-0.87583333333333302</v>
      </c>
      <c r="G61" s="13">
        <f t="shared" si="3"/>
        <v>2.5267791666666826</v>
      </c>
      <c r="H61" s="30">
        <f t="shared" si="4"/>
        <v>2.3897687756738684</v>
      </c>
      <c r="I61" s="14">
        <f t="shared" si="5"/>
        <v>0.68851622108331034</v>
      </c>
      <c r="J61" s="5">
        <f t="shared" si="6"/>
        <v>2.1219434723621488E-3</v>
      </c>
      <c r="L61" s="1"/>
      <c r="M61" s="1"/>
      <c r="N61" s="32"/>
      <c r="O61" s="32"/>
      <c r="P61" s="32"/>
      <c r="Q61" s="32"/>
      <c r="R61" s="32"/>
      <c r="S61" s="32"/>
      <c r="T61" s="32"/>
    </row>
    <row r="62" spans="2:20">
      <c r="B62" s="10">
        <v>2.14</v>
      </c>
      <c r="C62" s="5">
        <v>35.200000000000003</v>
      </c>
      <c r="D62" s="4">
        <f t="shared" si="0"/>
        <v>-4.4850000000000136</v>
      </c>
      <c r="E62" s="9">
        <f t="shared" si="1"/>
        <v>20.115225000000123</v>
      </c>
      <c r="F62" s="5">
        <f t="shared" si="2"/>
        <v>-0.29583333333333295</v>
      </c>
      <c r="G62" s="13">
        <f t="shared" si="3"/>
        <v>1.3268125000000024</v>
      </c>
      <c r="H62" s="30">
        <f t="shared" si="4"/>
        <v>2.3642217073012022</v>
      </c>
      <c r="I62" s="14">
        <f t="shared" si="5"/>
        <v>5.0275374025065926E-2</v>
      </c>
      <c r="J62" s="5">
        <f t="shared" si="6"/>
        <v>5.1282249829657667E-3</v>
      </c>
      <c r="L62" s="1"/>
      <c r="M62" s="1"/>
      <c r="N62" s="32"/>
      <c r="O62" s="32"/>
      <c r="P62" s="32"/>
      <c r="Q62" s="32"/>
      <c r="R62" s="32"/>
      <c r="S62" s="32"/>
      <c r="T62" s="32"/>
    </row>
    <row r="63" spans="2:20">
      <c r="B63" s="10">
        <v>3.07</v>
      </c>
      <c r="C63" s="5">
        <v>36.799999999999997</v>
      </c>
      <c r="D63" s="4">
        <f t="shared" si="0"/>
        <v>-2.8850000000000193</v>
      </c>
      <c r="E63" s="9">
        <f t="shared" si="1"/>
        <v>8.3232250000001109</v>
      </c>
      <c r="F63" s="5">
        <f t="shared" si="2"/>
        <v>0.63416666666666677</v>
      </c>
      <c r="G63" s="13">
        <f t="shared" si="3"/>
        <v>-1.8295708333333458</v>
      </c>
      <c r="H63" s="30">
        <f t="shared" si="4"/>
        <v>2.3897687756738684</v>
      </c>
      <c r="I63" s="14">
        <f t="shared" si="5"/>
        <v>0.46271451854822782</v>
      </c>
      <c r="J63" s="5">
        <f t="shared" si="6"/>
        <v>2.1219434723621488E-3</v>
      </c>
      <c r="L63" s="1"/>
      <c r="M63" s="1"/>
      <c r="N63" s="32"/>
      <c r="O63" s="32"/>
      <c r="P63" s="32"/>
      <c r="Q63" s="32"/>
      <c r="R63" s="32"/>
      <c r="S63" s="32"/>
      <c r="T63" s="32"/>
    </row>
    <row r="64" spans="2:20">
      <c r="L64" s="1"/>
      <c r="M64" s="1"/>
      <c r="N64" s="32"/>
      <c r="O64" s="32"/>
      <c r="P64" s="32"/>
      <c r="Q64" s="32"/>
      <c r="R64" s="32"/>
      <c r="S64" s="32"/>
      <c r="T64" s="32"/>
    </row>
    <row r="65" spans="2:20">
      <c r="B65" s="12" t="s">
        <v>55</v>
      </c>
      <c r="C65" s="11">
        <f>AVERAGE(C4:C63)</f>
        <v>39.685000000000016</v>
      </c>
      <c r="H65" s="12" t="s">
        <v>16</v>
      </c>
      <c r="I65" s="11">
        <f>C70/C81</f>
        <v>0.65518881175224764</v>
      </c>
      <c r="L65" s="1"/>
      <c r="M65" s="1"/>
      <c r="N65" s="32"/>
      <c r="O65" s="32"/>
      <c r="P65" s="32"/>
      <c r="Q65" s="32"/>
      <c r="R65" s="32"/>
      <c r="S65" s="32"/>
      <c r="T65" s="32"/>
    </row>
    <row r="66" spans="2:20">
      <c r="B66" s="12" t="s">
        <v>56</v>
      </c>
      <c r="C66" s="11">
        <f>AVERAGE(B4:B63)</f>
        <v>2.4358333333333331</v>
      </c>
      <c r="H66" s="12" t="s">
        <v>71</v>
      </c>
      <c r="I66" s="11">
        <f>_xlfn.T.DIST.2T(I65,(60-2))</f>
        <v>0.51493649305882627</v>
      </c>
      <c r="L66" s="32"/>
      <c r="M66" s="32"/>
      <c r="N66" s="32"/>
      <c r="O66" s="32"/>
      <c r="P66" s="32"/>
      <c r="Q66" s="32"/>
      <c r="R66" s="32"/>
      <c r="S66" s="32"/>
      <c r="T66" s="32"/>
    </row>
    <row r="67" spans="2:20">
      <c r="B67" s="12" t="s">
        <v>75</v>
      </c>
      <c r="C67" s="11">
        <f>SUM(G4:G63)</f>
        <v>9.447250000000011</v>
      </c>
      <c r="H67" s="6" t="s">
        <v>54</v>
      </c>
      <c r="I67" s="11">
        <f>1-I66</f>
        <v>0.48506350694117373</v>
      </c>
      <c r="L67" s="32"/>
      <c r="M67" s="32"/>
      <c r="N67" s="32"/>
      <c r="O67" s="32"/>
      <c r="P67" s="32"/>
      <c r="Q67" s="32"/>
      <c r="R67" s="32"/>
      <c r="S67" s="32"/>
      <c r="T67" s="32"/>
    </row>
    <row r="68" spans="2:20">
      <c r="B68" s="12" t="s">
        <v>62</v>
      </c>
      <c r="C68" s="11">
        <f>SUM(E4:E63)</f>
        <v>591.67649999999981</v>
      </c>
      <c r="L68" s="26"/>
      <c r="M68" s="26"/>
      <c r="N68" s="26"/>
      <c r="O68" s="26"/>
      <c r="P68" s="26"/>
      <c r="Q68" s="26"/>
      <c r="R68" s="32"/>
      <c r="S68" s="32"/>
      <c r="T68" s="32"/>
    </row>
    <row r="69" spans="2:20">
      <c r="H69" s="12" t="s">
        <v>104</v>
      </c>
      <c r="I69" s="11">
        <f>C79/C76</f>
        <v>0.42927237904532167</v>
      </c>
      <c r="L69" s="1"/>
      <c r="M69" s="1"/>
      <c r="N69" s="1"/>
      <c r="O69" s="1"/>
      <c r="P69" s="1"/>
      <c r="Q69" s="1"/>
      <c r="R69" s="32"/>
      <c r="S69" s="32"/>
      <c r="T69" s="32"/>
    </row>
    <row r="70" spans="2:20">
      <c r="B70" s="12" t="s">
        <v>60</v>
      </c>
      <c r="C70" s="11">
        <f>C67/C68</f>
        <v>1.5966917732916575E-2</v>
      </c>
      <c r="H70" s="12" t="s">
        <v>71</v>
      </c>
      <c r="I70" s="11">
        <f>_xlfn.F.DIST.RT(I69,1,(60-2))</f>
        <v>0.51493649305882649</v>
      </c>
      <c r="L70" s="1"/>
      <c r="M70" s="1"/>
      <c r="N70" s="1"/>
      <c r="O70" s="1"/>
      <c r="P70" s="1"/>
      <c r="Q70" s="1"/>
      <c r="R70" s="32"/>
      <c r="S70" s="32"/>
      <c r="T70" s="32"/>
    </row>
    <row r="71" spans="2:20">
      <c r="B71" s="12" t="s">
        <v>61</v>
      </c>
      <c r="C71" s="11">
        <f>C66-(C70*C65)</f>
        <v>1.8021862031025386</v>
      </c>
      <c r="H71" s="6" t="s">
        <v>54</v>
      </c>
      <c r="I71" s="11">
        <f>1-I70</f>
        <v>0.48506350694117351</v>
      </c>
      <c r="L71" s="1"/>
      <c r="M71" s="1"/>
      <c r="N71" s="1"/>
      <c r="O71" s="1"/>
      <c r="P71" s="1"/>
      <c r="Q71" s="1"/>
      <c r="R71" s="32"/>
      <c r="S71" s="32"/>
      <c r="T71" s="32"/>
    </row>
    <row r="72" spans="2:20">
      <c r="L72" s="32"/>
      <c r="M72" s="32"/>
      <c r="N72" s="32"/>
      <c r="O72" s="32"/>
      <c r="P72" s="32"/>
      <c r="Q72" s="32"/>
      <c r="R72" s="32"/>
      <c r="S72" s="32"/>
      <c r="T72" s="32"/>
    </row>
    <row r="73" spans="2:20">
      <c r="B73" s="6" t="s">
        <v>101</v>
      </c>
      <c r="C73" s="11" t="s">
        <v>102</v>
      </c>
      <c r="D73" s="11"/>
      <c r="E73" s="11"/>
      <c r="F73" s="11"/>
      <c r="G73" s="11"/>
      <c r="L73" s="26"/>
      <c r="M73" s="26"/>
      <c r="N73" s="26"/>
      <c r="O73" s="26"/>
      <c r="P73" s="26"/>
      <c r="Q73" s="26"/>
      <c r="R73" s="26"/>
      <c r="S73" s="26"/>
      <c r="T73" s="26"/>
    </row>
    <row r="74" spans="2:20"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12" t="s">
        <v>63</v>
      </c>
      <c r="C75" s="11">
        <f>SUM(I4:I63)</f>
        <v>20.380814869781045</v>
      </c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12" t="s">
        <v>70</v>
      </c>
      <c r="C76" s="11">
        <f>C75/(60-2)</f>
        <v>0.35139335982381109</v>
      </c>
      <c r="L76" s="32"/>
      <c r="M76" s="32"/>
      <c r="N76" s="32"/>
      <c r="O76" s="32"/>
      <c r="P76" s="32"/>
      <c r="Q76" s="32"/>
      <c r="R76" s="32"/>
      <c r="S76" s="32"/>
      <c r="T76" s="32"/>
    </row>
    <row r="77" spans="2:20">
      <c r="B77" s="12" t="s">
        <v>4</v>
      </c>
      <c r="C77" s="11">
        <f>SQRT(C76)</f>
        <v>0.59278441260192649</v>
      </c>
      <c r="L77" s="32"/>
      <c r="M77" s="32"/>
      <c r="N77" s="32"/>
      <c r="O77" s="32"/>
      <c r="P77" s="32"/>
      <c r="Q77" s="32"/>
      <c r="R77" s="32"/>
      <c r="S77" s="32"/>
      <c r="T77" s="32"/>
    </row>
    <row r="78" spans="2:20">
      <c r="B78" s="12" t="s">
        <v>67</v>
      </c>
      <c r="C78" s="11">
        <f>SUM(J4:J63)</f>
        <v>0.15084346355229614</v>
      </c>
      <c r="L78" s="32"/>
      <c r="M78" s="32"/>
      <c r="N78" s="32"/>
      <c r="O78" s="32"/>
      <c r="P78" s="32"/>
      <c r="Q78" s="32"/>
      <c r="R78" s="32"/>
      <c r="S78" s="32"/>
      <c r="T78" s="32"/>
    </row>
    <row r="79" spans="2:20">
      <c r="B79" s="12" t="s">
        <v>72</v>
      </c>
      <c r="C79" s="11">
        <f>C78/1</f>
        <v>0.15084346355229614</v>
      </c>
      <c r="G79" s="32"/>
      <c r="H79" s="32"/>
      <c r="I79" s="32"/>
      <c r="J79" s="32"/>
      <c r="K79" s="32"/>
      <c r="L79" s="26"/>
      <c r="M79" s="26"/>
      <c r="N79" s="26"/>
      <c r="O79" s="26"/>
      <c r="P79" s="26"/>
      <c r="Q79" s="26"/>
      <c r="R79" s="26"/>
      <c r="S79" s="26"/>
      <c r="T79" s="26"/>
    </row>
    <row r="80" spans="2:20">
      <c r="B80" s="12" t="s">
        <v>64</v>
      </c>
      <c r="C80" s="11">
        <f>C75+C78</f>
        <v>20.53165833333334</v>
      </c>
      <c r="G80" s="32"/>
      <c r="H80" s="32"/>
      <c r="I80" s="32"/>
      <c r="J80" s="32"/>
      <c r="K80" s="32"/>
      <c r="L80" s="1"/>
      <c r="M80" s="1"/>
      <c r="N80" s="1"/>
      <c r="O80" s="1"/>
      <c r="P80" s="1"/>
      <c r="Q80" s="1"/>
      <c r="R80" s="1"/>
      <c r="S80" s="1"/>
      <c r="T80" s="1"/>
    </row>
    <row r="81" spans="2:20">
      <c r="B81" s="12" t="s">
        <v>73</v>
      </c>
      <c r="C81" s="11">
        <f>C77/SQRT(C68)</f>
        <v>2.4369948702595196E-2</v>
      </c>
      <c r="G81" s="34"/>
      <c r="H81" s="34"/>
      <c r="I81" s="32"/>
      <c r="J81" s="32"/>
      <c r="K81" s="32"/>
      <c r="L81" s="1"/>
      <c r="M81" s="1"/>
      <c r="N81" s="1"/>
      <c r="O81" s="1"/>
      <c r="P81" s="1"/>
      <c r="Q81" s="1"/>
      <c r="R81" s="1"/>
      <c r="S81" s="1"/>
      <c r="T81" s="1"/>
    </row>
    <row r="82" spans="2:20">
      <c r="G82" s="1"/>
      <c r="H82" s="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2:20">
      <c r="B83" s="6" t="s">
        <v>87</v>
      </c>
      <c r="C83" s="11">
        <f>C78/C80</f>
        <v>7.3468718942882637E-3</v>
      </c>
      <c r="G83" s="1"/>
      <c r="H83" s="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2:20">
      <c r="G84" s="1"/>
      <c r="H84" s="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2:20">
      <c r="B85" s="6" t="s">
        <v>68</v>
      </c>
      <c r="C85" s="11">
        <f>SQRT(C83)</f>
        <v>8.5713895572936502E-2</v>
      </c>
      <c r="G85" s="1"/>
      <c r="H85" s="1"/>
      <c r="I85" s="32"/>
      <c r="J85" s="32"/>
      <c r="K85" s="32"/>
      <c r="L85" s="32"/>
      <c r="M85" s="32"/>
      <c r="N85" s="32"/>
      <c r="O85" s="32"/>
      <c r="P85" s="32"/>
    </row>
    <row r="86" spans="2:20">
      <c r="G86" s="1"/>
      <c r="H86" s="1"/>
      <c r="I86" s="32"/>
      <c r="J86" s="32"/>
      <c r="K86" s="32"/>
      <c r="L86" s="32"/>
      <c r="M86" s="32"/>
      <c r="N86" s="32"/>
      <c r="O86" s="32"/>
      <c r="P86" s="32"/>
    </row>
    <row r="87" spans="2:20">
      <c r="G87" s="32"/>
      <c r="H87" s="32"/>
      <c r="I87" s="32"/>
      <c r="J87" s="32"/>
      <c r="K87" s="32"/>
      <c r="L87" s="32"/>
      <c r="M87" s="32"/>
      <c r="N87" s="32"/>
      <c r="O87" s="32"/>
      <c r="P87" s="32"/>
    </row>
    <row r="88" spans="2:20">
      <c r="G88" s="32"/>
      <c r="H88" s="32"/>
      <c r="I88" s="32"/>
      <c r="J88" s="32"/>
      <c r="K88" s="32"/>
      <c r="L88" s="32"/>
      <c r="M88" s="32"/>
      <c r="N88" s="32"/>
      <c r="O88" s="32"/>
      <c r="P88" s="32"/>
    </row>
    <row r="89" spans="2:20">
      <c r="G89" s="26"/>
      <c r="H89" s="26"/>
      <c r="I89" s="26"/>
      <c r="J89" s="26"/>
      <c r="K89" s="26"/>
      <c r="L89" s="26"/>
      <c r="M89" s="32"/>
      <c r="N89" s="32"/>
      <c r="O89" s="32"/>
      <c r="P89" s="32"/>
    </row>
    <row r="90" spans="2:20">
      <c r="G90" s="1"/>
      <c r="H90" s="1"/>
      <c r="I90" s="1"/>
      <c r="J90" s="1"/>
      <c r="K90" s="1"/>
      <c r="L90" s="1"/>
      <c r="M90" s="32"/>
      <c r="N90" s="32"/>
      <c r="O90" s="32"/>
      <c r="P90" s="32"/>
    </row>
    <row r="91" spans="2:20">
      <c r="G91" s="1"/>
      <c r="H91" s="1"/>
      <c r="I91" s="1"/>
      <c r="J91" s="1"/>
      <c r="K91" s="1"/>
      <c r="L91" s="1"/>
      <c r="M91" s="32"/>
      <c r="N91" s="32"/>
      <c r="O91" s="32"/>
      <c r="P91" s="32"/>
    </row>
    <row r="92" spans="2:20">
      <c r="G92" s="1"/>
      <c r="H92" s="1"/>
      <c r="I92" s="1"/>
      <c r="J92" s="1"/>
      <c r="K92" s="1"/>
      <c r="L92" s="1"/>
      <c r="M92" s="32"/>
      <c r="N92" s="32"/>
      <c r="O92" s="32"/>
      <c r="P92" s="32"/>
    </row>
    <row r="93" spans="2:20">
      <c r="G93" s="32"/>
      <c r="H93" s="32"/>
      <c r="I93" s="32"/>
      <c r="J93" s="32"/>
      <c r="K93" s="32"/>
      <c r="L93" s="32"/>
      <c r="M93" s="32"/>
      <c r="N93" s="32"/>
      <c r="O93" s="32"/>
      <c r="P93" s="32"/>
    </row>
    <row r="94" spans="2:20">
      <c r="G94" s="32"/>
      <c r="H94" s="32"/>
      <c r="I94" s="32"/>
      <c r="J94" s="32"/>
      <c r="K94" s="32"/>
      <c r="L94" s="32"/>
      <c r="M94" s="32"/>
      <c r="N94" s="32"/>
      <c r="O94" s="32"/>
      <c r="P94" s="32"/>
    </row>
    <row r="95" spans="2:20">
      <c r="G95" s="32"/>
      <c r="H95" s="32"/>
      <c r="I95" s="32"/>
      <c r="J95" s="32"/>
      <c r="K95" s="32"/>
      <c r="L95" s="32"/>
      <c r="M95" s="32"/>
      <c r="N95" s="32"/>
      <c r="O95" s="32"/>
      <c r="P95" s="32"/>
    </row>
    <row r="96" spans="2:20">
      <c r="G96" s="32"/>
      <c r="H96" s="32"/>
      <c r="I96" s="32"/>
      <c r="J96" s="32"/>
      <c r="K96" s="32"/>
      <c r="L96" s="32"/>
      <c r="M96" s="32"/>
      <c r="N96" s="32"/>
      <c r="O96" s="32"/>
      <c r="P96" s="32"/>
    </row>
    <row r="97" spans="7:16">
      <c r="G97" s="32"/>
      <c r="H97" s="32"/>
      <c r="I97" s="32"/>
      <c r="J97" s="32"/>
      <c r="K97" s="32"/>
      <c r="L97" s="32"/>
      <c r="M97" s="32"/>
      <c r="N97" s="32"/>
      <c r="O97" s="32"/>
      <c r="P97" s="3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A85"/>
  <sheetViews>
    <sheetView showGridLines="0" zoomScale="70" zoomScaleNormal="70" workbookViewId="0">
      <selection activeCell="L45" sqref="L45"/>
    </sheetView>
  </sheetViews>
  <sheetFormatPr baseColWidth="10" defaultColWidth="8.83203125" defaultRowHeight="13"/>
  <cols>
    <col min="2" max="2" width="39.1640625" bestFit="1" customWidth="1"/>
    <col min="3" max="3" width="24.1640625" customWidth="1"/>
    <col min="7" max="7" width="17.5" bestFit="1" customWidth="1"/>
    <col min="8" max="8" width="12" bestFit="1" customWidth="1"/>
    <col min="9" max="9" width="12.6640625" customWidth="1"/>
    <col min="10" max="10" width="13.1640625" customWidth="1"/>
    <col min="12" max="12" width="11.1640625" customWidth="1"/>
  </cols>
  <sheetData>
    <row r="2" spans="2:10">
      <c r="B2" s="9" t="s">
        <v>88</v>
      </c>
      <c r="C2" s="9" t="s">
        <v>89</v>
      </c>
    </row>
    <row r="3" spans="2:10" ht="56">
      <c r="B3" s="23" t="s">
        <v>114</v>
      </c>
      <c r="C3" s="23" t="s">
        <v>115</v>
      </c>
      <c r="D3" s="23" t="s">
        <v>57</v>
      </c>
      <c r="E3" s="23" t="s">
        <v>59</v>
      </c>
      <c r="F3" s="23" t="s">
        <v>58</v>
      </c>
      <c r="G3" s="23" t="s">
        <v>74</v>
      </c>
      <c r="H3" s="23" t="s">
        <v>86</v>
      </c>
      <c r="I3" s="23" t="s">
        <v>66</v>
      </c>
      <c r="J3" s="23" t="s">
        <v>107</v>
      </c>
    </row>
    <row r="4" spans="2:10">
      <c r="B4" s="8">
        <v>57.5</v>
      </c>
      <c r="C4" s="5">
        <v>42.9</v>
      </c>
      <c r="D4" s="9">
        <f>C4-$C$65</f>
        <v>3.2149999999999821</v>
      </c>
      <c r="E4" s="4">
        <f>D4^2</f>
        <v>10.336224999999885</v>
      </c>
      <c r="F4" s="44">
        <f>B4-$C$66</f>
        <v>5.9750000000000227</v>
      </c>
      <c r="G4" s="45">
        <f>D4*F4</f>
        <v>19.209624999999967</v>
      </c>
      <c r="H4" s="47">
        <f>$C$71+$C$70*C4</f>
        <v>52.06191871740721</v>
      </c>
      <c r="I4" s="48">
        <f>(B4-H4)^2</f>
        <v>29.572728036086048</v>
      </c>
      <c r="J4" s="46">
        <f>(H4-$C$66)^2</f>
        <v>0.28828170910222739</v>
      </c>
    </row>
    <row r="5" spans="2:10">
      <c r="B5" s="8">
        <v>47.9</v>
      </c>
      <c r="C5" s="5">
        <v>41.6</v>
      </c>
      <c r="D5" s="9">
        <f t="shared" ref="D5:D63" si="0">C5-$C$65</f>
        <v>1.9149999999999849</v>
      </c>
      <c r="E5" s="4">
        <f t="shared" ref="E5:E63" si="1">D5^2</f>
        <v>3.6672249999999424</v>
      </c>
      <c r="F5" s="44">
        <f t="shared" ref="F5:F63" si="2">B5-$C$66</f>
        <v>-3.6249999999999787</v>
      </c>
      <c r="G5" s="45">
        <f t="shared" ref="G5:G63" si="3">D5*F5</f>
        <v>-6.9418749999999045</v>
      </c>
      <c r="H5" s="47">
        <f t="shared" ref="H5:H63" si="4">$C$71+$C$70*C5</f>
        <v>51.844813170710658</v>
      </c>
      <c r="I5" s="48">
        <f t="shared" ref="I5:I63" si="5">(B5-H5)^2</f>
        <v>15.561550951812288</v>
      </c>
      <c r="J5" s="46">
        <f t="shared" ref="J5:J63" si="6">(H5-$C$66)^2</f>
        <v>0.10228046416001922</v>
      </c>
    </row>
    <row r="6" spans="2:10">
      <c r="B6" s="8">
        <v>54.6</v>
      </c>
      <c r="C6" s="5">
        <v>36.1</v>
      </c>
      <c r="D6" s="9">
        <f t="shared" si="0"/>
        <v>-3.5850000000000151</v>
      </c>
      <c r="E6" s="4">
        <f t="shared" si="1"/>
        <v>12.852225000000107</v>
      </c>
      <c r="F6" s="44">
        <f t="shared" si="2"/>
        <v>3.0750000000000242</v>
      </c>
      <c r="G6" s="45">
        <f t="shared" si="3"/>
        <v>-11.023875000000134</v>
      </c>
      <c r="H6" s="47">
        <f t="shared" si="4"/>
        <v>50.926289703917575</v>
      </c>
      <c r="I6" s="48">
        <f t="shared" si="5"/>
        <v>13.496147339542025</v>
      </c>
      <c r="J6" s="46">
        <f t="shared" si="6"/>
        <v>0.3584540186350772</v>
      </c>
    </row>
    <row r="7" spans="2:10">
      <c r="B7" s="8">
        <v>54.7</v>
      </c>
      <c r="C7" s="5">
        <v>44.3</v>
      </c>
      <c r="D7" s="9">
        <f t="shared" si="0"/>
        <v>4.6149999999999807</v>
      </c>
      <c r="E7" s="4">
        <f t="shared" si="1"/>
        <v>21.298224999999821</v>
      </c>
      <c r="F7" s="44">
        <f t="shared" si="2"/>
        <v>3.1750000000000256</v>
      </c>
      <c r="G7" s="45">
        <f t="shared" si="3"/>
        <v>14.652625000000057</v>
      </c>
      <c r="H7" s="47">
        <f t="shared" si="4"/>
        <v>52.295724690772722</v>
      </c>
      <c r="I7" s="48">
        <f t="shared" si="5"/>
        <v>5.7805397625599344</v>
      </c>
      <c r="J7" s="46">
        <f t="shared" si="6"/>
        <v>0.59401654896674372</v>
      </c>
    </row>
    <row r="8" spans="2:10">
      <c r="B8" s="8">
        <v>52.2</v>
      </c>
      <c r="C8" s="5">
        <v>42.9</v>
      </c>
      <c r="D8" s="9">
        <f t="shared" si="0"/>
        <v>3.2149999999999821</v>
      </c>
      <c r="E8" s="4">
        <f t="shared" si="1"/>
        <v>10.336224999999885</v>
      </c>
      <c r="F8" s="44">
        <f t="shared" si="2"/>
        <v>0.67500000000002558</v>
      </c>
      <c r="G8" s="45">
        <f t="shared" si="3"/>
        <v>2.1701250000000702</v>
      </c>
      <c r="H8" s="47">
        <f t="shared" si="4"/>
        <v>52.06191871740721</v>
      </c>
      <c r="I8" s="48">
        <f t="shared" si="5"/>
        <v>1.9066440602470838E-2</v>
      </c>
      <c r="J8" s="46">
        <f t="shared" si="6"/>
        <v>0.28828170910222739</v>
      </c>
    </row>
    <row r="9" spans="2:10">
      <c r="B9" s="8">
        <v>52.6</v>
      </c>
      <c r="C9" s="5">
        <v>40.200000000000003</v>
      </c>
      <c r="D9" s="9">
        <f t="shared" si="0"/>
        <v>0.51499999999998636</v>
      </c>
      <c r="E9" s="4">
        <f t="shared" si="1"/>
        <v>0.26522499999998594</v>
      </c>
      <c r="F9" s="44">
        <f t="shared" si="2"/>
        <v>1.0750000000000242</v>
      </c>
      <c r="G9" s="45">
        <f t="shared" si="3"/>
        <v>0.55362499999999781</v>
      </c>
      <c r="H9" s="47">
        <f t="shared" si="4"/>
        <v>51.611007197345145</v>
      </c>
      <c r="I9" s="48">
        <f t="shared" si="5"/>
        <v>0.97810676370310701</v>
      </c>
      <c r="J9" s="46">
        <f t="shared" si="6"/>
        <v>7.3972379951706994E-3</v>
      </c>
    </row>
    <row r="10" spans="2:10">
      <c r="B10" s="8">
        <v>60.9</v>
      </c>
      <c r="C10" s="5">
        <v>38.799999999999997</v>
      </c>
      <c r="D10" s="9">
        <f t="shared" si="0"/>
        <v>-0.88500000000001933</v>
      </c>
      <c r="E10" s="4">
        <f t="shared" si="1"/>
        <v>0.78322500000003425</v>
      </c>
      <c r="F10" s="44">
        <f t="shared" si="2"/>
        <v>9.3750000000000213</v>
      </c>
      <c r="G10" s="45">
        <f t="shared" si="3"/>
        <v>-8.2968750000002007</v>
      </c>
      <c r="H10" s="47">
        <f t="shared" si="4"/>
        <v>51.377201223979633</v>
      </c>
      <c r="I10" s="48">
        <f t="shared" si="5"/>
        <v>90.683696528574984</v>
      </c>
      <c r="J10" s="46">
        <f t="shared" si="6"/>
        <v>2.1844478193112034E-2</v>
      </c>
    </row>
    <row r="11" spans="2:10">
      <c r="B11" s="8">
        <v>61.3</v>
      </c>
      <c r="C11" s="5">
        <v>36.1</v>
      </c>
      <c r="D11" s="9">
        <f t="shared" si="0"/>
        <v>-3.5850000000000151</v>
      </c>
      <c r="E11" s="4">
        <f t="shared" si="1"/>
        <v>12.852225000000107</v>
      </c>
      <c r="F11" s="44">
        <f t="shared" si="2"/>
        <v>9.7750000000000199</v>
      </c>
      <c r="G11" s="45">
        <f t="shared" si="3"/>
        <v>-35.043375000000218</v>
      </c>
      <c r="H11" s="47">
        <f t="shared" si="4"/>
        <v>50.926289703917575</v>
      </c>
      <c r="I11" s="48">
        <f t="shared" si="5"/>
        <v>107.61386530704644</v>
      </c>
      <c r="J11" s="46">
        <f t="shared" si="6"/>
        <v>0.3584540186350772</v>
      </c>
    </row>
    <row r="12" spans="2:10">
      <c r="B12" s="8">
        <v>53</v>
      </c>
      <c r="C12" s="5">
        <v>37.5</v>
      </c>
      <c r="D12" s="9">
        <f t="shared" si="0"/>
        <v>-2.1850000000000165</v>
      </c>
      <c r="E12" s="4">
        <f t="shared" si="1"/>
        <v>4.7742250000000723</v>
      </c>
      <c r="F12" s="44">
        <f t="shared" si="2"/>
        <v>1.4750000000000227</v>
      </c>
      <c r="G12" s="45">
        <f t="shared" si="3"/>
        <v>-3.2228750000000739</v>
      </c>
      <c r="H12" s="47">
        <f t="shared" si="4"/>
        <v>51.160095677283081</v>
      </c>
      <c r="I12" s="48">
        <f t="shared" si="5"/>
        <v>3.3852479167524034</v>
      </c>
      <c r="J12" s="46">
        <f t="shared" si="6"/>
        <v>0.13315516473747657</v>
      </c>
    </row>
    <row r="13" spans="2:10">
      <c r="B13" s="8">
        <v>51.9</v>
      </c>
      <c r="C13" s="5">
        <v>40.799999999999997</v>
      </c>
      <c r="D13" s="9">
        <f t="shared" si="0"/>
        <v>1.1149999999999807</v>
      </c>
      <c r="E13" s="4">
        <f t="shared" si="1"/>
        <v>1.2432249999999569</v>
      </c>
      <c r="F13" s="44">
        <f t="shared" si="2"/>
        <v>0.37500000000002132</v>
      </c>
      <c r="G13" s="45">
        <f t="shared" si="3"/>
        <v>0.41812500000001651</v>
      </c>
      <c r="H13" s="47">
        <f t="shared" si="4"/>
        <v>51.711209757358937</v>
      </c>
      <c r="I13" s="48">
        <f t="shared" si="5"/>
        <v>3.5641755716471032E-2</v>
      </c>
      <c r="J13" s="46">
        <f t="shared" si="6"/>
        <v>3.4674073735682535E-2</v>
      </c>
    </row>
    <row r="14" spans="2:10">
      <c r="B14" s="8">
        <v>56.1</v>
      </c>
      <c r="C14" s="5">
        <v>37.4</v>
      </c>
      <c r="D14" s="9">
        <f t="shared" si="0"/>
        <v>-2.2850000000000179</v>
      </c>
      <c r="E14" s="4">
        <f t="shared" si="1"/>
        <v>5.2212250000000822</v>
      </c>
      <c r="F14" s="44">
        <f t="shared" si="2"/>
        <v>4.5750000000000242</v>
      </c>
      <c r="G14" s="45">
        <f t="shared" si="3"/>
        <v>-10.453875000000137</v>
      </c>
      <c r="H14" s="47">
        <f t="shared" si="4"/>
        <v>51.14339525061412</v>
      </c>
      <c r="I14" s="48">
        <f t="shared" si="5"/>
        <v>24.567930641634682</v>
      </c>
      <c r="J14" s="46">
        <f t="shared" si="6"/>
        <v>0.14562218475384323</v>
      </c>
    </row>
    <row r="15" spans="2:10">
      <c r="B15" s="8">
        <v>47.8</v>
      </c>
      <c r="C15" s="5">
        <v>35.4</v>
      </c>
      <c r="D15" s="9">
        <f t="shared" si="0"/>
        <v>-4.2850000000000179</v>
      </c>
      <c r="E15" s="4">
        <f t="shared" si="1"/>
        <v>18.361225000000154</v>
      </c>
      <c r="F15" s="44">
        <f t="shared" si="2"/>
        <v>-3.7249999999999801</v>
      </c>
      <c r="G15" s="45">
        <f t="shared" si="3"/>
        <v>15.961624999999982</v>
      </c>
      <c r="H15" s="47">
        <f t="shared" si="4"/>
        <v>50.809386717234815</v>
      </c>
      <c r="I15" s="48">
        <f t="shared" si="5"/>
        <v>9.0564084138693559</v>
      </c>
      <c r="J15" s="46">
        <f t="shared" si="6"/>
        <v>0.51210237046993135</v>
      </c>
    </row>
    <row r="16" spans="2:10">
      <c r="B16" s="8">
        <v>48</v>
      </c>
      <c r="C16" s="5">
        <v>39.200000000000003</v>
      </c>
      <c r="D16" s="9">
        <f t="shared" si="0"/>
        <v>-0.48500000000001364</v>
      </c>
      <c r="E16" s="4">
        <f t="shared" si="1"/>
        <v>0.23522500000001323</v>
      </c>
      <c r="F16" s="44">
        <f t="shared" si="2"/>
        <v>-3.5249999999999773</v>
      </c>
      <c r="G16" s="45">
        <f t="shared" si="3"/>
        <v>1.709625000000037</v>
      </c>
      <c r="H16" s="47">
        <f t="shared" si="4"/>
        <v>51.444002930655493</v>
      </c>
      <c r="I16" s="48">
        <f t="shared" si="5"/>
        <v>11.861156186363626</v>
      </c>
      <c r="J16" s="46">
        <f t="shared" si="6"/>
        <v>6.5605252423951363E-3</v>
      </c>
    </row>
    <row r="17" spans="2:10">
      <c r="B17" s="8">
        <v>59</v>
      </c>
      <c r="C17" s="5">
        <v>43.5</v>
      </c>
      <c r="D17" s="9">
        <f t="shared" si="0"/>
        <v>3.8149999999999835</v>
      </c>
      <c r="E17" s="4">
        <f t="shared" si="1"/>
        <v>14.554224999999875</v>
      </c>
      <c r="F17" s="44">
        <f t="shared" si="2"/>
        <v>7.4750000000000227</v>
      </c>
      <c r="G17" s="45">
        <f t="shared" si="3"/>
        <v>28.517124999999965</v>
      </c>
      <c r="H17" s="47">
        <f t="shared" si="4"/>
        <v>52.162121277421001</v>
      </c>
      <c r="I17" s="48">
        <f t="shared" si="5"/>
        <v>46.756585424698606</v>
      </c>
      <c r="J17" s="46">
        <f t="shared" si="6"/>
        <v>0.40592352214259686</v>
      </c>
    </row>
    <row r="18" spans="2:10">
      <c r="B18" s="8">
        <v>50.3</v>
      </c>
      <c r="C18" s="5">
        <v>45</v>
      </c>
      <c r="D18" s="9">
        <f t="shared" si="0"/>
        <v>5.3149999999999835</v>
      </c>
      <c r="E18" s="4">
        <f t="shared" si="1"/>
        <v>28.249224999999825</v>
      </c>
      <c r="F18" s="44">
        <f t="shared" si="2"/>
        <v>-1.2249999999999801</v>
      </c>
      <c r="G18" s="45">
        <f t="shared" si="3"/>
        <v>-6.5108749999998743</v>
      </c>
      <c r="H18" s="47">
        <f t="shared" si="4"/>
        <v>52.412627677455475</v>
      </c>
      <c r="I18" s="48">
        <f t="shared" si="5"/>
        <v>4.4631957035509284</v>
      </c>
      <c r="J18" s="46">
        <f t="shared" si="6"/>
        <v>0.78788289378504173</v>
      </c>
    </row>
    <row r="19" spans="2:10">
      <c r="B19" s="8">
        <v>48.4</v>
      </c>
      <c r="C19" s="5">
        <v>35.1</v>
      </c>
      <c r="D19" s="9">
        <f t="shared" si="0"/>
        <v>-4.5850000000000151</v>
      </c>
      <c r="E19" s="4">
        <f t="shared" si="1"/>
        <v>21.022225000000137</v>
      </c>
      <c r="F19" s="44">
        <f t="shared" si="2"/>
        <v>-3.1249999999999787</v>
      </c>
      <c r="G19" s="45">
        <f t="shared" si="3"/>
        <v>14.328124999999948</v>
      </c>
      <c r="H19" s="47">
        <f t="shared" si="4"/>
        <v>50.759285437227916</v>
      </c>
      <c r="I19" s="48">
        <f t="shared" si="5"/>
        <v>5.5662277743157267</v>
      </c>
      <c r="J19" s="46">
        <f t="shared" si="6"/>
        <v>0.58631879164120848</v>
      </c>
    </row>
    <row r="20" spans="2:10">
      <c r="B20" s="8">
        <v>51.8</v>
      </c>
      <c r="C20" s="5">
        <v>38</v>
      </c>
      <c r="D20" s="9">
        <f t="shared" si="0"/>
        <v>-1.6850000000000165</v>
      </c>
      <c r="E20" s="4">
        <f t="shared" si="1"/>
        <v>2.8392250000000554</v>
      </c>
      <c r="F20" s="44">
        <f t="shared" si="2"/>
        <v>0.2750000000000199</v>
      </c>
      <c r="G20" s="45">
        <f t="shared" si="3"/>
        <v>-0.46337500000003806</v>
      </c>
      <c r="H20" s="47">
        <f t="shared" si="4"/>
        <v>51.243597810627911</v>
      </c>
      <c r="I20" s="48">
        <f t="shared" si="5"/>
        <v>0.30958339633805099</v>
      </c>
      <c r="J20" s="46">
        <f t="shared" si="6"/>
        <v>7.9187192183392319E-2</v>
      </c>
    </row>
    <row r="21" spans="2:10">
      <c r="B21" s="8">
        <v>45.1</v>
      </c>
      <c r="C21" s="5">
        <v>37.9</v>
      </c>
      <c r="D21" s="9">
        <f t="shared" si="0"/>
        <v>-1.7850000000000179</v>
      </c>
      <c r="E21" s="4">
        <f t="shared" si="1"/>
        <v>3.1862250000000638</v>
      </c>
      <c r="F21" s="44">
        <f t="shared" si="2"/>
        <v>-6.4249999999999758</v>
      </c>
      <c r="G21" s="45">
        <f t="shared" si="3"/>
        <v>11.468625000000072</v>
      </c>
      <c r="H21" s="47">
        <f t="shared" si="4"/>
        <v>51.226897383958942</v>
      </c>
      <c r="I21" s="48">
        <f t="shared" si="5"/>
        <v>37.538871553562913</v>
      </c>
      <c r="J21" s="46">
        <f t="shared" si="6"/>
        <v>8.8865169690508838E-2</v>
      </c>
    </row>
    <row r="22" spans="2:10">
      <c r="B22" s="8">
        <v>55.1</v>
      </c>
      <c r="C22" s="5">
        <v>43.1</v>
      </c>
      <c r="D22" s="9">
        <f t="shared" si="0"/>
        <v>3.4149999999999849</v>
      </c>
      <c r="E22" s="4">
        <f t="shared" si="1"/>
        <v>11.662224999999896</v>
      </c>
      <c r="F22" s="44">
        <f t="shared" si="2"/>
        <v>3.5750000000000242</v>
      </c>
      <c r="G22" s="45">
        <f t="shared" si="3"/>
        <v>12.208625000000028</v>
      </c>
      <c r="H22" s="47">
        <f t="shared" si="4"/>
        <v>52.09531957074514</v>
      </c>
      <c r="I22" s="48">
        <f t="shared" si="5"/>
        <v>9.0281044819471781</v>
      </c>
      <c r="J22" s="46">
        <f t="shared" si="6"/>
        <v>0.32526441277494667</v>
      </c>
    </row>
    <row r="23" spans="2:10">
      <c r="B23" s="8">
        <v>46.4</v>
      </c>
      <c r="C23" s="5">
        <v>35.200000000000003</v>
      </c>
      <c r="D23" s="9">
        <f t="shared" si="0"/>
        <v>-4.4850000000000136</v>
      </c>
      <c r="E23" s="4">
        <f t="shared" si="1"/>
        <v>20.115225000000123</v>
      </c>
      <c r="F23" s="44">
        <f t="shared" si="2"/>
        <v>-5.1249999999999787</v>
      </c>
      <c r="G23" s="45">
        <f t="shared" si="3"/>
        <v>22.985624999999974</v>
      </c>
      <c r="H23" s="47">
        <f t="shared" si="4"/>
        <v>50.775985863896885</v>
      </c>
      <c r="I23" s="48">
        <f t="shared" si="5"/>
        <v>19.14925228102538</v>
      </c>
      <c r="J23" s="46">
        <f t="shared" si="6"/>
        <v>0.56102217608226157</v>
      </c>
    </row>
    <row r="24" spans="2:10">
      <c r="B24" s="8">
        <v>48.6</v>
      </c>
      <c r="C24" s="5">
        <v>35</v>
      </c>
      <c r="D24" s="9">
        <f t="shared" si="0"/>
        <v>-4.6850000000000165</v>
      </c>
      <c r="E24" s="4">
        <f t="shared" si="1"/>
        <v>21.949225000000155</v>
      </c>
      <c r="F24" s="44">
        <f t="shared" si="2"/>
        <v>-2.9249999999999758</v>
      </c>
      <c r="G24" s="45">
        <f t="shared" si="3"/>
        <v>13.703624999999935</v>
      </c>
      <c r="H24" s="47">
        <f t="shared" si="4"/>
        <v>50.742585010558955</v>
      </c>
      <c r="I24" s="48">
        <f t="shared" si="5"/>
        <v>4.59067052747191</v>
      </c>
      <c r="J24" s="46">
        <f t="shared" si="6"/>
        <v>0.61217321570199557</v>
      </c>
    </row>
    <row r="25" spans="2:10">
      <c r="B25" s="8">
        <v>48.2</v>
      </c>
      <c r="C25" s="5">
        <v>39.9</v>
      </c>
      <c r="D25" s="9">
        <f t="shared" si="0"/>
        <v>0.21499999999998209</v>
      </c>
      <c r="E25" s="4">
        <f t="shared" si="1"/>
        <v>4.62249999999923E-2</v>
      </c>
      <c r="F25" s="44">
        <f t="shared" si="2"/>
        <v>-3.3249999999999744</v>
      </c>
      <c r="G25" s="45">
        <f t="shared" si="3"/>
        <v>-0.71487499999993498</v>
      </c>
      <c r="H25" s="47">
        <f t="shared" si="4"/>
        <v>51.560905917338253</v>
      </c>
      <c r="I25" s="48">
        <f t="shared" si="5"/>
        <v>11.295688585199267</v>
      </c>
      <c r="J25" s="46">
        <f t="shared" si="6"/>
        <v>1.2892348999031151E-3</v>
      </c>
    </row>
    <row r="26" spans="2:10">
      <c r="B26" s="8">
        <v>52.3</v>
      </c>
      <c r="C26" s="5">
        <v>42.1</v>
      </c>
      <c r="D26" s="9">
        <f t="shared" si="0"/>
        <v>2.4149999999999849</v>
      </c>
      <c r="E26" s="4">
        <f t="shared" si="1"/>
        <v>5.8322249999999274</v>
      </c>
      <c r="F26" s="44">
        <f t="shared" si="2"/>
        <v>0.7750000000000199</v>
      </c>
      <c r="G26" s="45">
        <f t="shared" si="3"/>
        <v>1.8716250000000363</v>
      </c>
      <c r="H26" s="47">
        <f t="shared" si="4"/>
        <v>51.928315304055488</v>
      </c>
      <c r="I26" s="48">
        <f t="shared" si="5"/>
        <v>0.13814951319936231</v>
      </c>
      <c r="J26" s="46">
        <f t="shared" si="6"/>
        <v>0.162663234485389</v>
      </c>
    </row>
    <row r="27" spans="2:10">
      <c r="B27" s="8">
        <v>53.6</v>
      </c>
      <c r="C27" s="5">
        <v>44.1</v>
      </c>
      <c r="D27" s="9">
        <f t="shared" si="0"/>
        <v>4.4149999999999849</v>
      </c>
      <c r="E27" s="4">
        <f t="shared" si="1"/>
        <v>19.492224999999866</v>
      </c>
      <c r="F27" s="44">
        <f t="shared" si="2"/>
        <v>2.0750000000000242</v>
      </c>
      <c r="G27" s="45">
        <f t="shared" si="3"/>
        <v>9.1611250000000748</v>
      </c>
      <c r="H27" s="47">
        <f t="shared" si="4"/>
        <v>52.262323837434792</v>
      </c>
      <c r="I27" s="48">
        <f t="shared" si="5"/>
        <v>1.7893775158951846</v>
      </c>
      <c r="J27" s="46">
        <f t="shared" si="6"/>
        <v>0.54364644124960115</v>
      </c>
    </row>
    <row r="28" spans="2:10">
      <c r="B28" s="8">
        <v>43.9</v>
      </c>
      <c r="C28" s="5">
        <v>40.5</v>
      </c>
      <c r="D28" s="9">
        <f t="shared" si="0"/>
        <v>0.81499999999998352</v>
      </c>
      <c r="E28" s="4">
        <f t="shared" si="1"/>
        <v>0.66422499999997309</v>
      </c>
      <c r="F28" s="44">
        <f t="shared" si="2"/>
        <v>-7.6249999999999787</v>
      </c>
      <c r="G28" s="45">
        <f t="shared" si="3"/>
        <v>-6.2143749999998565</v>
      </c>
      <c r="H28" s="47">
        <f t="shared" si="4"/>
        <v>51.661108477352045</v>
      </c>
      <c r="I28" s="48">
        <f t="shared" si="5"/>
        <v>60.234804797225792</v>
      </c>
      <c r="J28" s="46">
        <f t="shared" si="6"/>
        <v>1.8525517607098224E-2</v>
      </c>
    </row>
    <row r="29" spans="2:10">
      <c r="B29" s="8">
        <v>50.6</v>
      </c>
      <c r="C29" s="5">
        <v>42.2</v>
      </c>
      <c r="D29" s="9">
        <f t="shared" si="0"/>
        <v>2.5149999999999864</v>
      </c>
      <c r="E29" s="4">
        <f t="shared" si="1"/>
        <v>6.3252249999999313</v>
      </c>
      <c r="F29" s="44">
        <f t="shared" si="2"/>
        <v>-0.92499999999997584</v>
      </c>
      <c r="G29" s="45">
        <f t="shared" si="3"/>
        <v>-2.3263749999999268</v>
      </c>
      <c r="H29" s="47">
        <f t="shared" si="4"/>
        <v>51.94501573072445</v>
      </c>
      <c r="I29" s="48">
        <f t="shared" si="5"/>
        <v>1.8090673158962212</v>
      </c>
      <c r="J29" s="46">
        <f t="shared" si="6"/>
        <v>0.17641321405601243</v>
      </c>
    </row>
    <row r="30" spans="2:10">
      <c r="B30" s="8">
        <v>56.3</v>
      </c>
      <c r="C30" s="5">
        <v>42.3</v>
      </c>
      <c r="D30" s="9">
        <f t="shared" si="0"/>
        <v>2.6149999999999807</v>
      </c>
      <c r="E30" s="4">
        <f t="shared" si="1"/>
        <v>6.8382249999998992</v>
      </c>
      <c r="F30" s="44">
        <f t="shared" si="2"/>
        <v>4.7750000000000199</v>
      </c>
      <c r="G30" s="45">
        <f t="shared" si="3"/>
        <v>12.486624999999959</v>
      </c>
      <c r="H30" s="47">
        <f t="shared" si="4"/>
        <v>51.961716157393418</v>
      </c>
      <c r="I30" s="48">
        <f t="shared" si="5"/>
        <v>18.820706699021304</v>
      </c>
      <c r="J30" s="46">
        <f t="shared" si="6"/>
        <v>0.19072100212849277</v>
      </c>
    </row>
    <row r="31" spans="2:10">
      <c r="B31" s="8">
        <v>50.7</v>
      </c>
      <c r="C31" s="5">
        <v>38.5</v>
      </c>
      <c r="D31" s="9">
        <f t="shared" si="0"/>
        <v>-1.1850000000000165</v>
      </c>
      <c r="E31" s="4">
        <f t="shared" si="1"/>
        <v>1.4042250000000391</v>
      </c>
      <c r="F31" s="44">
        <f t="shared" si="2"/>
        <v>-0.82499999999997442</v>
      </c>
      <c r="G31" s="45">
        <f t="shared" si="3"/>
        <v>0.97762499999998331</v>
      </c>
      <c r="H31" s="47">
        <f t="shared" si="4"/>
        <v>51.32709994397274</v>
      </c>
      <c r="I31" s="48">
        <f t="shared" si="5"/>
        <v>0.39325433973061064</v>
      </c>
      <c r="J31" s="46">
        <f t="shared" si="6"/>
        <v>3.916443217558347E-2</v>
      </c>
    </row>
    <row r="32" spans="2:10">
      <c r="B32" s="8">
        <v>49.8</v>
      </c>
      <c r="C32" s="5">
        <v>37.799999999999997</v>
      </c>
      <c r="D32" s="9">
        <f t="shared" si="0"/>
        <v>-1.8850000000000193</v>
      </c>
      <c r="E32" s="4">
        <f t="shared" si="1"/>
        <v>3.5532250000000727</v>
      </c>
      <c r="F32" s="44">
        <f t="shared" si="2"/>
        <v>-1.7249999999999801</v>
      </c>
      <c r="G32" s="45">
        <f t="shared" si="3"/>
        <v>3.2516249999999958</v>
      </c>
      <c r="H32" s="47">
        <f t="shared" si="4"/>
        <v>51.21019695728998</v>
      </c>
      <c r="I32" s="48">
        <f t="shared" si="5"/>
        <v>1.988655458349927</v>
      </c>
      <c r="J32" s="46">
        <f t="shared" si="6"/>
        <v>9.9100955699472082E-2</v>
      </c>
    </row>
    <row r="33" spans="2:27">
      <c r="B33" s="8">
        <v>53.1</v>
      </c>
      <c r="C33" s="5">
        <v>43.6</v>
      </c>
      <c r="D33" s="9">
        <f t="shared" si="0"/>
        <v>3.9149999999999849</v>
      </c>
      <c r="E33" s="4">
        <f t="shared" si="1"/>
        <v>15.327224999999881</v>
      </c>
      <c r="F33" s="44">
        <f t="shared" si="2"/>
        <v>1.5750000000000242</v>
      </c>
      <c r="G33" s="45">
        <f t="shared" si="3"/>
        <v>6.1661250000000711</v>
      </c>
      <c r="H33" s="47">
        <f t="shared" si="4"/>
        <v>52.178821704089962</v>
      </c>
      <c r="I33" s="48">
        <f t="shared" si="5"/>
        <v>0.84856945285572327</v>
      </c>
      <c r="J33" s="46">
        <f t="shared" si="6"/>
        <v>0.42748282073913213</v>
      </c>
    </row>
    <row r="34" spans="2:27">
      <c r="B34" s="8">
        <v>47.9</v>
      </c>
      <c r="C34" s="5">
        <v>35.200000000000003</v>
      </c>
      <c r="D34" s="9">
        <f t="shared" si="0"/>
        <v>-4.4850000000000136</v>
      </c>
      <c r="E34" s="4">
        <f t="shared" si="1"/>
        <v>20.115225000000123</v>
      </c>
      <c r="F34" s="44">
        <f t="shared" si="2"/>
        <v>-3.6249999999999787</v>
      </c>
      <c r="G34" s="45">
        <f t="shared" si="3"/>
        <v>16.258124999999954</v>
      </c>
      <c r="H34" s="47">
        <f t="shared" si="4"/>
        <v>50.775985863896885</v>
      </c>
      <c r="I34" s="48">
        <f t="shared" si="5"/>
        <v>8.2712946893347201</v>
      </c>
      <c r="J34" s="46">
        <f t="shared" si="6"/>
        <v>0.56102217608226157</v>
      </c>
    </row>
    <row r="35" spans="2:27">
      <c r="B35" s="8">
        <v>47.6</v>
      </c>
      <c r="C35" s="5">
        <v>44.6</v>
      </c>
      <c r="D35" s="9">
        <f t="shared" si="0"/>
        <v>4.9149999999999849</v>
      </c>
      <c r="E35" s="4">
        <f t="shared" si="1"/>
        <v>24.157224999999851</v>
      </c>
      <c r="F35" s="44">
        <f t="shared" si="2"/>
        <v>-3.9249999999999758</v>
      </c>
      <c r="G35" s="45">
        <f t="shared" si="3"/>
        <v>-19.291374999999821</v>
      </c>
      <c r="H35" s="47">
        <f t="shared" si="4"/>
        <v>52.345825970779615</v>
      </c>
      <c r="I35" s="48">
        <f t="shared" si="5"/>
        <v>22.522864144926256</v>
      </c>
      <c r="J35" s="46">
        <f t="shared" si="6"/>
        <v>0.67375527430633397</v>
      </c>
      <c r="L35" s="6" t="s">
        <v>76</v>
      </c>
      <c r="M35" s="6" t="s">
        <v>109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2:27">
      <c r="B36" s="8">
        <v>43.3</v>
      </c>
      <c r="C36" s="5">
        <v>36.700000000000003</v>
      </c>
      <c r="D36" s="9">
        <f t="shared" si="0"/>
        <v>-2.9850000000000136</v>
      </c>
      <c r="E36" s="4">
        <f t="shared" si="1"/>
        <v>8.9102250000000822</v>
      </c>
      <c r="F36" s="44">
        <f t="shared" si="2"/>
        <v>-8.2249999999999801</v>
      </c>
      <c r="G36" s="45">
        <f t="shared" si="3"/>
        <v>24.551625000000051</v>
      </c>
      <c r="H36" s="47">
        <f t="shared" si="4"/>
        <v>51.026492263931367</v>
      </c>
      <c r="I36" s="48">
        <f t="shared" si="5"/>
        <v>59.698682704591299</v>
      </c>
      <c r="J36" s="46">
        <f t="shared" si="6"/>
        <v>0.24850996292025146</v>
      </c>
      <c r="M36" s="6" t="s">
        <v>120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>
      <c r="B37" s="8">
        <v>51.1</v>
      </c>
      <c r="C37" s="5">
        <v>35.299999999999997</v>
      </c>
      <c r="D37" s="9">
        <f t="shared" si="0"/>
        <v>-4.3850000000000193</v>
      </c>
      <c r="E37" s="4">
        <f t="shared" si="1"/>
        <v>19.228225000000169</v>
      </c>
      <c r="F37" s="44">
        <f t="shared" si="2"/>
        <v>-0.42499999999997584</v>
      </c>
      <c r="G37" s="45">
        <f t="shared" si="3"/>
        <v>1.8636249999999024</v>
      </c>
      <c r="H37" s="47">
        <f t="shared" si="4"/>
        <v>50.792686290565847</v>
      </c>
      <c r="I37" s="48">
        <f t="shared" si="5"/>
        <v>9.4441716006180065E-2</v>
      </c>
      <c r="J37" s="46">
        <f t="shared" si="6"/>
        <v>0.53628336902517615</v>
      </c>
      <c r="M37" s="51" t="s">
        <v>161</v>
      </c>
      <c r="N37" s="51"/>
      <c r="O37" s="51"/>
      <c r="P37" s="51"/>
      <c r="Q37" s="51"/>
      <c r="R37" s="51"/>
      <c r="S37" s="51"/>
    </row>
    <row r="38" spans="2:27">
      <c r="B38" s="8">
        <v>53.4</v>
      </c>
      <c r="C38" s="5">
        <v>38.6</v>
      </c>
      <c r="D38" s="9">
        <f t="shared" si="0"/>
        <v>-1.0850000000000151</v>
      </c>
      <c r="E38" s="4">
        <f t="shared" si="1"/>
        <v>1.1772250000000326</v>
      </c>
      <c r="F38" s="44">
        <f t="shared" si="2"/>
        <v>1.8750000000000213</v>
      </c>
      <c r="G38" s="45">
        <f t="shared" si="3"/>
        <v>-2.0343750000000513</v>
      </c>
      <c r="H38" s="47">
        <f t="shared" si="4"/>
        <v>51.343800370641702</v>
      </c>
      <c r="I38" s="48">
        <f t="shared" si="5"/>
        <v>4.2279569157731958</v>
      </c>
      <c r="J38" s="46">
        <f t="shared" si="6"/>
        <v>3.2833305679576291E-2</v>
      </c>
    </row>
    <row r="39" spans="2:27">
      <c r="B39" s="8">
        <v>47.3</v>
      </c>
      <c r="C39" s="5">
        <v>37.1</v>
      </c>
      <c r="D39" s="9">
        <f t="shared" si="0"/>
        <v>-2.5850000000000151</v>
      </c>
      <c r="E39" s="4">
        <f t="shared" si="1"/>
        <v>6.682225000000078</v>
      </c>
      <c r="F39" s="44">
        <f t="shared" si="2"/>
        <v>-4.2249999999999801</v>
      </c>
      <c r="G39" s="45">
        <f t="shared" si="3"/>
        <v>10.921625000000013</v>
      </c>
      <c r="H39" s="47">
        <f t="shared" si="4"/>
        <v>51.09329397060722</v>
      </c>
      <c r="I39" s="48">
        <f t="shared" si="5"/>
        <v>14.389079147445115</v>
      </c>
      <c r="J39" s="46">
        <f t="shared" si="6"/>
        <v>0.18637009581405981</v>
      </c>
    </row>
    <row r="40" spans="2:27">
      <c r="B40" s="8">
        <v>50.1</v>
      </c>
      <c r="C40" s="5">
        <v>42.9</v>
      </c>
      <c r="D40" s="9">
        <f t="shared" si="0"/>
        <v>3.2149999999999821</v>
      </c>
      <c r="E40" s="4">
        <f t="shared" si="1"/>
        <v>10.336224999999885</v>
      </c>
      <c r="F40" s="44">
        <f t="shared" si="2"/>
        <v>-1.4249999999999758</v>
      </c>
      <c r="G40" s="45">
        <f t="shared" si="3"/>
        <v>-4.5813749999998965</v>
      </c>
      <c r="H40" s="47">
        <f t="shared" si="4"/>
        <v>52.06191871740721</v>
      </c>
      <c r="I40" s="48">
        <f t="shared" si="5"/>
        <v>3.8491250537127448</v>
      </c>
      <c r="J40" s="46">
        <f t="shared" si="6"/>
        <v>0.28828170910222739</v>
      </c>
    </row>
    <row r="41" spans="2:27">
      <c r="B41" s="8">
        <v>44.8</v>
      </c>
      <c r="C41" s="5">
        <v>42.3</v>
      </c>
      <c r="D41" s="9">
        <f t="shared" si="0"/>
        <v>2.6149999999999807</v>
      </c>
      <c r="E41" s="4">
        <f t="shared" si="1"/>
        <v>6.8382249999998992</v>
      </c>
      <c r="F41" s="44">
        <f t="shared" si="2"/>
        <v>-6.7249999999999801</v>
      </c>
      <c r="G41" s="45">
        <f t="shared" si="3"/>
        <v>-17.585874999999817</v>
      </c>
      <c r="H41" s="47">
        <f t="shared" si="4"/>
        <v>51.961716157393418</v>
      </c>
      <c r="I41" s="48">
        <f t="shared" si="5"/>
        <v>51.290178319069987</v>
      </c>
      <c r="J41" s="46">
        <f t="shared" si="6"/>
        <v>0.19072100212849277</v>
      </c>
    </row>
    <row r="42" spans="2:27">
      <c r="B42" s="8">
        <v>50.6</v>
      </c>
      <c r="C42" s="5">
        <v>38.4</v>
      </c>
      <c r="D42" s="9">
        <f t="shared" si="0"/>
        <v>-1.2850000000000179</v>
      </c>
      <c r="E42" s="4">
        <f t="shared" si="1"/>
        <v>1.6512250000000461</v>
      </c>
      <c r="F42" s="44">
        <f t="shared" si="2"/>
        <v>-0.92499999999997584</v>
      </c>
      <c r="G42" s="45">
        <f t="shared" si="3"/>
        <v>1.1886249999999856</v>
      </c>
      <c r="H42" s="47">
        <f t="shared" si="4"/>
        <v>51.310399517303772</v>
      </c>
      <c r="I42" s="48">
        <f t="shared" si="5"/>
        <v>0.50466747418542979</v>
      </c>
      <c r="J42" s="46">
        <f t="shared" si="6"/>
        <v>4.605336717344443E-2</v>
      </c>
    </row>
    <row r="43" spans="2:27">
      <c r="B43" s="8">
        <v>42.6</v>
      </c>
      <c r="C43" s="5">
        <v>43.8</v>
      </c>
      <c r="D43" s="9">
        <f t="shared" si="0"/>
        <v>4.1149999999999807</v>
      </c>
      <c r="E43" s="4">
        <f t="shared" si="1"/>
        <v>16.93322499999984</v>
      </c>
      <c r="F43" s="44">
        <f t="shared" si="2"/>
        <v>-8.9249999999999758</v>
      </c>
      <c r="G43" s="45">
        <f t="shared" si="3"/>
        <v>-36.726374999999727</v>
      </c>
      <c r="H43" s="47">
        <f t="shared" si="4"/>
        <v>52.212222557427893</v>
      </c>
      <c r="I43" s="48">
        <f t="shared" si="5"/>
        <v>92.394822493525595</v>
      </c>
      <c r="J43" s="46">
        <f t="shared" si="6"/>
        <v>0.47227484343776477</v>
      </c>
    </row>
    <row r="44" spans="2:27">
      <c r="B44" s="8">
        <v>61.2</v>
      </c>
      <c r="C44" s="5">
        <v>43</v>
      </c>
      <c r="D44" s="9">
        <f t="shared" si="0"/>
        <v>3.3149999999999835</v>
      </c>
      <c r="E44" s="4">
        <f t="shared" si="1"/>
        <v>10.989224999999891</v>
      </c>
      <c r="F44" s="44">
        <f t="shared" si="2"/>
        <v>9.6750000000000256</v>
      </c>
      <c r="G44" s="45">
        <f t="shared" si="3"/>
        <v>32.072624999999924</v>
      </c>
      <c r="H44" s="47">
        <f t="shared" si="4"/>
        <v>52.078619144076171</v>
      </c>
      <c r="I44" s="48">
        <f t="shared" si="5"/>
        <v>83.199588718813771</v>
      </c>
      <c r="J44" s="46">
        <f t="shared" si="6"/>
        <v>0.30649415668765762</v>
      </c>
    </row>
    <row r="45" spans="2:27">
      <c r="B45" s="8">
        <v>55.5</v>
      </c>
      <c r="C45" s="5">
        <v>42.5</v>
      </c>
      <c r="D45" s="9">
        <f t="shared" si="0"/>
        <v>2.8149999999999835</v>
      </c>
      <c r="E45" s="4">
        <f t="shared" si="1"/>
        <v>7.9242249999999075</v>
      </c>
      <c r="F45" s="44">
        <f t="shared" si="2"/>
        <v>3.9750000000000227</v>
      </c>
      <c r="G45" s="45">
        <f t="shared" si="3"/>
        <v>11.189624999999998</v>
      </c>
      <c r="H45" s="47">
        <f t="shared" si="4"/>
        <v>51.995117010731349</v>
      </c>
      <c r="I45" s="48">
        <f t="shared" si="5"/>
        <v>12.284204768464758</v>
      </c>
      <c r="J45" s="46">
        <f t="shared" si="6"/>
        <v>0.22101000377900043</v>
      </c>
    </row>
    <row r="46" spans="2:27">
      <c r="B46" s="8">
        <v>55</v>
      </c>
      <c r="C46" s="5">
        <v>39</v>
      </c>
      <c r="D46" s="9">
        <f t="shared" si="0"/>
        <v>-0.68500000000001648</v>
      </c>
      <c r="E46" s="4">
        <f t="shared" si="1"/>
        <v>0.4692250000000226</v>
      </c>
      <c r="F46" s="44">
        <f t="shared" si="2"/>
        <v>3.4750000000000227</v>
      </c>
      <c r="G46" s="45">
        <f t="shared" si="3"/>
        <v>-2.3803750000000727</v>
      </c>
      <c r="H46" s="47">
        <f t="shared" si="4"/>
        <v>51.410602077317563</v>
      </c>
      <c r="I46" s="48">
        <f t="shared" si="5"/>
        <v>12.883777447356994</v>
      </c>
      <c r="J46" s="46">
        <f t="shared" si="6"/>
        <v>1.3086884714051648E-2</v>
      </c>
    </row>
    <row r="47" spans="2:27">
      <c r="B47" s="8">
        <v>40.9</v>
      </c>
      <c r="C47" s="5">
        <v>37.299999999999997</v>
      </c>
      <c r="D47" s="9">
        <f t="shared" si="0"/>
        <v>-2.3850000000000193</v>
      </c>
      <c r="E47" s="4">
        <f t="shared" si="1"/>
        <v>5.6882250000000925</v>
      </c>
      <c r="F47" s="44">
        <f t="shared" si="2"/>
        <v>-10.624999999999979</v>
      </c>
      <c r="G47" s="45">
        <f t="shared" si="3"/>
        <v>25.340625000000156</v>
      </c>
      <c r="H47" s="47">
        <f t="shared" si="4"/>
        <v>51.126694823945158</v>
      </c>
      <c r="I47" s="48">
        <f t="shared" si="5"/>
        <v>104.58528702210671</v>
      </c>
      <c r="J47" s="46">
        <f t="shared" si="6"/>
        <v>0.1586470132720606</v>
      </c>
    </row>
    <row r="48" spans="2:27">
      <c r="B48" s="8">
        <v>50.7</v>
      </c>
      <c r="C48" s="5">
        <v>44.4</v>
      </c>
      <c r="D48" s="9">
        <f t="shared" si="0"/>
        <v>4.7149999999999821</v>
      </c>
      <c r="E48" s="4">
        <f t="shared" si="1"/>
        <v>22.231224999999831</v>
      </c>
      <c r="F48" s="44">
        <f t="shared" si="2"/>
        <v>-0.82499999999997442</v>
      </c>
      <c r="G48" s="45">
        <f t="shared" si="3"/>
        <v>-3.8898749999998645</v>
      </c>
      <c r="H48" s="47">
        <f t="shared" si="4"/>
        <v>52.312425117441684</v>
      </c>
      <c r="I48" s="48">
        <f t="shared" si="5"/>
        <v>2.5999147593568197</v>
      </c>
      <c r="J48" s="46">
        <f t="shared" si="6"/>
        <v>0.62003831557808586</v>
      </c>
    </row>
    <row r="49" spans="2:20">
      <c r="B49" s="8">
        <v>48.2</v>
      </c>
      <c r="C49" s="5">
        <v>38.5</v>
      </c>
      <c r="D49" s="9">
        <f t="shared" si="0"/>
        <v>-1.1850000000000165</v>
      </c>
      <c r="E49" s="4">
        <f t="shared" si="1"/>
        <v>1.4042250000000391</v>
      </c>
      <c r="F49" s="44">
        <f t="shared" si="2"/>
        <v>-3.3249999999999744</v>
      </c>
      <c r="G49" s="45">
        <f t="shared" si="3"/>
        <v>3.9401250000000245</v>
      </c>
      <c r="H49" s="47">
        <f t="shared" si="4"/>
        <v>51.32709994397274</v>
      </c>
      <c r="I49" s="48">
        <f t="shared" si="5"/>
        <v>9.7787540595942986</v>
      </c>
      <c r="J49" s="46">
        <f t="shared" si="6"/>
        <v>3.916443217558347E-2</v>
      </c>
    </row>
    <row r="50" spans="2:20">
      <c r="B50" s="8">
        <v>59.1</v>
      </c>
      <c r="C50" s="5">
        <v>36.700000000000003</v>
      </c>
      <c r="D50" s="9">
        <f t="shared" si="0"/>
        <v>-2.9850000000000136</v>
      </c>
      <c r="E50" s="4">
        <f t="shared" si="1"/>
        <v>8.9102250000000822</v>
      </c>
      <c r="F50" s="44">
        <f t="shared" si="2"/>
        <v>7.5750000000000242</v>
      </c>
      <c r="G50" s="45">
        <f t="shared" si="3"/>
        <v>-22.611375000000177</v>
      </c>
      <c r="H50" s="47">
        <f t="shared" si="4"/>
        <v>51.026492263931367</v>
      </c>
      <c r="I50" s="48">
        <f t="shared" si="5"/>
        <v>65.181527164360091</v>
      </c>
      <c r="J50" s="46">
        <f t="shared" si="6"/>
        <v>0.24850996292025146</v>
      </c>
    </row>
    <row r="51" spans="2:20">
      <c r="B51" s="8">
        <v>58.4</v>
      </c>
      <c r="C51" s="5">
        <v>35.1</v>
      </c>
      <c r="D51" s="9">
        <f t="shared" si="0"/>
        <v>-4.5850000000000151</v>
      </c>
      <c r="E51" s="4">
        <f t="shared" si="1"/>
        <v>21.022225000000137</v>
      </c>
      <c r="F51" s="44">
        <f t="shared" si="2"/>
        <v>6.8750000000000213</v>
      </c>
      <c r="G51" s="45">
        <f t="shared" si="3"/>
        <v>-31.5218750000002</v>
      </c>
      <c r="H51" s="47">
        <f t="shared" si="4"/>
        <v>50.759285437227916</v>
      </c>
      <c r="I51" s="48">
        <f t="shared" si="5"/>
        <v>58.380519029757373</v>
      </c>
      <c r="J51" s="46">
        <f t="shared" si="6"/>
        <v>0.58631879164120848</v>
      </c>
    </row>
    <row r="52" spans="2:20">
      <c r="B52" s="8">
        <v>42.9</v>
      </c>
      <c r="C52" s="5">
        <v>37.200000000000003</v>
      </c>
      <c r="D52" s="9">
        <f t="shared" si="0"/>
        <v>-2.4850000000000136</v>
      </c>
      <c r="E52" s="4">
        <f t="shared" si="1"/>
        <v>6.1752250000000677</v>
      </c>
      <c r="F52" s="44">
        <f t="shared" si="2"/>
        <v>-8.6249999999999787</v>
      </c>
      <c r="G52" s="45">
        <f t="shared" si="3"/>
        <v>21.433125000000064</v>
      </c>
      <c r="H52" s="47">
        <f t="shared" si="4"/>
        <v>51.109994397276189</v>
      </c>
      <c r="I52" s="48">
        <f t="shared" si="5"/>
        <v>67.404008003306444</v>
      </c>
      <c r="J52" s="46">
        <f t="shared" si="6"/>
        <v>0.17222965029213461</v>
      </c>
    </row>
    <row r="53" spans="2:20">
      <c r="B53" s="8">
        <v>64.099999999999994</v>
      </c>
      <c r="C53" s="5">
        <v>38.200000000000003</v>
      </c>
      <c r="D53" s="9">
        <f t="shared" si="0"/>
        <v>-1.4850000000000136</v>
      </c>
      <c r="E53" s="4">
        <f t="shared" si="1"/>
        <v>2.2052250000000404</v>
      </c>
      <c r="F53" s="44">
        <f t="shared" si="2"/>
        <v>12.575000000000017</v>
      </c>
      <c r="G53" s="45">
        <f t="shared" si="3"/>
        <v>-18.673875000000198</v>
      </c>
      <c r="H53" s="47">
        <f t="shared" si="4"/>
        <v>51.276998663965841</v>
      </c>
      <c r="I53" s="48">
        <f t="shared" si="5"/>
        <v>164.42936326393368</v>
      </c>
      <c r="J53" s="46">
        <f t="shared" si="6"/>
        <v>6.1504662674716437E-2</v>
      </c>
    </row>
    <row r="54" spans="2:20">
      <c r="B54" s="8">
        <v>57.9</v>
      </c>
      <c r="C54" s="5">
        <v>45</v>
      </c>
      <c r="D54" s="9">
        <f t="shared" si="0"/>
        <v>5.3149999999999835</v>
      </c>
      <c r="E54" s="4">
        <f t="shared" si="1"/>
        <v>28.249224999999825</v>
      </c>
      <c r="F54" s="44">
        <f t="shared" si="2"/>
        <v>6.3750000000000213</v>
      </c>
      <c r="G54" s="45">
        <f t="shared" si="3"/>
        <v>33.883125000000007</v>
      </c>
      <c r="H54" s="47">
        <f t="shared" si="4"/>
        <v>52.412627677455475</v>
      </c>
      <c r="I54" s="48">
        <f t="shared" si="5"/>
        <v>30.111255006227676</v>
      </c>
      <c r="J54" s="46">
        <f t="shared" si="6"/>
        <v>0.78788289378504173</v>
      </c>
    </row>
    <row r="55" spans="2:20">
      <c r="B55" s="8">
        <v>46.1</v>
      </c>
      <c r="C55" s="5">
        <v>37.799999999999997</v>
      </c>
      <c r="D55" s="9">
        <f t="shared" si="0"/>
        <v>-1.8850000000000193</v>
      </c>
      <c r="E55" s="4">
        <f t="shared" si="1"/>
        <v>3.5532250000000727</v>
      </c>
      <c r="F55" s="44">
        <f t="shared" si="2"/>
        <v>-5.4249999999999758</v>
      </c>
      <c r="G55" s="45">
        <f t="shared" si="3"/>
        <v>10.22612500000006</v>
      </c>
      <c r="H55" s="47">
        <f t="shared" si="4"/>
        <v>51.21019695728998</v>
      </c>
      <c r="I55" s="48">
        <f t="shared" si="5"/>
        <v>26.114112942295758</v>
      </c>
      <c r="J55" s="46">
        <f t="shared" si="6"/>
        <v>9.9100955699472082E-2</v>
      </c>
    </row>
    <row r="56" spans="2:20">
      <c r="B56" s="8">
        <v>59.5</v>
      </c>
      <c r="C56" s="5">
        <v>41.4</v>
      </c>
      <c r="D56" s="9">
        <f t="shared" si="0"/>
        <v>1.7149999999999821</v>
      </c>
      <c r="E56" s="4">
        <f t="shared" si="1"/>
        <v>2.9412249999999385</v>
      </c>
      <c r="F56" s="44">
        <f t="shared" si="2"/>
        <v>7.9750000000000227</v>
      </c>
      <c r="G56" s="45">
        <f t="shared" si="3"/>
        <v>13.677124999999895</v>
      </c>
      <c r="H56" s="47">
        <f t="shared" si="4"/>
        <v>51.811412317372728</v>
      </c>
      <c r="I56" s="48">
        <f t="shared" si="5"/>
        <v>59.114380553447809</v>
      </c>
      <c r="J56" s="46">
        <f t="shared" si="6"/>
        <v>8.203201554282924E-2</v>
      </c>
    </row>
    <row r="57" spans="2:20">
      <c r="B57" s="8">
        <v>46.9</v>
      </c>
      <c r="C57" s="5">
        <v>44.8</v>
      </c>
      <c r="D57" s="9">
        <f t="shared" si="0"/>
        <v>5.1149999999999807</v>
      </c>
      <c r="E57" s="4">
        <f t="shared" si="1"/>
        <v>26.163224999999802</v>
      </c>
      <c r="F57" s="44">
        <f t="shared" si="2"/>
        <v>-4.6249999999999787</v>
      </c>
      <c r="G57" s="45">
        <f t="shared" si="3"/>
        <v>-23.6568749999998</v>
      </c>
      <c r="H57" s="47">
        <f t="shared" si="4"/>
        <v>52.379226824117545</v>
      </c>
      <c r="I57" s="48">
        <f t="shared" si="5"/>
        <v>30.021926590129254</v>
      </c>
      <c r="J57" s="46">
        <f t="shared" si="6"/>
        <v>0.72970346704198585</v>
      </c>
    </row>
    <row r="58" spans="2:20">
      <c r="B58" s="8">
        <v>52.5</v>
      </c>
      <c r="C58" s="5">
        <v>40.799999999999997</v>
      </c>
      <c r="D58" s="9">
        <f t="shared" si="0"/>
        <v>1.1149999999999807</v>
      </c>
      <c r="E58" s="4">
        <f t="shared" si="1"/>
        <v>1.2432249999999569</v>
      </c>
      <c r="F58" s="44">
        <f t="shared" si="2"/>
        <v>0.97500000000002274</v>
      </c>
      <c r="G58" s="45">
        <f t="shared" si="3"/>
        <v>1.0871250000000066</v>
      </c>
      <c r="H58" s="47">
        <f t="shared" si="4"/>
        <v>51.711209757358937</v>
      </c>
      <c r="I58" s="48">
        <f t="shared" si="5"/>
        <v>0.62219004688574764</v>
      </c>
      <c r="J58" s="46">
        <f t="shared" si="6"/>
        <v>3.4674073735682535E-2</v>
      </c>
      <c r="L58" s="32"/>
      <c r="M58" s="32"/>
      <c r="N58" s="32"/>
      <c r="O58" s="32"/>
      <c r="P58" s="32"/>
      <c r="Q58" s="32"/>
      <c r="R58" s="32"/>
      <c r="S58" s="32"/>
      <c r="T58" s="32"/>
    </row>
    <row r="59" spans="2:20">
      <c r="B59" s="8">
        <v>48.5</v>
      </c>
      <c r="C59" s="5">
        <v>37.9</v>
      </c>
      <c r="D59" s="9">
        <f t="shared" si="0"/>
        <v>-1.7850000000000179</v>
      </c>
      <c r="E59" s="4">
        <f t="shared" si="1"/>
        <v>3.1862250000000638</v>
      </c>
      <c r="F59" s="44">
        <f t="shared" si="2"/>
        <v>-3.0249999999999773</v>
      </c>
      <c r="G59" s="45">
        <f t="shared" si="3"/>
        <v>5.3996250000000137</v>
      </c>
      <c r="H59" s="47">
        <f t="shared" si="4"/>
        <v>51.226897383958942</v>
      </c>
      <c r="I59" s="48">
        <f t="shared" si="5"/>
        <v>7.4359693426421218</v>
      </c>
      <c r="J59" s="46">
        <f t="shared" si="6"/>
        <v>8.8865169690508838E-2</v>
      </c>
      <c r="L59" s="32"/>
      <c r="M59" s="32"/>
      <c r="N59" s="32"/>
      <c r="O59" s="32"/>
      <c r="P59" s="32"/>
      <c r="Q59" s="32"/>
      <c r="R59" s="32"/>
      <c r="S59" s="32"/>
      <c r="T59" s="32"/>
    </row>
    <row r="60" spans="2:20">
      <c r="B60" s="8">
        <v>43.5</v>
      </c>
      <c r="C60" s="5">
        <v>40.799999999999997</v>
      </c>
      <c r="D60" s="9">
        <f t="shared" si="0"/>
        <v>1.1149999999999807</v>
      </c>
      <c r="E60" s="4">
        <f t="shared" si="1"/>
        <v>1.2432249999999569</v>
      </c>
      <c r="F60" s="44">
        <f t="shared" si="2"/>
        <v>-8.0249999999999773</v>
      </c>
      <c r="G60" s="45">
        <f t="shared" si="3"/>
        <v>-8.9478749999998204</v>
      </c>
      <c r="H60" s="47">
        <f t="shared" si="4"/>
        <v>51.711209757358937</v>
      </c>
      <c r="I60" s="48">
        <f t="shared" si="5"/>
        <v>67.423965679346608</v>
      </c>
      <c r="J60" s="46">
        <f t="shared" si="6"/>
        <v>3.4674073735682535E-2</v>
      </c>
      <c r="L60" s="34"/>
      <c r="M60" s="34"/>
      <c r="N60" s="32"/>
      <c r="O60" s="32"/>
      <c r="P60" s="32"/>
      <c r="Q60" s="32"/>
      <c r="R60" s="32"/>
      <c r="S60" s="32"/>
      <c r="T60" s="32"/>
    </row>
    <row r="61" spans="2:20">
      <c r="B61" s="8">
        <v>47.5</v>
      </c>
      <c r="C61" s="5">
        <v>36.799999999999997</v>
      </c>
      <c r="D61" s="9">
        <f t="shared" si="0"/>
        <v>-2.8850000000000193</v>
      </c>
      <c r="E61" s="4">
        <f t="shared" si="1"/>
        <v>8.3232250000001109</v>
      </c>
      <c r="F61" s="44">
        <f t="shared" si="2"/>
        <v>-4.0249999999999773</v>
      </c>
      <c r="G61" s="45">
        <f t="shared" si="3"/>
        <v>11.612125000000011</v>
      </c>
      <c r="H61" s="47">
        <f t="shared" si="4"/>
        <v>51.043192690600328</v>
      </c>
      <c r="I61" s="48">
        <f t="shared" si="5"/>
        <v>12.554214442723595</v>
      </c>
      <c r="J61" s="46">
        <f t="shared" si="6"/>
        <v>0.23213828339092898</v>
      </c>
      <c r="L61" s="1"/>
      <c r="M61" s="1"/>
      <c r="N61" s="32"/>
      <c r="O61" s="32"/>
      <c r="P61" s="32"/>
      <c r="Q61" s="32"/>
      <c r="R61" s="32"/>
      <c r="S61" s="32"/>
      <c r="T61" s="32"/>
    </row>
    <row r="62" spans="2:20">
      <c r="B62" s="8">
        <v>55.7</v>
      </c>
      <c r="C62" s="5">
        <v>35.200000000000003</v>
      </c>
      <c r="D62" s="9">
        <f t="shared" si="0"/>
        <v>-4.4850000000000136</v>
      </c>
      <c r="E62" s="4">
        <f t="shared" si="1"/>
        <v>20.115225000000123</v>
      </c>
      <c r="F62" s="44">
        <f t="shared" si="2"/>
        <v>4.1750000000000256</v>
      </c>
      <c r="G62" s="45">
        <f t="shared" si="3"/>
        <v>-18.724875000000171</v>
      </c>
      <c r="H62" s="47">
        <f t="shared" si="4"/>
        <v>50.775985863896885</v>
      </c>
      <c r="I62" s="48">
        <f t="shared" si="5"/>
        <v>24.245915212543334</v>
      </c>
      <c r="J62" s="46">
        <f t="shared" si="6"/>
        <v>0.56102217608226157</v>
      </c>
      <c r="L62" s="1"/>
      <c r="M62" s="1"/>
      <c r="N62" s="32"/>
      <c r="O62" s="32"/>
      <c r="P62" s="32"/>
      <c r="Q62" s="32"/>
      <c r="R62" s="32"/>
      <c r="S62" s="32"/>
      <c r="T62" s="32"/>
    </row>
    <row r="63" spans="2:20">
      <c r="B63" s="8">
        <v>57</v>
      </c>
      <c r="C63" s="5">
        <v>36.799999999999997</v>
      </c>
      <c r="D63" s="9">
        <f t="shared" si="0"/>
        <v>-2.8850000000000193</v>
      </c>
      <c r="E63" s="4">
        <f t="shared" si="1"/>
        <v>8.3232250000001109</v>
      </c>
      <c r="F63" s="44">
        <f t="shared" si="2"/>
        <v>5.4750000000000227</v>
      </c>
      <c r="G63" s="45">
        <f t="shared" si="3"/>
        <v>-15.795375000000172</v>
      </c>
      <c r="H63" s="47">
        <f t="shared" si="4"/>
        <v>51.043192690600328</v>
      </c>
      <c r="I63" s="48">
        <f t="shared" si="5"/>
        <v>35.483553321317352</v>
      </c>
      <c r="J63" s="46">
        <f t="shared" si="6"/>
        <v>0.23213828339092898</v>
      </c>
      <c r="L63" s="1"/>
      <c r="M63" s="1"/>
      <c r="N63" s="32"/>
      <c r="O63" s="32"/>
      <c r="P63" s="32"/>
      <c r="Q63" s="32"/>
      <c r="R63" s="32"/>
      <c r="S63" s="32"/>
      <c r="T63" s="32"/>
    </row>
    <row r="64" spans="2:20">
      <c r="L64" s="1"/>
      <c r="M64" s="1"/>
      <c r="N64" s="32"/>
      <c r="O64" s="32"/>
      <c r="P64" s="32"/>
      <c r="Q64" s="32"/>
      <c r="R64" s="32"/>
      <c r="S64" s="32"/>
      <c r="T64" s="32"/>
    </row>
    <row r="65" spans="2:20">
      <c r="B65" s="12" t="s">
        <v>55</v>
      </c>
      <c r="C65" s="11">
        <f>AVERAGE(C4:C63)</f>
        <v>39.685000000000016</v>
      </c>
      <c r="G65" s="12" t="s">
        <v>16</v>
      </c>
      <c r="H65" s="11">
        <f>C70/C81</f>
        <v>0.75740763347231554</v>
      </c>
      <c r="L65" s="1"/>
      <c r="M65" s="1"/>
      <c r="N65" s="32"/>
      <c r="O65" s="32"/>
      <c r="P65" s="32"/>
      <c r="Q65" s="32"/>
      <c r="R65" s="32"/>
      <c r="S65" s="32"/>
      <c r="T65" s="32"/>
    </row>
    <row r="66" spans="2:20">
      <c r="B66" s="12" t="s">
        <v>56</v>
      </c>
      <c r="C66" s="11">
        <f>AVERAGE(B4:B63)</f>
        <v>51.524999999999977</v>
      </c>
      <c r="G66" s="12" t="s">
        <v>71</v>
      </c>
      <c r="H66" s="11">
        <f>_xlfn.T.DIST.2T(H65,(60-2))</f>
        <v>0.45187189902132985</v>
      </c>
      <c r="L66" s="32"/>
      <c r="M66" s="32"/>
      <c r="N66" s="32"/>
      <c r="O66" s="32"/>
      <c r="P66" s="32"/>
      <c r="Q66" s="32"/>
      <c r="R66" s="32"/>
      <c r="S66" s="32"/>
      <c r="T66" s="32"/>
    </row>
    <row r="67" spans="2:20">
      <c r="B67" s="12" t="s">
        <v>105</v>
      </c>
      <c r="C67" s="11">
        <f>SUM(G4:G63)</f>
        <v>98.812500000000114</v>
      </c>
      <c r="G67" s="6" t="s">
        <v>54</v>
      </c>
      <c r="H67" s="11">
        <f>1-H66</f>
        <v>0.54812810097867015</v>
      </c>
      <c r="L67" s="32"/>
      <c r="M67" s="32"/>
      <c r="N67" s="32"/>
      <c r="O67" s="32"/>
      <c r="P67" s="32"/>
      <c r="Q67" s="32"/>
      <c r="R67" s="32"/>
      <c r="S67" s="32"/>
      <c r="T67" s="32"/>
    </row>
    <row r="68" spans="2:20">
      <c r="B68" s="12" t="s">
        <v>62</v>
      </c>
      <c r="C68" s="11">
        <f>SUM(E4:E63)</f>
        <v>591.67649999999981</v>
      </c>
      <c r="L68" s="26"/>
      <c r="M68" s="26"/>
      <c r="N68" s="26"/>
      <c r="O68" s="26"/>
      <c r="P68" s="26"/>
      <c r="Q68" s="26"/>
      <c r="R68" s="32"/>
      <c r="S68" s="32"/>
      <c r="T68" s="32"/>
    </row>
    <row r="69" spans="2:20">
      <c r="G69" s="12" t="s">
        <v>20</v>
      </c>
      <c r="H69" s="11">
        <f>C79/C76</f>
        <v>0.57366632324213263</v>
      </c>
      <c r="L69" s="1"/>
      <c r="M69" s="1"/>
      <c r="N69" s="1"/>
      <c r="O69" s="1"/>
      <c r="P69" s="1"/>
      <c r="Q69" s="1"/>
      <c r="R69" s="32"/>
      <c r="S69" s="32"/>
      <c r="T69" s="32"/>
    </row>
    <row r="70" spans="2:20">
      <c r="B70" s="12" t="s">
        <v>60</v>
      </c>
      <c r="C70" s="11">
        <f>C67/C68</f>
        <v>0.16700426668965246</v>
      </c>
      <c r="G70" s="12" t="s">
        <v>71</v>
      </c>
      <c r="H70" s="11">
        <f>_xlfn.F.DIST.RT(H69,1,(60-2))</f>
        <v>0.45187189902133029</v>
      </c>
      <c r="L70" s="1"/>
      <c r="M70" s="1"/>
      <c r="N70" s="1"/>
      <c r="O70" s="1"/>
      <c r="P70" s="1"/>
      <c r="Q70" s="1"/>
      <c r="R70" s="32"/>
      <c r="S70" s="32"/>
      <c r="T70" s="32"/>
    </row>
    <row r="71" spans="2:20">
      <c r="B71" s="12" t="s">
        <v>61</v>
      </c>
      <c r="C71" s="11">
        <f>C66-(C70*C65)</f>
        <v>44.897435676421118</v>
      </c>
      <c r="G71" s="6" t="s">
        <v>54</v>
      </c>
      <c r="H71" s="11">
        <f>1-H70</f>
        <v>0.54812810097866971</v>
      </c>
      <c r="L71" s="1"/>
      <c r="M71" s="1"/>
      <c r="N71" s="1"/>
      <c r="O71" s="1"/>
      <c r="P71" s="1"/>
      <c r="Q71" s="1"/>
      <c r="R71" s="32"/>
      <c r="S71" s="32"/>
      <c r="T71" s="32"/>
    </row>
    <row r="72" spans="2:20">
      <c r="L72" s="32"/>
      <c r="M72" s="32"/>
      <c r="N72" s="32"/>
      <c r="O72" s="32"/>
      <c r="P72" s="32"/>
      <c r="Q72" s="32"/>
      <c r="R72" s="32"/>
      <c r="S72" s="32"/>
      <c r="T72" s="32"/>
    </row>
    <row r="73" spans="2:20">
      <c r="B73" s="6" t="s">
        <v>101</v>
      </c>
      <c r="C73" s="11" t="s">
        <v>106</v>
      </c>
      <c r="D73" s="11"/>
      <c r="E73" s="11"/>
      <c r="F73" s="11"/>
      <c r="G73" s="11"/>
      <c r="H73" s="11"/>
      <c r="L73" s="26"/>
      <c r="M73" s="26"/>
      <c r="N73" s="26"/>
      <c r="O73" s="26"/>
      <c r="P73" s="26"/>
      <c r="Q73" s="26"/>
      <c r="R73" s="26"/>
      <c r="S73" s="26"/>
      <c r="T73" s="26"/>
    </row>
    <row r="74" spans="2:20"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12" t="s">
        <v>63</v>
      </c>
      <c r="C75" s="11">
        <f>SUM(I4:I63)</f>
        <v>1668.4303908977288</v>
      </c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12" t="s">
        <v>70</v>
      </c>
      <c r="C76" s="11">
        <f>C75/(60-2)</f>
        <v>28.766041222374636</v>
      </c>
      <c r="L76" s="32"/>
      <c r="M76" s="32"/>
      <c r="N76" s="32"/>
      <c r="O76" s="32"/>
      <c r="P76" s="32"/>
      <c r="Q76" s="32"/>
      <c r="R76" s="32"/>
      <c r="S76" s="32"/>
      <c r="T76" s="32"/>
    </row>
    <row r="77" spans="2:20">
      <c r="B77" s="12" t="s">
        <v>4</v>
      </c>
      <c r="C77" s="11">
        <f>SQRT(C76)</f>
        <v>5.3633982904847404</v>
      </c>
      <c r="L77" s="32"/>
      <c r="M77" s="32"/>
      <c r="N77" s="32"/>
      <c r="O77" s="32"/>
      <c r="P77" s="32"/>
      <c r="Q77" s="32"/>
      <c r="R77" s="32"/>
      <c r="S77" s="32"/>
      <c r="T77" s="32"/>
    </row>
    <row r="78" spans="2:20">
      <c r="B78" s="12" t="s">
        <v>67</v>
      </c>
      <c r="C78" s="11">
        <f>SUM(J4:J63)</f>
        <v>16.50210910227128</v>
      </c>
      <c r="L78" s="32"/>
      <c r="M78" s="32"/>
      <c r="N78" s="32"/>
      <c r="O78" s="32"/>
      <c r="P78" s="32"/>
      <c r="Q78" s="32"/>
      <c r="R78" s="32"/>
      <c r="S78" s="32"/>
      <c r="T78" s="32"/>
    </row>
    <row r="79" spans="2:20">
      <c r="B79" s="12" t="s">
        <v>72</v>
      </c>
      <c r="C79" s="11">
        <f>C78/1</f>
        <v>16.50210910227128</v>
      </c>
      <c r="L79" s="32"/>
      <c r="M79" s="32"/>
      <c r="N79" s="32"/>
      <c r="O79" s="32"/>
      <c r="P79" s="32"/>
      <c r="Q79" s="32"/>
      <c r="R79" s="32"/>
      <c r="S79" s="32"/>
      <c r="T79" s="32"/>
    </row>
    <row r="80" spans="2:20">
      <c r="B80" s="12" t="s">
        <v>64</v>
      </c>
      <c r="C80" s="11">
        <f>C75+C78</f>
        <v>1684.9325000000001</v>
      </c>
      <c r="L80" s="26"/>
      <c r="M80" s="26"/>
      <c r="N80" s="26"/>
      <c r="O80" s="26"/>
      <c r="P80" s="26"/>
      <c r="Q80" s="26"/>
      <c r="R80" s="26"/>
      <c r="S80" s="26"/>
      <c r="T80" s="26"/>
    </row>
    <row r="81" spans="2:20">
      <c r="B81" s="12" t="s">
        <v>108</v>
      </c>
      <c r="C81" s="11">
        <f>C77/SQRT(C68)</f>
        <v>0.22049456502573886</v>
      </c>
      <c r="L81" s="1"/>
      <c r="M81" s="1"/>
      <c r="N81" s="1"/>
      <c r="O81" s="1"/>
      <c r="P81" s="1"/>
      <c r="Q81" s="1"/>
      <c r="R81" s="1"/>
      <c r="S81" s="1"/>
      <c r="T81" s="1"/>
    </row>
    <row r="82" spans="2:20">
      <c r="L82" s="1"/>
      <c r="M82" s="1"/>
      <c r="N82" s="1"/>
      <c r="O82" s="1"/>
      <c r="P82" s="1"/>
      <c r="Q82" s="1"/>
      <c r="R82" s="1"/>
      <c r="S82" s="1"/>
      <c r="T82" s="1"/>
    </row>
    <row r="83" spans="2:20">
      <c r="B83" s="6" t="s">
        <v>87</v>
      </c>
      <c r="C83" s="11">
        <f>C78/C80</f>
        <v>9.7939288976094177E-3</v>
      </c>
      <c r="L83" s="32"/>
      <c r="M83" s="32"/>
      <c r="N83" s="32"/>
      <c r="O83" s="32"/>
      <c r="P83" s="32"/>
      <c r="Q83" s="32"/>
      <c r="R83" s="32"/>
      <c r="S83" s="32"/>
      <c r="T83" s="32"/>
    </row>
    <row r="84" spans="2:20">
      <c r="L84" s="32"/>
      <c r="M84" s="32"/>
      <c r="N84" s="32"/>
      <c r="O84" s="32"/>
      <c r="P84" s="32"/>
      <c r="Q84" s="32"/>
      <c r="R84" s="32"/>
      <c r="S84" s="32"/>
      <c r="T84" s="32"/>
    </row>
    <row r="85" spans="2:20">
      <c r="B85" s="6" t="s">
        <v>68</v>
      </c>
      <c r="C85" s="11">
        <f>SQRT(C83)</f>
        <v>9.896428091796261E-2</v>
      </c>
      <c r="L85" s="32"/>
      <c r="M85" s="32"/>
      <c r="N85" s="32"/>
      <c r="O85" s="32"/>
      <c r="P85" s="32"/>
      <c r="Q85" s="32"/>
      <c r="R85" s="32"/>
      <c r="S85" s="32"/>
      <c r="T85" s="3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E85"/>
  <sheetViews>
    <sheetView showGridLines="0" zoomScale="70" zoomScaleNormal="70" workbookViewId="0">
      <selection activeCell="K15" sqref="K15"/>
    </sheetView>
  </sheetViews>
  <sheetFormatPr baseColWidth="10" defaultColWidth="8.83203125" defaultRowHeight="13"/>
  <cols>
    <col min="1" max="1" width="34.6640625" bestFit="1" customWidth="1"/>
    <col min="2" max="2" width="35.6640625" bestFit="1" customWidth="1"/>
    <col min="3" max="3" width="15" bestFit="1" customWidth="1"/>
    <col min="4" max="4" width="12.6640625" bestFit="1" customWidth="1"/>
    <col min="5" max="5" width="12" bestFit="1" customWidth="1"/>
    <col min="6" max="6" width="14.5" bestFit="1" customWidth="1"/>
    <col min="7" max="7" width="12" bestFit="1" customWidth="1"/>
    <col min="8" max="8" width="17.83203125" customWidth="1"/>
    <col min="9" max="9" width="12.83203125" bestFit="1" customWidth="1"/>
    <col min="12" max="12" width="11.83203125" customWidth="1"/>
  </cols>
  <sheetData>
    <row r="2" spans="1:31">
      <c r="A2" s="54" t="s">
        <v>24</v>
      </c>
      <c r="B2" s="54"/>
      <c r="L2" s="6" t="s">
        <v>76</v>
      </c>
      <c r="M2" s="6" t="s">
        <v>123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>
      <c r="A3" s="55" t="s">
        <v>25</v>
      </c>
      <c r="B3" s="16">
        <v>0.32936384210160236</v>
      </c>
      <c r="M3" s="6" t="s">
        <v>125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>
      <c r="A4" s="55" t="s">
        <v>26</v>
      </c>
      <c r="B4" s="33">
        <v>0.10848054048392926</v>
      </c>
    </row>
    <row r="5" spans="1:31">
      <c r="A5" s="55" t="s">
        <v>27</v>
      </c>
      <c r="B5" s="16">
        <v>6.0720569438425472E-2</v>
      </c>
    </row>
    <row r="6" spans="1:31">
      <c r="A6" s="55" t="s">
        <v>4</v>
      </c>
      <c r="B6" s="16">
        <v>19.612020010624757</v>
      </c>
    </row>
    <row r="7" spans="1:31">
      <c r="A7" s="55" t="s">
        <v>1</v>
      </c>
      <c r="B7" s="16">
        <v>60</v>
      </c>
    </row>
    <row r="10" spans="1:31">
      <c r="A10" s="9" t="s">
        <v>28</v>
      </c>
      <c r="B10" s="57" t="s">
        <v>2</v>
      </c>
      <c r="C10" s="57" t="s">
        <v>33</v>
      </c>
      <c r="D10" s="57" t="s">
        <v>34</v>
      </c>
      <c r="E10" s="57" t="s">
        <v>5</v>
      </c>
      <c r="F10" s="57" t="s">
        <v>35</v>
      </c>
      <c r="H10" s="57" t="s">
        <v>54</v>
      </c>
    </row>
    <row r="11" spans="1:31">
      <c r="A11" s="55" t="s">
        <v>29</v>
      </c>
      <c r="B11" s="16">
        <v>3</v>
      </c>
      <c r="C11" s="16">
        <v>2620.9195817598229</v>
      </c>
      <c r="D11" s="16">
        <v>873.6398605866076</v>
      </c>
      <c r="E11" s="16">
        <v>2.2713694776023488</v>
      </c>
      <c r="F11" s="33">
        <v>9.0184130458447712E-2</v>
      </c>
      <c r="H11" s="6">
        <f>1-F11</f>
        <v>0.90981586954155225</v>
      </c>
    </row>
    <row r="12" spans="1:31">
      <c r="A12" s="55" t="s">
        <v>30</v>
      </c>
      <c r="B12" s="16">
        <v>56</v>
      </c>
      <c r="C12" s="16">
        <v>21539.354418240171</v>
      </c>
      <c r="D12" s="16">
        <v>384.63132889714592</v>
      </c>
      <c r="E12" s="1"/>
      <c r="F12" s="1"/>
    </row>
    <row r="13" spans="1:31">
      <c r="A13" s="55" t="s">
        <v>31</v>
      </c>
      <c r="B13" s="16">
        <v>59</v>
      </c>
      <c r="C13" s="16">
        <v>24160.273999999994</v>
      </c>
    </row>
    <row r="15" spans="1:31">
      <c r="A15" s="56"/>
      <c r="B15" s="57" t="s">
        <v>36</v>
      </c>
      <c r="C15" s="57" t="s">
        <v>4</v>
      </c>
      <c r="D15" s="57" t="s">
        <v>3</v>
      </c>
      <c r="E15" s="57" t="s">
        <v>37</v>
      </c>
      <c r="F15" s="57" t="s">
        <v>38</v>
      </c>
      <c r="G15" s="57" t="s">
        <v>39</v>
      </c>
      <c r="H15" s="57" t="s">
        <v>40</v>
      </c>
      <c r="I15" s="57" t="s">
        <v>41</v>
      </c>
    </row>
    <row r="16" spans="1:31">
      <c r="A16" s="55" t="s">
        <v>32</v>
      </c>
      <c r="B16" s="16">
        <v>26.009091967830997</v>
      </c>
      <c r="C16" s="16">
        <v>39.440575826437922</v>
      </c>
      <c r="D16" s="16">
        <v>0.65945010748034028</v>
      </c>
      <c r="E16" s="33">
        <v>0.51230968437323021</v>
      </c>
      <c r="F16" s="16">
        <v>-52.999875502496536</v>
      </c>
      <c r="G16" s="16">
        <v>105.01805943815853</v>
      </c>
      <c r="H16" s="16">
        <v>-52.999875502496536</v>
      </c>
      <c r="I16" s="16">
        <v>105.01805943815853</v>
      </c>
    </row>
    <row r="17" spans="1:9">
      <c r="A17" s="55" t="s">
        <v>46</v>
      </c>
      <c r="B17" s="16">
        <v>0.77634463772321871</v>
      </c>
      <c r="C17" s="16">
        <v>0.4801413274429206</v>
      </c>
      <c r="D17" s="16">
        <v>1.6169085920134856</v>
      </c>
      <c r="E17" s="33">
        <v>0.1115179845760564</v>
      </c>
      <c r="F17" s="16">
        <v>-0.18549402021210937</v>
      </c>
      <c r="G17" s="16">
        <v>1.7381832956585468</v>
      </c>
      <c r="H17" s="16">
        <v>-0.18549402021210937</v>
      </c>
      <c r="I17" s="16">
        <v>1.7381832956585468</v>
      </c>
    </row>
    <row r="18" spans="1:9">
      <c r="A18" s="55" t="s">
        <v>49</v>
      </c>
      <c r="B18" s="16">
        <v>-6.1836686741073281</v>
      </c>
      <c r="C18" s="16">
        <v>4.3442255228930176</v>
      </c>
      <c r="D18" s="16">
        <v>-1.4234225736027952</v>
      </c>
      <c r="E18" s="33">
        <v>0.16016148650566664</v>
      </c>
      <c r="F18" s="16">
        <v>-14.886198133424813</v>
      </c>
      <c r="G18" s="16">
        <v>2.5188607852101557</v>
      </c>
      <c r="H18" s="16">
        <v>-14.886198133424813</v>
      </c>
      <c r="I18" s="16">
        <v>2.5188607852101557</v>
      </c>
    </row>
    <row r="19" spans="1:9">
      <c r="A19" s="55" t="s">
        <v>45</v>
      </c>
      <c r="B19" s="16">
        <v>1.1601899168995826</v>
      </c>
      <c r="C19" s="16">
        <v>0.81319736636375084</v>
      </c>
      <c r="D19" s="16">
        <v>1.4267015178460609</v>
      </c>
      <c r="E19" s="33">
        <v>0.15921780581388803</v>
      </c>
      <c r="F19" s="16">
        <v>-0.46884015986013461</v>
      </c>
      <c r="G19" s="16">
        <v>2.7892199936592998</v>
      </c>
      <c r="H19" s="16">
        <v>-0.46884015986013461</v>
      </c>
      <c r="I19" s="16">
        <v>2.7892199936592998</v>
      </c>
    </row>
    <row r="23" spans="1:9">
      <c r="A23" t="s">
        <v>79</v>
      </c>
    </row>
    <row r="24" spans="1:9" ht="14" thickBot="1"/>
    <row r="25" spans="1:9">
      <c r="A25" s="3" t="s">
        <v>80</v>
      </c>
      <c r="B25" s="3" t="s">
        <v>82</v>
      </c>
      <c r="C25" s="3" t="s">
        <v>81</v>
      </c>
    </row>
    <row r="26" spans="1:9">
      <c r="A26" s="1">
        <v>1</v>
      </c>
      <c r="B26" s="1">
        <v>102.85943703744336</v>
      </c>
      <c r="C26" s="1">
        <v>-9.5594370374433595</v>
      </c>
    </row>
    <row r="27" spans="1:9">
      <c r="A27" s="1">
        <v>2</v>
      </c>
      <c r="B27" s="1">
        <v>101.44235740574194</v>
      </c>
      <c r="C27" s="1">
        <v>-14.942357405741944</v>
      </c>
    </row>
    <row r="28" spans="1:9">
      <c r="A28" s="1">
        <v>3</v>
      </c>
      <c r="B28" s="1">
        <v>92.533236092905653</v>
      </c>
      <c r="C28" s="1">
        <v>29.066763907094341</v>
      </c>
    </row>
    <row r="29" spans="1:9">
      <c r="A29" s="1">
        <v>4</v>
      </c>
      <c r="B29" s="1">
        <v>107.13319950128147</v>
      </c>
      <c r="C29" s="1">
        <v>-16.233199501281462</v>
      </c>
    </row>
    <row r="30" spans="1:9">
      <c r="A30" s="1">
        <v>5</v>
      </c>
      <c r="B30" s="1">
        <v>102.88786846916221</v>
      </c>
      <c r="C30" s="1">
        <v>20.71213153083778</v>
      </c>
    </row>
    <row r="31" spans="1:9">
      <c r="A31" s="1">
        <v>6</v>
      </c>
      <c r="B31" s="1">
        <v>92.274471019247386</v>
      </c>
      <c r="C31" s="1">
        <v>21.525528980752611</v>
      </c>
    </row>
    <row r="32" spans="1:9">
      <c r="A32" s="1">
        <v>7</v>
      </c>
      <c r="B32" s="1">
        <v>106.86406213378027</v>
      </c>
      <c r="C32" s="1">
        <v>-40.364062133780266</v>
      </c>
    </row>
    <row r="33" spans="1:3">
      <c r="A33" s="1">
        <v>8</v>
      </c>
      <c r="B33" s="1">
        <v>99.775355828106626</v>
      </c>
      <c r="C33" s="1">
        <v>-6.5753558281066233</v>
      </c>
    </row>
    <row r="34" spans="1:3">
      <c r="A34" s="1">
        <v>9</v>
      </c>
      <c r="B34" s="1">
        <v>91.554943447904293</v>
      </c>
      <c r="C34" s="1">
        <v>17.045056552095701</v>
      </c>
    </row>
    <row r="35" spans="1:3">
      <c r="A35" s="1">
        <v>10</v>
      </c>
      <c r="B35" s="1">
        <v>103.55774733637406</v>
      </c>
      <c r="C35" s="1">
        <v>-8.657747336374058</v>
      </c>
    </row>
    <row r="36" spans="1:3">
      <c r="A36" s="1">
        <v>11</v>
      </c>
      <c r="B36" s="1">
        <v>103.55395265150482</v>
      </c>
      <c r="C36" s="1">
        <v>14.646047348495188</v>
      </c>
    </row>
    <row r="37" spans="1:3">
      <c r="A37" s="1">
        <v>12</v>
      </c>
      <c r="B37" s="1">
        <v>92.934811722370739</v>
      </c>
      <c r="C37" s="1">
        <v>33.365188277629258</v>
      </c>
    </row>
    <row r="38" spans="1:3">
      <c r="A38" s="1">
        <v>13</v>
      </c>
      <c r="B38" s="1">
        <v>97.560639020874873</v>
      </c>
      <c r="C38" s="1">
        <v>-21.060639020874873</v>
      </c>
    </row>
    <row r="39" spans="1:3">
      <c r="A39" s="1">
        <v>14</v>
      </c>
      <c r="B39" s="1">
        <v>104.96741469113223</v>
      </c>
      <c r="C39" s="1">
        <v>11.932585308867772</v>
      </c>
    </row>
    <row r="40" spans="1:3">
      <c r="A40" s="1">
        <v>15</v>
      </c>
      <c r="B40" s="1">
        <v>96.366973387307354</v>
      </c>
      <c r="C40" s="1">
        <v>-18.76697338730736</v>
      </c>
    </row>
    <row r="41" spans="1:3">
      <c r="A41" s="1">
        <v>16</v>
      </c>
      <c r="B41" s="1">
        <v>87.116239602791765</v>
      </c>
      <c r="C41" s="1">
        <v>-10.616239602791765</v>
      </c>
    </row>
    <row r="42" spans="1:3">
      <c r="A42" s="1">
        <v>17</v>
      </c>
      <c r="B42" s="1">
        <v>99.736887611354334</v>
      </c>
      <c r="C42" s="1">
        <v>21.163112388645672</v>
      </c>
    </row>
    <row r="43" spans="1:3">
      <c r="A43" s="1">
        <v>18</v>
      </c>
      <c r="B43" s="1">
        <v>92.193238824240183</v>
      </c>
      <c r="C43" s="1">
        <v>-30.793238824240184</v>
      </c>
    </row>
    <row r="44" spans="1:3">
      <c r="A44" s="1">
        <v>19</v>
      </c>
      <c r="B44" s="1">
        <v>98.44559698693925</v>
      </c>
      <c r="C44" s="1">
        <v>1.4544030130607553</v>
      </c>
    </row>
    <row r="45" spans="1:3">
      <c r="A45" s="1">
        <v>20</v>
      </c>
      <c r="B45" s="1">
        <v>82.587734981981612</v>
      </c>
      <c r="C45" s="1">
        <v>-7.9877349819816175</v>
      </c>
    </row>
    <row r="46" spans="1:3">
      <c r="A46" s="1">
        <v>21</v>
      </c>
      <c r="B46" s="1">
        <v>88.021203153021474</v>
      </c>
      <c r="C46" s="1">
        <v>-30.421203153021473</v>
      </c>
    </row>
    <row r="47" spans="1:3">
      <c r="A47" s="1">
        <v>22</v>
      </c>
      <c r="B47" s="1">
        <v>98.899061010695661</v>
      </c>
      <c r="C47" s="1">
        <v>12.800938989304342</v>
      </c>
    </row>
    <row r="48" spans="1:3">
      <c r="A48" s="1">
        <v>23</v>
      </c>
      <c r="B48" s="1">
        <v>95.358988831378952</v>
      </c>
      <c r="C48" s="1">
        <v>-6.5589888313789544</v>
      </c>
    </row>
    <row r="49" spans="1:3">
      <c r="A49" s="1">
        <v>24</v>
      </c>
      <c r="B49" s="1">
        <v>107.59309958493284</v>
      </c>
      <c r="C49" s="1">
        <v>35.906900415067156</v>
      </c>
    </row>
    <row r="50" spans="1:3">
      <c r="A50" s="1">
        <v>25</v>
      </c>
      <c r="B50" s="1">
        <v>87.599756874875311</v>
      </c>
      <c r="C50" s="1">
        <v>12.600243125124692</v>
      </c>
    </row>
    <row r="51" spans="1:3">
      <c r="A51" s="1">
        <v>26</v>
      </c>
      <c r="B51" s="1">
        <v>98.483790010814573</v>
      </c>
      <c r="C51" s="1">
        <v>18.116209989185421</v>
      </c>
    </row>
    <row r="52" spans="1:3">
      <c r="A52" s="1">
        <v>27</v>
      </c>
      <c r="B52" s="1">
        <v>106.11680777458054</v>
      </c>
      <c r="C52" s="1">
        <v>1.9831922254194581</v>
      </c>
    </row>
    <row r="53" spans="1:3">
      <c r="A53" s="1">
        <v>28</v>
      </c>
      <c r="B53" s="1">
        <v>96.494842504737065</v>
      </c>
      <c r="C53" s="1">
        <v>5.4051574952629409</v>
      </c>
    </row>
    <row r="54" spans="1:3">
      <c r="A54" s="1">
        <v>29</v>
      </c>
      <c r="B54" s="1">
        <v>96.715426617706513</v>
      </c>
      <c r="C54" s="1">
        <v>-7.4154266177065153</v>
      </c>
    </row>
    <row r="55" spans="1:3">
      <c r="A55" s="1">
        <v>30</v>
      </c>
      <c r="B55" s="1">
        <v>103.47116128382672</v>
      </c>
      <c r="C55" s="1">
        <v>-9.0711612838267115</v>
      </c>
    </row>
    <row r="56" spans="1:3">
      <c r="A56" s="1">
        <v>31</v>
      </c>
      <c r="B56" s="1">
        <v>91.234491034236314</v>
      </c>
      <c r="C56" s="1">
        <v>-3.8344910342363079</v>
      </c>
    </row>
    <row r="57" spans="1:3">
      <c r="A57" s="1">
        <v>32</v>
      </c>
      <c r="B57" s="1">
        <v>102.6494131026683</v>
      </c>
      <c r="C57" s="1">
        <v>20.850586897331695</v>
      </c>
    </row>
    <row r="58" spans="1:3">
      <c r="A58" s="1">
        <v>33</v>
      </c>
      <c r="B58" s="1">
        <v>91.444201238514296</v>
      </c>
      <c r="C58" s="1">
        <v>18.355798761485701</v>
      </c>
    </row>
    <row r="59" spans="1:3">
      <c r="A59" s="1">
        <v>34</v>
      </c>
      <c r="B59" s="1">
        <v>95.751750155613848</v>
      </c>
      <c r="C59" s="1">
        <v>-5.1517501556138541</v>
      </c>
    </row>
    <row r="60" spans="1:3">
      <c r="A60" s="1">
        <v>35</v>
      </c>
      <c r="B60" s="1">
        <v>97.346584909976116</v>
      </c>
      <c r="C60" s="1">
        <v>3.2534150900238785</v>
      </c>
    </row>
    <row r="61" spans="1:3">
      <c r="A61" s="1">
        <v>36</v>
      </c>
      <c r="B61" s="1">
        <v>85.181622564336351</v>
      </c>
      <c r="C61" s="1">
        <v>2.5183774356636519</v>
      </c>
    </row>
    <row r="62" spans="1:3">
      <c r="A62" s="1">
        <v>37</v>
      </c>
      <c r="B62" s="1">
        <v>104.65856250070247</v>
      </c>
      <c r="C62" s="1">
        <v>-26.058562500702479</v>
      </c>
    </row>
    <row r="63" spans="1:3">
      <c r="A63" s="1">
        <v>38</v>
      </c>
      <c r="B63" s="1">
        <v>95.210070465049171</v>
      </c>
      <c r="C63" s="1">
        <v>-3.1100704650491764</v>
      </c>
    </row>
    <row r="64" spans="1:3">
      <c r="A64" s="1">
        <v>39</v>
      </c>
      <c r="B64" s="1">
        <v>95.930168928828351</v>
      </c>
      <c r="C64" s="1">
        <v>-41.030168928828353</v>
      </c>
    </row>
    <row r="65" spans="1:3">
      <c r="A65" s="1">
        <v>40</v>
      </c>
      <c r="B65" s="1">
        <v>94.253010149550292</v>
      </c>
      <c r="C65" s="1">
        <v>-10.253010149550292</v>
      </c>
    </row>
    <row r="66" spans="1:3">
      <c r="A66" s="1">
        <v>41</v>
      </c>
      <c r="B66" s="1">
        <v>102.94160691187878</v>
      </c>
      <c r="C66" s="1">
        <v>-10.041606911878773</v>
      </c>
    </row>
    <row r="67" spans="1:3">
      <c r="A67" s="1">
        <v>42</v>
      </c>
      <c r="B67" s="1">
        <v>97.07063390403161</v>
      </c>
      <c r="C67" s="1">
        <v>-9.0706339040316095</v>
      </c>
    </row>
    <row r="68" spans="1:3">
      <c r="A68" s="1">
        <v>43</v>
      </c>
      <c r="B68" s="1">
        <v>101.46444307999495</v>
      </c>
      <c r="C68" s="1">
        <v>22.53555692000505</v>
      </c>
    </row>
    <row r="69" spans="1:3">
      <c r="A69" s="1">
        <v>44</v>
      </c>
      <c r="B69" s="1">
        <v>82.052808721555579</v>
      </c>
      <c r="C69" s="1">
        <v>11.347191278444427</v>
      </c>
    </row>
    <row r="70" spans="1:3">
      <c r="A70" s="1">
        <v>45</v>
      </c>
      <c r="B70" s="1">
        <v>101.17567897850704</v>
      </c>
      <c r="C70" s="1">
        <v>-11.575678978507042</v>
      </c>
    </row>
    <row r="71" spans="1:3">
      <c r="A71" s="1">
        <v>46</v>
      </c>
      <c r="B71" s="1">
        <v>91.091126452928933</v>
      </c>
      <c r="C71" s="1">
        <v>14.008873547071062</v>
      </c>
    </row>
    <row r="72" spans="1:3">
      <c r="A72" s="1">
        <v>47</v>
      </c>
      <c r="B72" s="1">
        <v>95.176983744273045</v>
      </c>
      <c r="C72" s="1">
        <v>-21.976983744273042</v>
      </c>
    </row>
    <row r="73" spans="1:3">
      <c r="A73" s="1">
        <v>48</v>
      </c>
      <c r="B73" s="1">
        <v>99.270090738640164</v>
      </c>
      <c r="C73" s="1">
        <v>33.429909261359825</v>
      </c>
    </row>
    <row r="74" spans="1:3">
      <c r="A74" s="1">
        <v>49</v>
      </c>
      <c r="B74" s="1">
        <v>85.46825298102641</v>
      </c>
      <c r="C74" s="1">
        <v>22.831747018973587</v>
      </c>
    </row>
    <row r="75" spans="1:3">
      <c r="A75" s="1">
        <v>50</v>
      </c>
      <c r="B75" s="1">
        <v>108.52857765087268</v>
      </c>
      <c r="C75" s="1">
        <v>8.4714223491273231</v>
      </c>
    </row>
    <row r="76" spans="1:3">
      <c r="A76" s="1">
        <v>51</v>
      </c>
      <c r="B76" s="1">
        <v>106.84310745284323</v>
      </c>
      <c r="C76" s="1">
        <v>13.95689254715677</v>
      </c>
    </row>
    <row r="77" spans="1:3">
      <c r="A77" s="1">
        <v>52</v>
      </c>
      <c r="B77" s="1">
        <v>92.297034289603772</v>
      </c>
      <c r="C77" s="1">
        <v>9.3029657103962222</v>
      </c>
    </row>
    <row r="78" spans="1:3">
      <c r="A78" s="1">
        <v>53</v>
      </c>
      <c r="B78" s="1">
        <v>106.62938938896909</v>
      </c>
      <c r="C78" s="1">
        <v>10.770610611030918</v>
      </c>
    </row>
    <row r="79" spans="1:3">
      <c r="A79" s="1">
        <v>54</v>
      </c>
      <c r="B79" s="1">
        <v>102.39984652638303</v>
      </c>
      <c r="C79" s="1">
        <v>0.9001534736169674</v>
      </c>
    </row>
    <row r="80" spans="1:3">
      <c r="A80" s="1">
        <v>55</v>
      </c>
      <c r="B80" s="1">
        <v>95.242744601775598</v>
      </c>
      <c r="C80" s="1">
        <v>-4.4427446017756012</v>
      </c>
    </row>
    <row r="81" spans="1:3">
      <c r="A81" s="1">
        <v>56</v>
      </c>
      <c r="B81" s="1">
        <v>90.009549026695396</v>
      </c>
      <c r="C81" s="1">
        <v>-24.509549026695396</v>
      </c>
    </row>
    <row r="82" spans="1:3">
      <c r="A82" s="1">
        <v>57</v>
      </c>
      <c r="B82" s="1">
        <v>86.215032199811219</v>
      </c>
      <c r="C82" s="1">
        <v>13.284967800188781</v>
      </c>
    </row>
    <row r="83" spans="1:3">
      <c r="A83" s="1">
        <v>58</v>
      </c>
      <c r="B83" s="1">
        <v>95.933928069981093</v>
      </c>
      <c r="C83" s="1">
        <v>-44.73392806998109</v>
      </c>
    </row>
    <row r="84" spans="1:3">
      <c r="A84" s="1">
        <v>59</v>
      </c>
      <c r="B84" s="1">
        <v>96.857122401289899</v>
      </c>
      <c r="C84" s="1">
        <v>9.4428775987100977</v>
      </c>
    </row>
    <row r="85" spans="1:3" ht="14" thickBot="1">
      <c r="A85" s="2">
        <v>60</v>
      </c>
      <c r="B85" s="2">
        <v>93.97186243044959</v>
      </c>
      <c r="C85" s="2">
        <v>-18.171862430449593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X85"/>
  <sheetViews>
    <sheetView showGridLines="0" zoomScale="70" zoomScaleNormal="70" workbookViewId="0">
      <selection activeCell="N4" sqref="N4"/>
    </sheetView>
  </sheetViews>
  <sheetFormatPr baseColWidth="10" defaultColWidth="8.83203125" defaultRowHeight="13"/>
  <cols>
    <col min="1" max="1" width="34.6640625" bestFit="1" customWidth="1"/>
    <col min="2" max="2" width="35.6640625" bestFit="1" customWidth="1"/>
    <col min="3" max="3" width="15" bestFit="1" customWidth="1"/>
    <col min="4" max="4" width="12.6640625" bestFit="1" customWidth="1"/>
    <col min="5" max="5" width="12.1640625" bestFit="1" customWidth="1"/>
    <col min="6" max="6" width="14.5" bestFit="1" customWidth="1"/>
    <col min="7" max="7" width="12.6640625" bestFit="1" customWidth="1"/>
    <col min="8" max="8" width="16" customWidth="1"/>
    <col min="9" max="9" width="12.83203125" bestFit="1" customWidth="1"/>
    <col min="11" max="11" width="17.1640625" customWidth="1"/>
    <col min="13" max="13" width="11.83203125" customWidth="1"/>
    <col min="24" max="24" width="10.83203125" customWidth="1"/>
  </cols>
  <sheetData>
    <row r="2" spans="1:24">
      <c r="A2" s="54" t="s">
        <v>24</v>
      </c>
      <c r="B2" s="54"/>
      <c r="M2" s="6" t="s">
        <v>121</v>
      </c>
      <c r="N2" s="6" t="s">
        <v>124</v>
      </c>
      <c r="O2" s="6"/>
      <c r="P2" s="6"/>
      <c r="Q2" s="6"/>
      <c r="R2" s="6"/>
      <c r="S2" s="6"/>
    </row>
    <row r="3" spans="1:24">
      <c r="A3" s="55" t="s">
        <v>25</v>
      </c>
      <c r="B3" s="16">
        <v>0.62769330565191239</v>
      </c>
      <c r="N3" s="6" t="s">
        <v>167</v>
      </c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55" t="s">
        <v>26</v>
      </c>
      <c r="B4" s="33">
        <v>0.39399888596022509</v>
      </c>
      <c r="N4" s="6" t="s">
        <v>122</v>
      </c>
      <c r="O4" s="6"/>
      <c r="P4" s="6"/>
      <c r="Q4" s="6"/>
      <c r="R4" s="6"/>
      <c r="S4" s="6"/>
      <c r="T4" s="6"/>
      <c r="U4" s="6"/>
      <c r="V4" s="6"/>
    </row>
    <row r="5" spans="1:24">
      <c r="A5" s="55" t="s">
        <v>27</v>
      </c>
      <c r="B5" s="16">
        <v>0.36153454056523715</v>
      </c>
    </row>
    <row r="6" spans="1:24">
      <c r="A6" s="55" t="s">
        <v>4</v>
      </c>
      <c r="B6" s="16">
        <v>16.169389598595931</v>
      </c>
    </row>
    <row r="7" spans="1:24">
      <c r="A7" s="55" t="s">
        <v>1</v>
      </c>
      <c r="B7" s="16">
        <v>60</v>
      </c>
    </row>
    <row r="10" spans="1:24">
      <c r="A10" s="9" t="s">
        <v>28</v>
      </c>
      <c r="B10" s="57" t="s">
        <v>2</v>
      </c>
      <c r="C10" s="57" t="s">
        <v>33</v>
      </c>
      <c r="D10" s="57" t="s">
        <v>34</v>
      </c>
      <c r="E10" s="57" t="s">
        <v>5</v>
      </c>
      <c r="F10" s="57" t="s">
        <v>35</v>
      </c>
      <c r="H10" s="57" t="s">
        <v>54</v>
      </c>
    </row>
    <row r="11" spans="1:24">
      <c r="A11" s="55" t="s">
        <v>29</v>
      </c>
      <c r="B11" s="16">
        <v>3</v>
      </c>
      <c r="C11" s="16">
        <v>9519.1210404937883</v>
      </c>
      <c r="D11" s="16">
        <v>3173.0403468312629</v>
      </c>
      <c r="E11" s="16">
        <v>12.136357014642076</v>
      </c>
      <c r="F11" s="33">
        <v>3.1614319275484613E-6</v>
      </c>
      <c r="H11" s="6">
        <f>1-F11</f>
        <v>0.99999683856807242</v>
      </c>
    </row>
    <row r="12" spans="1:24">
      <c r="A12" s="55" t="s">
        <v>30</v>
      </c>
      <c r="B12" s="16">
        <v>56</v>
      </c>
      <c r="C12" s="16">
        <v>14641.152959506206</v>
      </c>
      <c r="D12" s="16">
        <v>261.44915999118223</v>
      </c>
      <c r="E12" s="1"/>
      <c r="F12" s="1"/>
    </row>
    <row r="13" spans="1:24">
      <c r="A13" s="55" t="s">
        <v>31</v>
      </c>
      <c r="B13" s="16">
        <v>59</v>
      </c>
      <c r="C13" s="16">
        <v>24160.273999999994</v>
      </c>
    </row>
    <row r="15" spans="1:24">
      <c r="A15" s="56"/>
      <c r="B15" s="57" t="s">
        <v>36</v>
      </c>
      <c r="C15" s="57" t="s">
        <v>4</v>
      </c>
      <c r="D15" s="57" t="s">
        <v>3</v>
      </c>
      <c r="E15" s="57" t="s">
        <v>37</v>
      </c>
      <c r="F15" s="57" t="s">
        <v>38</v>
      </c>
      <c r="G15" s="57" t="s">
        <v>39</v>
      </c>
      <c r="H15" s="57" t="s">
        <v>40</v>
      </c>
      <c r="I15" s="57" t="s">
        <v>41</v>
      </c>
      <c r="K15" s="57" t="s">
        <v>112</v>
      </c>
    </row>
    <row r="16" spans="1:24">
      <c r="A16" s="55" t="s">
        <v>32</v>
      </c>
      <c r="B16" s="16">
        <v>106.66427404465655</v>
      </c>
      <c r="C16" s="16">
        <v>36.09373700273256</v>
      </c>
      <c r="D16" s="16">
        <v>2.9552017303329188</v>
      </c>
      <c r="E16" s="16">
        <v>4.5644142978808616E-3</v>
      </c>
      <c r="F16" s="16">
        <v>34.359830385396521</v>
      </c>
      <c r="G16" s="16">
        <v>178.96871770391658</v>
      </c>
      <c r="H16" s="16">
        <v>34.359830385396521</v>
      </c>
      <c r="I16" s="16">
        <v>178.96871770391658</v>
      </c>
    </row>
    <row r="17" spans="1:11">
      <c r="A17" s="55" t="s">
        <v>46</v>
      </c>
      <c r="B17" s="16">
        <v>1.0750789978115931</v>
      </c>
      <c r="C17" s="16">
        <v>0.39971186938486269</v>
      </c>
      <c r="D17" s="16">
        <v>2.6896349099317161</v>
      </c>
      <c r="E17" s="33">
        <v>9.4077874018032755E-3</v>
      </c>
      <c r="F17" s="16">
        <v>0.27435990525303378</v>
      </c>
      <c r="G17" s="16">
        <v>1.8757980903701523</v>
      </c>
      <c r="H17" s="16">
        <v>0.27435990525303378</v>
      </c>
      <c r="I17" s="16">
        <v>1.8757980903701523</v>
      </c>
      <c r="K17" s="6">
        <f>1-E17</f>
        <v>0.99059221259819674</v>
      </c>
    </row>
    <row r="18" spans="1:11">
      <c r="A18" s="55" t="s">
        <v>48</v>
      </c>
      <c r="B18" s="16">
        <v>-41.112568801110243</v>
      </c>
      <c r="C18" s="16">
        <v>7.5867870678736482</v>
      </c>
      <c r="D18" s="16">
        <v>-5.4189696419979896</v>
      </c>
      <c r="E18" s="33">
        <v>1.3113947643768336E-6</v>
      </c>
      <c r="F18" s="16">
        <v>-56.310729580703196</v>
      </c>
      <c r="G18" s="16">
        <v>-25.914408021517289</v>
      </c>
      <c r="H18" s="16">
        <v>-56.310729580703196</v>
      </c>
      <c r="I18" s="16">
        <v>-25.914408021517289</v>
      </c>
      <c r="K18" s="6">
        <f>1-E18</f>
        <v>0.99999868860523566</v>
      </c>
    </row>
    <row r="19" spans="1:11">
      <c r="A19" s="55" t="s">
        <v>45</v>
      </c>
      <c r="B19" s="16">
        <v>1.2098374973051496</v>
      </c>
      <c r="C19" s="16">
        <v>0.66857807224618371</v>
      </c>
      <c r="D19" s="16">
        <v>1.8095680183475467</v>
      </c>
      <c r="E19" s="16">
        <v>7.5730728353094509E-2</v>
      </c>
      <c r="F19" s="16">
        <v>-0.12948532074722041</v>
      </c>
      <c r="G19" s="16">
        <v>2.5491603153575193</v>
      </c>
      <c r="H19" s="16">
        <v>-0.12948532074722041</v>
      </c>
      <c r="I19" s="16">
        <v>2.5491603153575193</v>
      </c>
      <c r="K19" s="6">
        <f>1-E19</f>
        <v>0.92426927164690553</v>
      </c>
    </row>
    <row r="23" spans="1:11">
      <c r="A23" t="s">
        <v>79</v>
      </c>
    </row>
    <row r="24" spans="1:11" ht="14" thickBot="1"/>
    <row r="25" spans="1:11">
      <c r="A25" s="3" t="s">
        <v>80</v>
      </c>
      <c r="B25" s="3" t="s">
        <v>82</v>
      </c>
      <c r="C25" s="3" t="s">
        <v>81</v>
      </c>
    </row>
    <row r="26" spans="1:11">
      <c r="A26" s="1">
        <v>1</v>
      </c>
      <c r="B26" s="1">
        <v>106.9126551621498</v>
      </c>
      <c r="C26" s="1">
        <v>-13.612655162149807</v>
      </c>
    </row>
    <row r="27" spans="1:11">
      <c r="A27" s="1">
        <v>2</v>
      </c>
      <c r="B27" s="1">
        <v>86.796594276439777</v>
      </c>
      <c r="C27" s="1">
        <v>-0.29659427643977665</v>
      </c>
    </row>
    <row r="28" spans="1:11">
      <c r="A28" s="1">
        <v>3</v>
      </c>
      <c r="B28" s="1">
        <v>106.25729897510983</v>
      </c>
      <c r="C28" s="1">
        <v>15.342701024890161</v>
      </c>
    </row>
    <row r="29" spans="1:11">
      <c r="A29" s="1">
        <v>4</v>
      </c>
      <c r="B29" s="1">
        <v>119.57447985688202</v>
      </c>
      <c r="C29" s="1">
        <v>-28.674479856882016</v>
      </c>
    </row>
    <row r="30" spans="1:11">
      <c r="A30" s="1">
        <v>5</v>
      </c>
      <c r="B30" s="1">
        <v>103.27036491380387</v>
      </c>
      <c r="C30" s="1">
        <v>20.32963508619612</v>
      </c>
    </row>
    <row r="31" spans="1:11">
      <c r="A31" s="1">
        <v>6</v>
      </c>
      <c r="B31" s="1">
        <v>88.100064629871554</v>
      </c>
      <c r="C31" s="1">
        <v>25.699935370128443</v>
      </c>
    </row>
    <row r="32" spans="1:11">
      <c r="A32" s="1">
        <v>7</v>
      </c>
      <c r="B32" s="1">
        <v>96.973950567524952</v>
      </c>
      <c r="C32" s="1">
        <v>-30.473950567524952</v>
      </c>
    </row>
    <row r="33" spans="1:3">
      <c r="A33" s="1">
        <v>8</v>
      </c>
      <c r="B33" s="1">
        <v>89.203912667792451</v>
      </c>
      <c r="C33" s="1">
        <v>3.9960873322075514</v>
      </c>
    </row>
    <row r="34" spans="1:3">
      <c r="A34" s="1">
        <v>9</v>
      </c>
      <c r="B34" s="1">
        <v>106.64207076284957</v>
      </c>
      <c r="C34" s="1">
        <v>1.9579292371504238</v>
      </c>
    </row>
    <row r="35" spans="1:3">
      <c r="A35" s="1">
        <v>10</v>
      </c>
      <c r="B35" s="1">
        <v>98.762679718075148</v>
      </c>
      <c r="C35" s="1">
        <v>-3.8626797180751424</v>
      </c>
    </row>
    <row r="36" spans="1:3">
      <c r="A36" s="1">
        <v>11</v>
      </c>
      <c r="B36" s="1">
        <v>116.84296860252377</v>
      </c>
      <c r="C36" s="1">
        <v>1.3570313974762342</v>
      </c>
    </row>
    <row r="37" spans="1:3">
      <c r="A37" s="1">
        <v>12</v>
      </c>
      <c r="B37" s="1">
        <v>109.61139480618823</v>
      </c>
      <c r="C37" s="1">
        <v>16.688605193811767</v>
      </c>
    </row>
    <row r="38" spans="1:3">
      <c r="A38" s="1">
        <v>13</v>
      </c>
      <c r="B38" s="1">
        <v>98.801016951088258</v>
      </c>
      <c r="C38" s="1">
        <v>-22.301016951088258</v>
      </c>
    </row>
    <row r="39" spans="1:3">
      <c r="A39" s="1">
        <v>14</v>
      </c>
      <c r="B39" s="1">
        <v>94.861777076861713</v>
      </c>
      <c r="C39" s="1">
        <v>22.038222923138292</v>
      </c>
    </row>
    <row r="40" spans="1:3">
      <c r="A40" s="1">
        <v>15</v>
      </c>
      <c r="B40" s="1">
        <v>98.423739618158336</v>
      </c>
      <c r="C40" s="1">
        <v>-20.823739618158342</v>
      </c>
    </row>
    <row r="41" spans="1:3">
      <c r="A41" s="1">
        <v>16</v>
      </c>
      <c r="B41" s="1">
        <v>97.559720315350603</v>
      </c>
      <c r="C41" s="1">
        <v>-21.059720315350603</v>
      </c>
    </row>
    <row r="42" spans="1:3">
      <c r="A42" s="1">
        <v>17</v>
      </c>
      <c r="B42" s="1">
        <v>102.25676352202831</v>
      </c>
      <c r="C42" s="1">
        <v>18.643236477971698</v>
      </c>
    </row>
    <row r="43" spans="1:3">
      <c r="A43" s="1">
        <v>18</v>
      </c>
      <c r="B43" s="1">
        <v>73.554214710382809</v>
      </c>
      <c r="C43" s="1">
        <v>-12.15421471038281</v>
      </c>
    </row>
    <row r="44" spans="1:3">
      <c r="A44" s="1">
        <v>19</v>
      </c>
      <c r="B44" s="1">
        <v>93.88516517857434</v>
      </c>
      <c r="C44" s="1">
        <v>6.0148348214256657</v>
      </c>
    </row>
    <row r="45" spans="1:3">
      <c r="A45" s="1">
        <v>20</v>
      </c>
      <c r="B45" s="1">
        <v>81.552272677080452</v>
      </c>
      <c r="C45" s="1">
        <v>-6.9522726770804582</v>
      </c>
    </row>
    <row r="46" spans="1:3">
      <c r="A46" s="1">
        <v>21</v>
      </c>
      <c r="B46" s="1">
        <v>76.275216588605076</v>
      </c>
      <c r="C46" s="1">
        <v>-18.675216588605075</v>
      </c>
    </row>
    <row r="47" spans="1:3">
      <c r="A47" s="1">
        <v>22</v>
      </c>
      <c r="B47" s="1">
        <v>110.14106119904173</v>
      </c>
      <c r="C47" s="1">
        <v>1.5589388009582734</v>
      </c>
    </row>
    <row r="48" spans="1:3">
      <c r="A48" s="1">
        <v>23</v>
      </c>
      <c r="B48" s="1">
        <v>95.009740431541061</v>
      </c>
      <c r="C48" s="1">
        <v>-6.2097404315410643</v>
      </c>
    </row>
    <row r="49" spans="1:3">
      <c r="A49" s="1">
        <v>24</v>
      </c>
      <c r="B49" s="1">
        <v>121.43893096391707</v>
      </c>
      <c r="C49" s="1">
        <v>22.061069036082927</v>
      </c>
    </row>
    <row r="50" spans="1:3">
      <c r="A50" s="1">
        <v>25</v>
      </c>
      <c r="B50" s="1">
        <v>87.332342358324269</v>
      </c>
      <c r="C50" s="1">
        <v>12.867657641675734</v>
      </c>
    </row>
    <row r="51" spans="1:3">
      <c r="A51" s="1">
        <v>26</v>
      </c>
      <c r="B51" s="1">
        <v>113.85937428554698</v>
      </c>
      <c r="C51" s="1">
        <v>2.7406257144530173</v>
      </c>
    </row>
    <row r="52" spans="1:3">
      <c r="A52" s="1">
        <v>27</v>
      </c>
      <c r="B52" s="1">
        <v>106.13003493042611</v>
      </c>
      <c r="C52" s="1">
        <v>1.9699650695738882</v>
      </c>
    </row>
    <row r="53" spans="1:3">
      <c r="A53" s="1">
        <v>28</v>
      </c>
      <c r="B53" s="1">
        <v>105.37922656518805</v>
      </c>
      <c r="C53" s="1">
        <v>-3.4792265651880427</v>
      </c>
    </row>
    <row r="54" spans="1:3">
      <c r="A54" s="1">
        <v>29</v>
      </c>
      <c r="B54" s="1">
        <v>93.286627018766467</v>
      </c>
      <c r="C54" s="1">
        <v>-3.9866270187664696</v>
      </c>
    </row>
    <row r="55" spans="1:3">
      <c r="A55" s="1">
        <v>30</v>
      </c>
      <c r="B55" s="1">
        <v>104.26257088392569</v>
      </c>
      <c r="C55" s="1">
        <v>-9.8625708839256845</v>
      </c>
    </row>
    <row r="56" spans="1:3">
      <c r="A56" s="1">
        <v>31</v>
      </c>
      <c r="B56" s="1">
        <v>97.143164566175329</v>
      </c>
      <c r="C56" s="1">
        <v>-9.7431645661753237</v>
      </c>
    </row>
    <row r="57" spans="1:3">
      <c r="A57" s="1">
        <v>32</v>
      </c>
      <c r="B57" s="1">
        <v>102.43735370934479</v>
      </c>
      <c r="C57" s="1">
        <v>21.062646290655209</v>
      </c>
    </row>
    <row r="58" spans="1:3">
      <c r="A58" s="1">
        <v>33</v>
      </c>
      <c r="B58" s="1">
        <v>93.190306046177511</v>
      </c>
      <c r="C58" s="1">
        <v>16.609693953822486</v>
      </c>
    </row>
    <row r="59" spans="1:3">
      <c r="A59" s="1">
        <v>34</v>
      </c>
      <c r="B59" s="1">
        <v>78.503613956303383</v>
      </c>
      <c r="C59" s="1">
        <v>12.096386043696612</v>
      </c>
    </row>
    <row r="60" spans="1:3">
      <c r="A60" s="1">
        <v>35</v>
      </c>
      <c r="B60" s="1">
        <v>96.480278656687943</v>
      </c>
      <c r="C60" s="1">
        <v>4.119721343312051</v>
      </c>
    </row>
    <row r="61" spans="1:3">
      <c r="A61" s="1">
        <v>36</v>
      </c>
      <c r="B61" s="1">
        <v>86.874163460046162</v>
      </c>
      <c r="C61" s="1">
        <v>0.82583653995384054</v>
      </c>
    </row>
    <row r="62" spans="1:3">
      <c r="A62" s="1">
        <v>37</v>
      </c>
      <c r="B62" s="1">
        <v>90.323431130110876</v>
      </c>
      <c r="C62" s="1">
        <v>-11.723431130110882</v>
      </c>
    </row>
    <row r="63" spans="1:3">
      <c r="A63" s="1">
        <v>38</v>
      </c>
      <c r="B63" s="1">
        <v>71.56583930299324</v>
      </c>
      <c r="C63" s="1">
        <v>20.534160697006755</v>
      </c>
    </row>
    <row r="64" spans="1:3">
      <c r="A64" s="1">
        <v>39</v>
      </c>
      <c r="B64" s="1">
        <v>85.827827579154587</v>
      </c>
      <c r="C64" s="1">
        <v>-30.927827579154588</v>
      </c>
    </row>
    <row r="65" spans="1:3">
      <c r="A65" s="1">
        <v>40</v>
      </c>
      <c r="B65" s="1">
        <v>102.26097404260928</v>
      </c>
      <c r="C65" s="1">
        <v>-18.260974042609277</v>
      </c>
    </row>
    <row r="66" spans="1:3">
      <c r="A66" s="1">
        <v>41</v>
      </c>
      <c r="B66" s="1">
        <v>97.444283499416855</v>
      </c>
      <c r="C66" s="1">
        <v>-4.5442834994168493</v>
      </c>
    </row>
    <row r="67" spans="1:3">
      <c r="A67" s="1">
        <v>42</v>
      </c>
      <c r="B67" s="1">
        <v>101.40068235152683</v>
      </c>
      <c r="C67" s="1">
        <v>-13.400682351526825</v>
      </c>
    </row>
    <row r="68" spans="1:3">
      <c r="A68" s="1">
        <v>43</v>
      </c>
      <c r="B68" s="1">
        <v>91.695203355919787</v>
      </c>
      <c r="C68" s="1">
        <v>32.304796644080213</v>
      </c>
    </row>
    <row r="69" spans="1:3">
      <c r="A69" s="1">
        <v>44</v>
      </c>
      <c r="B69" s="1">
        <v>96.269527205946019</v>
      </c>
      <c r="C69" s="1">
        <v>-2.8695272059460137</v>
      </c>
    </row>
    <row r="70" spans="1:3">
      <c r="A70" s="1">
        <v>45</v>
      </c>
      <c r="B70" s="1">
        <v>94.016611838788833</v>
      </c>
      <c r="C70" s="1">
        <v>-4.4166118387888389</v>
      </c>
    </row>
    <row r="71" spans="1:3">
      <c r="A71" s="1">
        <v>46</v>
      </c>
      <c r="B71" s="1">
        <v>77.612862101981833</v>
      </c>
      <c r="C71" s="1">
        <v>27.487137898018162</v>
      </c>
    </row>
    <row r="72" spans="1:3">
      <c r="A72" s="1">
        <v>47</v>
      </c>
      <c r="B72" s="1">
        <v>90.031395499056671</v>
      </c>
      <c r="C72" s="1">
        <v>-16.831395499056669</v>
      </c>
    </row>
    <row r="73" spans="1:3">
      <c r="A73" s="1">
        <v>48</v>
      </c>
      <c r="B73" s="1">
        <v>99.676870845233367</v>
      </c>
      <c r="C73" s="1">
        <v>33.023129154766622</v>
      </c>
    </row>
    <row r="74" spans="1:3">
      <c r="A74" s="1">
        <v>49</v>
      </c>
      <c r="B74" s="1">
        <v>113.92147759626056</v>
      </c>
      <c r="C74" s="1">
        <v>-5.6214775962605614</v>
      </c>
    </row>
    <row r="75" spans="1:3">
      <c r="A75" s="1">
        <v>50</v>
      </c>
      <c r="B75" s="1">
        <v>112.02207150247203</v>
      </c>
      <c r="C75" s="1">
        <v>4.9779284975279694</v>
      </c>
    </row>
    <row r="76" spans="1:3">
      <c r="A76" s="1">
        <v>51</v>
      </c>
      <c r="B76" s="1">
        <v>119.7503620178817</v>
      </c>
      <c r="C76" s="1">
        <v>1.0496379821182984</v>
      </c>
    </row>
    <row r="77" spans="1:3">
      <c r="A77" s="1">
        <v>52</v>
      </c>
      <c r="B77" s="1">
        <v>104.93161087128549</v>
      </c>
      <c r="C77" s="1">
        <v>-3.3316108712854913</v>
      </c>
    </row>
    <row r="78" spans="1:3">
      <c r="A78" s="1">
        <v>53</v>
      </c>
      <c r="B78" s="1">
        <v>125.33758718430377</v>
      </c>
      <c r="C78" s="1">
        <v>-7.9375871843037658</v>
      </c>
    </row>
    <row r="79" spans="1:3">
      <c r="A79" s="1">
        <v>54</v>
      </c>
      <c r="B79" s="1">
        <v>97.815509030226707</v>
      </c>
      <c r="C79" s="1">
        <v>5.4844909697732902</v>
      </c>
    </row>
    <row r="80" spans="1:3">
      <c r="A80" s="1">
        <v>55</v>
      </c>
      <c r="B80" s="1">
        <v>94.88534454864002</v>
      </c>
      <c r="C80" s="1">
        <v>-4.0853445486400233</v>
      </c>
    </row>
    <row r="81" spans="1:3">
      <c r="A81" s="1">
        <v>56</v>
      </c>
      <c r="B81" s="1">
        <v>74.742729174875606</v>
      </c>
      <c r="C81" s="1">
        <v>-9.2427291748756062</v>
      </c>
    </row>
    <row r="82" spans="1:3">
      <c r="A82" s="1">
        <v>57</v>
      </c>
      <c r="B82" s="1">
        <v>79.864999624191313</v>
      </c>
      <c r="C82" s="1">
        <v>19.635000375808687</v>
      </c>
    </row>
    <row r="83" spans="1:3">
      <c r="A83" s="1">
        <v>58</v>
      </c>
      <c r="B83" s="1">
        <v>73.570205994061666</v>
      </c>
      <c r="C83" s="1">
        <v>-22.370205994061664</v>
      </c>
    </row>
    <row r="84" spans="1:3">
      <c r="A84" s="1">
        <v>59</v>
      </c>
      <c r="B84" s="1">
        <v>102.65090093302804</v>
      </c>
      <c r="C84" s="1">
        <v>3.6490990669719565</v>
      </c>
    </row>
    <row r="85" spans="1:3" ht="14" thickBot="1">
      <c r="A85" s="2">
        <v>60</v>
      </c>
      <c r="B85" s="2">
        <v>84.194582161282881</v>
      </c>
      <c r="C85" s="2">
        <v>-8.3945821612828837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A84"/>
  <sheetViews>
    <sheetView showGridLines="0" zoomScale="85" zoomScaleNormal="85" workbookViewId="0">
      <selection activeCell="M39" sqref="M39"/>
    </sheetView>
  </sheetViews>
  <sheetFormatPr baseColWidth="10" defaultColWidth="8.83203125" defaultRowHeight="13"/>
  <cols>
    <col min="1" max="1" width="32" bestFit="1" customWidth="1"/>
    <col min="2" max="2" width="35.6640625" bestFit="1" customWidth="1"/>
    <col min="3" max="3" width="15" bestFit="1" customWidth="1"/>
    <col min="4" max="4" width="12.6640625" bestFit="1" customWidth="1"/>
    <col min="5" max="5" width="12.1640625" bestFit="1" customWidth="1"/>
    <col min="6" max="6" width="14.5" bestFit="1" customWidth="1"/>
    <col min="7" max="7" width="12.6640625" bestFit="1" customWidth="1"/>
    <col min="8" max="8" width="18.83203125" customWidth="1"/>
    <col min="9" max="9" width="12.83203125" bestFit="1" customWidth="1"/>
    <col min="11" max="11" width="19.1640625" customWidth="1"/>
    <col min="13" max="13" width="48.6640625" bestFit="1" customWidth="1"/>
    <col min="17" max="17" width="10.83203125" customWidth="1"/>
  </cols>
  <sheetData>
    <row r="2" spans="1:27">
      <c r="A2" s="54" t="s">
        <v>24</v>
      </c>
      <c r="B2" s="54"/>
      <c r="K2" s="6" t="s">
        <v>76</v>
      </c>
      <c r="L2" s="6" t="s">
        <v>110</v>
      </c>
      <c r="M2" s="6"/>
      <c r="N2" s="6"/>
      <c r="O2" s="6"/>
      <c r="P2" s="6"/>
      <c r="Q2" s="6"/>
      <c r="R2" s="6"/>
      <c r="S2" s="6"/>
    </row>
    <row r="3" spans="1:27">
      <c r="A3" s="55" t="s">
        <v>25</v>
      </c>
      <c r="B3" s="16">
        <v>0.59880185280266807</v>
      </c>
      <c r="L3" s="6" t="s">
        <v>126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55" t="s">
        <v>26</v>
      </c>
      <c r="B4" s="33">
        <v>0.35856365891990821</v>
      </c>
    </row>
    <row r="5" spans="1:27">
      <c r="A5" s="55" t="s">
        <v>27</v>
      </c>
      <c r="B5" s="16">
        <v>0.3360571206363962</v>
      </c>
    </row>
    <row r="6" spans="1:27">
      <c r="A6" s="55" t="s">
        <v>4</v>
      </c>
      <c r="B6" s="16">
        <v>16.488846711051977</v>
      </c>
      <c r="M6" s="32"/>
      <c r="N6" s="32"/>
    </row>
    <row r="7" spans="1:27">
      <c r="A7" s="55" t="s">
        <v>1</v>
      </c>
      <c r="B7" s="16">
        <v>60</v>
      </c>
      <c r="M7" s="32"/>
      <c r="N7" s="32"/>
    </row>
    <row r="8" spans="1:27">
      <c r="M8" s="32"/>
      <c r="N8" s="32"/>
    </row>
    <row r="9" spans="1:27" ht="14" thickBot="1">
      <c r="M9" s="32"/>
      <c r="N9" s="32"/>
    </row>
    <row r="10" spans="1:27">
      <c r="A10" s="9" t="s">
        <v>28</v>
      </c>
      <c r="B10" s="57" t="s">
        <v>2</v>
      </c>
      <c r="C10" s="57" t="s">
        <v>33</v>
      </c>
      <c r="D10" s="57" t="s">
        <v>34</v>
      </c>
      <c r="E10" s="58" t="s">
        <v>5</v>
      </c>
      <c r="F10" s="57" t="s">
        <v>35</v>
      </c>
      <c r="H10" s="57" t="s">
        <v>54</v>
      </c>
      <c r="M10" s="32"/>
      <c r="N10" s="32"/>
    </row>
    <row r="11" spans="1:27">
      <c r="A11" s="55" t="s">
        <v>29</v>
      </c>
      <c r="B11" s="16">
        <v>2</v>
      </c>
      <c r="C11" s="16">
        <v>8662.9962459475246</v>
      </c>
      <c r="D11" s="16">
        <v>4331.4981229737623</v>
      </c>
      <c r="E11" s="16">
        <v>15.931533068441158</v>
      </c>
      <c r="F11" s="33">
        <v>3.1906304468158707E-6</v>
      </c>
      <c r="H11" s="6">
        <f>1-F11</f>
        <v>0.99999680936955315</v>
      </c>
      <c r="M11" s="49"/>
      <c r="N11" s="32"/>
    </row>
    <row r="12" spans="1:27">
      <c r="A12" s="55" t="s">
        <v>30</v>
      </c>
      <c r="B12" s="16">
        <v>57</v>
      </c>
      <c r="C12" s="16">
        <v>15497.277754052469</v>
      </c>
      <c r="D12" s="16">
        <v>271.88206586056964</v>
      </c>
      <c r="E12" s="1"/>
      <c r="F12" s="1"/>
      <c r="M12" s="49"/>
      <c r="N12" s="32"/>
    </row>
    <row r="13" spans="1:27">
      <c r="A13" s="55" t="s">
        <v>31</v>
      </c>
      <c r="B13" s="16">
        <v>59</v>
      </c>
      <c r="C13" s="16">
        <v>24160.273999999994</v>
      </c>
      <c r="M13" s="49"/>
    </row>
    <row r="14" spans="1:27">
      <c r="M14" s="49"/>
    </row>
    <row r="15" spans="1:27">
      <c r="A15" s="56"/>
      <c r="B15" s="57" t="s">
        <v>36</v>
      </c>
      <c r="C15" s="57" t="s">
        <v>4</v>
      </c>
      <c r="D15" s="57" t="s">
        <v>3</v>
      </c>
      <c r="E15" s="57" t="s">
        <v>37</v>
      </c>
      <c r="F15" s="57" t="s">
        <v>38</v>
      </c>
      <c r="G15" s="57" t="s">
        <v>39</v>
      </c>
      <c r="H15" s="57" t="s">
        <v>40</v>
      </c>
      <c r="I15" s="57" t="s">
        <v>41</v>
      </c>
      <c r="K15" s="57" t="s">
        <v>54</v>
      </c>
      <c r="M15" s="50"/>
    </row>
    <row r="16" spans="1:27">
      <c r="A16" s="55" t="s">
        <v>32</v>
      </c>
      <c r="B16" s="16">
        <v>149.69395327798705</v>
      </c>
      <c r="C16" s="16">
        <v>27.690071751440236</v>
      </c>
      <c r="D16" s="16">
        <v>5.4060514765622107</v>
      </c>
      <c r="E16" s="16">
        <v>1.3197932335755948E-6</v>
      </c>
      <c r="F16" s="16">
        <v>94.245541030438346</v>
      </c>
      <c r="G16" s="16">
        <v>205.14236552553575</v>
      </c>
      <c r="H16" s="16">
        <v>94.245541030438346</v>
      </c>
      <c r="I16" s="16">
        <v>205.14236552553575</v>
      </c>
    </row>
    <row r="17" spans="1:11">
      <c r="A17" s="55" t="s">
        <v>46</v>
      </c>
      <c r="B17" s="16">
        <v>1.1418134725600604</v>
      </c>
      <c r="C17" s="16">
        <v>0.40587034805553718</v>
      </c>
      <c r="D17" s="16">
        <v>2.8132468361640961</v>
      </c>
      <c r="E17" s="33">
        <v>6.7175362296205583E-3</v>
      </c>
      <c r="F17" s="16">
        <v>0.32907211962842842</v>
      </c>
      <c r="G17" s="16">
        <v>1.9545548254916922</v>
      </c>
      <c r="H17" s="16">
        <v>0.32907211962842842</v>
      </c>
      <c r="I17" s="16">
        <v>1.9545548254916922</v>
      </c>
      <c r="K17" s="6">
        <f>1-E17</f>
        <v>0.99328246377037943</v>
      </c>
    </row>
    <row r="18" spans="1:11">
      <c r="A18" s="55" t="s">
        <v>48</v>
      </c>
      <c r="B18" s="16">
        <v>-40.551133412704644</v>
      </c>
      <c r="C18" s="16">
        <v>7.7302064826264658</v>
      </c>
      <c r="D18" s="16">
        <v>-5.2458021016440846</v>
      </c>
      <c r="E18" s="33">
        <v>2.3765481861204355E-6</v>
      </c>
      <c r="F18" s="16">
        <v>-56.030604887351565</v>
      </c>
      <c r="G18" s="16">
        <v>-25.071661938057723</v>
      </c>
      <c r="H18" s="16">
        <v>-56.030604887351565</v>
      </c>
      <c r="I18" s="16">
        <v>-25.071661938057723</v>
      </c>
      <c r="K18" s="6">
        <f>1-E18</f>
        <v>0.99999762345181387</v>
      </c>
    </row>
    <row r="22" spans="1:11">
      <c r="A22" t="s">
        <v>79</v>
      </c>
    </row>
    <row r="23" spans="1:11" ht="14" thickBot="1"/>
    <row r="24" spans="1:11">
      <c r="A24" s="3" t="s">
        <v>80</v>
      </c>
      <c r="B24" s="3" t="s">
        <v>82</v>
      </c>
      <c r="C24" s="3" t="s">
        <v>81</v>
      </c>
    </row>
    <row r="25" spans="1:11">
      <c r="A25" s="1">
        <v>1</v>
      </c>
      <c r="B25" s="1">
        <v>103.42709973112569</v>
      </c>
      <c r="C25" s="1">
        <v>-10.127099731125696</v>
      </c>
    </row>
    <row r="26" spans="1:11">
      <c r="A26" s="1">
        <v>2</v>
      </c>
      <c r="B26" s="1">
        <v>84.355463712008202</v>
      </c>
      <c r="C26" s="1">
        <v>2.144536287991798</v>
      </c>
    </row>
    <row r="27" spans="1:11">
      <c r="A27" s="1">
        <v>3</v>
      </c>
      <c r="B27" s="1">
        <v>110.65913534800472</v>
      </c>
      <c r="C27" s="1">
        <v>10.94086465199527</v>
      </c>
    </row>
    <row r="28" spans="1:11">
      <c r="A28" s="1">
        <v>4</v>
      </c>
      <c r="B28" s="1">
        <v>114.01740736827712</v>
      </c>
      <c r="C28" s="1">
        <v>-23.117407368277114</v>
      </c>
    </row>
    <row r="29" spans="1:11">
      <c r="A29" s="1">
        <v>5</v>
      </c>
      <c r="B29" s="1">
        <v>99.403044997192637</v>
      </c>
      <c r="C29" s="1">
        <v>24.196955002807357</v>
      </c>
    </row>
    <row r="30" spans="1:11">
      <c r="A30" s="1">
        <v>6</v>
      </c>
      <c r="B30" s="1">
        <v>87.694430362405271</v>
      </c>
      <c r="C30" s="1">
        <v>26.105569637594726</v>
      </c>
    </row>
    <row r="31" spans="1:11">
      <c r="A31" s="1">
        <v>7</v>
      </c>
      <c r="B31" s="1">
        <v>98.793527521161934</v>
      </c>
      <c r="C31" s="1">
        <v>-32.293527521161934</v>
      </c>
    </row>
    <row r="32" spans="1:11">
      <c r="A32" s="1">
        <v>8</v>
      </c>
      <c r="B32" s="1">
        <v>94.384116900661411</v>
      </c>
      <c r="C32" s="1">
        <v>-1.1841169006614081</v>
      </c>
    </row>
    <row r="33" spans="1:3">
      <c r="A33" s="1">
        <v>9</v>
      </c>
      <c r="B33" s="1">
        <v>109.23774512603568</v>
      </c>
      <c r="C33" s="1">
        <v>-0.63774512603568212</v>
      </c>
    </row>
    <row r="34" spans="1:3">
      <c r="A34" s="1">
        <v>10</v>
      </c>
      <c r="B34" s="1">
        <v>97.438455618916407</v>
      </c>
      <c r="C34" s="1">
        <v>-2.5384556189164016</v>
      </c>
    </row>
    <row r="35" spans="1:3">
      <c r="A35" s="1">
        <v>11</v>
      </c>
      <c r="B35" s="1">
        <v>119.67105957113166</v>
      </c>
      <c r="C35" s="1">
        <v>-1.4710595711316614</v>
      </c>
    </row>
    <row r="36" spans="1:3">
      <c r="A36" s="1">
        <v>12</v>
      </c>
      <c r="B36" s="1">
        <v>114.24912109015364</v>
      </c>
      <c r="C36" s="1">
        <v>12.050878909846361</v>
      </c>
    </row>
    <row r="37" spans="1:3">
      <c r="A37" s="1">
        <v>13</v>
      </c>
      <c r="B37" s="1">
        <v>99.068053087837853</v>
      </c>
      <c r="C37" s="1">
        <v>-22.568053087837853</v>
      </c>
    </row>
    <row r="38" spans="1:3">
      <c r="A38" s="1">
        <v>14</v>
      </c>
      <c r="B38" s="1">
        <v>90.946923245519159</v>
      </c>
      <c r="C38" s="1">
        <v>25.953076754480847</v>
      </c>
    </row>
    <row r="39" spans="1:3">
      <c r="A39" s="1">
        <v>15</v>
      </c>
      <c r="B39" s="1">
        <v>91.961952055676903</v>
      </c>
      <c r="C39" s="1">
        <v>-14.361952055676909</v>
      </c>
    </row>
    <row r="40" spans="1:3">
      <c r="A40" s="1">
        <v>16</v>
      </c>
      <c r="B40" s="1">
        <v>102.76886914987826</v>
      </c>
      <c r="C40" s="1">
        <v>-26.268869149878256</v>
      </c>
    </row>
    <row r="41" spans="1:3">
      <c r="A41" s="1">
        <v>17</v>
      </c>
      <c r="B41" s="1">
        <v>104.2179669518202</v>
      </c>
      <c r="C41" s="1">
        <v>16.682033048179804</v>
      </c>
    </row>
    <row r="42" spans="1:3">
      <c r="A42" s="1">
        <v>18</v>
      </c>
      <c r="B42" s="1">
        <v>75.48122731106136</v>
      </c>
      <c r="C42" s="1">
        <v>-14.081227311061362</v>
      </c>
    </row>
    <row r="43" spans="1:3">
      <c r="A43" s="1">
        <v>19</v>
      </c>
      <c r="B43" s="1">
        <v>90.143452709678357</v>
      </c>
      <c r="C43" s="1">
        <v>9.7565472903216488</v>
      </c>
    </row>
    <row r="44" spans="1:3">
      <c r="A44" s="1">
        <v>20</v>
      </c>
      <c r="B44" s="1">
        <v>86.697856844438562</v>
      </c>
      <c r="C44" s="1">
        <v>-12.097856844438567</v>
      </c>
    </row>
    <row r="45" spans="1:3">
      <c r="A45" s="1">
        <v>21</v>
      </c>
      <c r="B45" s="1">
        <v>81.910642469783852</v>
      </c>
      <c r="C45" s="1">
        <v>-24.310642469783851</v>
      </c>
    </row>
    <row r="46" spans="1:3">
      <c r="A46" s="1">
        <v>22</v>
      </c>
      <c r="B46" s="1">
        <v>109.43419913552606</v>
      </c>
      <c r="C46" s="1">
        <v>2.2658008644739454</v>
      </c>
    </row>
    <row r="47" spans="1:3">
      <c r="A47" s="1">
        <v>23</v>
      </c>
      <c r="B47" s="1">
        <v>92.218022330161787</v>
      </c>
      <c r="C47" s="1">
        <v>-3.41802233016179</v>
      </c>
    </row>
    <row r="48" spans="1:3">
      <c r="A48" s="1">
        <v>24</v>
      </c>
      <c r="B48" s="1">
        <v>116.00550322147743</v>
      </c>
      <c r="C48" s="1">
        <v>27.494496778522574</v>
      </c>
    </row>
    <row r="49" spans="1:3">
      <c r="A49" s="1">
        <v>25</v>
      </c>
      <c r="B49" s="1">
        <v>85.870879833673655</v>
      </c>
      <c r="C49" s="1">
        <v>14.329120166326348</v>
      </c>
    </row>
    <row r="50" spans="1:3">
      <c r="A50" s="1">
        <v>26</v>
      </c>
      <c r="B50" s="1">
        <v>110.552506133162</v>
      </c>
      <c r="C50" s="1">
        <v>6.0474938668379963</v>
      </c>
    </row>
    <row r="51" spans="1:3">
      <c r="A51" s="1">
        <v>27</v>
      </c>
      <c r="B51" s="1">
        <v>103.27345756643477</v>
      </c>
      <c r="C51" s="1">
        <v>4.8265424335652227</v>
      </c>
    </row>
    <row r="52" spans="1:3">
      <c r="A52" s="1">
        <v>28</v>
      </c>
      <c r="B52" s="1">
        <v>106.61157413914755</v>
      </c>
      <c r="C52" s="1">
        <v>-4.7115741391475439</v>
      </c>
    </row>
    <row r="53" spans="1:3">
      <c r="A53" s="1">
        <v>29</v>
      </c>
      <c r="B53" s="1">
        <v>95.446158660667308</v>
      </c>
      <c r="C53" s="1">
        <v>-6.1461586606673109</v>
      </c>
    </row>
    <row r="54" spans="1:3">
      <c r="A54" s="1">
        <v>30</v>
      </c>
      <c r="B54" s="1">
        <v>99.619654454242593</v>
      </c>
      <c r="C54" s="1">
        <v>-5.2196544542425869</v>
      </c>
    </row>
    <row r="55" spans="1:3">
      <c r="A55" s="1">
        <v>31</v>
      </c>
      <c r="B55" s="1">
        <v>102.19796241359823</v>
      </c>
      <c r="C55" s="1">
        <v>-14.797962413598228</v>
      </c>
    </row>
    <row r="56" spans="1:3">
      <c r="A56" s="1">
        <v>32</v>
      </c>
      <c r="B56" s="1">
        <v>96.178259694051576</v>
      </c>
      <c r="C56" s="1">
        <v>27.321740305948424</v>
      </c>
    </row>
    <row r="57" spans="1:3">
      <c r="A57" s="1">
        <v>33</v>
      </c>
      <c r="B57" s="1">
        <v>96.134597771567854</v>
      </c>
      <c r="C57" s="1">
        <v>13.665402228432143</v>
      </c>
    </row>
    <row r="58" spans="1:3">
      <c r="A58" s="1">
        <v>34</v>
      </c>
      <c r="B58" s="1">
        <v>83.954153482929939</v>
      </c>
      <c r="C58" s="1">
        <v>6.6458465170700549</v>
      </c>
    </row>
    <row r="59" spans="1:3">
      <c r="A59" s="1">
        <v>35</v>
      </c>
      <c r="B59" s="1">
        <v>97.934641825375365</v>
      </c>
      <c r="C59" s="1">
        <v>2.6653581746246289</v>
      </c>
    </row>
    <row r="60" spans="1:3">
      <c r="A60" s="1">
        <v>36</v>
      </c>
      <c r="B60" s="1">
        <v>89.753045640377849</v>
      </c>
      <c r="C60" s="1">
        <v>-2.0530456403778459</v>
      </c>
    </row>
    <row r="61" spans="1:3">
      <c r="A61" s="1">
        <v>37</v>
      </c>
      <c r="B61" s="1">
        <v>86.46194201751328</v>
      </c>
      <c r="C61" s="1">
        <v>-7.8619420175132859</v>
      </c>
    </row>
    <row r="62" spans="1:3">
      <c r="A62" s="1">
        <v>38</v>
      </c>
      <c r="B62" s="1">
        <v>68.244990589133579</v>
      </c>
      <c r="C62" s="1">
        <v>23.855009410866415</v>
      </c>
    </row>
    <row r="63" spans="1:3">
      <c r="A63" s="1">
        <v>39</v>
      </c>
      <c r="B63" s="1">
        <v>87.438360087920358</v>
      </c>
      <c r="C63" s="1">
        <v>-32.53836008792036</v>
      </c>
    </row>
    <row r="64" spans="1:3">
      <c r="A64" s="1">
        <v>40</v>
      </c>
      <c r="B64" s="1">
        <v>96.551862343156969</v>
      </c>
      <c r="C64" s="1">
        <v>-12.551862343156969</v>
      </c>
    </row>
    <row r="65" spans="1:3">
      <c r="A65" s="1">
        <v>41</v>
      </c>
      <c r="B65" s="1">
        <v>94.269935553405389</v>
      </c>
      <c r="C65" s="1">
        <v>-1.3699355534053836</v>
      </c>
    </row>
    <row r="66" spans="1:3">
      <c r="A66" s="1">
        <v>42</v>
      </c>
      <c r="B66" s="1">
        <v>98.304893447116271</v>
      </c>
      <c r="C66" s="1">
        <v>-10.304893447116271</v>
      </c>
    </row>
    <row r="67" spans="1:3">
      <c r="A67" s="1">
        <v>43</v>
      </c>
      <c r="B67" s="1">
        <v>92.867850701311653</v>
      </c>
      <c r="C67" s="1">
        <v>31.132149298688347</v>
      </c>
    </row>
    <row r="68" spans="1:3">
      <c r="A68" s="1">
        <v>44</v>
      </c>
      <c r="B68" s="1">
        <v>98.260381446948273</v>
      </c>
      <c r="C68" s="1">
        <v>-4.8603814469482671</v>
      </c>
    </row>
    <row r="69" spans="1:3">
      <c r="A69" s="1">
        <v>45</v>
      </c>
      <c r="B69" s="1">
        <v>88.363564103430463</v>
      </c>
      <c r="C69" s="1">
        <v>1.2364358965695317</v>
      </c>
    </row>
    <row r="70" spans="1:3">
      <c r="A70" s="1">
        <v>46</v>
      </c>
      <c r="B70" s="1">
        <v>79.020849075997575</v>
      </c>
      <c r="C70" s="1">
        <v>26.07915092400242</v>
      </c>
    </row>
    <row r="71" spans="1:3">
      <c r="A71" s="1">
        <v>47</v>
      </c>
      <c r="B71" s="1">
        <v>94.305195265791554</v>
      </c>
      <c r="C71" s="1">
        <v>-21.105195265791551</v>
      </c>
    </row>
    <row r="72" spans="1:3">
      <c r="A72" s="1">
        <v>48</v>
      </c>
      <c r="B72" s="1">
        <v>105.67126585881091</v>
      </c>
      <c r="C72" s="1">
        <v>27.028734141189076</v>
      </c>
    </row>
    <row r="73" spans="1:3">
      <c r="A73" s="1">
        <v>49</v>
      </c>
      <c r="B73" s="1">
        <v>115.95343908889615</v>
      </c>
      <c r="C73" s="1">
        <v>-7.6534390888961497</v>
      </c>
    </row>
    <row r="74" spans="1:3">
      <c r="A74" s="1">
        <v>50</v>
      </c>
      <c r="B74" s="1">
        <v>114.61267065716551</v>
      </c>
      <c r="C74" s="1">
        <v>2.3873293428344908</v>
      </c>
    </row>
    <row r="75" spans="1:3">
      <c r="A75" s="1">
        <v>51</v>
      </c>
      <c r="B75" s="1">
        <v>113.61609713919883</v>
      </c>
      <c r="C75" s="1">
        <v>7.1839028608011688</v>
      </c>
    </row>
    <row r="76" spans="1:3">
      <c r="A76" s="1">
        <v>52</v>
      </c>
      <c r="B76" s="1">
        <v>106.63087950902288</v>
      </c>
      <c r="C76" s="1">
        <v>-5.0308795090228813</v>
      </c>
    </row>
    <row r="77" spans="1:3">
      <c r="A77" s="1">
        <v>53</v>
      </c>
      <c r="B77" s="1">
        <v>123.55322537783589</v>
      </c>
      <c r="C77" s="1">
        <v>-6.1532253778358807</v>
      </c>
    </row>
    <row r="78" spans="1:3">
      <c r="A78" s="1">
        <v>54</v>
      </c>
      <c r="B78" s="1">
        <v>91.323876921989054</v>
      </c>
      <c r="C78" s="1">
        <v>11.976123078010943</v>
      </c>
    </row>
    <row r="79" spans="1:3">
      <c r="A79" s="1">
        <v>55</v>
      </c>
      <c r="B79" s="1">
        <v>93.66291902705494</v>
      </c>
      <c r="C79" s="1">
        <v>-2.8629190270549429</v>
      </c>
    </row>
    <row r="80" spans="1:3">
      <c r="A80" s="1">
        <v>56</v>
      </c>
      <c r="B80" s="1">
        <v>76.930325113003306</v>
      </c>
      <c r="C80" s="1">
        <v>-11.430325113003306</v>
      </c>
    </row>
    <row r="81" spans="1:3">
      <c r="A81" s="1">
        <v>57</v>
      </c>
      <c r="B81" s="1">
        <v>78.114950430362782</v>
      </c>
      <c r="C81" s="1">
        <v>21.385049569637218</v>
      </c>
    </row>
    <row r="82" spans="1:3">
      <c r="A82" s="1">
        <v>58</v>
      </c>
      <c r="B82" s="1">
        <v>77.005045642824385</v>
      </c>
      <c r="C82" s="1">
        <v>-25.805045642824382</v>
      </c>
    </row>
    <row r="83" spans="1:3">
      <c r="A83" s="1">
        <v>59</v>
      </c>
      <c r="B83" s="1">
        <v>108.26552816067738</v>
      </c>
      <c r="C83" s="1">
        <v>-1.9655281606773798</v>
      </c>
    </row>
    <row r="84" spans="1:3" ht="14" thickBot="1">
      <c r="A84" s="2">
        <v>60</v>
      </c>
      <c r="B84" s="2">
        <v>88.257784966272013</v>
      </c>
      <c r="C84" s="2">
        <v>-12.457784966272015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J62"/>
  <sheetViews>
    <sheetView showGridLines="0" zoomScale="85" zoomScaleNormal="85" workbookViewId="0">
      <selection activeCell="I8" sqref="I8"/>
    </sheetView>
  </sheetViews>
  <sheetFormatPr baseColWidth="10" defaultColWidth="8.83203125" defaultRowHeight="13"/>
  <cols>
    <col min="2" max="2" width="11.83203125" customWidth="1"/>
    <col min="3" max="3" width="13.6640625" customWidth="1"/>
    <col min="4" max="4" width="13.5" customWidth="1"/>
    <col min="5" max="5" width="13.6640625" customWidth="1"/>
    <col min="6" max="7" width="9.1640625" customWidth="1"/>
    <col min="8" max="8" width="67" bestFit="1" customWidth="1"/>
    <col min="9" max="9" width="15.6640625" customWidth="1"/>
    <col min="10" max="10" width="6.5" bestFit="1" customWidth="1"/>
  </cols>
  <sheetData>
    <row r="2" spans="2:10" ht="56">
      <c r="B2" s="23" t="s">
        <v>128</v>
      </c>
      <c r="C2" s="23" t="s">
        <v>127</v>
      </c>
      <c r="D2" s="23" t="s">
        <v>129</v>
      </c>
      <c r="E2" s="23" t="s">
        <v>114</v>
      </c>
      <c r="H2" s="9" t="s">
        <v>134</v>
      </c>
      <c r="I2" s="9"/>
    </row>
    <row r="3" spans="2:10">
      <c r="B3" s="25">
        <v>2.76</v>
      </c>
      <c r="C3" s="10">
        <v>2.84</v>
      </c>
      <c r="D3" s="4">
        <f>B3-C3</f>
        <v>-8.0000000000000071E-2</v>
      </c>
      <c r="E3" s="8">
        <v>57.5</v>
      </c>
      <c r="H3" s="12" t="s">
        <v>135</v>
      </c>
      <c r="I3" s="11">
        <v>24</v>
      </c>
    </row>
    <row r="4" spans="2:10">
      <c r="B4" s="9">
        <v>2.96</v>
      </c>
      <c r="C4" s="10">
        <v>1.62</v>
      </c>
      <c r="D4" s="4">
        <f t="shared" ref="D4:D62" si="0">B4-C4</f>
        <v>1.3399999999999999</v>
      </c>
      <c r="E4" s="8">
        <v>47.9</v>
      </c>
      <c r="F4">
        <v>1</v>
      </c>
      <c r="H4" s="12" t="s">
        <v>132</v>
      </c>
      <c r="I4" s="11">
        <v>60</v>
      </c>
    </row>
    <row r="5" spans="2:10">
      <c r="B5" s="9">
        <v>2.5</v>
      </c>
      <c r="C5" s="10">
        <v>2.87</v>
      </c>
      <c r="D5" s="4">
        <f t="shared" si="0"/>
        <v>-0.37000000000000011</v>
      </c>
      <c r="E5" s="8">
        <v>54.6</v>
      </c>
      <c r="H5" s="12" t="s">
        <v>130</v>
      </c>
      <c r="I5" s="11">
        <f>I3/I4</f>
        <v>0.4</v>
      </c>
    </row>
    <row r="6" spans="2:10">
      <c r="B6" s="9">
        <v>2.42</v>
      </c>
      <c r="C6" s="10">
        <v>2.06</v>
      </c>
      <c r="D6" s="4">
        <f t="shared" si="0"/>
        <v>0.35999999999999988</v>
      </c>
      <c r="E6" s="8">
        <v>54.7</v>
      </c>
      <c r="H6" s="12" t="s">
        <v>131</v>
      </c>
      <c r="I6" s="52">
        <f>_xlfn.NORM.S.INV(0.975)</f>
        <v>1.9599639845400536</v>
      </c>
    </row>
    <row r="7" spans="2:10">
      <c r="B7" s="9">
        <v>2.71</v>
      </c>
      <c r="C7" s="10">
        <v>2.17</v>
      </c>
      <c r="D7" s="4">
        <f t="shared" si="0"/>
        <v>0.54</v>
      </c>
      <c r="E7" s="8">
        <v>52.2</v>
      </c>
      <c r="F7">
        <v>1</v>
      </c>
      <c r="H7" s="12" t="s">
        <v>136</v>
      </c>
      <c r="I7" s="52">
        <f>SQRT((I5*(1-I5))/I4)</f>
        <v>6.3245553203367583E-2</v>
      </c>
    </row>
    <row r="8" spans="2:10">
      <c r="B8" s="9">
        <v>3.01</v>
      </c>
      <c r="C8" s="10">
        <v>3.43</v>
      </c>
      <c r="D8" s="4">
        <f t="shared" si="0"/>
        <v>-0.42000000000000037</v>
      </c>
      <c r="E8" s="8">
        <v>52.6</v>
      </c>
      <c r="H8" s="12" t="s">
        <v>14</v>
      </c>
      <c r="I8" s="52">
        <f>I6*I7</f>
        <v>0.12395900646091228</v>
      </c>
    </row>
    <row r="9" spans="2:10">
      <c r="B9" s="9">
        <v>2.97</v>
      </c>
      <c r="C9" s="10">
        <v>1.85</v>
      </c>
      <c r="D9" s="4">
        <f t="shared" si="0"/>
        <v>1.1200000000000001</v>
      </c>
      <c r="E9" s="8">
        <v>60.9</v>
      </c>
      <c r="F9">
        <v>1</v>
      </c>
    </row>
    <row r="10" spans="2:10">
      <c r="B10" s="9">
        <v>3.09</v>
      </c>
      <c r="C10" s="10">
        <v>2.54</v>
      </c>
      <c r="D10" s="4">
        <f t="shared" si="0"/>
        <v>0.54999999999999982</v>
      </c>
      <c r="E10" s="8">
        <v>61.3</v>
      </c>
      <c r="F10">
        <v>1</v>
      </c>
      <c r="I10" s="9" t="s">
        <v>7</v>
      </c>
      <c r="J10" s="9" t="s">
        <v>8</v>
      </c>
    </row>
    <row r="11" spans="2:10">
      <c r="B11" s="9">
        <v>2.4900000000000002</v>
      </c>
      <c r="C11" s="10">
        <v>3.09</v>
      </c>
      <c r="D11" s="4">
        <f t="shared" si="0"/>
        <v>-0.59999999999999964</v>
      </c>
      <c r="E11" s="8">
        <v>53</v>
      </c>
      <c r="H11" s="6" t="s">
        <v>133</v>
      </c>
      <c r="I11" s="52">
        <f>I5-I8</f>
        <v>0.27604099353908773</v>
      </c>
      <c r="J11" s="52">
        <f>I5+I8</f>
        <v>0.52395900646091231</v>
      </c>
    </row>
    <row r="12" spans="2:10">
      <c r="B12" s="9">
        <v>2.75</v>
      </c>
      <c r="C12" s="10">
        <v>1.63</v>
      </c>
      <c r="D12" s="4">
        <f t="shared" si="0"/>
        <v>1.1200000000000001</v>
      </c>
      <c r="E12" s="8">
        <v>51.9</v>
      </c>
      <c r="F12">
        <v>1</v>
      </c>
    </row>
    <row r="13" spans="2:10">
      <c r="B13" s="9">
        <v>2.3199999999999998</v>
      </c>
      <c r="C13" s="10">
        <v>1.52</v>
      </c>
      <c r="D13" s="4">
        <f t="shared" si="0"/>
        <v>0.79999999999999982</v>
      </c>
      <c r="E13" s="8">
        <v>56.1</v>
      </c>
      <c r="F13">
        <v>1</v>
      </c>
    </row>
    <row r="14" spans="2:10">
      <c r="B14" s="9">
        <v>2.2200000000000002</v>
      </c>
      <c r="C14" s="10">
        <v>1.82</v>
      </c>
      <c r="D14" s="4">
        <f t="shared" si="0"/>
        <v>0.40000000000000013</v>
      </c>
      <c r="E14" s="8">
        <v>47.8</v>
      </c>
    </row>
    <row r="15" spans="2:10">
      <c r="B15" s="9">
        <v>2.6</v>
      </c>
      <c r="C15" s="10">
        <v>1.81</v>
      </c>
      <c r="D15" s="4">
        <f t="shared" si="0"/>
        <v>0.79</v>
      </c>
      <c r="E15" s="8">
        <v>48</v>
      </c>
      <c r="F15">
        <v>1</v>
      </c>
    </row>
    <row r="16" spans="2:10">
      <c r="B16" s="9">
        <v>3.11</v>
      </c>
      <c r="C16" s="10">
        <v>2.8</v>
      </c>
      <c r="D16" s="4">
        <f t="shared" si="0"/>
        <v>0.31000000000000005</v>
      </c>
      <c r="E16" s="8">
        <v>59</v>
      </c>
    </row>
    <row r="17" spans="2:6">
      <c r="B17" s="9">
        <v>2.84</v>
      </c>
      <c r="C17" s="10">
        <v>3.38</v>
      </c>
      <c r="D17" s="4">
        <f t="shared" si="0"/>
        <v>-0.54</v>
      </c>
      <c r="E17" s="8">
        <v>50.3</v>
      </c>
    </row>
    <row r="18" spans="2:6">
      <c r="B18" s="9">
        <v>2.52</v>
      </c>
      <c r="C18" s="10">
        <v>2.78</v>
      </c>
      <c r="D18" s="4">
        <f t="shared" si="0"/>
        <v>-0.25999999999999979</v>
      </c>
      <c r="E18" s="8">
        <v>48.4</v>
      </c>
    </row>
    <row r="19" spans="2:6">
      <c r="B19" s="9">
        <v>2.58</v>
      </c>
      <c r="C19" s="10">
        <v>1.71</v>
      </c>
      <c r="D19" s="4">
        <f t="shared" si="0"/>
        <v>0.87000000000000011</v>
      </c>
      <c r="E19" s="8">
        <v>51.8</v>
      </c>
      <c r="F19">
        <v>1</v>
      </c>
    </row>
    <row r="20" spans="2:6">
      <c r="B20" s="9">
        <v>3.1</v>
      </c>
      <c r="C20" s="10">
        <v>2.0699999999999998</v>
      </c>
      <c r="D20" s="4">
        <f t="shared" si="0"/>
        <v>1.0300000000000002</v>
      </c>
      <c r="E20" s="8">
        <v>45.1</v>
      </c>
      <c r="F20">
        <v>1</v>
      </c>
    </row>
    <row r="21" spans="2:6">
      <c r="B21" s="9">
        <v>3.02</v>
      </c>
      <c r="C21" s="10">
        <v>3.29</v>
      </c>
      <c r="D21" s="4">
        <f t="shared" si="0"/>
        <v>-0.27</v>
      </c>
      <c r="E21" s="8">
        <v>55.1</v>
      </c>
    </row>
    <row r="22" spans="2:6">
      <c r="B22" s="9">
        <v>2.86</v>
      </c>
      <c r="C22" s="10">
        <v>3.28</v>
      </c>
      <c r="D22" s="4">
        <f t="shared" si="0"/>
        <v>-0.41999999999999993</v>
      </c>
      <c r="E22" s="8">
        <v>46.4</v>
      </c>
    </row>
    <row r="23" spans="2:6">
      <c r="B23" s="9">
        <v>3.04</v>
      </c>
      <c r="C23" s="10">
        <v>2.64</v>
      </c>
      <c r="D23" s="4">
        <f t="shared" si="0"/>
        <v>0.39999999999999991</v>
      </c>
      <c r="E23" s="8">
        <v>48.6</v>
      </c>
    </row>
    <row r="24" spans="2:6">
      <c r="B24" s="9">
        <v>2.35</v>
      </c>
      <c r="C24" s="10">
        <v>1.75</v>
      </c>
      <c r="D24" s="4">
        <f t="shared" si="0"/>
        <v>0.60000000000000009</v>
      </c>
      <c r="E24" s="8">
        <v>48.2</v>
      </c>
      <c r="F24">
        <v>1</v>
      </c>
    </row>
    <row r="25" spans="2:6">
      <c r="B25" s="9">
        <v>2.89</v>
      </c>
      <c r="C25" s="10">
        <v>3.25</v>
      </c>
      <c r="D25" s="4">
        <f t="shared" si="0"/>
        <v>-0.35999999999999988</v>
      </c>
      <c r="E25" s="8">
        <v>52.3</v>
      </c>
    </row>
    <row r="26" spans="2:6">
      <c r="B26" s="9">
        <v>2.34</v>
      </c>
      <c r="C26" s="10">
        <v>1.81</v>
      </c>
      <c r="D26" s="4">
        <f t="shared" si="0"/>
        <v>0.5299999999999998</v>
      </c>
      <c r="E26" s="8">
        <v>53.6</v>
      </c>
      <c r="F26">
        <v>1</v>
      </c>
    </row>
    <row r="27" spans="2:6">
      <c r="B27" s="9">
        <v>2.81</v>
      </c>
      <c r="C27" s="10">
        <v>3.15</v>
      </c>
      <c r="D27" s="4">
        <f t="shared" si="0"/>
        <v>-0.33999999999999986</v>
      </c>
      <c r="E27" s="8">
        <v>43.9</v>
      </c>
    </row>
    <row r="28" spans="2:6">
      <c r="B28" s="9">
        <v>2.39</v>
      </c>
      <c r="C28" s="10">
        <v>2.5499999999999998</v>
      </c>
      <c r="D28" s="4">
        <f t="shared" si="0"/>
        <v>-0.1599999999999997</v>
      </c>
      <c r="E28" s="8">
        <v>50.6</v>
      </c>
    </row>
    <row r="29" spans="2:6">
      <c r="B29" s="9">
        <v>2.73</v>
      </c>
      <c r="C29" s="10">
        <v>2.0499999999999998</v>
      </c>
      <c r="D29" s="4">
        <f t="shared" si="0"/>
        <v>0.68000000000000016</v>
      </c>
      <c r="E29" s="8">
        <v>56.3</v>
      </c>
      <c r="F29">
        <v>1</v>
      </c>
    </row>
    <row r="30" spans="2:6">
      <c r="B30" s="9">
        <v>2.4900000000000002</v>
      </c>
      <c r="C30" s="10">
        <v>2.19</v>
      </c>
      <c r="D30" s="4">
        <f t="shared" si="0"/>
        <v>0.30000000000000027</v>
      </c>
      <c r="E30" s="8">
        <v>50.7</v>
      </c>
    </row>
    <row r="31" spans="2:6">
      <c r="B31" s="9">
        <v>2.74</v>
      </c>
      <c r="C31" s="10">
        <v>1.91</v>
      </c>
      <c r="D31" s="4">
        <f t="shared" si="0"/>
        <v>0.83000000000000029</v>
      </c>
      <c r="E31" s="8">
        <v>49.8</v>
      </c>
      <c r="F31">
        <v>1</v>
      </c>
    </row>
    <row r="32" spans="2:6">
      <c r="B32" s="9">
        <v>2.73</v>
      </c>
      <c r="C32" s="10">
        <v>2.3199999999999998</v>
      </c>
      <c r="D32" s="4">
        <f t="shared" si="0"/>
        <v>0.41000000000000014</v>
      </c>
      <c r="E32" s="8">
        <v>53.1</v>
      </c>
    </row>
    <row r="33" spans="2:6">
      <c r="B33" s="9">
        <v>2.52</v>
      </c>
      <c r="C33" s="10">
        <v>2.0699999999999998</v>
      </c>
      <c r="D33" s="4">
        <f t="shared" si="0"/>
        <v>0.45000000000000018</v>
      </c>
      <c r="E33" s="8">
        <v>47.9</v>
      </c>
    </row>
    <row r="34" spans="2:6">
      <c r="B34" s="9">
        <v>2.66</v>
      </c>
      <c r="C34" s="10">
        <v>1.95</v>
      </c>
      <c r="D34" s="4">
        <f t="shared" si="0"/>
        <v>0.71000000000000019</v>
      </c>
      <c r="E34" s="8">
        <v>47.6</v>
      </c>
      <c r="F34">
        <v>1</v>
      </c>
    </row>
    <row r="35" spans="2:6">
      <c r="B35" s="9">
        <v>2.54</v>
      </c>
      <c r="C35" s="10">
        <v>1.74</v>
      </c>
      <c r="D35" s="4">
        <f t="shared" si="0"/>
        <v>0.8</v>
      </c>
      <c r="E35" s="8">
        <v>43.3</v>
      </c>
      <c r="F35">
        <v>1</v>
      </c>
    </row>
    <row r="36" spans="2:6">
      <c r="B36" s="9">
        <v>3.06</v>
      </c>
      <c r="C36" s="10">
        <v>1.76</v>
      </c>
      <c r="D36" s="4">
        <f t="shared" si="0"/>
        <v>1.3</v>
      </c>
      <c r="E36" s="8">
        <v>51.1</v>
      </c>
      <c r="F36">
        <v>1</v>
      </c>
    </row>
    <row r="37" spans="2:6">
      <c r="B37" s="9">
        <v>2.78</v>
      </c>
      <c r="C37" s="10">
        <v>2.41</v>
      </c>
      <c r="D37" s="4">
        <f t="shared" si="0"/>
        <v>0.36999999999999966</v>
      </c>
      <c r="E37" s="8">
        <v>53.4</v>
      </c>
    </row>
    <row r="38" spans="2:6">
      <c r="B38" s="9">
        <v>2.81</v>
      </c>
      <c r="C38" s="10">
        <v>3.33</v>
      </c>
      <c r="D38" s="4">
        <f t="shared" si="0"/>
        <v>-0.52</v>
      </c>
      <c r="E38" s="8">
        <v>47.3</v>
      </c>
    </row>
    <row r="39" spans="2:6">
      <c r="B39" s="9">
        <v>2.97</v>
      </c>
      <c r="C39" s="10">
        <v>1.62</v>
      </c>
      <c r="D39" s="4">
        <f t="shared" si="0"/>
        <v>1.35</v>
      </c>
      <c r="E39" s="8">
        <v>50.1</v>
      </c>
      <c r="F39">
        <v>1</v>
      </c>
    </row>
    <row r="40" spans="2:6">
      <c r="B40" s="9">
        <v>3.27</v>
      </c>
      <c r="C40" s="10">
        <v>2.37</v>
      </c>
      <c r="D40" s="4">
        <f t="shared" si="0"/>
        <v>0.89999999999999991</v>
      </c>
      <c r="E40" s="8">
        <v>44.8</v>
      </c>
      <c r="F40">
        <v>1</v>
      </c>
    </row>
    <row r="41" spans="2:6">
      <c r="B41" s="9">
        <v>2.96</v>
      </c>
      <c r="C41" s="10">
        <v>2.25</v>
      </c>
      <c r="D41" s="4">
        <f t="shared" si="0"/>
        <v>0.71</v>
      </c>
      <c r="E41" s="8">
        <v>50.6</v>
      </c>
      <c r="F41">
        <v>1</v>
      </c>
    </row>
    <row r="42" spans="2:6">
      <c r="B42" s="9">
        <v>2.5099999999999998</v>
      </c>
      <c r="C42" s="10">
        <v>2.5299999999999998</v>
      </c>
      <c r="D42" s="4">
        <f t="shared" si="0"/>
        <v>-2.0000000000000018E-2</v>
      </c>
      <c r="E42" s="8">
        <v>42.6</v>
      </c>
    </row>
    <row r="43" spans="2:6">
      <c r="B43" s="9">
        <v>3.09</v>
      </c>
      <c r="C43" s="10">
        <v>3.31</v>
      </c>
      <c r="D43" s="4">
        <f t="shared" si="0"/>
        <v>-0.2200000000000002</v>
      </c>
      <c r="E43" s="8">
        <v>61.2</v>
      </c>
    </row>
    <row r="44" spans="2:6">
      <c r="B44" s="9">
        <v>2.83</v>
      </c>
      <c r="C44" s="10">
        <v>3.45</v>
      </c>
      <c r="D44" s="4">
        <f t="shared" si="0"/>
        <v>-0.62000000000000011</v>
      </c>
      <c r="E44" s="8">
        <v>55.5</v>
      </c>
    </row>
    <row r="45" spans="2:6">
      <c r="B45" s="9">
        <v>2.95</v>
      </c>
      <c r="C45" s="10">
        <v>2.02</v>
      </c>
      <c r="D45" s="4">
        <f t="shared" si="0"/>
        <v>0.93000000000000016</v>
      </c>
      <c r="E45" s="8">
        <v>55</v>
      </c>
      <c r="F45">
        <v>1</v>
      </c>
    </row>
    <row r="46" spans="2:6">
      <c r="B46" s="9">
        <v>2.42</v>
      </c>
      <c r="C46" s="10">
        <v>3.07</v>
      </c>
      <c r="D46" s="4">
        <f t="shared" si="0"/>
        <v>-0.64999999999999991</v>
      </c>
      <c r="E46" s="8">
        <v>40.9</v>
      </c>
    </row>
    <row r="47" spans="2:6">
      <c r="B47" s="9">
        <v>2.94</v>
      </c>
      <c r="C47" s="10">
        <v>2.54</v>
      </c>
      <c r="D47" s="4">
        <f t="shared" si="0"/>
        <v>0.39999999999999991</v>
      </c>
      <c r="E47" s="8">
        <v>50.7</v>
      </c>
    </row>
    <row r="48" spans="2:6">
      <c r="B48" s="9">
        <v>3.1</v>
      </c>
      <c r="C48" s="10">
        <v>2.75</v>
      </c>
      <c r="D48" s="4">
        <f t="shared" si="0"/>
        <v>0.35000000000000009</v>
      </c>
      <c r="E48" s="8">
        <v>48.2</v>
      </c>
    </row>
    <row r="49" spans="2:6">
      <c r="B49" s="9">
        <v>3.03</v>
      </c>
      <c r="C49" s="10">
        <v>3.12</v>
      </c>
      <c r="D49" s="4">
        <f t="shared" si="0"/>
        <v>-9.0000000000000302E-2</v>
      </c>
      <c r="E49" s="8">
        <v>59.1</v>
      </c>
    </row>
    <row r="50" spans="2:6">
      <c r="B50" s="9">
        <v>2.73</v>
      </c>
      <c r="C50" s="10">
        <v>2.0699999999999998</v>
      </c>
      <c r="D50" s="4">
        <f t="shared" si="0"/>
        <v>0.66000000000000014</v>
      </c>
      <c r="E50" s="8">
        <v>58.4</v>
      </c>
      <c r="F50">
        <v>1</v>
      </c>
    </row>
    <row r="51" spans="2:6">
      <c r="B51" s="9">
        <v>2.04</v>
      </c>
      <c r="C51" s="10">
        <v>2.75</v>
      </c>
      <c r="D51" s="4">
        <f t="shared" si="0"/>
        <v>-0.71</v>
      </c>
      <c r="E51" s="8">
        <v>42.9</v>
      </c>
    </row>
    <row r="52" spans="2:6">
      <c r="B52" s="9">
        <v>2.67</v>
      </c>
      <c r="C52" s="10">
        <v>1.87</v>
      </c>
      <c r="D52" s="4">
        <f t="shared" si="0"/>
        <v>0.79999999999999982</v>
      </c>
      <c r="E52" s="8">
        <v>64.099999999999994</v>
      </c>
      <c r="F52">
        <v>1</v>
      </c>
    </row>
    <row r="53" spans="2:6">
      <c r="B53" s="9">
        <v>2.52</v>
      </c>
      <c r="C53" s="10">
        <v>2.64</v>
      </c>
      <c r="D53" s="4">
        <f t="shared" si="0"/>
        <v>-0.12000000000000011</v>
      </c>
      <c r="E53" s="8">
        <v>57.9</v>
      </c>
    </row>
    <row r="54" spans="2:6">
      <c r="B54" s="9">
        <v>2.36</v>
      </c>
      <c r="C54" s="10">
        <v>2.16</v>
      </c>
      <c r="D54" s="4">
        <f t="shared" si="0"/>
        <v>0.19999999999999973</v>
      </c>
      <c r="E54" s="8">
        <v>46.1</v>
      </c>
    </row>
    <row r="55" spans="2:6">
      <c r="B55" s="9">
        <v>2.3199999999999998</v>
      </c>
      <c r="C55" s="10">
        <v>2.2000000000000002</v>
      </c>
      <c r="D55" s="4">
        <f t="shared" si="0"/>
        <v>0.11999999999999966</v>
      </c>
      <c r="E55" s="8">
        <v>59.5</v>
      </c>
    </row>
    <row r="56" spans="2:6">
      <c r="B56" s="9">
        <v>2.76</v>
      </c>
      <c r="C56" s="10">
        <v>1.94</v>
      </c>
      <c r="D56" s="4">
        <f t="shared" si="0"/>
        <v>0.81999999999999984</v>
      </c>
      <c r="E56" s="8">
        <v>46.9</v>
      </c>
      <c r="F56">
        <v>1</v>
      </c>
    </row>
    <row r="57" spans="2:6">
      <c r="B57" s="9">
        <v>2.86</v>
      </c>
      <c r="C57" s="10">
        <v>3.05</v>
      </c>
      <c r="D57" s="4">
        <f t="shared" si="0"/>
        <v>-0.18999999999999995</v>
      </c>
      <c r="E57" s="8">
        <v>52.5</v>
      </c>
    </row>
    <row r="58" spans="2:6">
      <c r="B58" s="9">
        <v>3.16</v>
      </c>
      <c r="C58" s="10">
        <v>2.85</v>
      </c>
      <c r="D58" s="4">
        <f t="shared" si="0"/>
        <v>0.31000000000000005</v>
      </c>
      <c r="E58" s="8">
        <v>48.5</v>
      </c>
    </row>
    <row r="59" spans="2:6">
      <c r="B59" s="9">
        <v>2.99</v>
      </c>
      <c r="C59" s="10">
        <v>3.38</v>
      </c>
      <c r="D59" s="4">
        <f t="shared" si="0"/>
        <v>-0.38999999999999968</v>
      </c>
      <c r="E59" s="8">
        <v>43.5</v>
      </c>
    </row>
    <row r="60" spans="2:6">
      <c r="B60" s="9">
        <v>3.13</v>
      </c>
      <c r="C60" s="10">
        <v>1.56</v>
      </c>
      <c r="D60" s="4">
        <f t="shared" si="0"/>
        <v>1.5699999999999998</v>
      </c>
      <c r="E60" s="8">
        <v>47.5</v>
      </c>
      <c r="F60">
        <v>1</v>
      </c>
    </row>
    <row r="61" spans="2:6">
      <c r="B61" s="9">
        <v>2.59</v>
      </c>
      <c r="C61" s="10">
        <v>2.14</v>
      </c>
      <c r="D61" s="4">
        <f t="shared" si="0"/>
        <v>0.44999999999999973</v>
      </c>
      <c r="E61" s="8">
        <v>55.7</v>
      </c>
    </row>
    <row r="62" spans="2:6">
      <c r="B62" s="9">
        <v>3.12</v>
      </c>
      <c r="C62" s="10">
        <v>3.07</v>
      </c>
      <c r="D62" s="4">
        <f t="shared" si="0"/>
        <v>5.0000000000000266E-2</v>
      </c>
      <c r="E62" s="8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D13"/>
  <sheetViews>
    <sheetView showGridLines="0" workbookViewId="0">
      <selection activeCell="F9" sqref="F9"/>
    </sheetView>
  </sheetViews>
  <sheetFormatPr baseColWidth="10" defaultColWidth="8.83203125" defaultRowHeight="13"/>
  <cols>
    <col min="2" max="2" width="55.6640625" customWidth="1"/>
    <col min="3" max="3" width="12" bestFit="1" customWidth="1"/>
    <col min="5" max="6" width="12" bestFit="1" customWidth="1"/>
  </cols>
  <sheetData>
    <row r="2" spans="2:4">
      <c r="B2" s="9" t="s">
        <v>77</v>
      </c>
    </row>
    <row r="4" spans="2:4">
      <c r="B4" s="13" t="s">
        <v>0</v>
      </c>
      <c r="C4" s="11">
        <f>AVERAGE('Raw Data'!C3:C62)</f>
        <v>96.990000000000009</v>
      </c>
    </row>
    <row r="5" spans="2:4">
      <c r="B5" s="13" t="s">
        <v>10</v>
      </c>
      <c r="C5" s="11">
        <f>_xlfn.STDEV.S('Raw Data'!C3:C62)</f>
        <v>20.2360116992336</v>
      </c>
    </row>
    <row r="6" spans="2:4">
      <c r="B6" s="13" t="s">
        <v>11</v>
      </c>
      <c r="C6" s="11">
        <v>60</v>
      </c>
    </row>
    <row r="7" spans="2:4">
      <c r="B7" s="13" t="s">
        <v>13</v>
      </c>
      <c r="C7" s="11">
        <v>59</v>
      </c>
    </row>
    <row r="8" spans="2:4">
      <c r="B8" s="13" t="s">
        <v>4</v>
      </c>
      <c r="C8" s="11">
        <f>C5/SQRT(C6)</f>
        <v>2.6124578768263396</v>
      </c>
    </row>
    <row r="9" spans="2:4">
      <c r="B9" s="13" t="s">
        <v>52</v>
      </c>
      <c r="C9" s="11">
        <f>_xlfn.T.INV.2T(0.05,59)</f>
        <v>2.0009953780882688</v>
      </c>
    </row>
    <row r="10" spans="2:4">
      <c r="B10" s="13" t="s">
        <v>14</v>
      </c>
      <c r="C10" s="11">
        <f>C8*C9</f>
        <v>5.2275161369797969</v>
      </c>
    </row>
    <row r="12" spans="2:4">
      <c r="C12" s="9" t="s">
        <v>7</v>
      </c>
      <c r="D12" s="9" t="s">
        <v>8</v>
      </c>
    </row>
    <row r="13" spans="2:4">
      <c r="B13" s="6" t="s">
        <v>168</v>
      </c>
      <c r="C13" s="11">
        <f>C4-C10</f>
        <v>91.762483863020208</v>
      </c>
      <c r="D13" s="11">
        <f>C4+C10</f>
        <v>102.21751613697981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E28"/>
  <sheetViews>
    <sheetView showGridLines="0" topLeftCell="A15" workbookViewId="0">
      <selection activeCell="G22" sqref="G22"/>
    </sheetView>
  </sheetViews>
  <sheetFormatPr baseColWidth="10" defaultColWidth="8.83203125" defaultRowHeight="13"/>
  <cols>
    <col min="2" max="2" width="38.33203125" customWidth="1"/>
    <col min="3" max="3" width="13.83203125" bestFit="1" customWidth="1"/>
    <col min="4" max="4" width="9.1640625" customWidth="1"/>
  </cols>
  <sheetData>
    <row r="2" spans="2:4">
      <c r="B2" s="9" t="s">
        <v>141</v>
      </c>
    </row>
    <row r="4" spans="2:4">
      <c r="B4" s="13" t="s">
        <v>0</v>
      </c>
      <c r="C4" s="11">
        <f>AVERAGE('Raw Data'!D3:D62)</f>
        <v>51.524999999999977</v>
      </c>
    </row>
    <row r="5" spans="2:4">
      <c r="B5" s="13" t="s">
        <v>10</v>
      </c>
      <c r="C5" s="11">
        <f>_xlfn.STDEV.S('Raw Data'!D3:D62)</f>
        <v>5.3439852138740136</v>
      </c>
    </row>
    <row r="6" spans="2:4">
      <c r="B6" s="13" t="s">
        <v>11</v>
      </c>
      <c r="C6" s="11">
        <v>60</v>
      </c>
    </row>
    <row r="7" spans="2:4">
      <c r="B7" s="13" t="s">
        <v>13</v>
      </c>
      <c r="C7" s="11">
        <f>C6-1</f>
        <v>59</v>
      </c>
    </row>
    <row r="8" spans="2:4">
      <c r="B8" s="13" t="s">
        <v>4</v>
      </c>
      <c r="C8" s="11">
        <f>C5/SQRT(C6)</f>
        <v>0.68990552452375786</v>
      </c>
    </row>
    <row r="9" spans="2:4">
      <c r="B9" s="13" t="s">
        <v>12</v>
      </c>
      <c r="C9" s="11">
        <f>_xlfn.T.INV.2T(0.05,C7)</f>
        <v>2.0009953780882688</v>
      </c>
    </row>
    <row r="10" spans="2:4">
      <c r="B10" s="13" t="s">
        <v>14</v>
      </c>
      <c r="C10" s="11">
        <f>C8*C9</f>
        <v>1.3804977658896023</v>
      </c>
    </row>
    <row r="12" spans="2:4">
      <c r="C12" s="15" t="s">
        <v>7</v>
      </c>
      <c r="D12" s="15" t="s">
        <v>8</v>
      </c>
    </row>
    <row r="13" spans="2:4">
      <c r="B13" s="6" t="s">
        <v>140</v>
      </c>
      <c r="C13" s="24">
        <f>C4-C10</f>
        <v>50.144502234110377</v>
      </c>
      <c r="D13" s="24">
        <f>C4+C10</f>
        <v>52.905497765889578</v>
      </c>
    </row>
    <row r="17" spans="2:5">
      <c r="B17" s="9" t="s">
        <v>142</v>
      </c>
      <c r="C17" s="9"/>
      <c r="D17" s="9"/>
      <c r="E17" s="9"/>
    </row>
    <row r="19" spans="2:5">
      <c r="B19" s="13" t="s">
        <v>0</v>
      </c>
      <c r="C19" s="11">
        <f>AVERAGE('Proportion Over $.50 Difference'!E4,'Proportion Over $.50 Difference'!E7,'Proportion Over $.50 Difference'!E9,'Proportion Over $.50 Difference'!E10,'Proportion Over $.50 Difference'!E12,'Proportion Over $.50 Difference'!E13,'Proportion Over $.50 Difference'!E15,'Proportion Over $.50 Difference'!E19,'Proportion Over $.50 Difference'!E20,'Proportion Over $.50 Difference'!E24,'Proportion Over $.50 Difference'!E26,'Proportion Over $.50 Difference'!E29,'Proportion Over $.50 Difference'!E31,'Proportion Over $.50 Difference'!E34,'Proportion Over $.50 Difference'!E35,'Proportion Over $.50 Difference'!E36,'Proportion Over $.50 Difference'!E39,'Proportion Over $.50 Difference'!E40,'Proportion Over $.50 Difference'!E41,'Proportion Over $.50 Difference'!E45,'Proportion Over $.50 Difference'!E50,'Proportion Over $.50 Difference'!E52,'Proportion Over $.50 Difference'!E56,'Proportion Over $.50 Difference'!E60)</f>
        <v>51.770833333333336</v>
      </c>
    </row>
    <row r="20" spans="2:5">
      <c r="B20" s="13" t="s">
        <v>10</v>
      </c>
      <c r="C20" s="11">
        <f>_xlfn.STDEV.S('Proportion Over $.50 Difference'!E4,'Proportion Over $.50 Difference'!E7,'Proportion Over $.50 Difference'!E9,'Proportion Over $.50 Difference'!E10,'Proportion Over $.50 Difference'!E12,'Proportion Over $.50 Difference'!E13,'Proportion Over $.50 Difference'!E15,'Proportion Over $.50 Difference'!E19,'Proportion Over $.50 Difference'!E20,'Proportion Over $.50 Difference'!E24,'Proportion Over $.50 Difference'!E26,'Proportion Over $.50 Difference'!E29,'Proportion Over $.50 Difference'!E31,'Proportion Over $.50 Difference'!E34,'Proportion Over $.50 Difference'!E35,'Proportion Over $.50 Difference'!E36,'Proportion Over $.50 Difference'!E39,'Proportion Over $.50 Difference'!E40,'Proportion Over $.50 Difference'!E41,'Proportion Over $.50 Difference'!E45,'Proportion Over $.50 Difference'!E50,'Proportion Over $.50 Difference'!E52,'Proportion Over $.50 Difference'!E56,'Proportion Over $.50 Difference'!E60)</f>
        <v>5.5088449958594685</v>
      </c>
    </row>
    <row r="21" spans="2:5">
      <c r="B21" s="13" t="s">
        <v>11</v>
      </c>
      <c r="C21" s="11">
        <v>24</v>
      </c>
    </row>
    <row r="22" spans="2:5">
      <c r="B22" s="13" t="s">
        <v>13</v>
      </c>
      <c r="C22" s="11">
        <v>23</v>
      </c>
    </row>
    <row r="23" spans="2:5">
      <c r="B23" s="13" t="s">
        <v>137</v>
      </c>
      <c r="C23" s="11">
        <f>C20/SQRT(C21)</f>
        <v>1.1244882759950174</v>
      </c>
    </row>
    <row r="24" spans="2:5">
      <c r="B24" s="13" t="s">
        <v>138</v>
      </c>
      <c r="C24" s="11">
        <f>_xlfn.T.INV.2T(0.05,C22)</f>
        <v>2.0686576104190491</v>
      </c>
    </row>
    <row r="25" spans="2:5">
      <c r="B25" s="13" t="s">
        <v>14</v>
      </c>
      <c r="C25" s="11">
        <f>C23*C24</f>
        <v>2.3261812299640887</v>
      </c>
    </row>
    <row r="27" spans="2:5">
      <c r="C27" s="9" t="s">
        <v>7</v>
      </c>
      <c r="D27" s="9" t="s">
        <v>8</v>
      </c>
    </row>
    <row r="28" spans="2:5">
      <c r="B28" s="6" t="s">
        <v>139</v>
      </c>
      <c r="C28" s="53">
        <f>C19-C25</f>
        <v>49.444652103369251</v>
      </c>
      <c r="D28" s="53">
        <f>C19+C25</f>
        <v>54.097014563297421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6"/>
  <sheetViews>
    <sheetView showGridLines="0" topLeftCell="A29" zoomScale="85" zoomScaleNormal="85" workbookViewId="0">
      <selection activeCell="C33" sqref="C33"/>
    </sheetView>
  </sheetViews>
  <sheetFormatPr baseColWidth="10" defaultColWidth="8.83203125" defaultRowHeight="13"/>
  <cols>
    <col min="1" max="1" width="15.33203125" customWidth="1"/>
    <col min="2" max="2" width="67.6640625" bestFit="1" customWidth="1"/>
    <col min="3" max="3" width="56" bestFit="1" customWidth="1"/>
    <col min="4" max="4" width="12" bestFit="1" customWidth="1"/>
  </cols>
  <sheetData>
    <row r="2" spans="2:3">
      <c r="B2" s="9" t="s">
        <v>144</v>
      </c>
    </row>
    <row r="4" spans="2:3">
      <c r="B4" s="4" t="s">
        <v>143</v>
      </c>
    </row>
    <row r="5" spans="2:3">
      <c r="B5" s="4" t="s">
        <v>145</v>
      </c>
    </row>
    <row r="7" spans="2:3">
      <c r="B7" s="9" t="s">
        <v>146</v>
      </c>
    </row>
    <row r="8" spans="2:3">
      <c r="B8" s="12" t="s">
        <v>0</v>
      </c>
      <c r="C8" s="11">
        <f>AVERAGE('Raw Data'!F3:F62)</f>
        <v>2.7505000000000002</v>
      </c>
    </row>
    <row r="9" spans="2:3">
      <c r="B9" s="12" t="s">
        <v>6</v>
      </c>
      <c r="C9" s="11">
        <f>_xlfn.VAR.S('Raw Data'!F3:F62)</f>
        <v>7.8726864406778493E-2</v>
      </c>
    </row>
    <row r="10" spans="2:3">
      <c r="B10" s="12" t="s">
        <v>11</v>
      </c>
      <c r="C10" s="11">
        <v>60</v>
      </c>
    </row>
    <row r="12" spans="2:3">
      <c r="B12" s="15" t="s">
        <v>147</v>
      </c>
    </row>
    <row r="13" spans="2:3">
      <c r="B13" s="12" t="s">
        <v>0</v>
      </c>
      <c r="C13" s="16">
        <f>AVERAGE('Raw Data'!G3:G62)</f>
        <v>2.4358333333333331</v>
      </c>
    </row>
    <row r="14" spans="2:3">
      <c r="B14" s="12" t="s">
        <v>6</v>
      </c>
      <c r="C14" s="16">
        <f>_xlfn.VAR.S('Raw Data'!G3:G62)</f>
        <v>0.34799420903954692</v>
      </c>
    </row>
    <row r="15" spans="2:3">
      <c r="B15" s="12" t="s">
        <v>11</v>
      </c>
      <c r="C15" s="16">
        <v>60</v>
      </c>
    </row>
    <row r="18" spans="2:3">
      <c r="B18" s="12" t="s">
        <v>148</v>
      </c>
      <c r="C18" s="11">
        <f>C8-C13</f>
        <v>0.31466666666666709</v>
      </c>
    </row>
    <row r="19" spans="2:3">
      <c r="B19" s="12" t="s">
        <v>15</v>
      </c>
      <c r="C19" s="11">
        <f>SQRT((C9/C10)+(C14/C15))</f>
        <v>8.433278064176522E-2</v>
      </c>
    </row>
    <row r="21" spans="2:3">
      <c r="B21" s="12" t="s">
        <v>13</v>
      </c>
      <c r="C21" s="11">
        <f>(2*60)-2</f>
        <v>118</v>
      </c>
    </row>
    <row r="23" spans="2:3">
      <c r="B23" s="12" t="s">
        <v>16</v>
      </c>
      <c r="C23" s="11">
        <f>C18/C19</f>
        <v>3.7312497497661146</v>
      </c>
    </row>
    <row r="24" spans="2:3">
      <c r="B24" s="6" t="s">
        <v>21</v>
      </c>
      <c r="C24" s="11">
        <f>_xlfn.T.DIST.2T(C23,C21)</f>
        <v>2.944824017246177E-4</v>
      </c>
    </row>
    <row r="25" spans="2:3">
      <c r="B25" s="6" t="s">
        <v>23</v>
      </c>
      <c r="C25" s="11">
        <f>1-C24</f>
        <v>0.99970551759827542</v>
      </c>
    </row>
    <row r="27" spans="2:3">
      <c r="B27" s="17" t="s">
        <v>9</v>
      </c>
      <c r="C27" s="6" t="s">
        <v>78</v>
      </c>
    </row>
    <row r="28" spans="2:3">
      <c r="C28" s="6" t="s">
        <v>47</v>
      </c>
    </row>
    <row r="30" spans="2:3">
      <c r="B30" s="12" t="s">
        <v>17</v>
      </c>
      <c r="C30" s="11">
        <f>C8-C13</f>
        <v>0.31466666666666709</v>
      </c>
    </row>
    <row r="31" spans="2:3">
      <c r="B31" s="12" t="s">
        <v>19</v>
      </c>
      <c r="C31" s="11">
        <f>SQRT((C9/C10)+(C14/C15))</f>
        <v>8.433278064176522E-2</v>
      </c>
    </row>
    <row r="32" spans="2:3">
      <c r="B32" s="12" t="s">
        <v>18</v>
      </c>
      <c r="C32" s="11">
        <f>_xlfn.T.INV.2T(0.05,118)</f>
        <v>1.9802722492729716</v>
      </c>
    </row>
    <row r="33" spans="2:4">
      <c r="B33" s="12" t="s">
        <v>14</v>
      </c>
      <c r="C33" s="11">
        <f>C31*C32</f>
        <v>0.16700186520891253</v>
      </c>
    </row>
    <row r="35" spans="2:4">
      <c r="C35" s="21" t="s">
        <v>7</v>
      </c>
      <c r="D35" s="21" t="s">
        <v>8</v>
      </c>
    </row>
    <row r="36" spans="2:4">
      <c r="B36" s="6" t="s">
        <v>50</v>
      </c>
      <c r="C36" s="24">
        <f>C30-C33</f>
        <v>0.14766480145775457</v>
      </c>
      <c r="D36" s="24">
        <f>C30+C33</f>
        <v>0.48166853187557962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3"/>
  <sheetViews>
    <sheetView showGridLines="0" workbookViewId="0">
      <selection activeCell="E4" sqref="E4"/>
    </sheetView>
  </sheetViews>
  <sheetFormatPr baseColWidth="10" defaultColWidth="8.83203125" defaultRowHeight="13"/>
  <cols>
    <col min="1" max="1" width="9.1640625" customWidth="1"/>
    <col min="2" max="2" width="35.83203125" bestFit="1" customWidth="1"/>
    <col min="3" max="3" width="12" bestFit="1" customWidth="1"/>
    <col min="4" max="4" width="10.6640625" customWidth="1"/>
  </cols>
  <sheetData>
    <row r="2" spans="2:4">
      <c r="B2" s="9" t="s">
        <v>43</v>
      </c>
    </row>
    <row r="4" spans="2:4">
      <c r="B4" s="13" t="s">
        <v>0</v>
      </c>
      <c r="C4" s="11">
        <f>AVERAGE('Raw Data'!F3:F62)</f>
        <v>2.7505000000000002</v>
      </c>
    </row>
    <row r="5" spans="2:4">
      <c r="B5" s="13" t="s">
        <v>10</v>
      </c>
      <c r="C5" s="11">
        <f>_xlfn.STDEV.S('Raw Data'!F3:F62)</f>
        <v>0.28058307933084364</v>
      </c>
    </row>
    <row r="6" spans="2:4">
      <c r="B6" s="13" t="s">
        <v>11</v>
      </c>
      <c r="C6" s="11">
        <v>60</v>
      </c>
    </row>
    <row r="7" spans="2:4">
      <c r="B7" s="13" t="s">
        <v>13</v>
      </c>
      <c r="C7" s="11">
        <v>59</v>
      </c>
    </row>
    <row r="8" spans="2:4">
      <c r="B8" s="13" t="s">
        <v>4</v>
      </c>
      <c r="C8" s="11">
        <f>C5/SQRT(60)</f>
        <v>3.6223119782531732E-2</v>
      </c>
    </row>
    <row r="9" spans="2:4">
      <c r="B9" s="13" t="s">
        <v>12</v>
      </c>
      <c r="C9" s="11">
        <f>_xlfn.T.INV.2T(0.05,59)</f>
        <v>2.0009953780882688</v>
      </c>
    </row>
    <row r="10" spans="2:4">
      <c r="B10" s="13" t="s">
        <v>14</v>
      </c>
      <c r="C10" s="11">
        <f>C8*C9</f>
        <v>7.2482295264783725E-2</v>
      </c>
    </row>
    <row r="12" spans="2:4">
      <c r="C12" s="15" t="s">
        <v>7</v>
      </c>
      <c r="D12" s="15" t="s">
        <v>8</v>
      </c>
    </row>
    <row r="13" spans="2:4">
      <c r="B13" s="6" t="s">
        <v>53</v>
      </c>
      <c r="C13" s="24">
        <f>C4-C10</f>
        <v>2.6780177047352165</v>
      </c>
      <c r="D13" s="24">
        <f>C4+C10</f>
        <v>2.8229822952647838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3"/>
  <sheetViews>
    <sheetView showGridLines="0" workbookViewId="0">
      <selection activeCell="D19" sqref="D19"/>
    </sheetView>
  </sheetViews>
  <sheetFormatPr baseColWidth="10" defaultColWidth="8.83203125" defaultRowHeight="13"/>
  <cols>
    <col min="1" max="1" width="12.83203125" customWidth="1"/>
    <col min="2" max="2" width="35.5" customWidth="1"/>
    <col min="3" max="4" width="12" bestFit="1" customWidth="1"/>
  </cols>
  <sheetData>
    <row r="2" spans="2:4">
      <c r="B2" s="9" t="s">
        <v>44</v>
      </c>
    </row>
    <row r="4" spans="2:4">
      <c r="B4" s="13" t="s">
        <v>0</v>
      </c>
      <c r="C4" s="11">
        <f>AVERAGE('Raw Data'!G3:G62)</f>
        <v>2.4358333333333331</v>
      </c>
    </row>
    <row r="5" spans="2:4">
      <c r="B5" s="13" t="s">
        <v>10</v>
      </c>
      <c r="C5" s="11">
        <f>_xlfn.STDEV.S('Raw Data'!G3:G62)</f>
        <v>0.58991033983101782</v>
      </c>
    </row>
    <row r="6" spans="2:4">
      <c r="B6" s="13" t="s">
        <v>11</v>
      </c>
      <c r="C6" s="11">
        <v>60</v>
      </c>
    </row>
    <row r="7" spans="2:4">
      <c r="B7" s="13" t="s">
        <v>13</v>
      </c>
      <c r="C7" s="11">
        <v>59</v>
      </c>
    </row>
    <row r="8" spans="2:4">
      <c r="B8" s="13" t="s">
        <v>4</v>
      </c>
      <c r="C8" s="11">
        <f>C5/SQRT(C6)</f>
        <v>7.6157097397369658E-2</v>
      </c>
    </row>
    <row r="9" spans="2:4">
      <c r="B9" s="13" t="s">
        <v>12</v>
      </c>
      <c r="C9" s="11">
        <f>_xlfn.T.INV.2T(0.05,59)</f>
        <v>2.0009953780882688</v>
      </c>
    </row>
    <row r="10" spans="2:4">
      <c r="B10" s="13" t="s">
        <v>14</v>
      </c>
      <c r="C10" s="11">
        <f>C9*C8</f>
        <v>0.1523899999007548</v>
      </c>
    </row>
    <row r="12" spans="2:4">
      <c r="C12" s="15" t="s">
        <v>7</v>
      </c>
      <c r="D12" s="15" t="s">
        <v>8</v>
      </c>
    </row>
    <row r="13" spans="2:4">
      <c r="B13" s="6" t="s">
        <v>53</v>
      </c>
      <c r="C13" s="24">
        <f>C4-C10</f>
        <v>2.2834433334325781</v>
      </c>
      <c r="D13" s="24">
        <f>C4+C10</f>
        <v>2.588223333234088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8"/>
  <sheetViews>
    <sheetView showGridLines="0" zoomScaleNormal="100" workbookViewId="0">
      <selection activeCell="B32" sqref="B32"/>
    </sheetView>
  </sheetViews>
  <sheetFormatPr baseColWidth="10" defaultColWidth="8.83203125" defaultRowHeight="13"/>
  <cols>
    <col min="1" max="1" width="12" customWidth="1"/>
    <col min="2" max="2" width="71.1640625" bestFit="1" customWidth="1"/>
    <col min="3" max="3" width="68.5" bestFit="1" customWidth="1"/>
    <col min="4" max="4" width="16.6640625" customWidth="1"/>
    <col min="6" max="6" width="12.1640625" bestFit="1" customWidth="1"/>
  </cols>
  <sheetData>
    <row r="2" spans="2:3">
      <c r="B2" s="9" t="s">
        <v>149</v>
      </c>
    </row>
    <row r="4" spans="2:3">
      <c r="B4" s="4" t="s">
        <v>150</v>
      </c>
    </row>
    <row r="5" spans="2:3">
      <c r="B5" s="4" t="s">
        <v>151</v>
      </c>
    </row>
    <row r="7" spans="2:3">
      <c r="B7" s="12" t="s">
        <v>152</v>
      </c>
      <c r="C7" s="11">
        <f>_xlfn.VAR.S('Raw Data'!F3:F62)</f>
        <v>7.8726864406778493E-2</v>
      </c>
    </row>
    <row r="8" spans="2:3">
      <c r="B8" s="12" t="s">
        <v>153</v>
      </c>
      <c r="C8" s="11">
        <f>_xlfn.VAR.S('Raw Data'!G3:G62)</f>
        <v>0.34799420903954692</v>
      </c>
    </row>
    <row r="9" spans="2:3">
      <c r="B9" s="12" t="s">
        <v>20</v>
      </c>
      <c r="C9" s="11">
        <f>C8/C7</f>
        <v>4.4202726942289363</v>
      </c>
    </row>
    <row r="10" spans="2:3">
      <c r="B10" s="12" t="s">
        <v>154</v>
      </c>
      <c r="C10" s="11">
        <v>60</v>
      </c>
    </row>
    <row r="11" spans="2:3">
      <c r="B11" s="12" t="s">
        <v>155</v>
      </c>
      <c r="C11" s="11">
        <f>C10-1</f>
        <v>59</v>
      </c>
    </row>
    <row r="12" spans="2:3">
      <c r="B12" s="12" t="s">
        <v>156</v>
      </c>
      <c r="C12" s="11">
        <v>60</v>
      </c>
    </row>
    <row r="13" spans="2:3">
      <c r="B13" s="12" t="s">
        <v>157</v>
      </c>
      <c r="C13" s="11">
        <f>C12-1</f>
        <v>59</v>
      </c>
    </row>
    <row r="14" spans="2:3">
      <c r="B14" s="12" t="s">
        <v>22</v>
      </c>
      <c r="C14" s="18">
        <f>_xlfn.F.DIST.RT(C9,C13,C11)</f>
        <v>2.4985701224824217E-8</v>
      </c>
    </row>
    <row r="15" spans="2:3">
      <c r="B15" s="6" t="s">
        <v>21</v>
      </c>
      <c r="C15" s="19">
        <f>2*C14</f>
        <v>4.9971402449648433E-8</v>
      </c>
    </row>
    <row r="16" spans="2:3">
      <c r="B16" s="6" t="s">
        <v>23</v>
      </c>
      <c r="C16" s="19">
        <f>1-C15</f>
        <v>0.99999995002859754</v>
      </c>
    </row>
    <row r="18" spans="2:6">
      <c r="B18" s="6" t="s">
        <v>9</v>
      </c>
      <c r="C18" s="20" t="s">
        <v>51</v>
      </c>
    </row>
    <row r="19" spans="2:6">
      <c r="C19" s="6" t="s">
        <v>158</v>
      </c>
    </row>
    <row r="28" spans="2:6">
      <c r="B28" s="32"/>
      <c r="C28" s="32"/>
      <c r="D28" s="32"/>
      <c r="E28" s="32"/>
      <c r="F28" s="32"/>
    </row>
    <row r="29" spans="2:6">
      <c r="B29" s="32"/>
      <c r="C29" s="32"/>
      <c r="D29" s="32"/>
      <c r="E29" s="32"/>
      <c r="F29" s="32"/>
    </row>
    <row r="30" spans="2:6">
      <c r="B30" s="26"/>
      <c r="C30" s="26"/>
      <c r="D30" s="26"/>
      <c r="E30" s="32"/>
      <c r="F30" s="32"/>
    </row>
    <row r="31" spans="2:6">
      <c r="B31" s="1"/>
      <c r="C31" s="1"/>
      <c r="D31" s="1"/>
      <c r="E31" s="32"/>
      <c r="F31" s="32"/>
    </row>
    <row r="32" spans="2:6">
      <c r="B32" s="1"/>
      <c r="C32" s="1"/>
      <c r="D32" s="1"/>
      <c r="E32" s="32"/>
      <c r="F32" s="32"/>
    </row>
    <row r="33" spans="2:6">
      <c r="B33" s="1"/>
      <c r="C33" s="1"/>
      <c r="D33" s="1"/>
      <c r="E33" s="32"/>
      <c r="F33" s="32"/>
    </row>
    <row r="34" spans="2:6">
      <c r="B34" s="1"/>
      <c r="C34" s="1"/>
      <c r="D34" s="1"/>
      <c r="E34" s="32"/>
      <c r="F34" s="32"/>
    </row>
    <row r="35" spans="2:6">
      <c r="B35" s="1"/>
      <c r="C35" s="1"/>
      <c r="D35" s="1"/>
      <c r="E35" s="32"/>
      <c r="F35" s="32"/>
    </row>
    <row r="36" spans="2:6">
      <c r="B36" s="1"/>
      <c r="C36" s="1"/>
      <c r="D36" s="1"/>
      <c r="E36" s="32"/>
      <c r="F36" s="32"/>
    </row>
    <row r="37" spans="2:6">
      <c r="B37" s="1"/>
      <c r="C37" s="1"/>
      <c r="D37" s="1"/>
      <c r="E37" s="32"/>
      <c r="F37" s="32"/>
    </row>
    <row r="38" spans="2:6">
      <c r="B38" s="32"/>
      <c r="C38" s="32"/>
      <c r="D38" s="32"/>
      <c r="E38" s="32"/>
      <c r="F38" s="3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123"/>
  <sheetViews>
    <sheetView showGridLines="0" tabSelected="1" zoomScale="55" zoomScaleNormal="55" workbookViewId="0">
      <selection activeCell="O54" sqref="O54"/>
    </sheetView>
  </sheetViews>
  <sheetFormatPr baseColWidth="10" defaultColWidth="8.83203125" defaultRowHeight="13"/>
  <cols>
    <col min="2" max="2" width="39.5" bestFit="1" customWidth="1"/>
    <col min="3" max="3" width="27.83203125" bestFit="1" customWidth="1"/>
    <col min="4" max="4" width="14.33203125" bestFit="1" customWidth="1"/>
    <col min="5" max="5" width="16.5" customWidth="1"/>
    <col min="6" max="6" width="17.5" bestFit="1" customWidth="1"/>
    <col min="7" max="7" width="21.83203125" customWidth="1"/>
    <col min="8" max="8" width="12" bestFit="1" customWidth="1"/>
    <col min="9" max="9" width="12.1640625" bestFit="1" customWidth="1"/>
    <col min="10" max="10" width="14.5" bestFit="1" customWidth="1"/>
    <col min="11" max="11" width="12" bestFit="1" customWidth="1"/>
    <col min="12" max="12" width="12.6640625" bestFit="1" customWidth="1"/>
    <col min="13" max="13" width="12.83203125" bestFit="1" customWidth="1"/>
    <col min="14" max="14" width="19.83203125" bestFit="1" customWidth="1"/>
    <col min="15" max="15" width="14.33203125" bestFit="1" customWidth="1"/>
    <col min="16" max="16" width="16.83203125" bestFit="1" customWidth="1"/>
    <col min="17" max="18" width="13.5" bestFit="1" customWidth="1"/>
    <col min="19" max="19" width="16.1640625" bestFit="1" customWidth="1"/>
    <col min="20" max="20" width="13.5" bestFit="1" customWidth="1"/>
    <col min="21" max="21" width="15.83203125" customWidth="1"/>
    <col min="22" max="22" width="14" bestFit="1" customWidth="1"/>
  </cols>
  <sheetData>
    <row r="2" spans="2:22">
      <c r="B2" s="8" t="s">
        <v>88</v>
      </c>
      <c r="C2" s="8" t="s">
        <v>89</v>
      </c>
    </row>
    <row r="3" spans="2:22" ht="56">
      <c r="B3" s="23" t="s">
        <v>48</v>
      </c>
      <c r="C3" s="23" t="s">
        <v>49</v>
      </c>
      <c r="D3" s="22" t="s">
        <v>57</v>
      </c>
      <c r="E3" s="22" t="s">
        <v>83</v>
      </c>
      <c r="F3" s="22" t="s">
        <v>58</v>
      </c>
      <c r="G3" s="23" t="s">
        <v>84</v>
      </c>
      <c r="H3" s="23" t="s">
        <v>86</v>
      </c>
      <c r="I3" s="23" t="s">
        <v>66</v>
      </c>
      <c r="J3" s="23" t="s">
        <v>65</v>
      </c>
    </row>
    <row r="4" spans="2:22">
      <c r="B4" s="25">
        <v>2.76</v>
      </c>
      <c r="C4" s="10">
        <v>2.84</v>
      </c>
      <c r="D4" s="27">
        <f>C4-$C$66</f>
        <v>0.40416666666666679</v>
      </c>
      <c r="E4" s="29">
        <f>D4^2</f>
        <v>0.16335069444444453</v>
      </c>
      <c r="F4" s="37">
        <f>B4-$C$67</f>
        <v>9.4999999999996199E-3</v>
      </c>
      <c r="G4" s="38">
        <f>D4*F4</f>
        <v>3.8395833333331806E-3</v>
      </c>
      <c r="H4" s="4">
        <f>$C$72+($C$71*C4)</f>
        <v>2.8008469692535796</v>
      </c>
      <c r="I4" s="13">
        <f>(B4-H4)^2</f>
        <v>1.6684748972028917E-3</v>
      </c>
      <c r="J4" s="30">
        <f>(H4-$C$67)^2</f>
        <v>2.5348173130208692E-3</v>
      </c>
      <c r="N4" s="32"/>
      <c r="O4" s="32"/>
      <c r="P4" s="32"/>
      <c r="Q4" s="32"/>
      <c r="R4" s="32"/>
      <c r="S4" s="32"/>
      <c r="T4" s="32"/>
      <c r="U4" s="32"/>
      <c r="V4" s="32"/>
    </row>
    <row r="5" spans="2:22">
      <c r="B5" s="9">
        <v>2.96</v>
      </c>
      <c r="C5" s="10">
        <v>1.62</v>
      </c>
      <c r="D5" s="27">
        <f t="shared" ref="D5:D62" si="0">C5-$C$66</f>
        <v>-0.81583333333333297</v>
      </c>
      <c r="E5" s="29">
        <f t="shared" ref="E5:E63" si="1">D5^2</f>
        <v>0.66558402777777714</v>
      </c>
      <c r="F5" s="37">
        <f t="shared" ref="F5:F63" si="2">B5-$C$67</f>
        <v>0.2094999999999998</v>
      </c>
      <c r="G5" s="38">
        <f t="shared" ref="G5:G63" si="3">D5*F5</f>
        <v>-0.17091708333333308</v>
      </c>
      <c r="H5" s="4">
        <f t="shared" ref="H5:H63" si="4">$C$72+($C$71*C5)</f>
        <v>2.6488717878365891</v>
      </c>
      <c r="I5" s="13">
        <f t="shared" ref="I5:I63" si="5">(B5-H5)^2</f>
        <v>9.6800764404000428E-2</v>
      </c>
      <c r="J5" s="30">
        <f t="shared" ref="J5:J63" si="6">(H5-$C$67)^2</f>
        <v>1.0328293507531302E-2</v>
      </c>
      <c r="N5" s="32"/>
      <c r="O5" s="32"/>
      <c r="P5" s="32"/>
      <c r="Q5" s="32"/>
      <c r="R5" s="32"/>
      <c r="S5" s="32"/>
      <c r="T5" s="32"/>
      <c r="U5" s="32"/>
      <c r="V5" s="32"/>
    </row>
    <row r="6" spans="2:22">
      <c r="B6" s="9">
        <v>2.5</v>
      </c>
      <c r="C6" s="10">
        <v>2.87</v>
      </c>
      <c r="D6" s="27">
        <f t="shared" si="0"/>
        <v>0.43416666666666703</v>
      </c>
      <c r="E6" s="29">
        <f t="shared" si="1"/>
        <v>0.18850069444444476</v>
      </c>
      <c r="F6" s="37">
        <f t="shared" si="2"/>
        <v>-0.25050000000000017</v>
      </c>
      <c r="G6" s="38">
        <f t="shared" si="3"/>
        <v>-0.10875875000000017</v>
      </c>
      <c r="H6" s="4">
        <f t="shared" si="4"/>
        <v>2.8045840638785875</v>
      </c>
      <c r="I6" s="13">
        <f t="shared" si="5"/>
        <v>9.2771451968795465E-2</v>
      </c>
      <c r="J6" s="30">
        <f t="shared" si="6"/>
        <v>2.9250859656231149E-3</v>
      </c>
      <c r="N6" s="34"/>
      <c r="O6" s="34"/>
      <c r="P6" s="32"/>
      <c r="Q6" s="32"/>
      <c r="R6" s="32"/>
      <c r="S6" s="32"/>
      <c r="T6" s="32"/>
      <c r="U6" s="32"/>
      <c r="V6" s="32"/>
    </row>
    <row r="7" spans="2:22">
      <c r="B7" s="9">
        <v>2.42</v>
      </c>
      <c r="C7" s="10">
        <v>2.06</v>
      </c>
      <c r="D7" s="27">
        <f t="shared" si="0"/>
        <v>-0.37583333333333302</v>
      </c>
      <c r="E7" s="29">
        <f t="shared" si="1"/>
        <v>0.14125069444444421</v>
      </c>
      <c r="F7" s="37">
        <f t="shared" si="2"/>
        <v>-0.33050000000000024</v>
      </c>
      <c r="G7" s="38">
        <f t="shared" si="3"/>
        <v>0.12421291666666666</v>
      </c>
      <c r="H7" s="4">
        <f t="shared" si="4"/>
        <v>2.7036825090033725</v>
      </c>
      <c r="I7" s="13">
        <f t="shared" si="5"/>
        <v>8.0475765914448549E-2</v>
      </c>
      <c r="J7" s="30">
        <f t="shared" si="6"/>
        <v>2.1918774632193145E-3</v>
      </c>
      <c r="N7" s="1"/>
      <c r="O7" s="1"/>
      <c r="P7" s="32"/>
      <c r="Q7" s="32"/>
      <c r="R7" s="32"/>
      <c r="S7" s="32"/>
      <c r="T7" s="32"/>
      <c r="U7" s="32"/>
      <c r="V7" s="32"/>
    </row>
    <row r="8" spans="2:22">
      <c r="B8" s="9">
        <v>2.71</v>
      </c>
      <c r="C8" s="10">
        <v>2.17</v>
      </c>
      <c r="D8" s="27">
        <f t="shared" si="0"/>
        <v>-0.26583333333333314</v>
      </c>
      <c r="E8" s="29">
        <f t="shared" si="1"/>
        <v>7.0667361111111007E-2</v>
      </c>
      <c r="F8" s="37">
        <f t="shared" si="2"/>
        <v>-4.0500000000000203E-2</v>
      </c>
      <c r="G8" s="38">
        <f t="shared" si="3"/>
        <v>1.0766250000000047E-2</v>
      </c>
      <c r="H8" s="4">
        <f t="shared" si="4"/>
        <v>2.7173851892950682</v>
      </c>
      <c r="I8" s="13">
        <f t="shared" si="5"/>
        <v>5.4541020923990851E-5</v>
      </c>
      <c r="J8" s="30">
        <f t="shared" si="6"/>
        <v>1.0965906880234751E-3</v>
      </c>
      <c r="N8" s="1"/>
      <c r="O8" s="1"/>
      <c r="P8" s="32"/>
      <c r="Q8" s="32"/>
      <c r="R8" s="32"/>
      <c r="S8" s="32"/>
      <c r="T8" s="32"/>
      <c r="U8" s="32"/>
      <c r="V8" s="32"/>
    </row>
    <row r="9" spans="2:22">
      <c r="B9" s="9">
        <v>3.01</v>
      </c>
      <c r="C9" s="10">
        <v>3.43</v>
      </c>
      <c r="D9" s="27">
        <f t="shared" si="0"/>
        <v>0.99416666666666709</v>
      </c>
      <c r="E9" s="29">
        <f t="shared" si="1"/>
        <v>0.9883673611111119</v>
      </c>
      <c r="F9" s="37">
        <f t="shared" si="2"/>
        <v>0.25949999999999962</v>
      </c>
      <c r="G9" s="38">
        <f t="shared" si="3"/>
        <v>0.25798624999999975</v>
      </c>
      <c r="H9" s="4">
        <f t="shared" si="4"/>
        <v>2.8743431635454031</v>
      </c>
      <c r="I9" s="13">
        <f t="shared" si="5"/>
        <v>1.8402777276869196E-2</v>
      </c>
      <c r="J9" s="30">
        <f t="shared" si="6"/>
        <v>1.5337129156933416E-2</v>
      </c>
      <c r="N9" s="1"/>
      <c r="O9" s="1"/>
      <c r="P9" s="32"/>
      <c r="Q9" s="32"/>
      <c r="R9" s="32"/>
      <c r="S9" s="32"/>
      <c r="T9" s="32"/>
      <c r="U9" s="32"/>
      <c r="V9" s="32"/>
    </row>
    <row r="10" spans="2:22">
      <c r="B10" s="9">
        <v>2.97</v>
      </c>
      <c r="C10" s="10">
        <v>1.85</v>
      </c>
      <c r="D10" s="27">
        <f t="shared" si="0"/>
        <v>-0.58583333333333298</v>
      </c>
      <c r="E10" s="29">
        <f t="shared" si="1"/>
        <v>0.34320069444444401</v>
      </c>
      <c r="F10" s="37">
        <f t="shared" si="2"/>
        <v>0.21950000000000003</v>
      </c>
      <c r="G10" s="38">
        <f t="shared" si="3"/>
        <v>-0.1285904166666666</v>
      </c>
      <c r="H10" s="4">
        <f t="shared" si="4"/>
        <v>2.677522846628317</v>
      </c>
      <c r="I10" s="13">
        <f t="shared" si="5"/>
        <v>8.5542885244403108E-2</v>
      </c>
      <c r="J10" s="30">
        <f t="shared" si="6"/>
        <v>5.3256649142341727E-3</v>
      </c>
      <c r="N10" s="1"/>
      <c r="O10" s="1"/>
      <c r="P10" s="32"/>
      <c r="Q10" s="32"/>
      <c r="R10" s="32"/>
      <c r="S10" s="32"/>
      <c r="T10" s="32"/>
      <c r="U10" s="32"/>
      <c r="V10" s="32"/>
    </row>
    <row r="11" spans="2:22">
      <c r="B11" s="9">
        <v>3.09</v>
      </c>
      <c r="C11" s="10">
        <v>2.54</v>
      </c>
      <c r="D11" s="27">
        <f t="shared" si="0"/>
        <v>0.10416666666666696</v>
      </c>
      <c r="E11" s="29">
        <f t="shared" si="1"/>
        <v>1.0850694444444507E-2</v>
      </c>
      <c r="F11" s="37">
        <f t="shared" si="2"/>
        <v>0.33949999999999969</v>
      </c>
      <c r="G11" s="38">
        <f t="shared" si="3"/>
        <v>3.5364583333333401E-2</v>
      </c>
      <c r="H11" s="4">
        <f t="shared" si="4"/>
        <v>2.7634760230034998</v>
      </c>
      <c r="I11" s="13">
        <f t="shared" si="5"/>
        <v>0.10661790755361089</v>
      </c>
      <c r="J11" s="30">
        <f t="shared" si="6"/>
        <v>1.6837717298735203E-4</v>
      </c>
      <c r="N11" s="1"/>
      <c r="O11" s="1"/>
      <c r="P11" s="32"/>
      <c r="Q11" s="32"/>
      <c r="R11" s="32"/>
      <c r="S11" s="32"/>
      <c r="T11" s="32"/>
      <c r="U11" s="32"/>
      <c r="V11" s="32"/>
    </row>
    <row r="12" spans="2:22">
      <c r="B12" s="9">
        <v>2.4900000000000002</v>
      </c>
      <c r="C12" s="10">
        <v>3.09</v>
      </c>
      <c r="D12" s="27">
        <f t="shared" si="0"/>
        <v>0.65416666666666679</v>
      </c>
      <c r="E12" s="29">
        <f t="shared" si="1"/>
        <v>0.42793402777777795</v>
      </c>
      <c r="F12" s="37">
        <f t="shared" si="2"/>
        <v>-0.26049999999999995</v>
      </c>
      <c r="G12" s="38">
        <f t="shared" si="3"/>
        <v>-0.17041041666666668</v>
      </c>
      <c r="H12" s="4">
        <f t="shared" si="4"/>
        <v>2.8319894244619794</v>
      </c>
      <c r="I12" s="13">
        <f t="shared" si="5"/>
        <v>0.11695676644383579</v>
      </c>
      <c r="J12" s="30">
        <f t="shared" si="6"/>
        <v>6.6405262991446248E-3</v>
      </c>
      <c r="N12" s="32"/>
      <c r="O12" s="32"/>
      <c r="P12" s="32"/>
      <c r="Q12" s="32"/>
      <c r="R12" s="32"/>
      <c r="S12" s="32"/>
      <c r="T12" s="32"/>
      <c r="U12" s="32"/>
      <c r="V12" s="32"/>
    </row>
    <row r="13" spans="2:22">
      <c r="B13" s="9">
        <v>2.75</v>
      </c>
      <c r="C13" s="10">
        <v>1.63</v>
      </c>
      <c r="D13" s="27">
        <f t="shared" si="0"/>
        <v>-0.80583333333333318</v>
      </c>
      <c r="E13" s="29">
        <f t="shared" si="1"/>
        <v>0.64936736111111082</v>
      </c>
      <c r="F13" s="37">
        <f t="shared" si="2"/>
        <v>-5.0000000000016698E-4</v>
      </c>
      <c r="G13" s="38">
        <f t="shared" si="3"/>
        <v>4.0291666666680115E-4</v>
      </c>
      <c r="H13" s="4">
        <f t="shared" si="4"/>
        <v>2.650117486044925</v>
      </c>
      <c r="I13" s="13">
        <f t="shared" si="5"/>
        <v>9.9765165939857455E-3</v>
      </c>
      <c r="J13" s="30">
        <f t="shared" si="6"/>
        <v>1.0076649107940854E-2</v>
      </c>
      <c r="N13" s="32"/>
      <c r="O13" s="32"/>
      <c r="P13" s="32"/>
      <c r="Q13" s="32"/>
      <c r="R13" s="32"/>
      <c r="S13" s="32"/>
      <c r="T13" s="32"/>
      <c r="U13" s="32"/>
      <c r="V13" s="32"/>
    </row>
    <row r="14" spans="2:22">
      <c r="B14" s="9">
        <v>2.3199999999999998</v>
      </c>
      <c r="C14" s="10">
        <v>1.52</v>
      </c>
      <c r="D14" s="27">
        <f t="shared" si="0"/>
        <v>-0.91583333333333306</v>
      </c>
      <c r="E14" s="29">
        <f t="shared" si="1"/>
        <v>0.83875069444444394</v>
      </c>
      <c r="F14" s="37">
        <f t="shared" si="2"/>
        <v>-0.43050000000000033</v>
      </c>
      <c r="G14" s="38">
        <f t="shared" si="3"/>
        <v>0.39426625000000021</v>
      </c>
      <c r="H14" s="4">
        <f t="shared" si="4"/>
        <v>2.6364148057532293</v>
      </c>
      <c r="I14" s="13">
        <f t="shared" si="5"/>
        <v>0.10011832929985393</v>
      </c>
      <c r="J14" s="30">
        <f t="shared" si="6"/>
        <v>1.3015431546323444E-2</v>
      </c>
      <c r="N14" s="26"/>
      <c r="O14" s="26"/>
      <c r="P14" s="26"/>
      <c r="Q14" s="26"/>
      <c r="R14" s="26"/>
      <c r="S14" s="26"/>
      <c r="T14" s="32"/>
      <c r="U14" s="32"/>
      <c r="V14" s="32"/>
    </row>
    <row r="15" spans="2:22">
      <c r="B15" s="9">
        <v>2.2200000000000002</v>
      </c>
      <c r="C15" s="10">
        <v>1.82</v>
      </c>
      <c r="D15" s="27">
        <f t="shared" si="0"/>
        <v>-0.61583333333333301</v>
      </c>
      <c r="E15" s="29">
        <f t="shared" si="1"/>
        <v>0.37925069444444404</v>
      </c>
      <c r="F15" s="37">
        <f t="shared" si="2"/>
        <v>-0.53049999999999997</v>
      </c>
      <c r="G15" s="38">
        <f t="shared" si="3"/>
        <v>0.32669958333333315</v>
      </c>
      <c r="H15" s="4">
        <f t="shared" si="4"/>
        <v>2.673785752003309</v>
      </c>
      <c r="I15" s="13">
        <f t="shared" si="5"/>
        <v>0.20592150872120851</v>
      </c>
      <c r="J15" s="30">
        <f t="shared" si="6"/>
        <v>5.8850758456978295E-3</v>
      </c>
      <c r="N15" s="1"/>
      <c r="O15" s="1"/>
      <c r="P15" s="1"/>
      <c r="Q15" s="1"/>
      <c r="R15" s="1"/>
      <c r="S15" s="1"/>
      <c r="T15" s="32"/>
      <c r="U15" s="32"/>
      <c r="V15" s="32"/>
    </row>
    <row r="16" spans="2:22">
      <c r="B16" s="9">
        <v>2.6</v>
      </c>
      <c r="C16" s="10">
        <v>1.81</v>
      </c>
      <c r="D16" s="27">
        <f t="shared" si="0"/>
        <v>-0.62583333333333302</v>
      </c>
      <c r="E16" s="29">
        <f t="shared" si="1"/>
        <v>0.39166736111111072</v>
      </c>
      <c r="F16" s="37">
        <f t="shared" si="2"/>
        <v>-0.15050000000000008</v>
      </c>
      <c r="G16" s="38">
        <f t="shared" si="3"/>
        <v>9.4187916666666663E-2</v>
      </c>
      <c r="H16" s="4">
        <f t="shared" si="4"/>
        <v>2.6725400537949731</v>
      </c>
      <c r="I16" s="13">
        <f t="shared" si="5"/>
        <v>5.2620594045775723E-3</v>
      </c>
      <c r="J16" s="30">
        <f t="shared" si="6"/>
        <v>6.0777532122907206E-3</v>
      </c>
      <c r="N16" s="1"/>
      <c r="O16" s="1"/>
      <c r="P16" s="1"/>
      <c r="Q16" s="1"/>
      <c r="R16" s="1"/>
      <c r="S16" s="1"/>
      <c r="T16" s="32"/>
      <c r="U16" s="32"/>
      <c r="V16" s="32"/>
    </row>
    <row r="17" spans="2:22">
      <c r="B17" s="9">
        <v>3.11</v>
      </c>
      <c r="C17" s="10">
        <v>2.8</v>
      </c>
      <c r="D17" s="27">
        <f t="shared" si="0"/>
        <v>0.36416666666666675</v>
      </c>
      <c r="E17" s="29">
        <f t="shared" si="1"/>
        <v>0.13261736111111116</v>
      </c>
      <c r="F17" s="37">
        <f t="shared" si="2"/>
        <v>0.35949999999999971</v>
      </c>
      <c r="G17" s="38">
        <f t="shared" si="3"/>
        <v>0.13091791666666658</v>
      </c>
      <c r="H17" s="4">
        <f t="shared" si="4"/>
        <v>2.7958641764202357</v>
      </c>
      <c r="I17" s="13">
        <f t="shared" si="5"/>
        <v>9.8681315656136748E-2</v>
      </c>
      <c r="J17" s="30">
        <f t="shared" si="6"/>
        <v>2.0579085022862497E-3</v>
      </c>
      <c r="N17" s="1"/>
      <c r="O17" s="1"/>
      <c r="P17" s="1"/>
      <c r="Q17" s="1"/>
      <c r="R17" s="1"/>
      <c r="S17" s="1"/>
      <c r="T17" s="32"/>
      <c r="U17" s="32"/>
      <c r="V17" s="32"/>
    </row>
    <row r="18" spans="2:22">
      <c r="B18" s="9">
        <v>2.84</v>
      </c>
      <c r="C18" s="10">
        <v>3.38</v>
      </c>
      <c r="D18" s="27">
        <f t="shared" si="0"/>
        <v>0.94416666666666682</v>
      </c>
      <c r="E18" s="29">
        <f t="shared" si="1"/>
        <v>0.89145069444444469</v>
      </c>
      <c r="F18" s="37">
        <f t="shared" si="2"/>
        <v>8.9499999999999691E-2</v>
      </c>
      <c r="G18" s="38">
        <f t="shared" si="3"/>
        <v>8.4502916666666386E-2</v>
      </c>
      <c r="H18" s="4">
        <f t="shared" si="4"/>
        <v>2.8681146725037228</v>
      </c>
      <c r="I18" s="13">
        <f t="shared" si="5"/>
        <v>7.9043480999159269E-4</v>
      </c>
      <c r="J18" s="30">
        <f t="shared" si="6"/>
        <v>1.383321118815792E-2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2:22">
      <c r="B19" s="9">
        <v>2.52</v>
      </c>
      <c r="C19" s="10">
        <v>2.78</v>
      </c>
      <c r="D19" s="27">
        <f t="shared" si="0"/>
        <v>0.34416666666666673</v>
      </c>
      <c r="E19" s="29">
        <f t="shared" si="1"/>
        <v>0.11845069444444449</v>
      </c>
      <c r="F19" s="37">
        <f t="shared" si="2"/>
        <v>-0.23050000000000015</v>
      </c>
      <c r="G19" s="38">
        <f t="shared" si="3"/>
        <v>-7.9330416666666737E-2</v>
      </c>
      <c r="H19" s="4">
        <f t="shared" si="4"/>
        <v>2.7933727800035637</v>
      </c>
      <c r="I19" s="13">
        <f t="shared" si="5"/>
        <v>7.473267684687683E-2</v>
      </c>
      <c r="J19" s="30">
        <f t="shared" si="6"/>
        <v>1.8380752652339576E-3</v>
      </c>
      <c r="N19" s="26"/>
      <c r="O19" s="26"/>
      <c r="P19" s="26"/>
      <c r="Q19" s="26"/>
      <c r="R19" s="26"/>
      <c r="S19" s="26"/>
      <c r="T19" s="26"/>
      <c r="U19" s="26"/>
      <c r="V19" s="26"/>
    </row>
    <row r="20" spans="2:22">
      <c r="B20" s="9">
        <v>2.58</v>
      </c>
      <c r="C20" s="10">
        <v>1.71</v>
      </c>
      <c r="D20" s="27">
        <f t="shared" si="0"/>
        <v>-0.72583333333333311</v>
      </c>
      <c r="E20" s="29">
        <f t="shared" si="1"/>
        <v>0.52683402777777744</v>
      </c>
      <c r="F20" s="37">
        <f t="shared" si="2"/>
        <v>-0.1705000000000001</v>
      </c>
      <c r="G20" s="38">
        <f t="shared" si="3"/>
        <v>0.12375458333333336</v>
      </c>
      <c r="H20" s="4">
        <f t="shared" si="4"/>
        <v>2.6600830717116128</v>
      </c>
      <c r="I20" s="13">
        <f t="shared" si="5"/>
        <v>6.413298374767314E-3</v>
      </c>
      <c r="J20" s="30">
        <f t="shared" si="6"/>
        <v>8.1752209211073748E-3</v>
      </c>
      <c r="N20" s="1"/>
      <c r="O20" s="1"/>
      <c r="P20" s="1"/>
      <c r="Q20" s="1"/>
      <c r="R20" s="1"/>
      <c r="S20" s="1"/>
      <c r="T20" s="1"/>
      <c r="U20" s="1"/>
      <c r="V20" s="1"/>
    </row>
    <row r="21" spans="2:22">
      <c r="B21" s="9">
        <v>3.1</v>
      </c>
      <c r="C21" s="10">
        <v>2.0699999999999998</v>
      </c>
      <c r="D21" s="27">
        <f t="shared" si="0"/>
        <v>-0.36583333333333323</v>
      </c>
      <c r="E21" s="29">
        <f t="shared" si="1"/>
        <v>0.1338340277777777</v>
      </c>
      <c r="F21" s="37">
        <f t="shared" si="2"/>
        <v>0.34949999999999992</v>
      </c>
      <c r="G21" s="38">
        <f t="shared" si="3"/>
        <v>-0.12785874999999994</v>
      </c>
      <c r="H21" s="4">
        <f t="shared" si="4"/>
        <v>2.7049282072117085</v>
      </c>
      <c r="I21" s="13">
        <f t="shared" si="5"/>
        <v>0.15608172145695484</v>
      </c>
      <c r="J21" s="30">
        <f t="shared" si="6"/>
        <v>2.0767882979389964E-3</v>
      </c>
      <c r="N21" s="1"/>
      <c r="O21" s="1"/>
      <c r="P21" s="1"/>
      <c r="Q21" s="1"/>
      <c r="R21" s="1"/>
      <c r="S21" s="1"/>
      <c r="T21" s="1"/>
      <c r="U21" s="1"/>
      <c r="V21" s="1"/>
    </row>
    <row r="22" spans="2:22">
      <c r="B22" s="9">
        <v>3.02</v>
      </c>
      <c r="C22" s="10">
        <v>3.29</v>
      </c>
      <c r="D22" s="27">
        <f t="shared" si="0"/>
        <v>0.85416666666666696</v>
      </c>
      <c r="E22" s="29">
        <f t="shared" si="1"/>
        <v>0.72960069444444497</v>
      </c>
      <c r="F22" s="37">
        <f t="shared" si="2"/>
        <v>0.26949999999999985</v>
      </c>
      <c r="G22" s="38">
        <f t="shared" si="3"/>
        <v>0.23019791666666661</v>
      </c>
      <c r="H22" s="4">
        <f t="shared" si="4"/>
        <v>2.856903388628699</v>
      </c>
      <c r="I22" s="13">
        <f t="shared" si="5"/>
        <v>2.6600504640801208E-2</v>
      </c>
      <c r="J22" s="30">
        <f t="shared" si="6"/>
        <v>1.132168111166991E-2</v>
      </c>
    </row>
    <row r="23" spans="2:22">
      <c r="B23" s="9">
        <v>2.86</v>
      </c>
      <c r="C23" s="10">
        <v>3.28</v>
      </c>
      <c r="D23" s="27">
        <f t="shared" si="0"/>
        <v>0.84416666666666673</v>
      </c>
      <c r="E23" s="29">
        <f t="shared" si="1"/>
        <v>0.71261736111111118</v>
      </c>
      <c r="F23" s="37">
        <f t="shared" si="2"/>
        <v>0.10949999999999971</v>
      </c>
      <c r="G23" s="38">
        <f t="shared" si="3"/>
        <v>9.2436249999999762E-2</v>
      </c>
      <c r="H23" s="4">
        <f t="shared" si="4"/>
        <v>2.855657690420363</v>
      </c>
      <c r="I23" s="13">
        <f t="shared" si="5"/>
        <v>1.8855652485406242E-5</v>
      </c>
      <c r="J23" s="30">
        <f t="shared" si="6"/>
        <v>1.1058139854544867E-2</v>
      </c>
    </row>
    <row r="24" spans="2:22">
      <c r="B24" s="9">
        <v>3.04</v>
      </c>
      <c r="C24" s="10">
        <v>2.64</v>
      </c>
      <c r="D24" s="27">
        <f t="shared" si="0"/>
        <v>0.20416666666666705</v>
      </c>
      <c r="E24" s="29">
        <f t="shared" si="1"/>
        <v>4.1684027777777938E-2</v>
      </c>
      <c r="F24" s="37">
        <f t="shared" si="2"/>
        <v>0.28949999999999987</v>
      </c>
      <c r="G24" s="38">
        <f t="shared" si="3"/>
        <v>5.9106250000000082E-2</v>
      </c>
      <c r="H24" s="4">
        <f t="shared" si="4"/>
        <v>2.77593300508686</v>
      </c>
      <c r="I24" s="13">
        <f t="shared" si="5"/>
        <v>6.9731377802456307E-2</v>
      </c>
      <c r="J24" s="30">
        <f t="shared" si="6"/>
        <v>6.4683774774823956E-4</v>
      </c>
    </row>
    <row r="25" spans="2:22">
      <c r="B25" s="9">
        <v>2.35</v>
      </c>
      <c r="C25" s="10">
        <v>1.75</v>
      </c>
      <c r="D25" s="27">
        <f t="shared" si="0"/>
        <v>-0.68583333333333307</v>
      </c>
      <c r="E25" s="29">
        <f t="shared" si="1"/>
        <v>0.47036736111111077</v>
      </c>
      <c r="F25" s="37">
        <f t="shared" si="2"/>
        <v>-0.40050000000000008</v>
      </c>
      <c r="G25" s="38">
        <f t="shared" si="3"/>
        <v>0.27467624999999996</v>
      </c>
      <c r="H25" s="4">
        <f t="shared" si="4"/>
        <v>2.6650658645449568</v>
      </c>
      <c r="I25" s="13">
        <f t="shared" si="5"/>
        <v>9.9266499001460978E-2</v>
      </c>
      <c r="J25" s="30">
        <f t="shared" si="6"/>
        <v>7.2989915009507057E-3</v>
      </c>
    </row>
    <row r="26" spans="2:22">
      <c r="B26" s="9">
        <v>2.89</v>
      </c>
      <c r="C26" s="10">
        <v>3.25</v>
      </c>
      <c r="D26" s="27">
        <f t="shared" si="0"/>
        <v>0.81416666666666693</v>
      </c>
      <c r="E26" s="29">
        <f t="shared" si="1"/>
        <v>0.66286736111111155</v>
      </c>
      <c r="F26" s="37">
        <f t="shared" si="2"/>
        <v>0.13949999999999996</v>
      </c>
      <c r="G26" s="38">
        <f t="shared" si="3"/>
        <v>0.11357625</v>
      </c>
      <c r="H26" s="4">
        <f t="shared" si="4"/>
        <v>2.8519205957953551</v>
      </c>
      <c r="I26" s="13">
        <f t="shared" si="5"/>
        <v>1.45004102458074E-3</v>
      </c>
      <c r="J26" s="30">
        <f t="shared" si="6"/>
        <v>1.0286137251484759E-2</v>
      </c>
    </row>
    <row r="27" spans="2:22">
      <c r="B27" s="9">
        <v>2.34</v>
      </c>
      <c r="C27" s="10">
        <v>1.81</v>
      </c>
      <c r="D27" s="27">
        <f t="shared" si="0"/>
        <v>-0.62583333333333302</v>
      </c>
      <c r="E27" s="29">
        <f t="shared" si="1"/>
        <v>0.39166736111111072</v>
      </c>
      <c r="F27" s="37">
        <f t="shared" si="2"/>
        <v>-0.41050000000000031</v>
      </c>
      <c r="G27" s="38">
        <f t="shared" si="3"/>
        <v>0.25690458333333338</v>
      </c>
      <c r="H27" s="4">
        <f t="shared" si="4"/>
        <v>2.6725400537949731</v>
      </c>
      <c r="I27" s="13">
        <f t="shared" si="5"/>
        <v>0.11058288737796367</v>
      </c>
      <c r="J27" s="30">
        <f t="shared" si="6"/>
        <v>6.0777532122907206E-3</v>
      </c>
    </row>
    <row r="28" spans="2:22">
      <c r="B28" s="9">
        <v>2.81</v>
      </c>
      <c r="C28" s="10">
        <v>3.15</v>
      </c>
      <c r="D28" s="27">
        <f t="shared" si="0"/>
        <v>0.71416666666666684</v>
      </c>
      <c r="E28" s="29">
        <f t="shared" si="1"/>
        <v>0.51003402777777807</v>
      </c>
      <c r="F28" s="37">
        <f t="shared" si="2"/>
        <v>5.9499999999999886E-2</v>
      </c>
      <c r="G28" s="38">
        <f t="shared" si="3"/>
        <v>4.2492916666666596E-2</v>
      </c>
      <c r="H28" s="4">
        <f t="shared" si="4"/>
        <v>2.8394636137119953</v>
      </c>
      <c r="I28" s="13">
        <f t="shared" si="5"/>
        <v>8.681045329696739E-4</v>
      </c>
      <c r="J28" s="30">
        <f t="shared" si="6"/>
        <v>7.9145245646970869E-3</v>
      </c>
      <c r="L28" s="6" t="s">
        <v>76</v>
      </c>
      <c r="M28" s="6" t="s">
        <v>111</v>
      </c>
      <c r="N28" s="6"/>
      <c r="O28" s="6"/>
      <c r="P28" s="6"/>
      <c r="Q28" s="6"/>
      <c r="R28" s="6"/>
      <c r="S28" s="6"/>
      <c r="T28" s="6"/>
      <c r="U28" s="6"/>
    </row>
    <row r="29" spans="2:22">
      <c r="B29" s="9">
        <v>2.39</v>
      </c>
      <c r="C29" s="10">
        <v>2.5499999999999998</v>
      </c>
      <c r="D29" s="27">
        <f t="shared" si="0"/>
        <v>0.11416666666666675</v>
      </c>
      <c r="E29" s="29">
        <f t="shared" si="1"/>
        <v>1.3034027777777797E-2</v>
      </c>
      <c r="F29" s="37">
        <f t="shared" si="2"/>
        <v>-0.36050000000000004</v>
      </c>
      <c r="G29" s="38">
        <f t="shared" si="3"/>
        <v>-4.1157083333333365E-2</v>
      </c>
      <c r="H29" s="4">
        <f t="shared" si="4"/>
        <v>2.7647217212118358</v>
      </c>
      <c r="I29" s="13">
        <f t="shared" si="5"/>
        <v>0.1404163683479607</v>
      </c>
      <c r="J29" s="30">
        <f t="shared" si="6"/>
        <v>2.0225735422717535E-4</v>
      </c>
      <c r="M29" s="6" t="s">
        <v>159</v>
      </c>
      <c r="N29" s="6"/>
      <c r="O29" s="6"/>
      <c r="P29" s="6"/>
      <c r="Q29" s="6"/>
      <c r="R29" s="6"/>
      <c r="S29" s="6"/>
      <c r="T29" s="6"/>
    </row>
    <row r="30" spans="2:22">
      <c r="B30" s="9">
        <v>2.73</v>
      </c>
      <c r="C30" s="10">
        <v>2.0499999999999998</v>
      </c>
      <c r="D30" s="27">
        <f t="shared" si="0"/>
        <v>-0.38583333333333325</v>
      </c>
      <c r="E30" s="29">
        <f t="shared" si="1"/>
        <v>0.14886736111111104</v>
      </c>
      <c r="F30" s="37">
        <f t="shared" si="2"/>
        <v>-2.0500000000000185E-2</v>
      </c>
      <c r="G30" s="38">
        <f t="shared" si="3"/>
        <v>7.9095833333334021E-3</v>
      </c>
      <c r="H30" s="4">
        <f t="shared" si="4"/>
        <v>2.7024368107950365</v>
      </c>
      <c r="I30" s="13">
        <f t="shared" si="5"/>
        <v>7.597293991486152E-4</v>
      </c>
      <c r="J30" s="30">
        <f t="shared" si="6"/>
        <v>2.3100701565521354E-3</v>
      </c>
      <c r="M30" s="6" t="s">
        <v>116</v>
      </c>
      <c r="N30" s="6"/>
      <c r="O30" s="6"/>
      <c r="P30" s="6"/>
      <c r="Q30" s="6"/>
      <c r="R30" s="6"/>
      <c r="S30" s="6"/>
      <c r="T30" s="6"/>
      <c r="U30" s="6"/>
    </row>
    <row r="31" spans="2:22">
      <c r="B31" s="9">
        <v>2.4900000000000002</v>
      </c>
      <c r="C31" s="10">
        <v>2.19</v>
      </c>
      <c r="D31" s="27">
        <f t="shared" si="0"/>
        <v>-0.24583333333333313</v>
      </c>
      <c r="E31" s="29">
        <f t="shared" si="1"/>
        <v>6.0434027777777677E-2</v>
      </c>
      <c r="F31" s="37">
        <f t="shared" si="2"/>
        <v>-0.26049999999999995</v>
      </c>
      <c r="G31" s="38">
        <f t="shared" si="3"/>
        <v>6.4039583333333275E-2</v>
      </c>
      <c r="H31" s="4">
        <f t="shared" si="4"/>
        <v>2.7198765857117406</v>
      </c>
      <c r="I31" s="13">
        <f t="shared" si="5"/>
        <v>5.2843244658487137E-2</v>
      </c>
      <c r="J31" s="30">
        <f t="shared" si="6"/>
        <v>9.3779350267037876E-4</v>
      </c>
      <c r="M31" s="6" t="s">
        <v>160</v>
      </c>
      <c r="N31" s="6"/>
      <c r="O31" s="6"/>
      <c r="P31" s="6"/>
      <c r="Q31" s="6"/>
      <c r="R31" s="6"/>
      <c r="S31" s="6"/>
    </row>
    <row r="32" spans="2:22">
      <c r="B32" s="9">
        <v>2.74</v>
      </c>
      <c r="C32" s="10">
        <v>1.91</v>
      </c>
      <c r="D32" s="27">
        <f t="shared" si="0"/>
        <v>-0.52583333333333315</v>
      </c>
      <c r="E32" s="29">
        <f t="shared" si="1"/>
        <v>0.27650069444444425</v>
      </c>
      <c r="F32" s="37">
        <f t="shared" si="2"/>
        <v>-1.0499999999999954E-2</v>
      </c>
      <c r="G32" s="38">
        <f t="shared" si="3"/>
        <v>5.5212499999999741E-3</v>
      </c>
      <c r="H32" s="4">
        <f t="shared" si="4"/>
        <v>2.6849970358783328</v>
      </c>
      <c r="I32" s="13">
        <f t="shared" si="5"/>
        <v>3.0253260621694298E-3</v>
      </c>
      <c r="J32" s="30">
        <f t="shared" si="6"/>
        <v>4.2906383087244386E-3</v>
      </c>
    </row>
    <row r="33" spans="2:20">
      <c r="B33" s="9">
        <v>2.73</v>
      </c>
      <c r="C33" s="10">
        <v>2.3199999999999998</v>
      </c>
      <c r="D33" s="27">
        <f t="shared" si="0"/>
        <v>-0.11583333333333323</v>
      </c>
      <c r="E33" s="29">
        <f t="shared" si="1"/>
        <v>1.3417361111111088E-2</v>
      </c>
      <c r="F33" s="37">
        <f t="shared" si="2"/>
        <v>-2.0500000000000185E-2</v>
      </c>
      <c r="G33" s="38">
        <f t="shared" si="3"/>
        <v>2.3745833333333527E-3</v>
      </c>
      <c r="H33" s="4">
        <f t="shared" si="4"/>
        <v>2.7360706624201083</v>
      </c>
      <c r="I33" s="13">
        <f t="shared" si="5"/>
        <v>3.6852942218915668E-5</v>
      </c>
      <c r="J33" s="30">
        <f t="shared" si="6"/>
        <v>2.08205782994479E-4</v>
      </c>
    </row>
    <row r="34" spans="2:20">
      <c r="B34" s="9">
        <v>2.52</v>
      </c>
      <c r="C34" s="10">
        <v>2.0699999999999998</v>
      </c>
      <c r="D34" s="27">
        <f t="shared" si="0"/>
        <v>-0.36583333333333323</v>
      </c>
      <c r="E34" s="29">
        <f t="shared" si="1"/>
        <v>0.1338340277777777</v>
      </c>
      <c r="F34" s="37">
        <f t="shared" si="2"/>
        <v>-0.23050000000000015</v>
      </c>
      <c r="G34" s="38">
        <f t="shared" si="3"/>
        <v>8.4324583333333369E-2</v>
      </c>
      <c r="H34" s="4">
        <f t="shared" si="4"/>
        <v>2.7049282072117085</v>
      </c>
      <c r="I34" s="13">
        <f t="shared" si="5"/>
        <v>3.4198441822536577E-2</v>
      </c>
      <c r="J34" s="30">
        <f t="shared" si="6"/>
        <v>2.0767882979389964E-3</v>
      </c>
    </row>
    <row r="35" spans="2:20">
      <c r="B35" s="9">
        <v>2.66</v>
      </c>
      <c r="C35" s="10">
        <v>1.95</v>
      </c>
      <c r="D35" s="27">
        <f t="shared" si="0"/>
        <v>-0.48583333333333312</v>
      </c>
      <c r="E35" s="29">
        <f t="shared" si="1"/>
        <v>0.23603402777777757</v>
      </c>
      <c r="F35" s="37">
        <f t="shared" si="2"/>
        <v>-9.0500000000000025E-2</v>
      </c>
      <c r="G35" s="38">
        <f t="shared" si="3"/>
        <v>4.3967916666666662E-2</v>
      </c>
      <c r="H35" s="4">
        <f t="shared" si="4"/>
        <v>2.6899798287116767</v>
      </c>
      <c r="I35" s="13">
        <f t="shared" si="5"/>
        <v>8.9879012958146817E-4</v>
      </c>
      <c r="J35" s="30">
        <f t="shared" si="6"/>
        <v>3.662691132768008E-3</v>
      </c>
    </row>
    <row r="36" spans="2:20">
      <c r="B36" s="9">
        <v>2.54</v>
      </c>
      <c r="C36" s="10">
        <v>1.74</v>
      </c>
      <c r="D36" s="27">
        <f t="shared" si="0"/>
        <v>-0.69583333333333308</v>
      </c>
      <c r="E36" s="29">
        <f t="shared" si="1"/>
        <v>0.48418402777777741</v>
      </c>
      <c r="F36" s="37">
        <f t="shared" si="2"/>
        <v>-0.21050000000000013</v>
      </c>
      <c r="G36" s="38">
        <f t="shared" si="3"/>
        <v>0.1464729166666667</v>
      </c>
      <c r="H36" s="4">
        <f t="shared" si="4"/>
        <v>2.6638201663366208</v>
      </c>
      <c r="I36" s="13">
        <f t="shared" si="5"/>
        <v>1.5331433591628429E-2</v>
      </c>
      <c r="J36" s="30">
        <f t="shared" si="6"/>
        <v>7.5133935639111193E-3</v>
      </c>
    </row>
    <row r="37" spans="2:20">
      <c r="B37" s="9">
        <v>3.06</v>
      </c>
      <c r="C37" s="10">
        <v>1.76</v>
      </c>
      <c r="D37" s="27">
        <f t="shared" si="0"/>
        <v>-0.67583333333333306</v>
      </c>
      <c r="E37" s="29">
        <f t="shared" si="1"/>
        <v>0.45675069444444411</v>
      </c>
      <c r="F37" s="37">
        <f t="shared" si="2"/>
        <v>0.30949999999999989</v>
      </c>
      <c r="G37" s="38">
        <f t="shared" si="3"/>
        <v>-0.2091704166666665</v>
      </c>
      <c r="H37" s="4">
        <f t="shared" si="4"/>
        <v>2.6663115627532927</v>
      </c>
      <c r="I37" s="13">
        <f t="shared" si="5"/>
        <v>0.15499058562175461</v>
      </c>
      <c r="J37" s="30">
        <f t="shared" si="6"/>
        <v>7.0876929660427957E-3</v>
      </c>
    </row>
    <row r="38" spans="2:20">
      <c r="B38" s="9">
        <v>2.78</v>
      </c>
      <c r="C38" s="10">
        <v>2.41</v>
      </c>
      <c r="D38" s="27">
        <f t="shared" si="0"/>
        <v>-2.5833333333332931E-2</v>
      </c>
      <c r="E38" s="29">
        <f t="shared" si="1"/>
        <v>6.6736111111109027E-4</v>
      </c>
      <c r="F38" s="37">
        <f t="shared" si="2"/>
        <v>2.9499999999999638E-2</v>
      </c>
      <c r="G38" s="38">
        <f t="shared" si="3"/>
        <v>-7.6208333333331211E-4</v>
      </c>
      <c r="H38" s="4">
        <f t="shared" si="4"/>
        <v>2.7472819462951321</v>
      </c>
      <c r="I38" s="13">
        <f t="shared" si="5"/>
        <v>1.0704710382346064E-3</v>
      </c>
      <c r="J38" s="30">
        <f t="shared" si="6"/>
        <v>1.0355869647414992E-5</v>
      </c>
    </row>
    <row r="39" spans="2:20">
      <c r="B39" s="9">
        <v>2.81</v>
      </c>
      <c r="C39" s="10">
        <v>3.33</v>
      </c>
      <c r="D39" s="27">
        <f t="shared" si="0"/>
        <v>0.894166666666667</v>
      </c>
      <c r="E39" s="29">
        <f t="shared" si="1"/>
        <v>0.79953402777777838</v>
      </c>
      <c r="F39" s="37">
        <f t="shared" si="2"/>
        <v>5.9499999999999886E-2</v>
      </c>
      <c r="G39" s="38">
        <f t="shared" si="3"/>
        <v>5.3202916666666586E-2</v>
      </c>
      <c r="H39" s="4">
        <f t="shared" si="4"/>
        <v>2.8618861814620429</v>
      </c>
      <c r="I39" s="13">
        <f t="shared" si="5"/>
        <v>2.6921758267120363E-3</v>
      </c>
      <c r="J39" s="30">
        <f t="shared" si="6"/>
        <v>1.2406881420695107E-2</v>
      </c>
    </row>
    <row r="40" spans="2:20">
      <c r="B40" s="9">
        <v>2.97</v>
      </c>
      <c r="C40" s="10">
        <v>1.62</v>
      </c>
      <c r="D40" s="27">
        <f t="shared" si="0"/>
        <v>-0.81583333333333297</v>
      </c>
      <c r="E40" s="29">
        <f t="shared" si="1"/>
        <v>0.66558402777777714</v>
      </c>
      <c r="F40" s="37">
        <f t="shared" si="2"/>
        <v>0.21950000000000003</v>
      </c>
      <c r="G40" s="38">
        <f t="shared" si="3"/>
        <v>-0.1790754166666666</v>
      </c>
      <c r="H40" s="4">
        <f t="shared" si="4"/>
        <v>2.6488717878365891</v>
      </c>
      <c r="I40" s="13">
        <f t="shared" si="5"/>
        <v>0.10312332864726879</v>
      </c>
      <c r="J40" s="30">
        <f t="shared" si="6"/>
        <v>1.0328293507531302E-2</v>
      </c>
      <c r="L40" s="32"/>
      <c r="M40" s="32"/>
      <c r="N40" s="32"/>
      <c r="O40" s="32"/>
      <c r="P40" s="32"/>
      <c r="Q40" s="32"/>
      <c r="R40" s="32"/>
      <c r="S40" s="32"/>
      <c r="T40" s="32"/>
    </row>
    <row r="41" spans="2:20">
      <c r="B41" s="9">
        <v>3.27</v>
      </c>
      <c r="C41" s="10">
        <v>2.37</v>
      </c>
      <c r="D41" s="27">
        <f t="shared" si="0"/>
        <v>-6.5833333333332966E-2</v>
      </c>
      <c r="E41" s="29">
        <f t="shared" si="1"/>
        <v>4.3340277777777292E-3</v>
      </c>
      <c r="F41" s="37">
        <f t="shared" si="2"/>
        <v>0.51949999999999985</v>
      </c>
      <c r="G41" s="38">
        <f t="shared" si="3"/>
        <v>-3.4200416666666469E-2</v>
      </c>
      <c r="H41" s="4">
        <f t="shared" si="4"/>
        <v>2.7422991534617882</v>
      </c>
      <c r="I41" s="13">
        <f t="shared" si="5"/>
        <v>0.27846818343714536</v>
      </c>
      <c r="J41" s="30">
        <f t="shared" si="6"/>
        <v>6.7253883943303063E-5</v>
      </c>
      <c r="L41" s="32"/>
      <c r="M41" s="32"/>
      <c r="N41" s="32"/>
      <c r="O41" s="32"/>
      <c r="P41" s="32"/>
      <c r="Q41" s="32"/>
      <c r="R41" s="32"/>
      <c r="S41" s="32"/>
      <c r="T41" s="32"/>
    </row>
    <row r="42" spans="2:20">
      <c r="B42" s="9">
        <v>2.96</v>
      </c>
      <c r="C42" s="10">
        <v>2.25</v>
      </c>
      <c r="D42" s="27">
        <f t="shared" si="0"/>
        <v>-0.18583333333333307</v>
      </c>
      <c r="E42" s="29">
        <f t="shared" si="1"/>
        <v>3.4534027777777684E-2</v>
      </c>
      <c r="F42" s="37">
        <f t="shared" si="2"/>
        <v>0.2094999999999998</v>
      </c>
      <c r="G42" s="38">
        <f t="shared" si="3"/>
        <v>-3.8932083333333242E-2</v>
      </c>
      <c r="H42" s="4">
        <f t="shared" si="4"/>
        <v>2.7273507749617565</v>
      </c>
      <c r="I42" s="13">
        <f t="shared" si="5"/>
        <v>5.4125661910895254E-2</v>
      </c>
      <c r="J42" s="30">
        <f t="shared" si="6"/>
        <v>5.3588661987124815E-4</v>
      </c>
      <c r="L42" s="34"/>
      <c r="M42" s="34"/>
      <c r="N42" s="32"/>
      <c r="O42" s="32"/>
      <c r="P42" s="32"/>
      <c r="Q42" s="32"/>
      <c r="R42" s="32"/>
      <c r="S42" s="32"/>
      <c r="T42" s="32"/>
    </row>
    <row r="43" spans="2:20">
      <c r="B43" s="9">
        <v>2.5099999999999998</v>
      </c>
      <c r="C43" s="10">
        <v>2.5299999999999998</v>
      </c>
      <c r="D43" s="27">
        <f t="shared" si="0"/>
        <v>9.4166666666666732E-2</v>
      </c>
      <c r="E43" s="29">
        <f t="shared" si="1"/>
        <v>8.8673611111111227E-3</v>
      </c>
      <c r="F43" s="37">
        <f t="shared" si="2"/>
        <v>-0.24050000000000038</v>
      </c>
      <c r="G43" s="38">
        <f t="shared" si="3"/>
        <v>-2.2647083333333384E-2</v>
      </c>
      <c r="H43" s="4">
        <f t="shared" si="4"/>
        <v>2.7622303247951638</v>
      </c>
      <c r="I43" s="13">
        <f t="shared" si="5"/>
        <v>6.3620136746273953E-2</v>
      </c>
      <c r="J43" s="30">
        <f t="shared" si="6"/>
        <v>1.3760051980003161E-4</v>
      </c>
      <c r="L43" s="1"/>
      <c r="M43" s="1"/>
      <c r="N43" s="32"/>
      <c r="O43" s="32"/>
      <c r="P43" s="32"/>
      <c r="Q43" s="32"/>
      <c r="R43" s="32"/>
      <c r="S43" s="32"/>
      <c r="T43" s="32"/>
    </row>
    <row r="44" spans="2:20">
      <c r="B44" s="9">
        <v>3.09</v>
      </c>
      <c r="C44" s="10">
        <v>3.31</v>
      </c>
      <c r="D44" s="27">
        <f t="shared" si="0"/>
        <v>0.87416666666666698</v>
      </c>
      <c r="E44" s="29">
        <f t="shared" si="1"/>
        <v>0.76416736111111161</v>
      </c>
      <c r="F44" s="37">
        <f t="shared" si="2"/>
        <v>0.33949999999999969</v>
      </c>
      <c r="G44" s="38">
        <f t="shared" si="3"/>
        <v>0.29677958333333315</v>
      </c>
      <c r="H44" s="4">
        <f t="shared" si="4"/>
        <v>2.8593947850453709</v>
      </c>
      <c r="I44" s="13">
        <f t="shared" si="5"/>
        <v>5.3178765164270614E-2</v>
      </c>
      <c r="J44" s="30">
        <f t="shared" si="6"/>
        <v>1.1858074210077502E-2</v>
      </c>
      <c r="L44" s="1"/>
      <c r="M44" s="1"/>
      <c r="N44" s="32"/>
      <c r="O44" s="32"/>
      <c r="P44" s="32"/>
      <c r="Q44" s="32"/>
      <c r="R44" s="32"/>
      <c r="S44" s="32"/>
      <c r="T44" s="32"/>
    </row>
    <row r="45" spans="2:20">
      <c r="B45" s="9">
        <v>2.83</v>
      </c>
      <c r="C45" s="10">
        <v>3.45</v>
      </c>
      <c r="D45" s="27">
        <f t="shared" si="0"/>
        <v>1.0141666666666671</v>
      </c>
      <c r="E45" s="29">
        <f t="shared" si="1"/>
        <v>1.0285340277777786</v>
      </c>
      <c r="F45" s="37">
        <f t="shared" si="2"/>
        <v>7.9499999999999904E-2</v>
      </c>
      <c r="G45" s="38">
        <f t="shared" si="3"/>
        <v>8.0626249999999941E-2</v>
      </c>
      <c r="H45" s="4">
        <f t="shared" si="4"/>
        <v>2.876834559962075</v>
      </c>
      <c r="I45" s="13">
        <f t="shared" si="5"/>
        <v>2.1934760068411962E-3</v>
      </c>
      <c r="J45" s="30">
        <f t="shared" si="6"/>
        <v>1.5960421040811093E-2</v>
      </c>
      <c r="L45" s="32"/>
      <c r="M45" s="32"/>
      <c r="N45" s="32"/>
      <c r="O45" s="32"/>
      <c r="P45" s="32"/>
      <c r="Q45" s="32"/>
      <c r="R45" s="32"/>
      <c r="S45" s="32"/>
      <c r="T45" s="32"/>
    </row>
    <row r="46" spans="2:20">
      <c r="B46" s="9">
        <v>2.95</v>
      </c>
      <c r="C46" s="10">
        <v>2.02</v>
      </c>
      <c r="D46" s="27">
        <f t="shared" si="0"/>
        <v>-0.41583333333333306</v>
      </c>
      <c r="E46" s="29">
        <f t="shared" si="1"/>
        <v>0.17291736111111089</v>
      </c>
      <c r="F46" s="37">
        <f t="shared" si="2"/>
        <v>0.19950000000000001</v>
      </c>
      <c r="G46" s="38">
        <f t="shared" si="3"/>
        <v>-8.2958749999999942E-2</v>
      </c>
      <c r="H46" s="4">
        <f t="shared" si="4"/>
        <v>2.6986997161700286</v>
      </c>
      <c r="I46" s="13">
        <f t="shared" si="5"/>
        <v>6.3151832653024292E-2</v>
      </c>
      <c r="J46" s="30">
        <f t="shared" si="6"/>
        <v>2.6832694048656166E-3</v>
      </c>
      <c r="L46" s="32"/>
      <c r="M46" s="32"/>
      <c r="N46" s="32"/>
      <c r="O46" s="32"/>
      <c r="P46" s="32"/>
      <c r="Q46" s="32"/>
      <c r="R46" s="32"/>
      <c r="S46" s="32"/>
      <c r="T46" s="32"/>
    </row>
    <row r="47" spans="2:20">
      <c r="B47" s="9">
        <v>2.42</v>
      </c>
      <c r="C47" s="10">
        <v>3.07</v>
      </c>
      <c r="D47" s="27">
        <f t="shared" si="0"/>
        <v>0.63416666666666677</v>
      </c>
      <c r="E47" s="29">
        <f t="shared" si="1"/>
        <v>0.40216736111111123</v>
      </c>
      <c r="F47" s="37">
        <f t="shared" si="2"/>
        <v>-0.33050000000000024</v>
      </c>
      <c r="G47" s="38">
        <f t="shared" si="3"/>
        <v>-0.20959208333333351</v>
      </c>
      <c r="H47" s="4">
        <f t="shared" si="4"/>
        <v>2.8294980280453075</v>
      </c>
      <c r="I47" s="13">
        <f t="shared" si="5"/>
        <v>0.16768863497299549</v>
      </c>
      <c r="J47" s="30">
        <f t="shared" si="6"/>
        <v>6.2406884350471609E-3</v>
      </c>
      <c r="L47" s="34"/>
      <c r="M47" s="34"/>
      <c r="N47" s="32"/>
      <c r="O47" s="32"/>
      <c r="P47" s="32"/>
      <c r="Q47" s="32"/>
      <c r="R47" s="32"/>
      <c r="S47" s="32"/>
      <c r="T47" s="32"/>
    </row>
    <row r="48" spans="2:20">
      <c r="B48" s="9">
        <v>2.94</v>
      </c>
      <c r="C48" s="10">
        <v>2.54</v>
      </c>
      <c r="D48" s="27">
        <f t="shared" si="0"/>
        <v>0.10416666666666696</v>
      </c>
      <c r="E48" s="29">
        <f t="shared" si="1"/>
        <v>1.0850694444444507E-2</v>
      </c>
      <c r="F48" s="37">
        <f t="shared" si="2"/>
        <v>0.18949999999999978</v>
      </c>
      <c r="G48" s="38">
        <f t="shared" si="3"/>
        <v>1.9739583333333366E-2</v>
      </c>
      <c r="H48" s="4">
        <f t="shared" si="4"/>
        <v>2.7634760230034998</v>
      </c>
      <c r="I48" s="13">
        <f t="shared" si="5"/>
        <v>3.1160714454660909E-2</v>
      </c>
      <c r="J48" s="30">
        <f t="shared" si="6"/>
        <v>1.6837717298735203E-4</v>
      </c>
      <c r="L48" s="1"/>
      <c r="M48" s="1"/>
      <c r="N48" s="32"/>
      <c r="O48" s="32"/>
      <c r="P48" s="32"/>
      <c r="Q48" s="32"/>
      <c r="R48" s="32"/>
      <c r="S48" s="32"/>
      <c r="T48" s="32"/>
    </row>
    <row r="49" spans="2:20">
      <c r="B49" s="9">
        <v>3.1</v>
      </c>
      <c r="C49" s="10">
        <v>2.75</v>
      </c>
      <c r="D49" s="27">
        <f t="shared" si="0"/>
        <v>0.31416666666666693</v>
      </c>
      <c r="E49" s="29">
        <f t="shared" si="1"/>
        <v>9.8700694444444612E-2</v>
      </c>
      <c r="F49" s="37">
        <f t="shared" si="2"/>
        <v>0.34949999999999992</v>
      </c>
      <c r="G49" s="38">
        <f t="shared" si="3"/>
        <v>0.10980125000000007</v>
      </c>
      <c r="H49" s="4">
        <f t="shared" si="4"/>
        <v>2.7896356853785558</v>
      </c>
      <c r="I49" s="13">
        <f t="shared" si="5"/>
        <v>9.6326007790438872E-2</v>
      </c>
      <c r="J49" s="30">
        <f t="shared" si="6"/>
        <v>1.5316018700492911E-3</v>
      </c>
      <c r="L49" s="1"/>
      <c r="M49" s="1"/>
      <c r="N49" s="32"/>
      <c r="O49" s="32"/>
      <c r="P49" s="32"/>
      <c r="Q49" s="32"/>
      <c r="R49" s="32"/>
      <c r="S49" s="32"/>
      <c r="T49" s="32"/>
    </row>
    <row r="50" spans="2:20">
      <c r="B50" s="9">
        <v>3.03</v>
      </c>
      <c r="C50" s="10">
        <v>3.12</v>
      </c>
      <c r="D50" s="27">
        <f t="shared" si="0"/>
        <v>0.68416666666666703</v>
      </c>
      <c r="E50" s="29">
        <f t="shared" si="1"/>
        <v>0.4680840277777783</v>
      </c>
      <c r="F50" s="37">
        <f t="shared" si="2"/>
        <v>0.27949999999999964</v>
      </c>
      <c r="G50" s="38">
        <f t="shared" si="3"/>
        <v>0.1912245833333332</v>
      </c>
      <c r="H50" s="4">
        <f t="shared" si="4"/>
        <v>2.8357265190869874</v>
      </c>
      <c r="I50" s="13">
        <f t="shared" si="5"/>
        <v>3.7742185386058606E-2</v>
      </c>
      <c r="J50" s="30">
        <f t="shared" si="6"/>
        <v>7.2635595556845931E-3</v>
      </c>
      <c r="L50" s="1"/>
      <c r="M50" s="1"/>
      <c r="N50" s="32"/>
      <c r="O50" s="32"/>
      <c r="P50" s="32"/>
      <c r="Q50" s="32"/>
      <c r="R50" s="32"/>
      <c r="S50" s="32"/>
      <c r="T50" s="32"/>
    </row>
    <row r="51" spans="2:20">
      <c r="B51" s="9">
        <v>2.73</v>
      </c>
      <c r="C51" s="10">
        <v>2.0699999999999998</v>
      </c>
      <c r="D51" s="27">
        <f t="shared" si="0"/>
        <v>-0.36583333333333323</v>
      </c>
      <c r="E51" s="29">
        <f t="shared" si="1"/>
        <v>0.1338340277777777</v>
      </c>
      <c r="F51" s="37">
        <f t="shared" si="2"/>
        <v>-2.0500000000000185E-2</v>
      </c>
      <c r="G51" s="38">
        <f t="shared" si="3"/>
        <v>7.4995833333333988E-3</v>
      </c>
      <c r="H51" s="4">
        <f t="shared" si="4"/>
        <v>2.7049282072117085</v>
      </c>
      <c r="I51" s="13">
        <f t="shared" si="5"/>
        <v>6.2859479361902695E-4</v>
      </c>
      <c r="J51" s="30">
        <f t="shared" si="6"/>
        <v>2.0767882979389964E-3</v>
      </c>
      <c r="L51" s="1"/>
      <c r="M51" s="1"/>
      <c r="N51" s="32"/>
      <c r="O51" s="32"/>
      <c r="P51" s="32"/>
      <c r="Q51" s="32"/>
      <c r="R51" s="32"/>
      <c r="S51" s="32"/>
      <c r="T51" s="32"/>
    </row>
    <row r="52" spans="2:20">
      <c r="B52" s="9">
        <v>2.04</v>
      </c>
      <c r="C52" s="10">
        <v>2.75</v>
      </c>
      <c r="D52" s="27">
        <f t="shared" si="0"/>
        <v>0.31416666666666693</v>
      </c>
      <c r="E52" s="29">
        <f t="shared" si="1"/>
        <v>9.8700694444444612E-2</v>
      </c>
      <c r="F52" s="37">
        <f t="shared" si="2"/>
        <v>-0.71050000000000013</v>
      </c>
      <c r="G52" s="38">
        <f t="shared" si="3"/>
        <v>-0.22321541666666689</v>
      </c>
      <c r="H52" s="4">
        <f t="shared" si="4"/>
        <v>2.7896356853785558</v>
      </c>
      <c r="I52" s="13">
        <f t="shared" si="5"/>
        <v>0.56195366079297704</v>
      </c>
      <c r="J52" s="30">
        <f t="shared" si="6"/>
        <v>1.5316018700492911E-3</v>
      </c>
      <c r="L52" s="1"/>
      <c r="M52" s="1"/>
      <c r="N52" s="32"/>
      <c r="O52" s="32"/>
      <c r="P52" s="32"/>
      <c r="Q52" s="32"/>
      <c r="R52" s="32"/>
      <c r="S52" s="32"/>
      <c r="T52" s="32"/>
    </row>
    <row r="53" spans="2:20">
      <c r="B53" s="9">
        <v>2.67</v>
      </c>
      <c r="C53" s="10">
        <v>1.87</v>
      </c>
      <c r="D53" s="27">
        <f t="shared" si="0"/>
        <v>-0.56583333333333297</v>
      </c>
      <c r="E53" s="29">
        <f t="shared" si="1"/>
        <v>0.32016736111111072</v>
      </c>
      <c r="F53" s="37">
        <f t="shared" si="2"/>
        <v>-8.0500000000000238E-2</v>
      </c>
      <c r="G53" s="38">
        <f t="shared" si="3"/>
        <v>4.5549583333333442E-2</v>
      </c>
      <c r="H53" s="4">
        <f t="shared" si="4"/>
        <v>2.6800142430449889</v>
      </c>
      <c r="I53" s="13">
        <f t="shared" si="5"/>
        <v>1.0028506376411037E-4</v>
      </c>
      <c r="J53" s="30">
        <f t="shared" si="6"/>
        <v>4.9682419335209168E-3</v>
      </c>
      <c r="L53" s="32"/>
      <c r="M53" s="32"/>
      <c r="N53" s="32"/>
      <c r="O53" s="32"/>
      <c r="P53" s="32"/>
      <c r="Q53" s="32"/>
      <c r="R53" s="32"/>
      <c r="S53" s="32"/>
      <c r="T53" s="32"/>
    </row>
    <row r="54" spans="2:20">
      <c r="B54" s="9">
        <v>2.52</v>
      </c>
      <c r="C54" s="10">
        <v>2.64</v>
      </c>
      <c r="D54" s="27">
        <f t="shared" si="0"/>
        <v>0.20416666666666705</v>
      </c>
      <c r="E54" s="29">
        <f t="shared" si="1"/>
        <v>4.1684027777777938E-2</v>
      </c>
      <c r="F54" s="37">
        <f t="shared" si="2"/>
        <v>-0.23050000000000015</v>
      </c>
      <c r="G54" s="38">
        <f t="shared" si="3"/>
        <v>-4.7060416666666785E-2</v>
      </c>
      <c r="H54" s="4">
        <f t="shared" si="4"/>
        <v>2.77593300508686</v>
      </c>
      <c r="I54" s="13">
        <f t="shared" si="5"/>
        <v>6.5501703092790714E-2</v>
      </c>
      <c r="J54" s="30">
        <f t="shared" si="6"/>
        <v>6.4683774774823956E-4</v>
      </c>
      <c r="L54" s="32"/>
      <c r="M54" s="32"/>
      <c r="N54" s="32"/>
      <c r="O54" s="32"/>
      <c r="P54" s="32"/>
      <c r="Q54" s="32"/>
      <c r="R54" s="32"/>
      <c r="S54" s="32"/>
      <c r="T54" s="32"/>
    </row>
    <row r="55" spans="2:20">
      <c r="B55" s="9">
        <v>2.36</v>
      </c>
      <c r="C55" s="10">
        <v>2.16</v>
      </c>
      <c r="D55" s="27">
        <f t="shared" si="0"/>
        <v>-0.27583333333333293</v>
      </c>
      <c r="E55" s="29">
        <f t="shared" si="1"/>
        <v>7.6084027777777549E-2</v>
      </c>
      <c r="F55" s="37">
        <f t="shared" si="2"/>
        <v>-0.39050000000000029</v>
      </c>
      <c r="G55" s="38">
        <f t="shared" si="3"/>
        <v>0.10771291666666659</v>
      </c>
      <c r="H55" s="4">
        <f t="shared" si="4"/>
        <v>2.7161394910867322</v>
      </c>
      <c r="I55" s="13">
        <f t="shared" si="5"/>
        <v>0.12683533711151673</v>
      </c>
      <c r="J55" s="30">
        <f t="shared" si="6"/>
        <v>1.1806445727787641E-3</v>
      </c>
      <c r="L55" s="26"/>
      <c r="M55" s="26"/>
      <c r="N55" s="26"/>
      <c r="O55" s="26"/>
      <c r="P55" s="26"/>
      <c r="Q55" s="26"/>
      <c r="R55" s="32"/>
      <c r="S55" s="32"/>
      <c r="T55" s="32"/>
    </row>
    <row r="56" spans="2:20">
      <c r="B56" s="9">
        <v>2.3199999999999998</v>
      </c>
      <c r="C56" s="10">
        <v>2.2000000000000002</v>
      </c>
      <c r="D56" s="27">
        <f t="shared" si="0"/>
        <v>-0.2358333333333329</v>
      </c>
      <c r="E56" s="29">
        <f t="shared" si="1"/>
        <v>5.5617361111110902E-2</v>
      </c>
      <c r="F56" s="37">
        <f t="shared" si="2"/>
        <v>-0.43050000000000033</v>
      </c>
      <c r="G56" s="38">
        <f t="shared" si="3"/>
        <v>0.10152624999999989</v>
      </c>
      <c r="H56" s="4">
        <f t="shared" si="4"/>
        <v>2.7211222839200762</v>
      </c>
      <c r="I56" s="13">
        <f t="shared" si="5"/>
        <v>0.16089908665725833</v>
      </c>
      <c r="J56" s="30">
        <f t="shared" si="6"/>
        <v>8.6305020207262575E-4</v>
      </c>
      <c r="L56" s="1"/>
      <c r="M56" s="1"/>
      <c r="N56" s="1"/>
      <c r="O56" s="1"/>
      <c r="P56" s="1"/>
      <c r="Q56" s="1"/>
      <c r="R56" s="32"/>
      <c r="S56" s="32"/>
      <c r="T56" s="32"/>
    </row>
    <row r="57" spans="2:20">
      <c r="B57" s="9">
        <v>2.76</v>
      </c>
      <c r="C57" s="10">
        <v>1.94</v>
      </c>
      <c r="D57" s="27">
        <f t="shared" si="0"/>
        <v>-0.49583333333333313</v>
      </c>
      <c r="E57" s="29">
        <f t="shared" si="1"/>
        <v>0.24585069444444424</v>
      </c>
      <c r="F57" s="37">
        <f t="shared" si="2"/>
        <v>9.4999999999996199E-3</v>
      </c>
      <c r="G57" s="38">
        <f t="shared" si="3"/>
        <v>-4.7104166666664766E-3</v>
      </c>
      <c r="H57" s="4">
        <f t="shared" si="4"/>
        <v>2.6887341305033408</v>
      </c>
      <c r="I57" s="13">
        <f t="shared" si="5"/>
        <v>5.0788241551148359E-3</v>
      </c>
      <c r="J57" s="30">
        <f t="shared" si="6"/>
        <v>3.815022634678361E-3</v>
      </c>
      <c r="L57" s="1"/>
      <c r="M57" s="1"/>
      <c r="N57" s="1"/>
      <c r="O57" s="1"/>
      <c r="P57" s="1"/>
      <c r="Q57" s="1"/>
      <c r="R57" s="32"/>
      <c r="S57" s="32"/>
      <c r="T57" s="32"/>
    </row>
    <row r="58" spans="2:20">
      <c r="B58" s="9">
        <v>2.86</v>
      </c>
      <c r="C58" s="10">
        <v>3.05</v>
      </c>
      <c r="D58" s="27">
        <f t="shared" si="0"/>
        <v>0.61416666666666675</v>
      </c>
      <c r="E58" s="29">
        <f t="shared" si="1"/>
        <v>0.37720069444444454</v>
      </c>
      <c r="F58" s="37">
        <f t="shared" si="2"/>
        <v>0.10949999999999971</v>
      </c>
      <c r="G58" s="38">
        <f t="shared" si="3"/>
        <v>6.7251249999999832E-2</v>
      </c>
      <c r="H58" s="4">
        <f t="shared" si="4"/>
        <v>2.8270066316286355</v>
      </c>
      <c r="I58" s="13">
        <f t="shared" si="5"/>
        <v>1.0885623564885454E-3</v>
      </c>
      <c r="J58" s="30">
        <f t="shared" si="6"/>
        <v>5.853264683159708E-3</v>
      </c>
      <c r="L58" s="1"/>
      <c r="M58" s="1"/>
      <c r="N58" s="1"/>
      <c r="O58" s="1"/>
      <c r="P58" s="1"/>
      <c r="Q58" s="1"/>
      <c r="R58" s="32"/>
      <c r="S58" s="32"/>
      <c r="T58" s="32"/>
    </row>
    <row r="59" spans="2:20">
      <c r="B59" s="9">
        <v>3.16</v>
      </c>
      <c r="C59" s="10">
        <v>2.85</v>
      </c>
      <c r="D59" s="27">
        <f t="shared" si="0"/>
        <v>0.41416666666666702</v>
      </c>
      <c r="E59" s="29">
        <f t="shared" si="1"/>
        <v>0.17153402777777807</v>
      </c>
      <c r="F59" s="37">
        <f t="shared" si="2"/>
        <v>0.40949999999999998</v>
      </c>
      <c r="G59" s="38">
        <f t="shared" si="3"/>
        <v>0.16960125000000012</v>
      </c>
      <c r="H59" s="4">
        <f t="shared" si="4"/>
        <v>2.8020926674619155</v>
      </c>
      <c r="I59" s="13">
        <f t="shared" si="5"/>
        <v>0.12809765868452708</v>
      </c>
      <c r="J59" s="30">
        <f t="shared" si="6"/>
        <v>2.6618033358357814E-3</v>
      </c>
      <c r="L59" s="32"/>
      <c r="M59" s="32"/>
      <c r="N59" s="32"/>
      <c r="O59" s="32"/>
      <c r="P59" s="32"/>
      <c r="Q59" s="32"/>
      <c r="R59" s="32"/>
      <c r="S59" s="32"/>
      <c r="T59" s="32"/>
    </row>
    <row r="60" spans="2:20">
      <c r="B60" s="9">
        <v>2.99</v>
      </c>
      <c r="C60" s="10">
        <v>3.38</v>
      </c>
      <c r="D60" s="27">
        <f t="shared" si="0"/>
        <v>0.94416666666666682</v>
      </c>
      <c r="E60" s="29">
        <f t="shared" si="1"/>
        <v>0.89145069444444469</v>
      </c>
      <c r="F60" s="37">
        <f t="shared" si="2"/>
        <v>0.23950000000000005</v>
      </c>
      <c r="G60" s="38">
        <f t="shared" si="3"/>
        <v>0.22612791666666673</v>
      </c>
      <c r="H60" s="4">
        <f t="shared" si="4"/>
        <v>2.8681146725037228</v>
      </c>
      <c r="I60" s="13">
        <f t="shared" si="5"/>
        <v>1.4856033058874809E-2</v>
      </c>
      <c r="J60" s="30">
        <f t="shared" si="6"/>
        <v>1.383321118815792E-2</v>
      </c>
      <c r="L60" s="26"/>
      <c r="M60" s="26"/>
      <c r="N60" s="26"/>
      <c r="O60" s="26"/>
      <c r="P60" s="26"/>
      <c r="Q60" s="26"/>
      <c r="R60" s="26"/>
      <c r="S60" s="26"/>
      <c r="T60" s="26"/>
    </row>
    <row r="61" spans="2:20">
      <c r="B61" s="9">
        <v>3.13</v>
      </c>
      <c r="C61" s="10">
        <v>1.56</v>
      </c>
      <c r="D61" s="27">
        <f t="shared" si="0"/>
        <v>-0.87583333333333302</v>
      </c>
      <c r="E61" s="29">
        <f t="shared" si="1"/>
        <v>0.76708402777777718</v>
      </c>
      <c r="F61" s="37">
        <f t="shared" si="2"/>
        <v>0.37949999999999973</v>
      </c>
      <c r="G61" s="38">
        <f t="shared" si="3"/>
        <v>-0.33237874999999967</v>
      </c>
      <c r="H61" s="4">
        <f t="shared" si="4"/>
        <v>2.6413975985865732</v>
      </c>
      <c r="I61" s="13">
        <f t="shared" si="5"/>
        <v>0.23873230666696735</v>
      </c>
      <c r="J61" s="30">
        <f t="shared" si="6"/>
        <v>1.1903333994176552E-2</v>
      </c>
      <c r="L61" s="1"/>
      <c r="M61" s="1"/>
      <c r="N61" s="1"/>
      <c r="O61" s="1"/>
      <c r="P61" s="1"/>
      <c r="Q61" s="1"/>
      <c r="R61" s="1"/>
      <c r="S61" s="1"/>
      <c r="T61" s="1"/>
    </row>
    <row r="62" spans="2:20">
      <c r="B62" s="9">
        <v>2.59</v>
      </c>
      <c r="C62" s="10">
        <v>2.14</v>
      </c>
      <c r="D62" s="27">
        <f t="shared" si="0"/>
        <v>-0.29583333333333295</v>
      </c>
      <c r="E62" s="29">
        <f t="shared" si="1"/>
        <v>8.7517361111110886E-2</v>
      </c>
      <c r="F62" s="37">
        <f t="shared" si="2"/>
        <v>-0.16050000000000031</v>
      </c>
      <c r="G62" s="38">
        <f t="shared" si="3"/>
        <v>4.748125000000003E-2</v>
      </c>
      <c r="H62" s="4">
        <f t="shared" si="4"/>
        <v>2.7136480946700603</v>
      </c>
      <c r="I62" s="13">
        <f t="shared" si="5"/>
        <v>1.5288851315536228E-2</v>
      </c>
      <c r="J62" s="30">
        <f t="shared" si="6"/>
        <v>1.3580629264468506E-3</v>
      </c>
      <c r="L62" s="1"/>
      <c r="M62" s="1"/>
      <c r="N62" s="1"/>
      <c r="O62" s="1"/>
      <c r="P62" s="1"/>
      <c r="Q62" s="1"/>
      <c r="R62" s="1"/>
      <c r="S62" s="1"/>
      <c r="T62" s="1"/>
    </row>
    <row r="63" spans="2:20">
      <c r="B63" s="9">
        <v>3.12</v>
      </c>
      <c r="C63" s="10">
        <v>3.07</v>
      </c>
      <c r="D63" s="27">
        <f>C63-$C$66</f>
        <v>0.63416666666666677</v>
      </c>
      <c r="E63" s="29">
        <f t="shared" si="1"/>
        <v>0.40216736111111123</v>
      </c>
      <c r="F63" s="37">
        <f t="shared" si="2"/>
        <v>0.36949999999999994</v>
      </c>
      <c r="G63" s="38">
        <f t="shared" si="3"/>
        <v>0.23432458333333334</v>
      </c>
      <c r="H63" s="4">
        <f t="shared" si="4"/>
        <v>2.8294980280453075</v>
      </c>
      <c r="I63" s="13">
        <f t="shared" si="5"/>
        <v>8.4391395709565026E-2</v>
      </c>
      <c r="J63" s="30">
        <f t="shared" si="6"/>
        <v>6.2406884350471609E-3</v>
      </c>
      <c r="L63" s="32"/>
      <c r="M63" s="32"/>
      <c r="N63" s="32"/>
      <c r="O63" s="32"/>
      <c r="P63" s="32"/>
      <c r="Q63" s="32"/>
      <c r="R63" s="32"/>
      <c r="S63" s="32"/>
      <c r="T63" s="32"/>
    </row>
    <row r="64" spans="2:20">
      <c r="E64" s="1"/>
      <c r="F64" s="1"/>
      <c r="G64" s="1"/>
      <c r="L64" s="32"/>
      <c r="M64" s="32"/>
      <c r="N64" s="32"/>
      <c r="O64" s="32"/>
      <c r="P64" s="32"/>
      <c r="Q64" s="32"/>
      <c r="R64" s="32"/>
      <c r="S64" s="32"/>
      <c r="T64" s="32"/>
    </row>
    <row r="65" spans="2:20">
      <c r="E65" s="1"/>
      <c r="F65" s="1"/>
      <c r="G65" s="1"/>
      <c r="L65" s="32"/>
      <c r="M65" s="32"/>
      <c r="N65" s="32"/>
      <c r="O65" s="32"/>
      <c r="P65" s="32"/>
      <c r="Q65" s="32"/>
      <c r="R65" s="32"/>
      <c r="S65" s="32"/>
      <c r="T65" s="32"/>
    </row>
    <row r="66" spans="2:20">
      <c r="B66" s="13" t="s">
        <v>55</v>
      </c>
      <c r="C66" s="11">
        <f>AVERAGE(C4:C63)</f>
        <v>2.4358333333333331</v>
      </c>
      <c r="E66" s="1"/>
      <c r="F66" s="35" t="s">
        <v>16</v>
      </c>
      <c r="G66" s="16">
        <f>C71/C82</f>
        <v>2.0667190039977723</v>
      </c>
      <c r="L66" s="1"/>
      <c r="M66" s="1"/>
      <c r="N66" s="1"/>
      <c r="O66" s="32"/>
      <c r="P66" s="32"/>
      <c r="Q66" s="32"/>
      <c r="R66" s="32"/>
      <c r="S66" s="32"/>
      <c r="T66" s="32"/>
    </row>
    <row r="67" spans="2:20">
      <c r="B67" s="13" t="s">
        <v>56</v>
      </c>
      <c r="C67" s="11">
        <f>AVERAGE(B4:B63)</f>
        <v>2.7505000000000002</v>
      </c>
      <c r="E67" s="1"/>
      <c r="F67" s="35" t="s">
        <v>71</v>
      </c>
      <c r="G67" s="16">
        <f>_xlfn.T.DIST.2T(G66,(60-2))</f>
        <v>4.3234635163091409E-2</v>
      </c>
      <c r="L67" s="1"/>
      <c r="M67" s="1"/>
      <c r="N67" s="1"/>
      <c r="O67" s="32"/>
      <c r="P67" s="32"/>
      <c r="Q67" s="32"/>
      <c r="R67" s="32"/>
      <c r="S67" s="32"/>
      <c r="T67" s="32"/>
    </row>
    <row r="68" spans="2:20">
      <c r="B68" s="13" t="s">
        <v>75</v>
      </c>
      <c r="C68" s="11">
        <f>SUM(G4:G63)</f>
        <v>2.5576249999999989</v>
      </c>
      <c r="E68" s="1"/>
      <c r="F68" s="33" t="s">
        <v>54</v>
      </c>
      <c r="G68" s="16">
        <f>1-G67</f>
        <v>0.95676536483690855</v>
      </c>
      <c r="L68" s="1"/>
      <c r="M68" s="1"/>
      <c r="N68" s="1"/>
      <c r="O68" s="32"/>
      <c r="P68" s="32"/>
      <c r="Q68" s="32"/>
      <c r="R68" s="32"/>
      <c r="S68" s="32"/>
      <c r="T68" s="32"/>
    </row>
    <row r="69" spans="2:20">
      <c r="B69" s="13" t="s">
        <v>85</v>
      </c>
      <c r="C69" s="11">
        <f>SUM(E4:E63)</f>
        <v>20.531658333333333</v>
      </c>
      <c r="E69" s="1"/>
      <c r="F69" s="1"/>
      <c r="G69" s="1"/>
      <c r="L69" s="1"/>
      <c r="M69" s="1"/>
      <c r="N69" s="1"/>
      <c r="O69" s="32"/>
      <c r="P69" s="32"/>
      <c r="Q69" s="32"/>
      <c r="R69" s="32"/>
      <c r="S69" s="32"/>
      <c r="T69" s="32"/>
    </row>
    <row r="70" spans="2:20">
      <c r="E70" s="1"/>
      <c r="F70" s="35" t="s">
        <v>20</v>
      </c>
      <c r="G70" s="16">
        <f>C80/C77</f>
        <v>4.2713274414855436</v>
      </c>
      <c r="L70" s="1"/>
      <c r="M70" s="1"/>
      <c r="N70" s="1"/>
      <c r="O70" s="32"/>
      <c r="P70" s="32"/>
      <c r="Q70" s="32"/>
      <c r="R70" s="32"/>
      <c r="S70" s="32"/>
      <c r="T70" s="32"/>
    </row>
    <row r="71" spans="2:20">
      <c r="B71" s="13" t="s">
        <v>60</v>
      </c>
      <c r="C71" s="11">
        <f>C68/C69</f>
        <v>0.1245698208335988</v>
      </c>
      <c r="E71" s="1"/>
      <c r="F71" s="35" t="s">
        <v>71</v>
      </c>
      <c r="G71" s="16">
        <f>_xlfn.F.DIST.RT(G70,1,(60-2))</f>
        <v>4.3234635163091624E-2</v>
      </c>
      <c r="L71" s="1"/>
      <c r="M71" s="1"/>
      <c r="N71" s="1"/>
      <c r="O71" s="32"/>
      <c r="P71" s="32"/>
      <c r="Q71" s="32"/>
      <c r="R71" s="32"/>
      <c r="S71" s="32"/>
      <c r="T71" s="32"/>
    </row>
    <row r="72" spans="2:20">
      <c r="B72" s="13" t="s">
        <v>61</v>
      </c>
      <c r="C72" s="11">
        <f>C67-(C71*C66)</f>
        <v>2.447068678086159</v>
      </c>
      <c r="E72" s="1"/>
      <c r="F72" s="33" t="s">
        <v>54</v>
      </c>
      <c r="G72" s="16">
        <f>1-G71</f>
        <v>0.95676536483690833</v>
      </c>
      <c r="L72" s="1"/>
      <c r="M72" s="1"/>
      <c r="N72" s="1"/>
      <c r="O72" s="32"/>
      <c r="P72" s="32"/>
      <c r="Q72" s="32"/>
      <c r="R72" s="32"/>
      <c r="S72" s="32"/>
      <c r="T72" s="32"/>
    </row>
    <row r="73" spans="2:20">
      <c r="E73" s="1"/>
      <c r="F73" s="1"/>
      <c r="G73" s="1"/>
      <c r="L73" s="1"/>
      <c r="M73" s="1"/>
      <c r="N73" s="1"/>
      <c r="O73" s="32"/>
      <c r="P73" s="32"/>
      <c r="Q73" s="32"/>
      <c r="R73" s="32"/>
      <c r="S73" s="32"/>
      <c r="T73" s="32"/>
    </row>
    <row r="74" spans="2:20">
      <c r="B74" s="6" t="s">
        <v>69</v>
      </c>
      <c r="C74" s="31" t="s">
        <v>91</v>
      </c>
      <c r="D74" s="31"/>
      <c r="E74" s="16"/>
      <c r="F74" s="16"/>
      <c r="G74" s="1"/>
      <c r="L74" s="1"/>
      <c r="M74" s="1"/>
      <c r="N74" s="1"/>
      <c r="O74" s="32"/>
      <c r="P74" s="32"/>
      <c r="Q74" s="32"/>
      <c r="R74" s="32"/>
      <c r="S74" s="32"/>
      <c r="T74" s="32"/>
    </row>
    <row r="75" spans="2:20">
      <c r="F75" s="1"/>
      <c r="G75" s="1"/>
      <c r="L75" s="1"/>
      <c r="M75" s="1"/>
      <c r="N75" s="1"/>
      <c r="O75" s="32"/>
      <c r="P75" s="32"/>
      <c r="Q75" s="32"/>
      <c r="R75" s="32"/>
      <c r="S75" s="32"/>
      <c r="T75" s="32"/>
    </row>
    <row r="76" spans="2:20">
      <c r="B76" s="13" t="s">
        <v>63</v>
      </c>
      <c r="C76" s="11">
        <f>SUM(I4:I63)</f>
        <v>4.3262821119904675</v>
      </c>
      <c r="E76" s="1"/>
      <c r="F76" s="1"/>
      <c r="G76" s="1"/>
      <c r="L76" s="1"/>
      <c r="M76" s="1"/>
      <c r="N76" s="1"/>
      <c r="O76" s="32"/>
      <c r="P76" s="32"/>
      <c r="Q76" s="32"/>
      <c r="R76" s="32"/>
      <c r="S76" s="32"/>
      <c r="T76" s="32"/>
    </row>
    <row r="77" spans="2:20">
      <c r="B77" s="13" t="s">
        <v>70</v>
      </c>
      <c r="C77" s="11">
        <f>C76/(60-2)</f>
        <v>7.4591070896387376E-2</v>
      </c>
      <c r="E77" s="1"/>
      <c r="F77" s="1"/>
      <c r="G77" s="1"/>
      <c r="L77" s="1"/>
      <c r="M77" s="1"/>
      <c r="N77" s="1"/>
      <c r="O77" s="32"/>
      <c r="P77" s="32"/>
      <c r="Q77" s="32"/>
      <c r="R77" s="32"/>
      <c r="S77" s="32"/>
      <c r="T77" s="32"/>
    </row>
    <row r="78" spans="2:20">
      <c r="B78" s="13" t="s">
        <v>4</v>
      </c>
      <c r="C78" s="11">
        <f>SQRT(C77)</f>
        <v>0.27311365930027626</v>
      </c>
      <c r="E78" s="1"/>
      <c r="F78" s="1"/>
      <c r="G78" s="1"/>
      <c r="L78" s="1"/>
      <c r="M78" s="1"/>
      <c r="N78" s="1"/>
      <c r="O78" s="32"/>
      <c r="P78" s="32"/>
      <c r="Q78" s="32"/>
      <c r="R78" s="32"/>
      <c r="S78" s="32"/>
      <c r="T78" s="32"/>
    </row>
    <row r="79" spans="2:20">
      <c r="B79" s="13" t="s">
        <v>67</v>
      </c>
      <c r="C79" s="11">
        <f>SUM(J4:J63)</f>
        <v>0.31860288800953307</v>
      </c>
      <c r="E79" s="1"/>
      <c r="F79" s="1"/>
      <c r="G79" s="1"/>
      <c r="L79" s="1"/>
      <c r="M79" s="1"/>
      <c r="N79" s="1"/>
      <c r="O79" s="32"/>
      <c r="P79" s="32"/>
      <c r="Q79" s="32"/>
      <c r="R79" s="32"/>
      <c r="S79" s="32"/>
      <c r="T79" s="32"/>
    </row>
    <row r="80" spans="2:20">
      <c r="B80" s="13" t="s">
        <v>72</v>
      </c>
      <c r="C80" s="11">
        <f>C79/1</f>
        <v>0.31860288800953307</v>
      </c>
      <c r="E80" s="1"/>
      <c r="F80" s="1"/>
      <c r="G80" s="1"/>
      <c r="L80" s="1"/>
      <c r="M80" s="1"/>
      <c r="N80" s="1"/>
      <c r="O80" s="32"/>
      <c r="P80" s="32"/>
      <c r="Q80" s="32"/>
      <c r="R80" s="32"/>
      <c r="S80" s="32"/>
      <c r="T80" s="32"/>
    </row>
    <row r="81" spans="2:20">
      <c r="B81" s="13" t="s">
        <v>64</v>
      </c>
      <c r="C81" s="11">
        <f>C76+C79</f>
        <v>4.6448850000000004</v>
      </c>
      <c r="E81" s="1"/>
      <c r="F81" s="1"/>
      <c r="G81" s="1"/>
      <c r="L81" s="1"/>
      <c r="M81" s="1"/>
      <c r="N81" s="1"/>
      <c r="O81" s="32"/>
      <c r="P81" s="32"/>
      <c r="Q81" s="32"/>
      <c r="R81" s="32"/>
      <c r="S81" s="32"/>
      <c r="T81" s="32"/>
    </row>
    <row r="82" spans="2:20">
      <c r="B82" s="13" t="s">
        <v>73</v>
      </c>
      <c r="C82" s="11">
        <f>C78/SQRT(C69)</f>
        <v>6.0274193343476452E-2</v>
      </c>
      <c r="E82" s="1"/>
      <c r="F82" s="1"/>
      <c r="G82" s="1"/>
      <c r="L82" s="1"/>
      <c r="M82" s="1"/>
      <c r="N82" s="1"/>
      <c r="O82" s="32"/>
      <c r="P82" s="32"/>
      <c r="Q82" s="32"/>
      <c r="R82" s="32"/>
      <c r="S82" s="32"/>
      <c r="T82" s="32"/>
    </row>
    <row r="83" spans="2:20">
      <c r="E83" s="1"/>
      <c r="F83" s="1"/>
      <c r="G83" s="1"/>
      <c r="L83" s="1"/>
      <c r="M83" s="1"/>
      <c r="N83" s="1"/>
      <c r="O83" s="32"/>
      <c r="P83" s="32"/>
      <c r="Q83" s="32"/>
      <c r="R83" s="32"/>
      <c r="S83" s="32"/>
      <c r="T83" s="32"/>
    </row>
    <row r="84" spans="2:20">
      <c r="B84" s="6" t="s">
        <v>87</v>
      </c>
      <c r="C84" s="11">
        <f>C79/C81</f>
        <v>6.8592201531261388E-2</v>
      </c>
      <c r="E84" s="1"/>
      <c r="F84" s="1"/>
      <c r="G84" s="1"/>
      <c r="L84" s="1"/>
      <c r="M84" s="1"/>
      <c r="N84" s="1"/>
      <c r="O84" s="32"/>
      <c r="P84" s="32"/>
      <c r="Q84" s="32"/>
      <c r="R84" s="32"/>
      <c r="S84" s="32"/>
      <c r="T84" s="32"/>
    </row>
    <row r="85" spans="2:20">
      <c r="E85" s="1"/>
      <c r="F85" s="1"/>
      <c r="G85" s="1"/>
      <c r="L85" s="1"/>
      <c r="M85" s="1"/>
      <c r="N85" s="1"/>
      <c r="O85" s="32"/>
      <c r="P85" s="32"/>
      <c r="Q85" s="32"/>
      <c r="R85" s="32"/>
      <c r="S85" s="32"/>
      <c r="T85" s="32"/>
    </row>
    <row r="86" spans="2:20">
      <c r="B86" s="6" t="s">
        <v>68</v>
      </c>
      <c r="C86" s="11">
        <f>SQRT(C84)</f>
        <v>0.26190112930505166</v>
      </c>
      <c r="E86" s="1"/>
      <c r="F86" s="1"/>
      <c r="G86" s="1"/>
      <c r="L86" s="1"/>
      <c r="M86" s="1"/>
      <c r="N86" s="1"/>
      <c r="O86" s="32"/>
      <c r="P86" s="32"/>
      <c r="Q86" s="32"/>
      <c r="R86" s="32"/>
      <c r="S86" s="32"/>
      <c r="T86" s="32"/>
    </row>
    <row r="87" spans="2:20">
      <c r="E87" s="1"/>
      <c r="F87" s="1"/>
      <c r="G87" s="1"/>
      <c r="L87" s="1"/>
      <c r="M87" s="1"/>
      <c r="N87" s="1"/>
      <c r="O87" s="32"/>
      <c r="P87" s="32"/>
      <c r="Q87" s="32"/>
      <c r="R87" s="32"/>
      <c r="S87" s="32"/>
      <c r="T87" s="32"/>
    </row>
    <row r="88" spans="2:20">
      <c r="E88" s="32"/>
      <c r="F88" s="32"/>
      <c r="G88" s="32"/>
      <c r="L88" s="1"/>
      <c r="M88" s="1"/>
      <c r="N88" s="1"/>
      <c r="O88" s="32"/>
      <c r="P88" s="32"/>
      <c r="Q88" s="32"/>
      <c r="R88" s="32"/>
      <c r="S88" s="32"/>
      <c r="T88" s="32"/>
    </row>
    <row r="89" spans="2:20">
      <c r="L89" s="1"/>
      <c r="M89" s="1"/>
      <c r="N89" s="1"/>
      <c r="O89" s="32"/>
      <c r="P89" s="32"/>
      <c r="Q89" s="32"/>
      <c r="R89" s="32"/>
      <c r="S89" s="32"/>
      <c r="T89" s="32"/>
    </row>
    <row r="90" spans="2:20">
      <c r="L90" s="1"/>
      <c r="M90" s="1"/>
      <c r="N90" s="1"/>
      <c r="O90" s="32"/>
      <c r="P90" s="32"/>
      <c r="Q90" s="32"/>
      <c r="R90" s="32"/>
      <c r="S90" s="32"/>
      <c r="T90" s="32"/>
    </row>
    <row r="91" spans="2:20">
      <c r="L91" s="1"/>
      <c r="M91" s="1"/>
      <c r="N91" s="1"/>
      <c r="O91" s="32"/>
      <c r="P91" s="32"/>
      <c r="Q91" s="32"/>
      <c r="R91" s="32"/>
      <c r="S91" s="32"/>
      <c r="T91" s="32"/>
    </row>
    <row r="92" spans="2:20">
      <c r="L92" s="1"/>
      <c r="M92" s="1"/>
      <c r="N92" s="1"/>
      <c r="O92" s="32"/>
      <c r="P92" s="32"/>
      <c r="Q92" s="32"/>
      <c r="R92" s="32"/>
      <c r="S92" s="32"/>
      <c r="T92" s="32"/>
    </row>
    <row r="93" spans="2:20">
      <c r="L93" s="1"/>
      <c r="M93" s="1"/>
      <c r="N93" s="1"/>
      <c r="O93" s="32"/>
      <c r="P93" s="32"/>
      <c r="Q93" s="32"/>
      <c r="R93" s="32"/>
      <c r="S93" s="32"/>
      <c r="T93" s="32"/>
    </row>
    <row r="94" spans="2:20">
      <c r="L94" s="1"/>
      <c r="M94" s="1"/>
      <c r="N94" s="1"/>
      <c r="O94" s="32"/>
      <c r="P94" s="32"/>
      <c r="Q94" s="32"/>
      <c r="R94" s="32"/>
      <c r="S94" s="32"/>
      <c r="T94" s="32"/>
    </row>
    <row r="95" spans="2:20">
      <c r="L95" s="1"/>
      <c r="M95" s="1"/>
      <c r="N95" s="1"/>
      <c r="O95" s="32"/>
      <c r="P95" s="32"/>
      <c r="Q95" s="32"/>
      <c r="R95" s="32"/>
      <c r="S95" s="32"/>
      <c r="T95" s="32"/>
    </row>
    <row r="96" spans="2:20">
      <c r="L96" s="1"/>
      <c r="M96" s="1"/>
      <c r="N96" s="1"/>
      <c r="O96" s="32"/>
      <c r="P96" s="32"/>
      <c r="Q96" s="32"/>
      <c r="R96" s="32"/>
      <c r="S96" s="32"/>
      <c r="T96" s="32"/>
    </row>
    <row r="97" spans="12:20">
      <c r="L97" s="1"/>
      <c r="M97" s="1"/>
      <c r="N97" s="1"/>
      <c r="O97" s="32"/>
      <c r="P97" s="32"/>
      <c r="Q97" s="32"/>
      <c r="R97" s="32"/>
      <c r="S97" s="32"/>
      <c r="T97" s="32"/>
    </row>
    <row r="98" spans="12:20">
      <c r="L98" s="1"/>
      <c r="M98" s="1"/>
      <c r="N98" s="1"/>
      <c r="O98" s="32"/>
      <c r="P98" s="32"/>
      <c r="Q98" s="32"/>
      <c r="R98" s="32"/>
      <c r="S98" s="32"/>
      <c r="T98" s="32"/>
    </row>
    <row r="99" spans="12:20">
      <c r="L99" s="1"/>
      <c r="M99" s="1"/>
      <c r="N99" s="1"/>
      <c r="O99" s="32"/>
      <c r="P99" s="32"/>
      <c r="Q99" s="32"/>
      <c r="R99" s="32"/>
      <c r="S99" s="32"/>
      <c r="T99" s="32"/>
    </row>
    <row r="100" spans="12:20">
      <c r="L100" s="1"/>
      <c r="M100" s="1"/>
      <c r="N100" s="1"/>
      <c r="O100" s="32"/>
      <c r="P100" s="32"/>
      <c r="Q100" s="32"/>
      <c r="R100" s="32"/>
      <c r="S100" s="32"/>
      <c r="T100" s="32"/>
    </row>
    <row r="101" spans="12:20">
      <c r="L101" s="1"/>
      <c r="M101" s="1"/>
      <c r="N101" s="1"/>
      <c r="O101" s="32"/>
      <c r="P101" s="32"/>
      <c r="Q101" s="32"/>
      <c r="R101" s="32"/>
      <c r="S101" s="32"/>
      <c r="T101" s="32"/>
    </row>
    <row r="102" spans="12:20">
      <c r="L102" s="1"/>
      <c r="M102" s="1"/>
      <c r="N102" s="1"/>
      <c r="O102" s="32"/>
      <c r="P102" s="32"/>
      <c r="Q102" s="32"/>
      <c r="R102" s="32"/>
      <c r="S102" s="32"/>
      <c r="T102" s="32"/>
    </row>
    <row r="103" spans="12:20">
      <c r="L103" s="1"/>
      <c r="M103" s="1"/>
      <c r="N103" s="1"/>
      <c r="O103" s="32"/>
      <c r="P103" s="32"/>
      <c r="Q103" s="32"/>
      <c r="R103" s="32"/>
      <c r="S103" s="32"/>
      <c r="T103" s="32"/>
    </row>
    <row r="104" spans="12:20">
      <c r="L104" s="1"/>
      <c r="M104" s="1"/>
      <c r="N104" s="1"/>
      <c r="O104" s="32"/>
      <c r="P104" s="32"/>
      <c r="Q104" s="32"/>
      <c r="R104" s="32"/>
      <c r="S104" s="32"/>
      <c r="T104" s="32"/>
    </row>
    <row r="105" spans="12:20">
      <c r="L105" s="1"/>
      <c r="M105" s="1"/>
      <c r="N105" s="1"/>
      <c r="O105" s="32"/>
      <c r="P105" s="32"/>
      <c r="Q105" s="32"/>
      <c r="R105" s="32"/>
      <c r="S105" s="32"/>
      <c r="T105" s="32"/>
    </row>
    <row r="106" spans="12:20">
      <c r="L106" s="1"/>
      <c r="M106" s="1"/>
      <c r="N106" s="1"/>
      <c r="O106" s="32"/>
      <c r="P106" s="32"/>
      <c r="Q106" s="32"/>
      <c r="R106" s="32"/>
      <c r="S106" s="32"/>
      <c r="T106" s="32"/>
    </row>
    <row r="107" spans="12:20">
      <c r="L107" s="1"/>
      <c r="M107" s="1"/>
      <c r="N107" s="1"/>
      <c r="O107" s="32"/>
      <c r="P107" s="32"/>
      <c r="Q107" s="32"/>
      <c r="R107" s="32"/>
      <c r="S107" s="32"/>
      <c r="T107" s="32"/>
    </row>
    <row r="108" spans="12:20">
      <c r="L108" s="1"/>
      <c r="M108" s="1"/>
      <c r="N108" s="1"/>
      <c r="O108" s="32"/>
      <c r="P108" s="32"/>
      <c r="Q108" s="32"/>
      <c r="R108" s="32"/>
      <c r="S108" s="32"/>
      <c r="T108" s="32"/>
    </row>
    <row r="109" spans="12:20">
      <c r="L109" s="1"/>
      <c r="M109" s="1"/>
      <c r="N109" s="1"/>
      <c r="O109" s="32"/>
      <c r="P109" s="32"/>
      <c r="Q109" s="32"/>
      <c r="R109" s="32"/>
      <c r="S109" s="32"/>
      <c r="T109" s="32"/>
    </row>
    <row r="110" spans="12:20">
      <c r="L110" s="1"/>
      <c r="M110" s="1"/>
      <c r="N110" s="1"/>
      <c r="O110" s="32"/>
      <c r="P110" s="32"/>
      <c r="Q110" s="32"/>
      <c r="R110" s="32"/>
      <c r="S110" s="32"/>
      <c r="T110" s="32"/>
    </row>
    <row r="111" spans="12:20">
      <c r="L111" s="1"/>
      <c r="M111" s="1"/>
      <c r="N111" s="1"/>
      <c r="O111" s="32"/>
      <c r="P111" s="32"/>
      <c r="Q111" s="32"/>
      <c r="R111" s="32"/>
      <c r="S111" s="32"/>
      <c r="T111" s="32"/>
    </row>
    <row r="112" spans="12:20">
      <c r="L112" s="1"/>
      <c r="M112" s="1"/>
      <c r="N112" s="1"/>
      <c r="O112" s="32"/>
      <c r="P112" s="32"/>
      <c r="Q112" s="32"/>
      <c r="R112" s="32"/>
      <c r="S112" s="32"/>
      <c r="T112" s="32"/>
    </row>
    <row r="113" spans="12:20">
      <c r="L113" s="1"/>
      <c r="M113" s="1"/>
      <c r="N113" s="1"/>
      <c r="O113" s="32"/>
      <c r="P113" s="32"/>
      <c r="Q113" s="32"/>
      <c r="R113" s="32"/>
      <c r="S113" s="32"/>
      <c r="T113" s="32"/>
    </row>
    <row r="114" spans="12:20">
      <c r="L114" s="1"/>
      <c r="M114" s="1"/>
      <c r="N114" s="1"/>
      <c r="O114" s="32"/>
      <c r="P114" s="32"/>
      <c r="Q114" s="32"/>
      <c r="R114" s="32"/>
      <c r="S114" s="32"/>
      <c r="T114" s="32"/>
    </row>
    <row r="115" spans="12:20">
      <c r="L115" s="1"/>
      <c r="M115" s="1"/>
      <c r="N115" s="1"/>
      <c r="O115" s="32"/>
      <c r="P115" s="32"/>
      <c r="Q115" s="32"/>
      <c r="R115" s="32"/>
      <c r="S115" s="32"/>
      <c r="T115" s="32"/>
    </row>
    <row r="116" spans="12:20">
      <c r="L116" s="1"/>
      <c r="M116" s="1"/>
      <c r="N116" s="1"/>
      <c r="O116" s="32"/>
      <c r="P116" s="32"/>
      <c r="Q116" s="32"/>
      <c r="R116" s="32"/>
      <c r="S116" s="32"/>
      <c r="T116" s="32"/>
    </row>
    <row r="117" spans="12:20">
      <c r="L117" s="1"/>
      <c r="M117" s="1"/>
      <c r="N117" s="1"/>
      <c r="O117" s="32"/>
      <c r="P117" s="32"/>
      <c r="Q117" s="32"/>
      <c r="R117" s="32"/>
      <c r="S117" s="32"/>
      <c r="T117" s="32"/>
    </row>
    <row r="118" spans="12:20">
      <c r="L118" s="1"/>
      <c r="M118" s="1"/>
      <c r="N118" s="1"/>
      <c r="O118" s="32"/>
      <c r="P118" s="32"/>
      <c r="Q118" s="32"/>
      <c r="R118" s="32"/>
      <c r="S118" s="32"/>
      <c r="T118" s="32"/>
    </row>
    <row r="119" spans="12:20">
      <c r="L119" s="1"/>
      <c r="M119" s="1"/>
      <c r="N119" s="1"/>
      <c r="O119" s="32"/>
      <c r="P119" s="32"/>
      <c r="Q119" s="32"/>
      <c r="R119" s="32"/>
      <c r="S119" s="32"/>
      <c r="T119" s="32"/>
    </row>
    <row r="120" spans="12:20">
      <c r="L120" s="1"/>
      <c r="M120" s="1"/>
      <c r="N120" s="1"/>
      <c r="O120" s="32"/>
      <c r="P120" s="32"/>
      <c r="Q120" s="32"/>
      <c r="R120" s="32"/>
      <c r="S120" s="32"/>
      <c r="T120" s="32"/>
    </row>
    <row r="121" spans="12:20">
      <c r="L121" s="1"/>
      <c r="M121" s="1"/>
      <c r="N121" s="1"/>
      <c r="O121" s="32"/>
      <c r="P121" s="32"/>
      <c r="Q121" s="32"/>
      <c r="R121" s="32"/>
      <c r="S121" s="32"/>
      <c r="T121" s="32"/>
    </row>
    <row r="122" spans="12:20">
      <c r="L122" s="1"/>
      <c r="M122" s="1"/>
      <c r="N122" s="1"/>
      <c r="O122" s="32"/>
      <c r="P122" s="32"/>
      <c r="Q122" s="32"/>
      <c r="R122" s="32"/>
      <c r="S122" s="32"/>
      <c r="T122" s="32"/>
    </row>
    <row r="123" spans="12:20">
      <c r="L123" s="1"/>
      <c r="M123" s="1"/>
      <c r="N123" s="1"/>
      <c r="O123" s="32"/>
      <c r="P123" s="32"/>
      <c r="Q123" s="32"/>
      <c r="R123" s="32"/>
      <c r="S123" s="32"/>
      <c r="T123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Y130"/>
  <sheetViews>
    <sheetView showGridLines="0" zoomScale="70" zoomScaleNormal="70" workbookViewId="0">
      <selection activeCell="Q44" sqref="Q44"/>
    </sheetView>
  </sheetViews>
  <sheetFormatPr baseColWidth="10" defaultColWidth="8.83203125" defaultRowHeight="13"/>
  <cols>
    <col min="2" max="2" width="39.5" bestFit="1" customWidth="1"/>
    <col min="3" max="3" width="24.5" customWidth="1"/>
    <col min="4" max="4" width="12.5" customWidth="1"/>
    <col min="5" max="5" width="17" bestFit="1" customWidth="1"/>
    <col min="6" max="6" width="8.83203125" bestFit="1" customWidth="1"/>
    <col min="7" max="7" width="20.83203125" bestFit="1" customWidth="1"/>
    <col min="8" max="8" width="15.83203125" bestFit="1" customWidth="1"/>
    <col min="9" max="9" width="19.6640625" bestFit="1" customWidth="1"/>
    <col min="10" max="10" width="22.83203125" bestFit="1" customWidth="1"/>
    <col min="11" max="11" width="12" bestFit="1" customWidth="1"/>
    <col min="12" max="12" width="21.33203125" bestFit="1" customWidth="1"/>
    <col min="13" max="13" width="13.6640625" bestFit="1" customWidth="1"/>
    <col min="14" max="14" width="15.6640625" bestFit="1" customWidth="1"/>
    <col min="15" max="16" width="12.5" bestFit="1" customWidth="1"/>
    <col min="17" max="17" width="15.1640625" bestFit="1" customWidth="1"/>
    <col min="18" max="18" width="12.5" bestFit="1" customWidth="1"/>
    <col min="19" max="19" width="13.6640625" bestFit="1" customWidth="1"/>
    <col min="20" max="20" width="13.5" bestFit="1" customWidth="1"/>
  </cols>
  <sheetData>
    <row r="2" spans="2:21">
      <c r="B2" s="12" t="s">
        <v>88</v>
      </c>
      <c r="C2" s="12" t="s">
        <v>89</v>
      </c>
    </row>
    <row r="3" spans="2:21" ht="42">
      <c r="B3" s="23" t="s">
        <v>114</v>
      </c>
      <c r="C3" s="23" t="s">
        <v>48</v>
      </c>
      <c r="D3" s="22" t="s">
        <v>57</v>
      </c>
      <c r="E3" s="22" t="s">
        <v>59</v>
      </c>
      <c r="F3" s="22" t="s">
        <v>58</v>
      </c>
      <c r="G3" s="23" t="s">
        <v>74</v>
      </c>
      <c r="H3" s="23" t="s">
        <v>86</v>
      </c>
      <c r="I3" s="23" t="s">
        <v>66</v>
      </c>
      <c r="J3" s="23" t="s">
        <v>65</v>
      </c>
    </row>
    <row r="4" spans="2:21">
      <c r="B4" s="8">
        <v>57.5</v>
      </c>
      <c r="C4" s="25">
        <v>2.76</v>
      </c>
      <c r="D4" s="12">
        <f>C4-$C$65</f>
        <v>9.4999999999996199E-3</v>
      </c>
      <c r="E4" s="40">
        <f>D4^2</f>
        <v>9.0249999999992775E-5</v>
      </c>
      <c r="F4" s="28">
        <f>B4-$C$66</f>
        <v>5.9750000000000227</v>
      </c>
      <c r="G4" s="4">
        <f>D4*F4</f>
        <v>5.6762499999997947E-2</v>
      </c>
      <c r="H4" s="37">
        <f>$C$71+($C$70*C4)</f>
        <v>51.550879192918636</v>
      </c>
      <c r="I4" s="36">
        <f>(B4-H4)^2</f>
        <v>35.392038377248419</v>
      </c>
      <c r="J4" s="39">
        <f>(H4-$C$66)^2</f>
        <v>6.6973262612114888E-4</v>
      </c>
      <c r="M4" s="32"/>
      <c r="N4" s="32"/>
      <c r="O4" s="32"/>
      <c r="P4" s="32"/>
      <c r="Q4" s="32"/>
      <c r="R4" s="32"/>
      <c r="S4" s="32"/>
      <c r="T4" s="32"/>
      <c r="U4" s="32"/>
    </row>
    <row r="5" spans="2:21">
      <c r="B5" s="8">
        <v>47.9</v>
      </c>
      <c r="C5" s="9">
        <v>2.96</v>
      </c>
      <c r="D5" s="12">
        <f t="shared" ref="D5:D63" si="0">C5-$C$65</f>
        <v>0.2094999999999998</v>
      </c>
      <c r="E5" s="40">
        <f t="shared" ref="E5:E63" si="1">D5^2</f>
        <v>4.3890249999999915E-2</v>
      </c>
      <c r="F5" s="28">
        <f t="shared" ref="F5:F63" si="2">B5-$C$66</f>
        <v>-3.6249999999999787</v>
      </c>
      <c r="G5" s="4">
        <f t="shared" ref="G5:G63" si="3">D5*F5</f>
        <v>-0.75943749999999477</v>
      </c>
      <c r="H5" s="37">
        <f t="shared" ref="H5:H63" si="4">$C$71+($C$70*C5)</f>
        <v>52.095704306995735</v>
      </c>
      <c r="I5" s="36">
        <f t="shared" ref="I5:I63" si="5">(B5-H5)^2</f>
        <v>17.603934631742572</v>
      </c>
      <c r="J5" s="39">
        <f t="shared" ref="J5:J63" si="6">(H5-$C$66)^2</f>
        <v>0.32570340602350817</v>
      </c>
      <c r="M5" s="32"/>
      <c r="N5" s="32"/>
      <c r="O5" s="32"/>
      <c r="P5" s="32"/>
      <c r="Q5" s="32"/>
      <c r="R5" s="32"/>
      <c r="S5" s="32"/>
      <c r="T5" s="32"/>
      <c r="U5" s="32"/>
    </row>
    <row r="6" spans="2:21">
      <c r="B6" s="8">
        <v>54.6</v>
      </c>
      <c r="C6" s="9">
        <v>2.5</v>
      </c>
      <c r="D6" s="12">
        <f t="shared" si="0"/>
        <v>-0.25050000000000017</v>
      </c>
      <c r="E6" s="40">
        <f t="shared" si="1"/>
        <v>6.2750250000000077E-2</v>
      </c>
      <c r="F6" s="28">
        <f t="shared" si="2"/>
        <v>3.0750000000000242</v>
      </c>
      <c r="G6" s="4">
        <f t="shared" si="3"/>
        <v>-0.77028750000000656</v>
      </c>
      <c r="H6" s="37">
        <f t="shared" si="4"/>
        <v>50.842606544618405</v>
      </c>
      <c r="I6" s="36">
        <f t="shared" si="5"/>
        <v>14.11800557854445</v>
      </c>
      <c r="J6" s="39">
        <f t="shared" si="6"/>
        <v>0.46566082794760122</v>
      </c>
      <c r="M6" s="34"/>
      <c r="N6" s="34"/>
      <c r="O6" s="32"/>
      <c r="P6" s="32"/>
      <c r="Q6" s="32"/>
      <c r="R6" s="32"/>
      <c r="S6" s="32"/>
      <c r="T6" s="32"/>
      <c r="U6" s="32"/>
    </row>
    <row r="7" spans="2:21">
      <c r="B7" s="8">
        <v>54.7</v>
      </c>
      <c r="C7" s="9">
        <v>2.42</v>
      </c>
      <c r="D7" s="12">
        <f t="shared" si="0"/>
        <v>-0.33050000000000024</v>
      </c>
      <c r="E7" s="40">
        <f t="shared" si="1"/>
        <v>0.10923025000000015</v>
      </c>
      <c r="F7" s="28">
        <f t="shared" si="2"/>
        <v>3.1750000000000256</v>
      </c>
      <c r="G7" s="4">
        <f t="shared" si="3"/>
        <v>-1.0493375000000091</v>
      </c>
      <c r="H7" s="37">
        <f t="shared" si="4"/>
        <v>50.624676498987569</v>
      </c>
      <c r="I7" s="36">
        <f t="shared" si="5"/>
        <v>16.608261637904246</v>
      </c>
      <c r="J7" s="39">
        <f t="shared" si="6"/>
        <v>0.8105824064752406</v>
      </c>
      <c r="M7" s="1"/>
      <c r="N7" s="1"/>
      <c r="O7" s="32"/>
      <c r="P7" s="32"/>
      <c r="Q7" s="32"/>
      <c r="R7" s="32"/>
      <c r="S7" s="32"/>
      <c r="T7" s="32"/>
      <c r="U7" s="32"/>
    </row>
    <row r="8" spans="2:21">
      <c r="B8" s="8">
        <v>52.2</v>
      </c>
      <c r="C8" s="9">
        <v>2.71</v>
      </c>
      <c r="D8" s="12">
        <f t="shared" si="0"/>
        <v>-4.0500000000000203E-2</v>
      </c>
      <c r="E8" s="40">
        <f t="shared" si="1"/>
        <v>1.6402500000000165E-3</v>
      </c>
      <c r="F8" s="28">
        <f t="shared" si="2"/>
        <v>0.67500000000002558</v>
      </c>
      <c r="G8" s="4">
        <f t="shared" si="3"/>
        <v>-2.7337500000001173E-2</v>
      </c>
      <c r="H8" s="37">
        <f t="shared" si="4"/>
        <v>51.414672914399361</v>
      </c>
      <c r="I8" s="36">
        <f t="shared" si="5"/>
        <v>0.61673863137799778</v>
      </c>
      <c r="J8" s="39">
        <f t="shared" si="6"/>
        <v>1.2172065817125698E-2</v>
      </c>
      <c r="M8" s="1"/>
      <c r="N8" s="1"/>
      <c r="O8" s="32"/>
      <c r="P8" s="32"/>
      <c r="Q8" s="32"/>
      <c r="R8" s="32"/>
      <c r="S8" s="32"/>
      <c r="T8" s="32"/>
      <c r="U8" s="32"/>
    </row>
    <row r="9" spans="2:21">
      <c r="B9" s="8">
        <v>52.6</v>
      </c>
      <c r="C9" s="9">
        <v>3.01</v>
      </c>
      <c r="D9" s="12">
        <f t="shared" si="0"/>
        <v>0.25949999999999962</v>
      </c>
      <c r="E9" s="40">
        <f t="shared" si="1"/>
        <v>6.7340249999999796E-2</v>
      </c>
      <c r="F9" s="28">
        <f t="shared" si="2"/>
        <v>1.0750000000000242</v>
      </c>
      <c r="G9" s="4">
        <f t="shared" si="3"/>
        <v>0.27896250000000589</v>
      </c>
      <c r="H9" s="37">
        <f t="shared" si="4"/>
        <v>52.23191058551501</v>
      </c>
      <c r="I9" s="36">
        <f t="shared" si="5"/>
        <v>0.13548981705590391</v>
      </c>
      <c r="J9" s="39">
        <f t="shared" si="6"/>
        <v>0.49972257591320624</v>
      </c>
      <c r="M9" s="1"/>
      <c r="N9" s="1"/>
      <c r="O9" s="32"/>
      <c r="P9" s="32"/>
      <c r="Q9" s="32"/>
      <c r="R9" s="32"/>
      <c r="S9" s="32"/>
      <c r="T9" s="32"/>
      <c r="U9" s="32"/>
    </row>
    <row r="10" spans="2:21">
      <c r="B10" s="8">
        <v>60.9</v>
      </c>
      <c r="C10" s="9">
        <v>2.97</v>
      </c>
      <c r="D10" s="12">
        <f t="shared" si="0"/>
        <v>0.21950000000000003</v>
      </c>
      <c r="E10" s="40">
        <f t="shared" si="1"/>
        <v>4.8180250000000015E-2</v>
      </c>
      <c r="F10" s="28">
        <f t="shared" si="2"/>
        <v>9.3750000000000213</v>
      </c>
      <c r="G10" s="4">
        <f t="shared" si="3"/>
        <v>2.0578125000000052</v>
      </c>
      <c r="H10" s="37">
        <f t="shared" si="4"/>
        <v>52.122945562699584</v>
      </c>
      <c r="I10" s="36">
        <f t="shared" si="5"/>
        <v>77.03668459533489</v>
      </c>
      <c r="J10" s="39">
        <f t="shared" si="6"/>
        <v>0.35753889595214972</v>
      </c>
      <c r="M10" s="1"/>
      <c r="N10" s="1"/>
      <c r="O10" s="32"/>
      <c r="P10" s="32"/>
      <c r="Q10" s="32"/>
      <c r="R10" s="32"/>
      <c r="S10" s="32"/>
      <c r="T10" s="32"/>
      <c r="U10" s="32"/>
    </row>
    <row r="11" spans="2:21">
      <c r="B11" s="8">
        <v>61.3</v>
      </c>
      <c r="C11" s="9">
        <v>3.09</v>
      </c>
      <c r="D11" s="12">
        <f t="shared" si="0"/>
        <v>0.33949999999999969</v>
      </c>
      <c r="E11" s="40">
        <f t="shared" si="1"/>
        <v>0.11526024999999979</v>
      </c>
      <c r="F11" s="28">
        <f t="shared" si="2"/>
        <v>9.7750000000000199</v>
      </c>
      <c r="G11" s="4">
        <f t="shared" si="3"/>
        <v>3.3186125000000035</v>
      </c>
      <c r="H11" s="37">
        <f t="shared" si="4"/>
        <v>52.449840631145847</v>
      </c>
      <c r="I11" s="36">
        <f t="shared" si="5"/>
        <v>78.325320854116896</v>
      </c>
      <c r="J11" s="39">
        <f t="shared" si="6"/>
        <v>0.85533019301829016</v>
      </c>
      <c r="M11" s="1"/>
      <c r="N11" s="1"/>
      <c r="O11" s="32"/>
      <c r="P11" s="32"/>
      <c r="Q11" s="32"/>
      <c r="R11" s="32"/>
      <c r="S11" s="32"/>
      <c r="T11" s="32"/>
      <c r="U11" s="32"/>
    </row>
    <row r="12" spans="2:21">
      <c r="B12" s="8">
        <v>53</v>
      </c>
      <c r="C12" s="9">
        <v>2.4900000000000002</v>
      </c>
      <c r="D12" s="12">
        <f t="shared" si="0"/>
        <v>-0.26049999999999995</v>
      </c>
      <c r="E12" s="40">
        <f t="shared" si="1"/>
        <v>6.7860249999999969E-2</v>
      </c>
      <c r="F12" s="28">
        <f t="shared" si="2"/>
        <v>1.4750000000000227</v>
      </c>
      <c r="G12" s="4">
        <f t="shared" si="3"/>
        <v>-0.38423750000000584</v>
      </c>
      <c r="H12" s="37">
        <f t="shared" si="4"/>
        <v>50.815365288914556</v>
      </c>
      <c r="I12" s="36">
        <f t="shared" si="5"/>
        <v>4.7726288208793806</v>
      </c>
      <c r="J12" s="39">
        <f t="shared" si="6"/>
        <v>0.50358142317728904</v>
      </c>
      <c r="M12" s="32"/>
      <c r="N12" s="32"/>
      <c r="O12" s="32"/>
      <c r="P12" s="32"/>
      <c r="Q12" s="32"/>
      <c r="R12" s="32"/>
      <c r="S12" s="32"/>
      <c r="T12" s="32"/>
      <c r="U12" s="32"/>
    </row>
    <row r="13" spans="2:21">
      <c r="B13" s="8">
        <v>51.9</v>
      </c>
      <c r="C13" s="9">
        <v>2.75</v>
      </c>
      <c r="D13" s="12">
        <f t="shared" si="0"/>
        <v>-5.0000000000016698E-4</v>
      </c>
      <c r="E13" s="40">
        <f t="shared" si="1"/>
        <v>2.5000000000016696E-7</v>
      </c>
      <c r="F13" s="28">
        <f t="shared" si="2"/>
        <v>0.37500000000002132</v>
      </c>
      <c r="G13" s="4">
        <f t="shared" si="3"/>
        <v>-1.8750000000007327E-4</v>
      </c>
      <c r="H13" s="37">
        <f t="shared" si="4"/>
        <v>51.523637937214779</v>
      </c>
      <c r="I13" s="36">
        <f t="shared" si="5"/>
        <v>0.14164840230394521</v>
      </c>
      <c r="J13" s="39">
        <f t="shared" si="6"/>
        <v>1.8552150308207689E-6</v>
      </c>
      <c r="M13" s="32"/>
      <c r="N13" s="32"/>
      <c r="O13" s="32"/>
      <c r="P13" s="32"/>
      <c r="Q13" s="32"/>
      <c r="R13" s="32"/>
      <c r="S13" s="32"/>
      <c r="T13" s="32"/>
      <c r="U13" s="32"/>
    </row>
    <row r="14" spans="2:21">
      <c r="B14" s="8">
        <v>56.1</v>
      </c>
      <c r="C14" s="9">
        <v>2.3199999999999998</v>
      </c>
      <c r="D14" s="12">
        <f t="shared" si="0"/>
        <v>-0.43050000000000033</v>
      </c>
      <c r="E14" s="40">
        <f t="shared" si="1"/>
        <v>0.18533025000000028</v>
      </c>
      <c r="F14" s="28">
        <f t="shared" si="2"/>
        <v>4.5750000000000242</v>
      </c>
      <c r="G14" s="4">
        <f t="shared" si="3"/>
        <v>-1.9695375000000119</v>
      </c>
      <c r="H14" s="37">
        <f t="shared" si="4"/>
        <v>50.352263941949019</v>
      </c>
      <c r="I14" s="36">
        <f t="shared" si="5"/>
        <v>33.03646979301945</v>
      </c>
      <c r="J14" s="39">
        <f t="shared" si="6"/>
        <v>1.3753098618529005</v>
      </c>
      <c r="M14" s="26"/>
      <c r="N14" s="26"/>
      <c r="O14" s="26"/>
      <c r="P14" s="26"/>
      <c r="Q14" s="26"/>
      <c r="R14" s="26"/>
      <c r="S14" s="32"/>
      <c r="T14" s="32"/>
      <c r="U14" s="32"/>
    </row>
    <row r="15" spans="2:21">
      <c r="B15" s="8">
        <v>47.8</v>
      </c>
      <c r="C15" s="9">
        <v>2.2200000000000002</v>
      </c>
      <c r="D15" s="12">
        <f t="shared" si="0"/>
        <v>-0.53049999999999997</v>
      </c>
      <c r="E15" s="40">
        <f t="shared" si="1"/>
        <v>0.28143024999999999</v>
      </c>
      <c r="F15" s="28">
        <f t="shared" si="2"/>
        <v>-3.7249999999999801</v>
      </c>
      <c r="G15" s="4">
        <f t="shared" si="3"/>
        <v>1.9761124999999893</v>
      </c>
      <c r="H15" s="37">
        <f t="shared" si="4"/>
        <v>50.079851384910476</v>
      </c>
      <c r="I15" s="36">
        <f t="shared" si="5"/>
        <v>5.1977223372782309</v>
      </c>
      <c r="J15" s="39">
        <f t="shared" si="6"/>
        <v>2.0884545196951021</v>
      </c>
      <c r="M15" s="1"/>
      <c r="N15" s="1"/>
      <c r="O15" s="1"/>
      <c r="P15" s="1"/>
      <c r="Q15" s="1"/>
      <c r="R15" s="1"/>
      <c r="S15" s="32"/>
      <c r="T15" s="32"/>
      <c r="U15" s="32"/>
    </row>
    <row r="16" spans="2:21">
      <c r="B16" s="8">
        <v>48</v>
      </c>
      <c r="C16" s="9">
        <v>2.6</v>
      </c>
      <c r="D16" s="12">
        <f t="shared" si="0"/>
        <v>-0.15050000000000008</v>
      </c>
      <c r="E16" s="40">
        <f t="shared" si="1"/>
        <v>2.2650250000000025E-2</v>
      </c>
      <c r="F16" s="28">
        <f t="shared" si="2"/>
        <v>-3.5249999999999773</v>
      </c>
      <c r="G16" s="4">
        <f t="shared" si="3"/>
        <v>0.53051249999999683</v>
      </c>
      <c r="H16" s="37">
        <f t="shared" si="4"/>
        <v>51.115019101656955</v>
      </c>
      <c r="I16" s="36">
        <f t="shared" si="5"/>
        <v>9.7033440036877039</v>
      </c>
      <c r="J16" s="39">
        <f t="shared" si="6"/>
        <v>0.1680843370061515</v>
      </c>
      <c r="M16" s="1"/>
      <c r="N16" s="1"/>
      <c r="O16" s="1"/>
      <c r="P16" s="1"/>
      <c r="Q16" s="1"/>
      <c r="R16" s="1"/>
      <c r="S16" s="32"/>
      <c r="T16" s="32"/>
      <c r="U16" s="32"/>
    </row>
    <row r="17" spans="2:21">
      <c r="B17" s="8">
        <v>59</v>
      </c>
      <c r="C17" s="9">
        <v>3.11</v>
      </c>
      <c r="D17" s="12">
        <f t="shared" si="0"/>
        <v>0.35949999999999971</v>
      </c>
      <c r="E17" s="40">
        <f t="shared" si="1"/>
        <v>0.12924024999999978</v>
      </c>
      <c r="F17" s="28">
        <f t="shared" si="2"/>
        <v>7.4750000000000227</v>
      </c>
      <c r="G17" s="4">
        <f t="shared" si="3"/>
        <v>2.6872625000000059</v>
      </c>
      <c r="H17" s="37">
        <f t="shared" si="4"/>
        <v>52.504323142553559</v>
      </c>
      <c r="I17" s="36">
        <f t="shared" si="5"/>
        <v>42.193817836365263</v>
      </c>
      <c r="J17" s="39">
        <f t="shared" si="6"/>
        <v>0.95907381754102394</v>
      </c>
      <c r="M17" s="1"/>
      <c r="N17" s="1"/>
      <c r="O17" s="1"/>
      <c r="P17" s="1"/>
      <c r="Q17" s="1"/>
      <c r="R17" s="1"/>
      <c r="S17" s="32"/>
      <c r="T17" s="32"/>
      <c r="U17" s="32"/>
    </row>
    <row r="18" spans="2:21">
      <c r="B18" s="8">
        <v>50.3</v>
      </c>
      <c r="C18" s="9">
        <v>2.84</v>
      </c>
      <c r="D18" s="12">
        <f t="shared" si="0"/>
        <v>8.9499999999999691E-2</v>
      </c>
      <c r="E18" s="40">
        <f t="shared" si="1"/>
        <v>8.0102499999999445E-3</v>
      </c>
      <c r="F18" s="28">
        <f t="shared" si="2"/>
        <v>-1.2249999999999801</v>
      </c>
      <c r="G18" s="4">
        <f t="shared" si="3"/>
        <v>-0.10963749999999783</v>
      </c>
      <c r="H18" s="37">
        <f t="shared" si="4"/>
        <v>51.768809238549473</v>
      </c>
      <c r="I18" s="36">
        <f t="shared" si="5"/>
        <v>2.1574005792482902</v>
      </c>
      <c r="J18" s="39">
        <f t="shared" si="6"/>
        <v>5.9442944802084771E-2</v>
      </c>
      <c r="M18" s="32"/>
      <c r="N18" s="32"/>
      <c r="O18" s="32"/>
      <c r="P18" s="32"/>
      <c r="Q18" s="32"/>
      <c r="R18" s="32"/>
      <c r="S18" s="32"/>
      <c r="T18" s="32"/>
      <c r="U18" s="32"/>
    </row>
    <row r="19" spans="2:21">
      <c r="B19" s="8">
        <v>48.4</v>
      </c>
      <c r="C19" s="9">
        <v>2.52</v>
      </c>
      <c r="D19" s="12">
        <f t="shared" si="0"/>
        <v>-0.23050000000000015</v>
      </c>
      <c r="E19" s="40">
        <f t="shared" si="1"/>
        <v>5.3130250000000066E-2</v>
      </c>
      <c r="F19" s="28">
        <f t="shared" si="2"/>
        <v>-3.1249999999999787</v>
      </c>
      <c r="G19" s="4">
        <f t="shared" si="3"/>
        <v>0.72031249999999558</v>
      </c>
      <c r="H19" s="37">
        <f t="shared" si="4"/>
        <v>50.897089056026118</v>
      </c>
      <c r="I19" s="36">
        <f t="shared" si="5"/>
        <v>6.2354537537254169</v>
      </c>
      <c r="J19" s="39">
        <f t="shared" si="6"/>
        <v>0.39427215356214274</v>
      </c>
      <c r="M19" s="26"/>
      <c r="N19" s="26"/>
      <c r="O19" s="26"/>
      <c r="P19" s="26"/>
      <c r="Q19" s="26"/>
      <c r="R19" s="26"/>
      <c r="S19" s="26"/>
      <c r="T19" s="26"/>
      <c r="U19" s="26"/>
    </row>
    <row r="20" spans="2:21">
      <c r="B20" s="8">
        <v>51.8</v>
      </c>
      <c r="C20" s="9">
        <v>2.58</v>
      </c>
      <c r="D20" s="12">
        <f t="shared" si="0"/>
        <v>-0.1705000000000001</v>
      </c>
      <c r="E20" s="40">
        <f t="shared" si="1"/>
        <v>2.9070250000000034E-2</v>
      </c>
      <c r="F20" s="28">
        <f t="shared" si="2"/>
        <v>0.2750000000000199</v>
      </c>
      <c r="G20" s="4">
        <f t="shared" si="3"/>
        <v>-4.6887500000003419E-2</v>
      </c>
      <c r="H20" s="37">
        <f t="shared" si="4"/>
        <v>51.060536590249249</v>
      </c>
      <c r="I20" s="36">
        <f t="shared" si="5"/>
        <v>0.54680613436020231</v>
      </c>
      <c r="J20" s="39">
        <f t="shared" si="6"/>
        <v>0.21572625899727252</v>
      </c>
      <c r="M20" s="1"/>
      <c r="N20" s="1"/>
      <c r="O20" s="1"/>
      <c r="P20" s="1"/>
      <c r="Q20" s="1"/>
      <c r="R20" s="1"/>
      <c r="S20" s="1"/>
      <c r="T20" s="1"/>
      <c r="U20" s="1"/>
    </row>
    <row r="21" spans="2:21">
      <c r="B21" s="8">
        <v>45.1</v>
      </c>
      <c r="C21" s="9">
        <v>3.1</v>
      </c>
      <c r="D21" s="12">
        <f t="shared" si="0"/>
        <v>0.34949999999999992</v>
      </c>
      <c r="E21" s="40">
        <f t="shared" si="1"/>
        <v>0.12215024999999995</v>
      </c>
      <c r="F21" s="28">
        <f t="shared" si="2"/>
        <v>-6.4249999999999758</v>
      </c>
      <c r="G21" s="4">
        <f t="shared" si="3"/>
        <v>-2.2455374999999909</v>
      </c>
      <c r="H21" s="37">
        <f t="shared" si="4"/>
        <v>52.477081886849703</v>
      </c>
      <c r="I21" s="36">
        <f t="shared" si="5"/>
        <v>54.421337165285955</v>
      </c>
      <c r="J21" s="39">
        <f t="shared" si="6"/>
        <v>0.90645991926733416</v>
      </c>
      <c r="M21" s="1"/>
      <c r="N21" s="1"/>
      <c r="O21" s="1"/>
      <c r="P21" s="1"/>
      <c r="Q21" s="1"/>
      <c r="R21" s="1"/>
      <c r="S21" s="1"/>
      <c r="T21" s="1"/>
      <c r="U21" s="1"/>
    </row>
    <row r="22" spans="2:21">
      <c r="B22" s="8">
        <v>55.1</v>
      </c>
      <c r="C22" s="9">
        <v>3.02</v>
      </c>
      <c r="D22" s="12">
        <f t="shared" si="0"/>
        <v>0.26949999999999985</v>
      </c>
      <c r="E22" s="40">
        <f t="shared" si="1"/>
        <v>7.2630249999999924E-2</v>
      </c>
      <c r="F22" s="28">
        <f t="shared" si="2"/>
        <v>3.5750000000000242</v>
      </c>
      <c r="G22" s="4">
        <f t="shared" si="3"/>
        <v>0.96346250000000599</v>
      </c>
      <c r="H22" s="37">
        <f t="shared" si="4"/>
        <v>52.259151841218866</v>
      </c>
      <c r="I22" s="36">
        <f t="shared" si="5"/>
        <v>8.0704182612501665</v>
      </c>
      <c r="J22" s="39">
        <f t="shared" si="6"/>
        <v>0.53897892596508479</v>
      </c>
      <c r="M22" s="32"/>
      <c r="N22" s="32"/>
      <c r="O22" s="32"/>
      <c r="P22" s="32"/>
      <c r="Q22" s="32"/>
      <c r="R22" s="32"/>
      <c r="S22" s="32"/>
      <c r="T22" s="32"/>
      <c r="U22" s="32"/>
    </row>
    <row r="23" spans="2:21">
      <c r="B23" s="8">
        <v>46.4</v>
      </c>
      <c r="C23" s="9">
        <v>2.86</v>
      </c>
      <c r="D23" s="12">
        <f t="shared" si="0"/>
        <v>0.10949999999999971</v>
      </c>
      <c r="E23" s="40">
        <f t="shared" si="1"/>
        <v>1.1990249999999937E-2</v>
      </c>
      <c r="F23" s="28">
        <f t="shared" si="2"/>
        <v>-5.1249999999999787</v>
      </c>
      <c r="G23" s="4">
        <f t="shared" si="3"/>
        <v>-0.56118749999999618</v>
      </c>
      <c r="H23" s="37">
        <f t="shared" si="4"/>
        <v>51.823291749957185</v>
      </c>
      <c r="I23" s="36">
        <f t="shared" si="5"/>
        <v>29.412093405153687</v>
      </c>
      <c r="J23" s="39">
        <f t="shared" si="6"/>
        <v>8.897796809253361E-2</v>
      </c>
    </row>
    <row r="24" spans="2:21">
      <c r="B24" s="8">
        <v>48.6</v>
      </c>
      <c r="C24" s="9">
        <v>3.04</v>
      </c>
      <c r="D24" s="12">
        <f t="shared" si="0"/>
        <v>0.28949999999999987</v>
      </c>
      <c r="E24" s="40">
        <f t="shared" si="1"/>
        <v>8.381024999999992E-2</v>
      </c>
      <c r="F24" s="28">
        <f t="shared" si="2"/>
        <v>-2.9249999999999758</v>
      </c>
      <c r="G24" s="4">
        <f t="shared" si="3"/>
        <v>-0.84678749999999259</v>
      </c>
      <c r="H24" s="37">
        <f t="shared" si="4"/>
        <v>52.313634352626572</v>
      </c>
      <c r="I24" s="36">
        <f t="shared" si="5"/>
        <v>13.791080105008167</v>
      </c>
      <c r="J24" s="39">
        <f t="shared" si="6"/>
        <v>0.62194414214276805</v>
      </c>
    </row>
    <row r="25" spans="2:21">
      <c r="B25" s="8">
        <v>48.2</v>
      </c>
      <c r="C25" s="9">
        <v>2.35</v>
      </c>
      <c r="D25" s="12">
        <f t="shared" si="0"/>
        <v>-0.40050000000000008</v>
      </c>
      <c r="E25" s="40">
        <f t="shared" si="1"/>
        <v>0.16040025000000005</v>
      </c>
      <c r="F25" s="28">
        <f t="shared" si="2"/>
        <v>-3.3249999999999744</v>
      </c>
      <c r="G25" s="4">
        <f t="shared" si="3"/>
        <v>1.33166249999999</v>
      </c>
      <c r="H25" s="37">
        <f t="shared" si="4"/>
        <v>50.433987709060588</v>
      </c>
      <c r="I25" s="36">
        <f t="shared" si="5"/>
        <v>4.9907010842337627</v>
      </c>
      <c r="J25" s="39">
        <f t="shared" si="6"/>
        <v>1.1903078189808143</v>
      </c>
    </row>
    <row r="26" spans="2:21">
      <c r="B26" s="8">
        <v>52.3</v>
      </c>
      <c r="C26" s="9">
        <v>2.89</v>
      </c>
      <c r="D26" s="12">
        <f t="shared" si="0"/>
        <v>0.13949999999999996</v>
      </c>
      <c r="E26" s="40">
        <f t="shared" si="1"/>
        <v>1.9460249999999988E-2</v>
      </c>
      <c r="F26" s="28">
        <f t="shared" si="2"/>
        <v>0.7750000000000199</v>
      </c>
      <c r="G26" s="4">
        <f t="shared" si="3"/>
        <v>0.10811250000000275</v>
      </c>
      <c r="H26" s="37">
        <f t="shared" si="4"/>
        <v>51.905015517068747</v>
      </c>
      <c r="I26" s="36">
        <f t="shared" si="5"/>
        <v>0.15601274175646665</v>
      </c>
      <c r="J26" s="39">
        <f t="shared" si="6"/>
        <v>0.14441179321304481</v>
      </c>
    </row>
    <row r="27" spans="2:21">
      <c r="B27" s="8">
        <v>53.6</v>
      </c>
      <c r="C27" s="9">
        <v>2.34</v>
      </c>
      <c r="D27" s="12">
        <f t="shared" si="0"/>
        <v>-0.41050000000000031</v>
      </c>
      <c r="E27" s="40">
        <f t="shared" si="1"/>
        <v>0.16851025000000025</v>
      </c>
      <c r="F27" s="28">
        <f t="shared" si="2"/>
        <v>2.0750000000000242</v>
      </c>
      <c r="G27" s="4">
        <f t="shared" si="3"/>
        <v>-0.85178750000001058</v>
      </c>
      <c r="H27" s="37">
        <f t="shared" si="4"/>
        <v>50.406746453356732</v>
      </c>
      <c r="I27" s="36">
        <f t="shared" si="5"/>
        <v>10.19686821314982</v>
      </c>
      <c r="J27" s="39">
        <f t="shared" si="6"/>
        <v>1.2504909945801972</v>
      </c>
    </row>
    <row r="28" spans="2:21">
      <c r="B28" s="8">
        <v>43.9</v>
      </c>
      <c r="C28" s="9">
        <v>2.81</v>
      </c>
      <c r="D28" s="12">
        <f t="shared" si="0"/>
        <v>5.9499999999999886E-2</v>
      </c>
      <c r="E28" s="40">
        <f t="shared" si="1"/>
        <v>3.5402499999999866E-3</v>
      </c>
      <c r="F28" s="28">
        <f t="shared" si="2"/>
        <v>-7.6249999999999787</v>
      </c>
      <c r="G28" s="4">
        <f t="shared" si="3"/>
        <v>-0.45368749999999786</v>
      </c>
      <c r="H28" s="37">
        <f t="shared" si="4"/>
        <v>51.687085471437911</v>
      </c>
      <c r="I28" s="36">
        <f t="shared" si="5"/>
        <v>60.638700139479411</v>
      </c>
      <c r="J28" s="39">
        <f t="shared" si="6"/>
        <v>2.6271700051257122E-2</v>
      </c>
    </row>
    <row r="29" spans="2:21">
      <c r="B29" s="8">
        <v>50.6</v>
      </c>
      <c r="C29" s="9">
        <v>2.39</v>
      </c>
      <c r="D29" s="12">
        <f t="shared" si="0"/>
        <v>-0.36050000000000004</v>
      </c>
      <c r="E29" s="40">
        <f t="shared" si="1"/>
        <v>0.12996025000000003</v>
      </c>
      <c r="F29" s="28">
        <f t="shared" si="2"/>
        <v>-0.92499999999997584</v>
      </c>
      <c r="G29" s="4">
        <f t="shared" si="3"/>
        <v>0.33346249999999134</v>
      </c>
      <c r="H29" s="37">
        <f t="shared" si="4"/>
        <v>50.542952731876007</v>
      </c>
      <c r="I29" s="36">
        <f t="shared" si="5"/>
        <v>3.2543908004109595E-3</v>
      </c>
      <c r="J29" s="39">
        <f t="shared" si="6"/>
        <v>0.96441683682975399</v>
      </c>
    </row>
    <row r="30" spans="2:21">
      <c r="B30" s="8">
        <v>56.3</v>
      </c>
      <c r="C30" s="9">
        <v>2.73</v>
      </c>
      <c r="D30" s="12">
        <f t="shared" si="0"/>
        <v>-2.0500000000000185E-2</v>
      </c>
      <c r="E30" s="40">
        <f t="shared" si="1"/>
        <v>4.2025000000000759E-4</v>
      </c>
      <c r="F30" s="28">
        <f t="shared" si="2"/>
        <v>4.7750000000000199</v>
      </c>
      <c r="G30" s="4">
        <f t="shared" si="3"/>
        <v>-9.7887500000001293E-2</v>
      </c>
      <c r="H30" s="37">
        <f t="shared" si="4"/>
        <v>51.469155425807074</v>
      </c>
      <c r="I30" s="36">
        <f t="shared" si="5"/>
        <v>23.337059300009209</v>
      </c>
      <c r="J30" s="39">
        <f t="shared" si="6"/>
        <v>3.1186164667866981E-3</v>
      </c>
    </row>
    <row r="31" spans="2:21">
      <c r="B31" s="8">
        <v>50.7</v>
      </c>
      <c r="C31" s="9">
        <v>2.4900000000000002</v>
      </c>
      <c r="D31" s="12">
        <f t="shared" si="0"/>
        <v>-0.26049999999999995</v>
      </c>
      <c r="E31" s="40">
        <f t="shared" si="1"/>
        <v>6.7860249999999969E-2</v>
      </c>
      <c r="F31" s="28">
        <f t="shared" si="2"/>
        <v>-0.82499999999997442</v>
      </c>
      <c r="G31" s="4">
        <f t="shared" si="3"/>
        <v>0.21491249999999329</v>
      </c>
      <c r="H31" s="37">
        <f t="shared" si="4"/>
        <v>50.815365288914556</v>
      </c>
      <c r="I31" s="36">
        <f t="shared" si="5"/>
        <v>1.3309149886338361E-2</v>
      </c>
      <c r="J31" s="39">
        <f t="shared" si="6"/>
        <v>0.50358142317728904</v>
      </c>
    </row>
    <row r="32" spans="2:21">
      <c r="B32" s="8">
        <v>49.8</v>
      </c>
      <c r="C32" s="9">
        <v>2.74</v>
      </c>
      <c r="D32" s="12">
        <f t="shared" si="0"/>
        <v>-1.0499999999999954E-2</v>
      </c>
      <c r="E32" s="40">
        <f t="shared" si="1"/>
        <v>1.1024999999999903E-4</v>
      </c>
      <c r="F32" s="28">
        <f t="shared" si="2"/>
        <v>-1.7249999999999801</v>
      </c>
      <c r="G32" s="4">
        <f t="shared" si="3"/>
        <v>1.8112499999999712E-2</v>
      </c>
      <c r="H32" s="37">
        <f t="shared" si="4"/>
        <v>51.49639668151093</v>
      </c>
      <c r="I32" s="36">
        <f t="shared" si="5"/>
        <v>2.8777617010413059</v>
      </c>
      <c r="J32" s="39">
        <f t="shared" si="6"/>
        <v>8.1814982858586193E-4</v>
      </c>
    </row>
    <row r="33" spans="2:25">
      <c r="B33" s="8">
        <v>53.1</v>
      </c>
      <c r="C33" s="9">
        <v>2.73</v>
      </c>
      <c r="D33" s="12">
        <f t="shared" si="0"/>
        <v>-2.0500000000000185E-2</v>
      </c>
      <c r="E33" s="40">
        <f t="shared" si="1"/>
        <v>4.2025000000000759E-4</v>
      </c>
      <c r="F33" s="28">
        <f t="shared" si="2"/>
        <v>1.5750000000000242</v>
      </c>
      <c r="G33" s="4">
        <f t="shared" si="3"/>
        <v>-3.2287500000000788E-2</v>
      </c>
      <c r="H33" s="37">
        <f t="shared" si="4"/>
        <v>51.469155425807074</v>
      </c>
      <c r="I33" s="36">
        <f t="shared" si="5"/>
        <v>2.6596540251745115</v>
      </c>
      <c r="J33" s="39">
        <f t="shared" si="6"/>
        <v>3.1186164667866981E-3</v>
      </c>
    </row>
    <row r="34" spans="2:25">
      <c r="B34" s="8">
        <v>47.9</v>
      </c>
      <c r="C34" s="9">
        <v>2.52</v>
      </c>
      <c r="D34" s="12">
        <f t="shared" si="0"/>
        <v>-0.23050000000000015</v>
      </c>
      <c r="E34" s="40">
        <f t="shared" si="1"/>
        <v>5.3130250000000066E-2</v>
      </c>
      <c r="F34" s="28">
        <f t="shared" si="2"/>
        <v>-3.6249999999999787</v>
      </c>
      <c r="G34" s="4">
        <f t="shared" si="3"/>
        <v>0.83556249999999566</v>
      </c>
      <c r="H34" s="37">
        <f t="shared" si="4"/>
        <v>50.897089056026118</v>
      </c>
      <c r="I34" s="36">
        <f t="shared" si="5"/>
        <v>8.9825428097515374</v>
      </c>
      <c r="J34" s="39">
        <f t="shared" si="6"/>
        <v>0.39427215356214274</v>
      </c>
    </row>
    <row r="35" spans="2:25">
      <c r="B35" s="8">
        <v>47.6</v>
      </c>
      <c r="C35" s="9">
        <v>2.66</v>
      </c>
      <c r="D35" s="12">
        <f t="shared" si="0"/>
        <v>-9.0500000000000025E-2</v>
      </c>
      <c r="E35" s="40">
        <f t="shared" si="1"/>
        <v>8.1902500000000048E-3</v>
      </c>
      <c r="F35" s="28">
        <f t="shared" si="2"/>
        <v>-3.9249999999999758</v>
      </c>
      <c r="G35" s="4">
        <f t="shared" si="3"/>
        <v>0.35521249999999793</v>
      </c>
      <c r="H35" s="37">
        <f t="shared" si="4"/>
        <v>51.278466635880086</v>
      </c>
      <c r="I35" s="36">
        <f t="shared" si="5"/>
        <v>13.531116791282949</v>
      </c>
      <c r="J35" s="39">
        <f t="shared" si="6"/>
        <v>6.0778699624270766E-2</v>
      </c>
    </row>
    <row r="36" spans="2:25">
      <c r="B36" s="8">
        <v>43.3</v>
      </c>
      <c r="C36" s="9">
        <v>2.54</v>
      </c>
      <c r="D36" s="12">
        <f t="shared" si="0"/>
        <v>-0.21050000000000013</v>
      </c>
      <c r="E36" s="40">
        <f t="shared" si="1"/>
        <v>4.4310250000000058E-2</v>
      </c>
      <c r="F36" s="28">
        <f t="shared" si="2"/>
        <v>-8.2249999999999801</v>
      </c>
      <c r="G36" s="4">
        <f t="shared" si="3"/>
        <v>1.7313624999999968</v>
      </c>
      <c r="H36" s="37">
        <f t="shared" si="4"/>
        <v>50.951571567433831</v>
      </c>
      <c r="I36" s="36">
        <f t="shared" si="5"/>
        <v>58.546547451561857</v>
      </c>
      <c r="J36" s="39">
        <f t="shared" si="6"/>
        <v>0.32882016727526736</v>
      </c>
    </row>
    <row r="37" spans="2:25">
      <c r="B37" s="8">
        <v>51.1</v>
      </c>
      <c r="C37" s="9">
        <v>3.06</v>
      </c>
      <c r="D37" s="12">
        <f t="shared" si="0"/>
        <v>0.30949999999999989</v>
      </c>
      <c r="E37" s="40">
        <f t="shared" si="1"/>
        <v>9.5790249999999924E-2</v>
      </c>
      <c r="F37" s="28">
        <f t="shared" si="2"/>
        <v>-0.42499999999997584</v>
      </c>
      <c r="G37" s="4">
        <f t="shared" si="3"/>
        <v>-0.13153749999999248</v>
      </c>
      <c r="H37" s="37">
        <f t="shared" si="4"/>
        <v>52.368116864034278</v>
      </c>
      <c r="I37" s="36">
        <f t="shared" si="5"/>
        <v>1.6081203808481268</v>
      </c>
      <c r="J37" s="39">
        <f t="shared" si="6"/>
        <v>0.71084604641903282</v>
      </c>
    </row>
    <row r="38" spans="2:25">
      <c r="B38" s="8">
        <v>53.4</v>
      </c>
      <c r="C38" s="9">
        <v>2.78</v>
      </c>
      <c r="D38" s="12">
        <f t="shared" si="0"/>
        <v>2.9499999999999638E-2</v>
      </c>
      <c r="E38" s="40">
        <f t="shared" si="1"/>
        <v>8.7024999999997857E-4</v>
      </c>
      <c r="F38" s="28">
        <f t="shared" si="2"/>
        <v>1.8750000000000213</v>
      </c>
      <c r="G38" s="4">
        <f t="shared" si="3"/>
        <v>5.5312499999999952E-2</v>
      </c>
      <c r="H38" s="37">
        <f t="shared" si="4"/>
        <v>51.605361704326342</v>
      </c>
      <c r="I38" s="36">
        <f t="shared" si="5"/>
        <v>3.2207266122984484</v>
      </c>
      <c r="J38" s="39">
        <f t="shared" si="6"/>
        <v>6.4580035222379902E-3</v>
      </c>
      <c r="L38" s="6" t="s">
        <v>76</v>
      </c>
      <c r="M38" s="20" t="s">
        <v>93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2:25">
      <c r="B39" s="8">
        <v>47.3</v>
      </c>
      <c r="C39" s="9">
        <v>2.81</v>
      </c>
      <c r="D39" s="12">
        <f t="shared" si="0"/>
        <v>5.9499999999999886E-2</v>
      </c>
      <c r="E39" s="40">
        <f t="shared" si="1"/>
        <v>3.5402499999999866E-3</v>
      </c>
      <c r="F39" s="28">
        <f t="shared" si="2"/>
        <v>-4.2249999999999801</v>
      </c>
      <c r="G39" s="4">
        <f t="shared" si="3"/>
        <v>-0.25138749999999832</v>
      </c>
      <c r="H39" s="37">
        <f t="shared" si="4"/>
        <v>51.687085471437911</v>
      </c>
      <c r="I39" s="36">
        <f t="shared" si="5"/>
        <v>19.246518933701619</v>
      </c>
      <c r="J39" s="39">
        <f t="shared" si="6"/>
        <v>2.6271700051257122E-2</v>
      </c>
      <c r="M39" s="6" t="s">
        <v>117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2:25">
      <c r="B40" s="8">
        <v>50.1</v>
      </c>
      <c r="C40" s="9">
        <v>2.97</v>
      </c>
      <c r="D40" s="12">
        <f t="shared" si="0"/>
        <v>0.21950000000000003</v>
      </c>
      <c r="E40" s="40">
        <f t="shared" si="1"/>
        <v>4.8180250000000015E-2</v>
      </c>
      <c r="F40" s="28">
        <f t="shared" si="2"/>
        <v>-1.4249999999999758</v>
      </c>
      <c r="G40" s="4">
        <f t="shared" si="3"/>
        <v>-0.31278749999999472</v>
      </c>
      <c r="H40" s="37">
        <f t="shared" si="4"/>
        <v>52.122945562699584</v>
      </c>
      <c r="I40" s="36">
        <f t="shared" si="5"/>
        <v>4.0923087496459321</v>
      </c>
      <c r="J40" s="39">
        <f t="shared" si="6"/>
        <v>0.35753889595214972</v>
      </c>
      <c r="M40" s="51" t="s">
        <v>161</v>
      </c>
      <c r="N40" s="51"/>
      <c r="O40" s="51"/>
      <c r="P40" s="51"/>
      <c r="Q40" s="51"/>
    </row>
    <row r="41" spans="2:25">
      <c r="B41" s="8">
        <v>44.8</v>
      </c>
      <c r="C41" s="9">
        <v>3.27</v>
      </c>
      <c r="D41" s="12">
        <f t="shared" si="0"/>
        <v>0.51949999999999985</v>
      </c>
      <c r="E41" s="40">
        <f t="shared" si="1"/>
        <v>0.26988024999999982</v>
      </c>
      <c r="F41" s="28">
        <f t="shared" si="2"/>
        <v>-6.7249999999999801</v>
      </c>
      <c r="G41" s="4">
        <f t="shared" si="3"/>
        <v>-3.4936374999999886</v>
      </c>
      <c r="H41" s="37">
        <f t="shared" si="4"/>
        <v>52.940183233815233</v>
      </c>
      <c r="I41" s="36">
        <f t="shared" si="5"/>
        <v>66.262583080086671</v>
      </c>
      <c r="J41" s="39">
        <f t="shared" si="6"/>
        <v>2.0027435852718054</v>
      </c>
    </row>
    <row r="42" spans="2:25">
      <c r="B42" s="8">
        <v>50.6</v>
      </c>
      <c r="C42" s="9">
        <v>2.96</v>
      </c>
      <c r="D42" s="12">
        <f t="shared" si="0"/>
        <v>0.2094999999999998</v>
      </c>
      <c r="E42" s="40">
        <f t="shared" si="1"/>
        <v>4.3890249999999915E-2</v>
      </c>
      <c r="F42" s="28">
        <f t="shared" si="2"/>
        <v>-0.92499999999997584</v>
      </c>
      <c r="G42" s="4">
        <f t="shared" si="3"/>
        <v>-0.19378749999999476</v>
      </c>
      <c r="H42" s="37">
        <f t="shared" si="4"/>
        <v>52.095704306995735</v>
      </c>
      <c r="I42" s="36">
        <f t="shared" si="5"/>
        <v>2.237131373965588</v>
      </c>
      <c r="J42" s="39">
        <f t="shared" si="6"/>
        <v>0.32570340602350817</v>
      </c>
    </row>
    <row r="43" spans="2:25">
      <c r="B43" s="8">
        <v>42.6</v>
      </c>
      <c r="C43" s="9">
        <v>2.5099999999999998</v>
      </c>
      <c r="D43" s="12">
        <f t="shared" si="0"/>
        <v>-0.24050000000000038</v>
      </c>
      <c r="E43" s="40">
        <f t="shared" si="1"/>
        <v>5.7840250000000183E-2</v>
      </c>
      <c r="F43" s="28">
        <f t="shared" si="2"/>
        <v>-8.9249999999999758</v>
      </c>
      <c r="G43" s="4">
        <f t="shared" si="3"/>
        <v>2.1464624999999975</v>
      </c>
      <c r="H43" s="37">
        <f t="shared" si="4"/>
        <v>50.869847800322262</v>
      </c>
      <c r="I43" s="36">
        <f t="shared" si="5"/>
        <v>68.390382640494934</v>
      </c>
      <c r="J43" s="39">
        <f t="shared" si="6"/>
        <v>0.42922440474254914</v>
      </c>
    </row>
    <row r="44" spans="2:25">
      <c r="B44" s="8">
        <v>61.2</v>
      </c>
      <c r="C44" s="9">
        <v>3.09</v>
      </c>
      <c r="D44" s="12">
        <f t="shared" si="0"/>
        <v>0.33949999999999969</v>
      </c>
      <c r="E44" s="40">
        <f t="shared" si="1"/>
        <v>0.11526024999999979</v>
      </c>
      <c r="F44" s="28">
        <f t="shared" si="2"/>
        <v>9.6750000000000256</v>
      </c>
      <c r="G44" s="4">
        <f t="shared" si="3"/>
        <v>3.2846625000000058</v>
      </c>
      <c r="H44" s="37">
        <f t="shared" si="4"/>
        <v>52.449840631145847</v>
      </c>
      <c r="I44" s="36">
        <f t="shared" si="5"/>
        <v>76.565288980346168</v>
      </c>
      <c r="J44" s="39">
        <f t="shared" si="6"/>
        <v>0.85533019301829016</v>
      </c>
    </row>
    <row r="45" spans="2:25">
      <c r="B45" s="8">
        <v>55.5</v>
      </c>
      <c r="C45" s="9">
        <v>2.83</v>
      </c>
      <c r="D45" s="12">
        <f t="shared" si="0"/>
        <v>7.9499999999999904E-2</v>
      </c>
      <c r="E45" s="40">
        <f t="shared" si="1"/>
        <v>6.3202499999999847E-3</v>
      </c>
      <c r="F45" s="28">
        <f t="shared" si="2"/>
        <v>3.9750000000000227</v>
      </c>
      <c r="G45" s="4">
        <f t="shared" si="3"/>
        <v>0.31601250000000142</v>
      </c>
      <c r="H45" s="37">
        <f t="shared" si="4"/>
        <v>51.741567982845623</v>
      </c>
      <c r="I45" s="36">
        <f t="shared" si="5"/>
        <v>14.125811227571116</v>
      </c>
      <c r="J45" s="39">
        <f t="shared" si="6"/>
        <v>4.6901691193832085E-2</v>
      </c>
    </row>
    <row r="46" spans="2:25">
      <c r="B46" s="8">
        <v>55</v>
      </c>
      <c r="C46" s="9">
        <v>2.95</v>
      </c>
      <c r="D46" s="12">
        <f t="shared" si="0"/>
        <v>0.19950000000000001</v>
      </c>
      <c r="E46" s="40">
        <f t="shared" si="1"/>
        <v>3.9800250000000002E-2</v>
      </c>
      <c r="F46" s="28">
        <f t="shared" si="2"/>
        <v>3.4750000000000227</v>
      </c>
      <c r="G46" s="4">
        <f t="shared" si="3"/>
        <v>0.69326250000000456</v>
      </c>
      <c r="H46" s="37">
        <f t="shared" si="4"/>
        <v>52.068463051291879</v>
      </c>
      <c r="I46" s="36">
        <f t="shared" si="5"/>
        <v>8.5939088816409228</v>
      </c>
      <c r="J46" s="39">
        <f t="shared" si="6"/>
        <v>0.29535208811950386</v>
      </c>
    </row>
    <row r="47" spans="2:25">
      <c r="B47" s="8">
        <v>40.9</v>
      </c>
      <c r="C47" s="9">
        <v>2.42</v>
      </c>
      <c r="D47" s="12">
        <f t="shared" si="0"/>
        <v>-0.33050000000000024</v>
      </c>
      <c r="E47" s="40">
        <f t="shared" si="1"/>
        <v>0.10923025000000015</v>
      </c>
      <c r="F47" s="28">
        <f t="shared" si="2"/>
        <v>-10.624999999999979</v>
      </c>
      <c r="G47" s="4">
        <f t="shared" si="3"/>
        <v>3.5115624999999957</v>
      </c>
      <c r="H47" s="37">
        <f t="shared" si="4"/>
        <v>50.624676498987569</v>
      </c>
      <c r="I47" s="36">
        <f t="shared" si="5"/>
        <v>94.569333009961142</v>
      </c>
      <c r="J47" s="39">
        <f t="shared" si="6"/>
        <v>0.8105824064752406</v>
      </c>
      <c r="L47" s="32"/>
      <c r="M47" s="32"/>
      <c r="N47" s="32"/>
      <c r="O47" s="32"/>
      <c r="P47" s="32"/>
      <c r="Q47" s="32"/>
      <c r="R47" s="32"/>
      <c r="S47" s="32"/>
      <c r="T47" s="32"/>
    </row>
    <row r="48" spans="2:25">
      <c r="B48" s="8">
        <v>50.7</v>
      </c>
      <c r="C48" s="9">
        <v>2.94</v>
      </c>
      <c r="D48" s="12">
        <f t="shared" si="0"/>
        <v>0.18949999999999978</v>
      </c>
      <c r="E48" s="40">
        <f t="shared" si="1"/>
        <v>3.5910249999999914E-2</v>
      </c>
      <c r="F48" s="28">
        <f t="shared" si="2"/>
        <v>-0.82499999999997442</v>
      </c>
      <c r="G48" s="4">
        <f t="shared" si="3"/>
        <v>-0.15633749999999497</v>
      </c>
      <c r="H48" s="37">
        <f t="shared" si="4"/>
        <v>52.041221795588022</v>
      </c>
      <c r="I48" s="36">
        <f t="shared" si="5"/>
        <v>1.7988759049603511</v>
      </c>
      <c r="J48" s="39">
        <f t="shared" si="6"/>
        <v>0.26648494224014535</v>
      </c>
      <c r="L48" s="32"/>
      <c r="M48" s="32"/>
      <c r="N48" s="32"/>
      <c r="O48" s="32"/>
      <c r="P48" s="32"/>
      <c r="Q48" s="32"/>
      <c r="R48" s="32"/>
      <c r="S48" s="32"/>
      <c r="T48" s="32"/>
    </row>
    <row r="49" spans="2:20">
      <c r="B49" s="8">
        <v>48.2</v>
      </c>
      <c r="C49" s="9">
        <v>3.1</v>
      </c>
      <c r="D49" s="12">
        <f t="shared" si="0"/>
        <v>0.34949999999999992</v>
      </c>
      <c r="E49" s="40">
        <f t="shared" si="1"/>
        <v>0.12215024999999995</v>
      </c>
      <c r="F49" s="28">
        <f t="shared" si="2"/>
        <v>-3.3249999999999744</v>
      </c>
      <c r="G49" s="4">
        <f t="shared" si="3"/>
        <v>-1.1620874999999908</v>
      </c>
      <c r="H49" s="37">
        <f t="shared" si="4"/>
        <v>52.477081886849703</v>
      </c>
      <c r="I49" s="36">
        <f t="shared" si="5"/>
        <v>18.293429466817791</v>
      </c>
      <c r="J49" s="39">
        <f t="shared" si="6"/>
        <v>0.90645991926733416</v>
      </c>
      <c r="L49" s="34"/>
      <c r="M49" s="34"/>
      <c r="N49" s="32"/>
      <c r="O49" s="32"/>
      <c r="P49" s="32"/>
      <c r="Q49" s="32"/>
      <c r="R49" s="32"/>
      <c r="S49" s="32"/>
      <c r="T49" s="32"/>
    </row>
    <row r="50" spans="2:20">
      <c r="B50" s="8">
        <v>59.1</v>
      </c>
      <c r="C50" s="9">
        <v>3.03</v>
      </c>
      <c r="D50" s="12">
        <f t="shared" si="0"/>
        <v>0.27949999999999964</v>
      </c>
      <c r="E50" s="40">
        <f t="shared" si="1"/>
        <v>7.8120249999999794E-2</v>
      </c>
      <c r="F50" s="28">
        <f t="shared" si="2"/>
        <v>7.5750000000000242</v>
      </c>
      <c r="G50" s="4">
        <f t="shared" si="3"/>
        <v>2.1172125000000039</v>
      </c>
      <c r="H50" s="37">
        <f t="shared" si="4"/>
        <v>52.286393096922716</v>
      </c>
      <c r="I50" s="36">
        <f t="shared" si="5"/>
        <v>46.425239029662443</v>
      </c>
      <c r="J50" s="39">
        <f t="shared" si="6"/>
        <v>0.57971944804159836</v>
      </c>
      <c r="L50" s="1"/>
      <c r="M50" s="1"/>
      <c r="N50" s="32"/>
      <c r="O50" s="32"/>
      <c r="P50" s="32"/>
      <c r="Q50" s="32"/>
      <c r="R50" s="32"/>
      <c r="S50" s="32"/>
      <c r="T50" s="32"/>
    </row>
    <row r="51" spans="2:20">
      <c r="B51" s="8">
        <v>58.4</v>
      </c>
      <c r="C51" s="9">
        <v>2.73</v>
      </c>
      <c r="D51" s="12">
        <f t="shared" si="0"/>
        <v>-2.0500000000000185E-2</v>
      </c>
      <c r="E51" s="40">
        <f t="shared" si="1"/>
        <v>4.2025000000000759E-4</v>
      </c>
      <c r="F51" s="28">
        <f t="shared" si="2"/>
        <v>6.8750000000000213</v>
      </c>
      <c r="G51" s="4">
        <f t="shared" si="3"/>
        <v>-0.14093750000000171</v>
      </c>
      <c r="H51" s="37">
        <f t="shared" si="4"/>
        <v>51.469155425807074</v>
      </c>
      <c r="I51" s="36">
        <f t="shared" si="5"/>
        <v>48.036606511619503</v>
      </c>
      <c r="J51" s="39">
        <f t="shared" si="6"/>
        <v>3.1186164667866981E-3</v>
      </c>
      <c r="L51" s="1"/>
      <c r="M51" s="1"/>
      <c r="N51" s="32"/>
      <c r="O51" s="32"/>
      <c r="P51" s="32"/>
      <c r="Q51" s="32"/>
      <c r="R51" s="32"/>
      <c r="S51" s="32"/>
      <c r="T51" s="32"/>
    </row>
    <row r="52" spans="2:20">
      <c r="B52" s="8">
        <v>42.9</v>
      </c>
      <c r="C52" s="9">
        <v>2.04</v>
      </c>
      <c r="D52" s="12">
        <f t="shared" si="0"/>
        <v>-0.71050000000000013</v>
      </c>
      <c r="E52" s="40">
        <f t="shared" si="1"/>
        <v>0.50481025000000024</v>
      </c>
      <c r="F52" s="28">
        <f t="shared" si="2"/>
        <v>-8.6249999999999787</v>
      </c>
      <c r="G52" s="4">
        <f t="shared" si="3"/>
        <v>6.1280624999999862</v>
      </c>
      <c r="H52" s="37">
        <f t="shared" si="4"/>
        <v>49.589508782241083</v>
      </c>
      <c r="I52" s="36">
        <f t="shared" si="5"/>
        <v>44.749527747680595</v>
      </c>
      <c r="J52" s="39">
        <f t="shared" si="6"/>
        <v>3.7461262540218079</v>
      </c>
      <c r="L52" s="1"/>
      <c r="M52" s="1"/>
      <c r="N52" s="32"/>
      <c r="O52" s="32"/>
      <c r="P52" s="32"/>
      <c r="Q52" s="32"/>
      <c r="R52" s="32"/>
      <c r="S52" s="32"/>
      <c r="T52" s="32"/>
    </row>
    <row r="53" spans="2:20">
      <c r="B53" s="8">
        <v>64.099999999999994</v>
      </c>
      <c r="C53" s="9">
        <v>2.67</v>
      </c>
      <c r="D53" s="12">
        <f t="shared" si="0"/>
        <v>-8.0500000000000238E-2</v>
      </c>
      <c r="E53" s="40">
        <f t="shared" si="1"/>
        <v>6.4802500000000381E-3</v>
      </c>
      <c r="F53" s="28">
        <f t="shared" si="2"/>
        <v>12.575000000000017</v>
      </c>
      <c r="G53" s="4">
        <f t="shared" si="3"/>
        <v>-1.0122875000000044</v>
      </c>
      <c r="H53" s="37">
        <f t="shared" si="4"/>
        <v>51.305707891583943</v>
      </c>
      <c r="I53" s="36">
        <f t="shared" si="5"/>
        <v>163.69391055547726</v>
      </c>
      <c r="J53" s="39">
        <f t="shared" si="6"/>
        <v>4.8089028813549886E-2</v>
      </c>
      <c r="L53" s="1"/>
      <c r="M53" s="1"/>
      <c r="N53" s="32"/>
      <c r="O53" s="32"/>
      <c r="P53" s="32"/>
      <c r="Q53" s="32"/>
      <c r="R53" s="32"/>
      <c r="S53" s="32"/>
      <c r="T53" s="32"/>
    </row>
    <row r="54" spans="2:20">
      <c r="B54" s="8">
        <v>57.9</v>
      </c>
      <c r="C54" s="9">
        <v>2.52</v>
      </c>
      <c r="D54" s="12">
        <f t="shared" si="0"/>
        <v>-0.23050000000000015</v>
      </c>
      <c r="E54" s="40">
        <f t="shared" si="1"/>
        <v>5.3130250000000066E-2</v>
      </c>
      <c r="F54" s="28">
        <f t="shared" si="2"/>
        <v>6.3750000000000213</v>
      </c>
      <c r="G54" s="4">
        <f t="shared" si="3"/>
        <v>-1.4694375000000059</v>
      </c>
      <c r="H54" s="37">
        <f t="shared" si="4"/>
        <v>50.897089056026118</v>
      </c>
      <c r="I54" s="36">
        <f t="shared" si="5"/>
        <v>49.040761689229143</v>
      </c>
      <c r="J54" s="39">
        <f t="shared" si="6"/>
        <v>0.39427215356214274</v>
      </c>
      <c r="L54" s="1"/>
      <c r="M54" s="1"/>
      <c r="N54" s="32"/>
      <c r="O54" s="32"/>
      <c r="P54" s="32"/>
      <c r="Q54" s="32"/>
      <c r="R54" s="32"/>
      <c r="S54" s="32"/>
      <c r="T54" s="32"/>
    </row>
    <row r="55" spans="2:20">
      <c r="B55" s="8">
        <v>46.1</v>
      </c>
      <c r="C55" s="9">
        <v>2.36</v>
      </c>
      <c r="D55" s="12">
        <f t="shared" si="0"/>
        <v>-0.39050000000000029</v>
      </c>
      <c r="E55" s="40">
        <f t="shared" si="1"/>
        <v>0.15249025000000022</v>
      </c>
      <c r="F55" s="28">
        <f t="shared" si="2"/>
        <v>-5.4249999999999758</v>
      </c>
      <c r="G55" s="4">
        <f t="shared" si="3"/>
        <v>2.1184624999999921</v>
      </c>
      <c r="H55" s="37">
        <f t="shared" si="4"/>
        <v>50.461228964764445</v>
      </c>
      <c r="I55" s="36">
        <f t="shared" si="5"/>
        <v>19.020318083100335</v>
      </c>
      <c r="J55" s="39">
        <f t="shared" si="6"/>
        <v>1.1316088154060771</v>
      </c>
      <c r="L55" s="32"/>
      <c r="M55" s="32"/>
      <c r="N55" s="32"/>
      <c r="O55" s="32"/>
      <c r="P55" s="32"/>
      <c r="Q55" s="32"/>
      <c r="R55" s="32"/>
      <c r="S55" s="32"/>
      <c r="T55" s="32"/>
    </row>
    <row r="56" spans="2:20">
      <c r="B56" s="8">
        <v>59.5</v>
      </c>
      <c r="C56" s="9">
        <v>2.3199999999999998</v>
      </c>
      <c r="D56" s="12">
        <f t="shared" si="0"/>
        <v>-0.43050000000000033</v>
      </c>
      <c r="E56" s="40">
        <f t="shared" si="1"/>
        <v>0.18533025000000028</v>
      </c>
      <c r="F56" s="28">
        <f t="shared" si="2"/>
        <v>7.9750000000000227</v>
      </c>
      <c r="G56" s="4">
        <f t="shared" si="3"/>
        <v>-3.4332375000000126</v>
      </c>
      <c r="H56" s="37">
        <f t="shared" si="4"/>
        <v>50.352263941949019</v>
      </c>
      <c r="I56" s="36">
        <f t="shared" si="5"/>
        <v>83.681074987766095</v>
      </c>
      <c r="J56" s="39">
        <f t="shared" si="6"/>
        <v>1.3753098618529005</v>
      </c>
      <c r="L56" s="32"/>
      <c r="M56" s="32"/>
      <c r="N56" s="32"/>
      <c r="O56" s="32"/>
      <c r="P56" s="32"/>
      <c r="Q56" s="32"/>
      <c r="R56" s="32"/>
      <c r="S56" s="32"/>
      <c r="T56" s="32"/>
    </row>
    <row r="57" spans="2:20">
      <c r="B57" s="8">
        <v>46.9</v>
      </c>
      <c r="C57" s="9">
        <v>2.76</v>
      </c>
      <c r="D57" s="12">
        <f t="shared" si="0"/>
        <v>9.4999999999996199E-3</v>
      </c>
      <c r="E57" s="40">
        <f t="shared" si="1"/>
        <v>9.0249999999992775E-5</v>
      </c>
      <c r="F57" s="28">
        <f t="shared" si="2"/>
        <v>-4.6249999999999787</v>
      </c>
      <c r="G57" s="4">
        <f t="shared" si="3"/>
        <v>-4.3937499999998041E-2</v>
      </c>
      <c r="H57" s="37">
        <f t="shared" si="4"/>
        <v>51.550879192918636</v>
      </c>
      <c r="I57" s="36">
        <f t="shared" si="5"/>
        <v>21.630677267123517</v>
      </c>
      <c r="J57" s="39">
        <f t="shared" si="6"/>
        <v>6.6973262612114888E-4</v>
      </c>
      <c r="L57" s="26"/>
      <c r="M57" s="26"/>
      <c r="N57" s="26"/>
      <c r="O57" s="26"/>
      <c r="P57" s="26"/>
      <c r="Q57" s="26"/>
      <c r="R57" s="32"/>
      <c r="S57" s="32"/>
      <c r="T57" s="32"/>
    </row>
    <row r="58" spans="2:20">
      <c r="B58" s="8">
        <v>52.5</v>
      </c>
      <c r="C58" s="9">
        <v>2.86</v>
      </c>
      <c r="D58" s="12">
        <f t="shared" si="0"/>
        <v>0.10949999999999971</v>
      </c>
      <c r="E58" s="40">
        <f t="shared" si="1"/>
        <v>1.1990249999999937E-2</v>
      </c>
      <c r="F58" s="28">
        <f t="shared" si="2"/>
        <v>0.97500000000002274</v>
      </c>
      <c r="G58" s="4">
        <f t="shared" si="3"/>
        <v>0.1067625000000022</v>
      </c>
      <c r="H58" s="37">
        <f t="shared" si="4"/>
        <v>51.823291749957185</v>
      </c>
      <c r="I58" s="36">
        <f t="shared" si="5"/>
        <v>0.45793405567600842</v>
      </c>
      <c r="J58" s="39">
        <f t="shared" si="6"/>
        <v>8.897796809253361E-2</v>
      </c>
      <c r="L58" s="32"/>
      <c r="M58" s="32"/>
      <c r="N58" s="32"/>
      <c r="O58" s="32"/>
      <c r="P58" s="32"/>
      <c r="Q58" s="32"/>
      <c r="R58" s="32"/>
      <c r="S58" s="32"/>
      <c r="T58" s="32"/>
    </row>
    <row r="59" spans="2:20">
      <c r="B59" s="8">
        <v>48.5</v>
      </c>
      <c r="C59" s="9">
        <v>3.16</v>
      </c>
      <c r="D59" s="12">
        <f t="shared" si="0"/>
        <v>0.40949999999999998</v>
      </c>
      <c r="E59" s="40">
        <f t="shared" si="1"/>
        <v>0.16769024999999999</v>
      </c>
      <c r="F59" s="28">
        <f t="shared" si="2"/>
        <v>-3.0249999999999773</v>
      </c>
      <c r="G59" s="4">
        <f t="shared" si="3"/>
        <v>-1.2387374999999907</v>
      </c>
      <c r="H59" s="37">
        <f t="shared" si="4"/>
        <v>52.640529421072827</v>
      </c>
      <c r="I59" s="36">
        <f t="shared" si="5"/>
        <v>17.143983886769682</v>
      </c>
      <c r="J59" s="39">
        <f t="shared" si="6"/>
        <v>1.2444058892791277</v>
      </c>
      <c r="L59" s="32"/>
      <c r="M59" s="32"/>
      <c r="N59" s="32"/>
      <c r="O59" s="32"/>
      <c r="P59" s="32"/>
      <c r="Q59" s="32"/>
      <c r="R59" s="32"/>
      <c r="S59" s="32"/>
      <c r="T59" s="32"/>
    </row>
    <row r="60" spans="2:20">
      <c r="B60" s="8">
        <v>43.5</v>
      </c>
      <c r="C60" s="9">
        <v>2.99</v>
      </c>
      <c r="D60" s="12">
        <f t="shared" si="0"/>
        <v>0.23950000000000005</v>
      </c>
      <c r="E60" s="40">
        <f t="shared" si="1"/>
        <v>5.7360250000000022E-2</v>
      </c>
      <c r="F60" s="28">
        <f t="shared" si="2"/>
        <v>-8.0249999999999773</v>
      </c>
      <c r="G60" s="4">
        <f t="shared" si="3"/>
        <v>-1.9219874999999949</v>
      </c>
      <c r="H60" s="37">
        <f t="shared" si="4"/>
        <v>52.177428074107297</v>
      </c>
      <c r="I60" s="36">
        <f t="shared" si="5"/>
        <v>75.29775798130548</v>
      </c>
      <c r="J60" s="39">
        <f t="shared" si="6"/>
        <v>0.42566239188338645</v>
      </c>
      <c r="L60" s="34"/>
      <c r="M60" s="34"/>
      <c r="N60" s="32"/>
      <c r="O60" s="32"/>
      <c r="P60" s="32"/>
      <c r="Q60" s="32"/>
      <c r="R60" s="32"/>
      <c r="S60" s="32"/>
      <c r="T60" s="32"/>
    </row>
    <row r="61" spans="2:20">
      <c r="B61" s="8">
        <v>47.5</v>
      </c>
      <c r="C61" s="9">
        <v>3.13</v>
      </c>
      <c r="D61" s="12">
        <f t="shared" si="0"/>
        <v>0.37949999999999973</v>
      </c>
      <c r="E61" s="40">
        <f t="shared" si="1"/>
        <v>0.14402024999999979</v>
      </c>
      <c r="F61" s="28">
        <f t="shared" si="2"/>
        <v>-4.0249999999999773</v>
      </c>
      <c r="G61" s="4">
        <f t="shared" si="3"/>
        <v>-1.5274874999999903</v>
      </c>
      <c r="H61" s="37">
        <f t="shared" si="4"/>
        <v>52.558805653961265</v>
      </c>
      <c r="I61" s="36">
        <f t="shared" si="5"/>
        <v>25.591514644550465</v>
      </c>
      <c r="J61" s="39">
        <f t="shared" si="6"/>
        <v>1.068754130162326</v>
      </c>
      <c r="L61" s="1"/>
      <c r="M61" s="1"/>
      <c r="N61" s="32"/>
      <c r="O61" s="32"/>
      <c r="P61" s="32"/>
      <c r="Q61" s="32"/>
      <c r="R61" s="32"/>
      <c r="S61" s="32"/>
      <c r="T61" s="32"/>
    </row>
    <row r="62" spans="2:20">
      <c r="B62" s="8">
        <v>55.7</v>
      </c>
      <c r="C62" s="9">
        <v>2.59</v>
      </c>
      <c r="D62" s="12">
        <f t="shared" si="0"/>
        <v>-0.16050000000000031</v>
      </c>
      <c r="E62" s="40">
        <f t="shared" si="1"/>
        <v>2.5760250000000099E-2</v>
      </c>
      <c r="F62" s="28">
        <f t="shared" si="2"/>
        <v>4.1750000000000256</v>
      </c>
      <c r="G62" s="4">
        <f t="shared" si="3"/>
        <v>-0.67008750000000539</v>
      </c>
      <c r="H62" s="37">
        <f t="shared" si="4"/>
        <v>51.087777845953106</v>
      </c>
      <c r="I62" s="36">
        <f t="shared" si="5"/>
        <v>21.272593198280997</v>
      </c>
      <c r="J62" s="39">
        <f t="shared" si="6"/>
        <v>0.19116321198938621</v>
      </c>
      <c r="L62" s="1"/>
      <c r="M62" s="1"/>
      <c r="N62" s="32"/>
      <c r="O62" s="32"/>
      <c r="P62" s="32"/>
      <c r="Q62" s="32"/>
      <c r="R62" s="32"/>
      <c r="S62" s="32"/>
      <c r="T62" s="32"/>
    </row>
    <row r="63" spans="2:20">
      <c r="B63" s="8">
        <v>57</v>
      </c>
      <c r="C63" s="9">
        <v>3.12</v>
      </c>
      <c r="D63" s="12">
        <f t="shared" si="0"/>
        <v>0.36949999999999994</v>
      </c>
      <c r="E63" s="40">
        <f t="shared" si="1"/>
        <v>0.13653024999999996</v>
      </c>
      <c r="F63" s="28">
        <f t="shared" si="2"/>
        <v>5.4750000000000227</v>
      </c>
      <c r="G63" s="4">
        <f t="shared" si="3"/>
        <v>2.0230125000000081</v>
      </c>
      <c r="H63" s="37">
        <f t="shared" si="4"/>
        <v>52.531564398257409</v>
      </c>
      <c r="I63" s="36">
        <f t="shared" si="5"/>
        <v>19.966916726920672</v>
      </c>
      <c r="J63" s="39">
        <f t="shared" si="6"/>
        <v>1.0131718878393452</v>
      </c>
      <c r="L63" s="1"/>
      <c r="M63" s="1"/>
      <c r="N63" s="32"/>
      <c r="O63" s="32"/>
      <c r="P63" s="32"/>
      <c r="Q63" s="32"/>
      <c r="R63" s="32"/>
      <c r="S63" s="32"/>
      <c r="T63" s="32"/>
    </row>
    <row r="64" spans="2:20">
      <c r="E64" s="1"/>
      <c r="F64" s="1"/>
      <c r="G64" s="1"/>
      <c r="L64" s="1"/>
      <c r="M64" s="1"/>
      <c r="N64" s="32"/>
      <c r="O64" s="32"/>
      <c r="P64" s="32"/>
      <c r="Q64" s="32"/>
      <c r="R64" s="32"/>
      <c r="S64" s="32"/>
      <c r="T64" s="32"/>
    </row>
    <row r="65" spans="2:20">
      <c r="B65" s="12" t="s">
        <v>55</v>
      </c>
      <c r="C65" s="11">
        <f>AVERAGE(C4:C63)</f>
        <v>2.7505000000000002</v>
      </c>
      <c r="E65" s="1"/>
      <c r="F65" s="1"/>
      <c r="G65" s="35" t="s">
        <v>16</v>
      </c>
      <c r="H65" s="11">
        <f>C70/C81</f>
        <v>1.1005902114617816</v>
      </c>
      <c r="L65" s="1"/>
      <c r="M65" s="1"/>
      <c r="N65" s="32"/>
      <c r="O65" s="32"/>
      <c r="P65" s="32"/>
      <c r="Q65" s="32"/>
      <c r="R65" s="32"/>
      <c r="S65" s="32"/>
      <c r="T65" s="32"/>
    </row>
    <row r="66" spans="2:20">
      <c r="B66" s="12" t="s">
        <v>56</v>
      </c>
      <c r="C66" s="11">
        <f>AVERAGE(B4:B63)</f>
        <v>51.524999999999977</v>
      </c>
      <c r="E66" s="1"/>
      <c r="F66" s="1"/>
      <c r="G66" s="35" t="s">
        <v>71</v>
      </c>
      <c r="H66" s="11">
        <f>_xlfn.T.DIST.2T(H65,(60-2))</f>
        <v>0.27562191385803592</v>
      </c>
      <c r="L66" s="32"/>
      <c r="M66" s="32"/>
      <c r="N66" s="32"/>
      <c r="O66" s="32"/>
      <c r="P66" s="32"/>
      <c r="Q66" s="32"/>
      <c r="R66" s="32"/>
      <c r="S66" s="32"/>
      <c r="T66" s="32"/>
    </row>
    <row r="67" spans="2:20">
      <c r="B67" s="12" t="s">
        <v>75</v>
      </c>
      <c r="C67" s="11">
        <f>SUM(G4:G63)</f>
        <v>12.653249999999993</v>
      </c>
      <c r="E67" s="1"/>
      <c r="F67" s="1"/>
      <c r="G67" s="33" t="s">
        <v>54</v>
      </c>
      <c r="H67" s="11">
        <f>1-H66</f>
        <v>0.72437808614196408</v>
      </c>
      <c r="L67" s="32"/>
      <c r="M67" s="32"/>
      <c r="N67" s="32"/>
      <c r="O67" s="32"/>
      <c r="P67" s="32"/>
      <c r="Q67" s="32"/>
      <c r="R67" s="32"/>
      <c r="S67" s="32"/>
      <c r="T67" s="32"/>
    </row>
    <row r="68" spans="2:20">
      <c r="B68" s="12" t="s">
        <v>62</v>
      </c>
      <c r="C68" s="11">
        <f>SUM(E4:E63)</f>
        <v>4.6448850000000013</v>
      </c>
      <c r="E68" s="1"/>
      <c r="F68" s="1"/>
      <c r="G68" s="1"/>
      <c r="L68" s="26"/>
      <c r="M68" s="26"/>
      <c r="N68" s="26"/>
      <c r="O68" s="26"/>
      <c r="P68" s="26"/>
      <c r="Q68" s="26"/>
      <c r="R68" s="32"/>
      <c r="S68" s="32"/>
      <c r="T68" s="32"/>
    </row>
    <row r="69" spans="2:20">
      <c r="E69" s="1"/>
      <c r="F69" s="1"/>
      <c r="G69" s="35" t="s">
        <v>20</v>
      </c>
      <c r="H69" s="11">
        <f>C79/C76</f>
        <v>1.2112988135654887</v>
      </c>
      <c r="L69" s="1"/>
      <c r="M69" s="1"/>
      <c r="N69" s="1"/>
      <c r="O69" s="1"/>
      <c r="P69" s="1"/>
      <c r="Q69" s="1"/>
      <c r="R69" s="32"/>
      <c r="S69" s="32"/>
      <c r="T69" s="32"/>
    </row>
    <row r="70" spans="2:20">
      <c r="B70" s="12" t="s">
        <v>60</v>
      </c>
      <c r="C70" s="11">
        <f>C67/C68</f>
        <v>2.7241255703854863</v>
      </c>
      <c r="E70" s="1"/>
      <c r="F70" s="1"/>
      <c r="G70" s="35" t="s">
        <v>92</v>
      </c>
      <c r="H70" s="11">
        <f>_xlfn.F.DIST.RT(H69,1,(60-2))</f>
        <v>0.27562191385803592</v>
      </c>
      <c r="L70" s="1"/>
      <c r="M70" s="1"/>
      <c r="N70" s="1"/>
      <c r="O70" s="1"/>
      <c r="P70" s="1"/>
      <c r="Q70" s="1"/>
      <c r="R70" s="32"/>
      <c r="S70" s="32"/>
      <c r="T70" s="32"/>
    </row>
    <row r="71" spans="2:20">
      <c r="B71" s="12" t="s">
        <v>61</v>
      </c>
      <c r="C71" s="11">
        <f>C66-(C70*C65)</f>
        <v>44.032292618654694</v>
      </c>
      <c r="E71" s="1"/>
      <c r="F71" s="1"/>
      <c r="G71" s="33" t="s">
        <v>54</v>
      </c>
      <c r="H71" s="11">
        <f>1-H70</f>
        <v>0.72437808614196408</v>
      </c>
      <c r="L71" s="1"/>
      <c r="M71" s="1"/>
      <c r="N71" s="1"/>
      <c r="O71" s="1"/>
      <c r="P71" s="1"/>
      <c r="Q71" s="1"/>
      <c r="R71" s="32"/>
      <c r="S71" s="32"/>
      <c r="T71" s="32"/>
    </row>
    <row r="72" spans="2:20">
      <c r="E72" s="1"/>
      <c r="F72" s="1"/>
      <c r="G72" s="1"/>
      <c r="L72" s="32"/>
      <c r="M72" s="32"/>
      <c r="N72" s="32"/>
      <c r="O72" s="32"/>
      <c r="P72" s="32"/>
      <c r="Q72" s="32"/>
      <c r="R72" s="32"/>
      <c r="S72" s="32"/>
      <c r="T72" s="32"/>
    </row>
    <row r="73" spans="2:20">
      <c r="B73" s="6" t="s">
        <v>69</v>
      </c>
      <c r="C73" s="11" t="s">
        <v>90</v>
      </c>
      <c r="D73" s="11"/>
      <c r="E73" s="16"/>
      <c r="F73" s="16"/>
      <c r="G73" s="16"/>
      <c r="L73" s="26"/>
      <c r="M73" s="26"/>
      <c r="N73" s="26"/>
      <c r="O73" s="26"/>
      <c r="P73" s="26"/>
      <c r="Q73" s="26"/>
      <c r="R73" s="26"/>
      <c r="S73" s="26"/>
      <c r="T73" s="26"/>
    </row>
    <row r="74" spans="2:20">
      <c r="G74" s="1"/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12" t="s">
        <v>63</v>
      </c>
      <c r="C75" s="11">
        <f>SUM(I4:I63)</f>
        <v>1650.46345812652</v>
      </c>
      <c r="E75" s="1"/>
      <c r="F75" s="1"/>
      <c r="G75" s="1"/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12" t="s">
        <v>70</v>
      </c>
      <c r="C76" s="11">
        <f>C75/(60-2)</f>
        <v>28.456266519422758</v>
      </c>
      <c r="E76" s="1"/>
      <c r="F76" s="1"/>
      <c r="G76" s="1"/>
      <c r="L76" s="32"/>
      <c r="M76" s="32"/>
      <c r="N76" s="32"/>
      <c r="O76" s="32"/>
      <c r="P76" s="32"/>
      <c r="Q76" s="32"/>
      <c r="R76" s="32"/>
      <c r="S76" s="32"/>
      <c r="T76" s="32"/>
    </row>
    <row r="77" spans="2:20">
      <c r="B77" s="12" t="s">
        <v>4</v>
      </c>
      <c r="C77" s="11">
        <f>SQRT(C76)</f>
        <v>5.3344415377265832</v>
      </c>
      <c r="E77" s="1"/>
      <c r="F77" s="1"/>
      <c r="G77" s="1"/>
      <c r="L77" s="32"/>
      <c r="M77" s="32"/>
      <c r="N77" s="32"/>
      <c r="O77" s="32"/>
      <c r="P77" s="32"/>
      <c r="Q77" s="32"/>
      <c r="R77" s="32"/>
      <c r="S77" s="32"/>
      <c r="T77" s="32"/>
    </row>
    <row r="78" spans="2:20">
      <c r="B78" s="12" t="s">
        <v>67</v>
      </c>
      <c r="C78" s="11">
        <f>SUM(J4:J63)</f>
        <v>34.46904187348013</v>
      </c>
      <c r="E78" s="1"/>
      <c r="F78" s="1"/>
      <c r="G78" s="1"/>
      <c r="L78" s="32"/>
      <c r="M78" s="32"/>
      <c r="N78" s="32"/>
      <c r="O78" s="32"/>
      <c r="P78" s="32"/>
      <c r="Q78" s="32"/>
      <c r="R78" s="32"/>
      <c r="S78" s="32"/>
      <c r="T78" s="32"/>
    </row>
    <row r="79" spans="2:20">
      <c r="B79" s="12" t="s">
        <v>72</v>
      </c>
      <c r="C79" s="11">
        <f>C78/1</f>
        <v>34.46904187348013</v>
      </c>
      <c r="E79" s="1"/>
      <c r="F79" s="1"/>
      <c r="G79" s="1"/>
      <c r="L79" s="1"/>
      <c r="M79" s="1"/>
      <c r="N79" s="1"/>
      <c r="O79" s="32"/>
      <c r="P79" s="32"/>
      <c r="Q79" s="32"/>
      <c r="R79" s="32"/>
      <c r="S79" s="32"/>
      <c r="T79" s="32"/>
    </row>
    <row r="80" spans="2:20">
      <c r="B80" s="12" t="s">
        <v>64</v>
      </c>
      <c r="C80" s="11">
        <f>C75+C78</f>
        <v>1684.9325000000001</v>
      </c>
      <c r="E80" s="1"/>
      <c r="F80" s="1"/>
      <c r="G80" s="1"/>
      <c r="L80" s="1"/>
      <c r="M80" s="1"/>
      <c r="N80" s="1"/>
      <c r="O80" s="32"/>
      <c r="P80" s="32"/>
      <c r="Q80" s="32"/>
      <c r="R80" s="32"/>
      <c r="S80" s="32"/>
      <c r="T80" s="32"/>
    </row>
    <row r="81" spans="2:20">
      <c r="B81" s="12" t="s">
        <v>73</v>
      </c>
      <c r="C81" s="11">
        <f>C77/SQRT(C68)</f>
        <v>2.4751497351292611</v>
      </c>
      <c r="E81" s="1"/>
      <c r="F81" s="1"/>
      <c r="G81" s="1"/>
      <c r="L81" s="1"/>
      <c r="M81" s="1"/>
      <c r="N81" s="1"/>
      <c r="O81" s="32"/>
      <c r="P81" s="32"/>
      <c r="Q81" s="32"/>
      <c r="R81" s="32"/>
      <c r="S81" s="32"/>
      <c r="T81" s="32"/>
    </row>
    <row r="82" spans="2:20">
      <c r="E82" s="1"/>
      <c r="F82" s="1"/>
      <c r="G82" s="1"/>
      <c r="L82" s="1"/>
      <c r="M82" s="1"/>
      <c r="N82" s="1"/>
      <c r="O82" s="32"/>
      <c r="P82" s="32"/>
      <c r="Q82" s="32"/>
      <c r="R82" s="32"/>
      <c r="S82" s="32"/>
      <c r="T82" s="32"/>
    </row>
    <row r="83" spans="2:20">
      <c r="B83" s="6" t="s">
        <v>87</v>
      </c>
      <c r="C83" s="11">
        <f>C78/C80</f>
        <v>2.0457224175734118E-2</v>
      </c>
      <c r="E83" s="1"/>
      <c r="F83" s="1"/>
      <c r="G83" s="1"/>
      <c r="L83" s="1"/>
      <c r="M83" s="1"/>
      <c r="N83" s="1"/>
      <c r="O83" s="32"/>
      <c r="P83" s="32"/>
      <c r="Q83" s="32"/>
      <c r="R83" s="32"/>
      <c r="S83" s="32"/>
      <c r="T83" s="32"/>
    </row>
    <row r="84" spans="2:20">
      <c r="E84" s="1"/>
      <c r="F84" s="1"/>
      <c r="G84" s="1"/>
      <c r="L84" s="1"/>
      <c r="M84" s="1"/>
      <c r="N84" s="1"/>
      <c r="O84" s="32"/>
      <c r="P84" s="32"/>
      <c r="Q84" s="32"/>
      <c r="R84" s="32"/>
      <c r="S84" s="32"/>
      <c r="T84" s="32"/>
    </row>
    <row r="85" spans="2:20">
      <c r="B85" s="6" t="s">
        <v>68</v>
      </c>
      <c r="C85" s="31">
        <f>SQRT(C83)</f>
        <v>0.14302875296853468</v>
      </c>
      <c r="E85" s="1"/>
      <c r="F85" s="1"/>
      <c r="G85" s="1"/>
      <c r="L85" s="1"/>
      <c r="M85" s="1"/>
      <c r="N85" s="1"/>
      <c r="O85" s="32"/>
      <c r="P85" s="32"/>
      <c r="Q85" s="32"/>
      <c r="R85" s="32"/>
      <c r="S85" s="32"/>
      <c r="T85" s="32"/>
    </row>
    <row r="86" spans="2:20">
      <c r="E86" s="1"/>
      <c r="F86" s="1"/>
      <c r="G86" s="1"/>
      <c r="L86" s="1"/>
      <c r="M86" s="1"/>
      <c r="N86" s="1"/>
      <c r="O86" s="32"/>
      <c r="P86" s="32"/>
      <c r="Q86" s="32"/>
      <c r="R86" s="32"/>
      <c r="S86" s="32"/>
      <c r="T86" s="32"/>
    </row>
    <row r="87" spans="2:20">
      <c r="E87" s="1"/>
      <c r="F87" s="1"/>
      <c r="G87" s="1"/>
      <c r="L87" s="1"/>
      <c r="M87" s="1"/>
      <c r="N87" s="1"/>
      <c r="O87" s="32"/>
      <c r="P87" s="32"/>
      <c r="Q87" s="32"/>
      <c r="R87" s="32"/>
      <c r="S87" s="32"/>
      <c r="T87" s="32"/>
    </row>
    <row r="88" spans="2:20">
      <c r="E88" s="1"/>
      <c r="F88" s="1"/>
      <c r="G88" s="1"/>
      <c r="L88" s="1"/>
      <c r="M88" s="1"/>
      <c r="N88" s="1"/>
      <c r="O88" s="32"/>
      <c r="P88" s="32"/>
      <c r="Q88" s="32"/>
      <c r="R88" s="32"/>
      <c r="S88" s="32"/>
      <c r="T88" s="32"/>
    </row>
    <row r="89" spans="2:20">
      <c r="E89" s="32"/>
      <c r="F89" s="32"/>
      <c r="G89" s="32"/>
      <c r="L89" s="1"/>
      <c r="M89" s="1"/>
      <c r="N89" s="1"/>
      <c r="O89" s="32"/>
      <c r="P89" s="32"/>
      <c r="Q89" s="32"/>
      <c r="R89" s="32"/>
      <c r="S89" s="32"/>
      <c r="T89" s="32"/>
    </row>
    <row r="90" spans="2:20">
      <c r="E90" s="32"/>
      <c r="F90" s="32"/>
      <c r="G90" s="32"/>
      <c r="L90" s="1"/>
      <c r="M90" s="1"/>
      <c r="N90" s="1"/>
      <c r="O90" s="32"/>
      <c r="P90" s="32"/>
      <c r="Q90" s="32"/>
      <c r="R90" s="32"/>
      <c r="S90" s="32"/>
      <c r="T90" s="32"/>
    </row>
    <row r="91" spans="2:20">
      <c r="L91" s="1"/>
      <c r="M91" s="1"/>
      <c r="N91" s="1"/>
      <c r="O91" s="32"/>
      <c r="P91" s="32"/>
      <c r="Q91" s="32"/>
      <c r="R91" s="32"/>
      <c r="S91" s="32"/>
      <c r="T91" s="32"/>
    </row>
    <row r="92" spans="2:20">
      <c r="L92" s="1"/>
      <c r="M92" s="1"/>
      <c r="N92" s="1"/>
      <c r="O92" s="32"/>
      <c r="P92" s="32"/>
      <c r="Q92" s="32"/>
      <c r="R92" s="32"/>
      <c r="S92" s="32"/>
      <c r="T92" s="32"/>
    </row>
    <row r="93" spans="2:20">
      <c r="L93" s="1"/>
      <c r="M93" s="1"/>
      <c r="N93" s="1"/>
      <c r="O93" s="32"/>
      <c r="P93" s="32"/>
      <c r="Q93" s="32"/>
      <c r="R93" s="32"/>
      <c r="S93" s="32"/>
      <c r="T93" s="32"/>
    </row>
    <row r="94" spans="2:20">
      <c r="L94" s="1"/>
      <c r="M94" s="1"/>
      <c r="N94" s="1"/>
      <c r="O94" s="32"/>
      <c r="P94" s="32"/>
      <c r="Q94" s="32"/>
      <c r="R94" s="32"/>
      <c r="S94" s="32"/>
      <c r="T94" s="32"/>
    </row>
    <row r="95" spans="2:20">
      <c r="L95" s="1"/>
      <c r="M95" s="1"/>
      <c r="N95" s="1"/>
      <c r="O95" s="32"/>
      <c r="P95" s="32"/>
      <c r="Q95" s="32"/>
      <c r="R95" s="32"/>
      <c r="S95" s="32"/>
      <c r="T95" s="32"/>
    </row>
    <row r="96" spans="2:20">
      <c r="L96" s="1"/>
      <c r="M96" s="1"/>
      <c r="N96" s="1"/>
      <c r="O96" s="32"/>
      <c r="P96" s="32"/>
      <c r="Q96" s="32"/>
      <c r="R96" s="32"/>
      <c r="S96" s="32"/>
      <c r="T96" s="32"/>
    </row>
    <row r="97" spans="12:20">
      <c r="L97" s="1"/>
      <c r="M97" s="1"/>
      <c r="N97" s="1"/>
      <c r="O97" s="32"/>
      <c r="P97" s="32"/>
      <c r="Q97" s="32"/>
      <c r="R97" s="32"/>
      <c r="S97" s="32"/>
      <c r="T97" s="32"/>
    </row>
    <row r="98" spans="12:20">
      <c r="L98" s="1"/>
      <c r="M98" s="1"/>
      <c r="N98" s="1"/>
      <c r="O98" s="32"/>
      <c r="P98" s="32"/>
      <c r="Q98" s="32"/>
      <c r="R98" s="32"/>
      <c r="S98" s="32"/>
      <c r="T98" s="32"/>
    </row>
    <row r="99" spans="12:20">
      <c r="L99" s="1"/>
      <c r="M99" s="1"/>
      <c r="N99" s="1"/>
      <c r="O99" s="32"/>
      <c r="P99" s="32"/>
      <c r="Q99" s="32"/>
      <c r="R99" s="32"/>
      <c r="S99" s="32"/>
      <c r="T99" s="32"/>
    </row>
    <row r="100" spans="12:20">
      <c r="L100" s="1"/>
      <c r="M100" s="1"/>
      <c r="N100" s="1"/>
      <c r="O100" s="32"/>
      <c r="P100" s="32"/>
      <c r="Q100" s="32"/>
      <c r="R100" s="32"/>
      <c r="S100" s="32"/>
      <c r="T100" s="32"/>
    </row>
    <row r="101" spans="12:20">
      <c r="L101" s="1"/>
      <c r="M101" s="1"/>
      <c r="N101" s="1"/>
      <c r="O101" s="32"/>
      <c r="P101" s="32"/>
      <c r="Q101" s="32"/>
      <c r="R101" s="32"/>
      <c r="S101" s="32"/>
      <c r="T101" s="32"/>
    </row>
    <row r="102" spans="12:20">
      <c r="L102" s="1"/>
      <c r="M102" s="1"/>
      <c r="N102" s="1"/>
      <c r="O102" s="32"/>
      <c r="P102" s="32"/>
      <c r="Q102" s="32"/>
      <c r="R102" s="32"/>
      <c r="S102" s="32"/>
      <c r="T102" s="32"/>
    </row>
    <row r="103" spans="12:20">
      <c r="L103" s="1"/>
      <c r="M103" s="1"/>
      <c r="N103" s="1"/>
      <c r="O103" s="32"/>
      <c r="P103" s="32"/>
      <c r="Q103" s="32"/>
      <c r="R103" s="32"/>
      <c r="S103" s="32"/>
      <c r="T103" s="32"/>
    </row>
    <row r="104" spans="12:20">
      <c r="L104" s="1"/>
      <c r="M104" s="1"/>
      <c r="N104" s="1"/>
      <c r="O104" s="32"/>
      <c r="P104" s="32"/>
      <c r="Q104" s="32"/>
      <c r="R104" s="32"/>
      <c r="S104" s="32"/>
      <c r="T104" s="32"/>
    </row>
    <row r="105" spans="12:20">
      <c r="L105" s="1"/>
      <c r="M105" s="1"/>
      <c r="N105" s="1"/>
      <c r="O105" s="32"/>
      <c r="P105" s="32"/>
      <c r="Q105" s="32"/>
      <c r="R105" s="32"/>
      <c r="S105" s="32"/>
      <c r="T105" s="32"/>
    </row>
    <row r="106" spans="12:20">
      <c r="L106" s="1"/>
      <c r="M106" s="1"/>
      <c r="N106" s="1"/>
      <c r="O106" s="32"/>
      <c r="P106" s="32"/>
      <c r="Q106" s="32"/>
      <c r="R106" s="32"/>
      <c r="S106" s="32"/>
      <c r="T106" s="32"/>
    </row>
    <row r="107" spans="12:20">
      <c r="L107" s="1"/>
      <c r="M107" s="1"/>
      <c r="N107" s="1"/>
      <c r="O107" s="32"/>
      <c r="P107" s="32"/>
      <c r="Q107" s="32"/>
      <c r="R107" s="32"/>
      <c r="S107" s="32"/>
      <c r="T107" s="32"/>
    </row>
    <row r="108" spans="12:20">
      <c r="L108" s="1"/>
      <c r="M108" s="1"/>
      <c r="N108" s="1"/>
      <c r="O108" s="32"/>
      <c r="P108" s="32"/>
      <c r="Q108" s="32"/>
      <c r="R108" s="32"/>
      <c r="S108" s="32"/>
      <c r="T108" s="32"/>
    </row>
    <row r="109" spans="12:20">
      <c r="L109" s="1"/>
      <c r="M109" s="1"/>
      <c r="N109" s="1"/>
      <c r="O109" s="32"/>
      <c r="P109" s="32"/>
      <c r="Q109" s="32"/>
      <c r="R109" s="32"/>
      <c r="S109" s="32"/>
      <c r="T109" s="32"/>
    </row>
    <row r="110" spans="12:20">
      <c r="L110" s="1"/>
      <c r="M110" s="1"/>
      <c r="N110" s="1"/>
      <c r="O110" s="32"/>
      <c r="P110" s="32"/>
      <c r="Q110" s="32"/>
      <c r="R110" s="32"/>
      <c r="S110" s="32"/>
      <c r="T110" s="32"/>
    </row>
    <row r="111" spans="12:20">
      <c r="L111" s="1"/>
      <c r="M111" s="1"/>
      <c r="N111" s="1"/>
      <c r="O111" s="32"/>
      <c r="P111" s="32"/>
      <c r="Q111" s="32"/>
      <c r="R111" s="32"/>
      <c r="S111" s="32"/>
      <c r="T111" s="32"/>
    </row>
    <row r="112" spans="12:20">
      <c r="L112" s="1"/>
      <c r="M112" s="1"/>
      <c r="N112" s="1"/>
      <c r="O112" s="32"/>
      <c r="P112" s="32"/>
      <c r="Q112" s="32"/>
      <c r="R112" s="32"/>
      <c r="S112" s="32"/>
      <c r="T112" s="32"/>
    </row>
    <row r="113" spans="12:20">
      <c r="L113" s="1"/>
      <c r="M113" s="1"/>
      <c r="N113" s="1"/>
      <c r="O113" s="32"/>
      <c r="P113" s="32"/>
      <c r="Q113" s="32"/>
      <c r="R113" s="32"/>
      <c r="S113" s="32"/>
      <c r="T113" s="32"/>
    </row>
    <row r="114" spans="12:20">
      <c r="L114" s="1"/>
      <c r="M114" s="1"/>
      <c r="N114" s="1"/>
      <c r="O114" s="32"/>
      <c r="P114" s="32"/>
      <c r="Q114" s="32"/>
      <c r="R114" s="32"/>
      <c r="S114" s="32"/>
      <c r="T114" s="32"/>
    </row>
    <row r="115" spans="12:20">
      <c r="L115" s="1"/>
      <c r="M115" s="1"/>
      <c r="N115" s="1"/>
      <c r="O115" s="32"/>
      <c r="P115" s="32"/>
      <c r="Q115" s="32"/>
      <c r="R115" s="32"/>
      <c r="S115" s="32"/>
      <c r="T115" s="32"/>
    </row>
    <row r="116" spans="12:20">
      <c r="L116" s="1"/>
      <c r="M116" s="1"/>
      <c r="N116" s="1"/>
      <c r="O116" s="32"/>
      <c r="P116" s="32"/>
      <c r="Q116" s="32"/>
      <c r="R116" s="32"/>
      <c r="S116" s="32"/>
      <c r="T116" s="32"/>
    </row>
    <row r="117" spans="12:20">
      <c r="L117" s="1"/>
      <c r="M117" s="1"/>
      <c r="N117" s="1"/>
      <c r="O117" s="32"/>
      <c r="P117" s="32"/>
      <c r="Q117" s="32"/>
      <c r="R117" s="32"/>
      <c r="S117" s="32"/>
      <c r="T117" s="32"/>
    </row>
    <row r="118" spans="12:20">
      <c r="L118" s="1"/>
      <c r="M118" s="1"/>
      <c r="N118" s="1"/>
      <c r="O118" s="32"/>
      <c r="P118" s="32"/>
      <c r="Q118" s="32"/>
      <c r="R118" s="32"/>
      <c r="S118" s="32"/>
      <c r="T118" s="32"/>
    </row>
    <row r="119" spans="12:20">
      <c r="L119" s="1"/>
      <c r="M119" s="1"/>
      <c r="N119" s="1"/>
      <c r="O119" s="32"/>
      <c r="P119" s="32"/>
      <c r="Q119" s="32"/>
      <c r="R119" s="32"/>
      <c r="S119" s="32"/>
      <c r="T119" s="32"/>
    </row>
    <row r="120" spans="12:20">
      <c r="L120" s="1"/>
      <c r="M120" s="1"/>
      <c r="N120" s="1"/>
      <c r="O120" s="32"/>
      <c r="P120" s="32"/>
      <c r="Q120" s="32"/>
      <c r="R120" s="32"/>
      <c r="S120" s="32"/>
      <c r="T120" s="32"/>
    </row>
    <row r="121" spans="12:20">
      <c r="L121" s="1"/>
      <c r="M121" s="1"/>
      <c r="N121" s="1"/>
      <c r="O121" s="32"/>
      <c r="P121" s="32"/>
      <c r="Q121" s="32"/>
      <c r="R121" s="32"/>
      <c r="S121" s="32"/>
      <c r="T121" s="32"/>
    </row>
    <row r="122" spans="12:20">
      <c r="L122" s="1"/>
      <c r="M122" s="1"/>
      <c r="N122" s="1"/>
      <c r="O122" s="32"/>
      <c r="P122" s="32"/>
      <c r="Q122" s="32"/>
      <c r="R122" s="32"/>
      <c r="S122" s="32"/>
      <c r="T122" s="32"/>
    </row>
    <row r="123" spans="12:20">
      <c r="L123" s="1"/>
      <c r="M123" s="1"/>
      <c r="N123" s="1"/>
      <c r="O123" s="32"/>
      <c r="P123" s="32"/>
      <c r="Q123" s="32"/>
      <c r="R123" s="32"/>
      <c r="S123" s="32"/>
      <c r="T123" s="32"/>
    </row>
    <row r="124" spans="12:20">
      <c r="L124" s="1"/>
      <c r="M124" s="1"/>
      <c r="N124" s="1"/>
      <c r="O124" s="32"/>
      <c r="P124" s="32"/>
      <c r="Q124" s="32"/>
      <c r="R124" s="32"/>
      <c r="S124" s="32"/>
      <c r="T124" s="32"/>
    </row>
    <row r="125" spans="12:20">
      <c r="L125" s="1"/>
      <c r="M125" s="1"/>
      <c r="N125" s="1"/>
      <c r="O125" s="32"/>
      <c r="P125" s="32"/>
      <c r="Q125" s="32"/>
      <c r="R125" s="32"/>
      <c r="S125" s="32"/>
      <c r="T125" s="32"/>
    </row>
    <row r="126" spans="12:20">
      <c r="L126" s="1"/>
      <c r="M126" s="1"/>
      <c r="N126" s="1"/>
      <c r="O126" s="32"/>
      <c r="P126" s="32"/>
      <c r="Q126" s="32"/>
      <c r="R126" s="32"/>
      <c r="S126" s="32"/>
      <c r="T126" s="32"/>
    </row>
    <row r="127" spans="12:20">
      <c r="L127" s="1"/>
      <c r="M127" s="1"/>
      <c r="N127" s="1"/>
      <c r="O127" s="32"/>
      <c r="P127" s="32"/>
      <c r="Q127" s="32"/>
      <c r="R127" s="32"/>
      <c r="S127" s="32"/>
      <c r="T127" s="32"/>
    </row>
    <row r="128" spans="12:20">
      <c r="L128" s="1"/>
      <c r="M128" s="1"/>
      <c r="N128" s="1"/>
      <c r="O128" s="32"/>
      <c r="P128" s="32"/>
      <c r="Q128" s="32"/>
      <c r="R128" s="32"/>
      <c r="S128" s="32"/>
      <c r="T128" s="32"/>
    </row>
    <row r="129" spans="12:20">
      <c r="L129" s="1"/>
      <c r="M129" s="1"/>
      <c r="N129" s="1"/>
      <c r="O129" s="32"/>
      <c r="P129" s="32"/>
      <c r="Q129" s="32"/>
      <c r="R129" s="32"/>
      <c r="S129" s="32"/>
      <c r="T129" s="32"/>
    </row>
    <row r="130" spans="12:20">
      <c r="L130" s="1"/>
      <c r="M130" s="1"/>
      <c r="N130" s="1"/>
      <c r="O130" s="32"/>
      <c r="P130" s="32"/>
      <c r="Q130" s="32"/>
      <c r="R130" s="32"/>
      <c r="S130" s="32"/>
      <c r="T130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X135"/>
  <sheetViews>
    <sheetView showGridLines="0" topLeftCell="K1" zoomScale="85" zoomScaleNormal="85" workbookViewId="0">
      <selection activeCell="M44" sqref="M44"/>
    </sheetView>
  </sheetViews>
  <sheetFormatPr baseColWidth="10" defaultColWidth="8.83203125" defaultRowHeight="13"/>
  <cols>
    <col min="2" max="2" width="39.5" bestFit="1" customWidth="1"/>
    <col min="3" max="3" width="27.83203125" bestFit="1" customWidth="1"/>
    <col min="4" max="4" width="17.1640625" customWidth="1"/>
    <col min="5" max="5" width="19.83203125" customWidth="1"/>
    <col min="6" max="6" width="16.1640625" customWidth="1"/>
    <col min="7" max="7" width="15" bestFit="1" customWidth="1"/>
    <col min="8" max="8" width="17.5" bestFit="1" customWidth="1"/>
    <col min="9" max="9" width="19.6640625" bestFit="1" customWidth="1"/>
    <col min="10" max="10" width="14.5" bestFit="1" customWidth="1"/>
    <col min="11" max="11" width="12" bestFit="1" customWidth="1"/>
    <col min="12" max="12" width="12.6640625" bestFit="1" customWidth="1"/>
    <col min="13" max="13" width="12.83203125" bestFit="1" customWidth="1"/>
    <col min="14" max="14" width="27.83203125" bestFit="1" customWidth="1"/>
    <col min="15" max="15" width="14.33203125" bestFit="1" customWidth="1"/>
    <col min="16" max="16" width="16.83203125" bestFit="1" customWidth="1"/>
    <col min="17" max="18" width="13.5" bestFit="1" customWidth="1"/>
    <col min="19" max="19" width="16.1640625" bestFit="1" customWidth="1"/>
    <col min="20" max="20" width="13.5" bestFit="1" customWidth="1"/>
    <col min="21" max="21" width="14.33203125" bestFit="1" customWidth="1"/>
    <col min="22" max="22" width="14" bestFit="1" customWidth="1"/>
  </cols>
  <sheetData>
    <row r="2" spans="2:22">
      <c r="B2" s="9" t="s">
        <v>88</v>
      </c>
      <c r="C2" s="9" t="s">
        <v>89</v>
      </c>
    </row>
    <row r="3" spans="2:22" ht="56">
      <c r="B3" s="23" t="s">
        <v>114</v>
      </c>
      <c r="C3" s="23" t="s">
        <v>49</v>
      </c>
      <c r="D3" s="22" t="s">
        <v>57</v>
      </c>
      <c r="E3" s="23" t="s">
        <v>59</v>
      </c>
      <c r="F3" s="22" t="s">
        <v>58</v>
      </c>
      <c r="G3" s="23" t="s">
        <v>74</v>
      </c>
      <c r="H3" s="23" t="s">
        <v>86</v>
      </c>
      <c r="I3" s="23" t="s">
        <v>66</v>
      </c>
      <c r="J3" s="23" t="s">
        <v>65</v>
      </c>
    </row>
    <row r="4" spans="2:22">
      <c r="B4" s="8">
        <v>57.5</v>
      </c>
      <c r="C4" s="10">
        <v>2.84</v>
      </c>
      <c r="D4" s="9">
        <f>C4-$C$65</f>
        <v>0.40416666666666679</v>
      </c>
      <c r="E4" s="39">
        <f>D4^2</f>
        <v>0.16335069444444453</v>
      </c>
      <c r="F4" s="29">
        <f>B4-$C$66</f>
        <v>5.9750000000000227</v>
      </c>
      <c r="G4" s="5">
        <f>D4*F4</f>
        <v>2.4148958333333432</v>
      </c>
      <c r="H4" s="4">
        <f>$C$71+$C$70*C4</f>
        <v>51.563056117808294</v>
      </c>
      <c r="I4" s="41">
        <f>(B4-H4)^2</f>
        <v>35.247302660293521</v>
      </c>
      <c r="J4" s="30">
        <f>(H4-$C$66)^2</f>
        <v>1.4482681026405E-3</v>
      </c>
      <c r="N4" s="32"/>
      <c r="O4" s="32"/>
      <c r="P4" s="32"/>
      <c r="Q4" s="32"/>
      <c r="R4" s="32"/>
      <c r="S4" s="32"/>
      <c r="T4" s="32"/>
      <c r="U4" s="32"/>
      <c r="V4" s="32"/>
    </row>
    <row r="5" spans="2:22">
      <c r="B5" s="8">
        <v>47.9</v>
      </c>
      <c r="C5" s="10">
        <v>1.62</v>
      </c>
      <c r="D5" s="9">
        <f t="shared" ref="D5:D63" si="0">C5-$C$65</f>
        <v>-0.81583333333333297</v>
      </c>
      <c r="E5" s="39">
        <f t="shared" ref="E5:E63" si="1">D5^2</f>
        <v>0.66558402777777714</v>
      </c>
      <c r="F5" s="29">
        <f t="shared" ref="F5:F63" si="2">B5-$C$66</f>
        <v>-3.6249999999999787</v>
      </c>
      <c r="G5" s="5">
        <f t="shared" ref="G5:G63" si="3">D5*F5</f>
        <v>2.9573958333333148</v>
      </c>
      <c r="H5" s="4">
        <f t="shared" ref="H5:H63" si="4">$C$71+$C$70*C5</f>
        <v>51.448181568382793</v>
      </c>
      <c r="I5" s="41">
        <f t="shared" ref="I5:I63" si="5">(B5-H5)^2</f>
        <v>12.589592442211389</v>
      </c>
      <c r="J5" s="30">
        <f t="shared" ref="J5:J63" si="6">(H5-$C$66)^2</f>
        <v>5.9010714361239815E-3</v>
      </c>
      <c r="N5" s="32"/>
      <c r="O5" s="32"/>
      <c r="P5" s="32"/>
      <c r="Q5" s="32"/>
      <c r="R5" s="32"/>
      <c r="S5" s="32"/>
      <c r="T5" s="32"/>
      <c r="U5" s="32"/>
      <c r="V5" s="32"/>
    </row>
    <row r="6" spans="2:22">
      <c r="B6" s="8">
        <v>54.6</v>
      </c>
      <c r="C6" s="10">
        <v>2.87</v>
      </c>
      <c r="D6" s="9">
        <f t="shared" si="0"/>
        <v>0.43416666666666703</v>
      </c>
      <c r="E6" s="39">
        <f t="shared" si="1"/>
        <v>0.18850069444444476</v>
      </c>
      <c r="F6" s="29">
        <f t="shared" si="2"/>
        <v>3.0750000000000242</v>
      </c>
      <c r="G6" s="5">
        <f t="shared" si="3"/>
        <v>1.3350625000000116</v>
      </c>
      <c r="H6" s="4">
        <f t="shared" si="4"/>
        <v>51.565880901810559</v>
      </c>
      <c r="I6" s="41">
        <f t="shared" si="5"/>
        <v>9.2058787019979178</v>
      </c>
      <c r="J6" s="30">
        <f t="shared" si="6"/>
        <v>1.6712481328463934E-3</v>
      </c>
      <c r="N6" s="34"/>
      <c r="O6" s="34"/>
      <c r="P6" s="32"/>
      <c r="Q6" s="32"/>
      <c r="R6" s="32"/>
      <c r="S6" s="32"/>
      <c r="T6" s="32"/>
      <c r="U6" s="32"/>
      <c r="V6" s="32"/>
    </row>
    <row r="7" spans="2:22">
      <c r="B7" s="8">
        <v>54.7</v>
      </c>
      <c r="C7" s="10">
        <v>2.06</v>
      </c>
      <c r="D7" s="9">
        <f t="shared" si="0"/>
        <v>-0.37583333333333302</v>
      </c>
      <c r="E7" s="39">
        <f t="shared" si="1"/>
        <v>0.14125069444444421</v>
      </c>
      <c r="F7" s="29">
        <f t="shared" si="2"/>
        <v>3.1750000000000256</v>
      </c>
      <c r="G7" s="5">
        <f t="shared" si="3"/>
        <v>-1.1932708333333419</v>
      </c>
      <c r="H7" s="4">
        <f t="shared" si="4"/>
        <v>51.489611733749364</v>
      </c>
      <c r="I7" s="41">
        <f t="shared" si="5"/>
        <v>10.306592820079786</v>
      </c>
      <c r="J7" s="30">
        <f t="shared" si="6"/>
        <v>1.2523293882243285E-3</v>
      </c>
      <c r="N7" s="1"/>
      <c r="O7" s="1"/>
      <c r="P7" s="32"/>
      <c r="Q7" s="32"/>
      <c r="R7" s="32"/>
      <c r="S7" s="32"/>
      <c r="T7" s="32"/>
      <c r="U7" s="32"/>
      <c r="V7" s="32"/>
    </row>
    <row r="8" spans="2:22">
      <c r="B8" s="8">
        <v>52.2</v>
      </c>
      <c r="C8" s="10">
        <v>2.17</v>
      </c>
      <c r="D8" s="9">
        <f t="shared" si="0"/>
        <v>-0.26583333333333314</v>
      </c>
      <c r="E8" s="39">
        <f t="shared" si="1"/>
        <v>7.0667361111111007E-2</v>
      </c>
      <c r="F8" s="29">
        <f t="shared" si="2"/>
        <v>0.67500000000002558</v>
      </c>
      <c r="G8" s="5">
        <f t="shared" si="3"/>
        <v>-0.17943750000000666</v>
      </c>
      <c r="H8" s="4">
        <f t="shared" si="4"/>
        <v>51.499969275091011</v>
      </c>
      <c r="I8" s="41">
        <f t="shared" si="5"/>
        <v>0.49004301581660803</v>
      </c>
      <c r="J8" s="30">
        <f t="shared" si="6"/>
        <v>6.2653718946832355E-4</v>
      </c>
      <c r="N8" s="1"/>
      <c r="O8" s="1"/>
      <c r="P8" s="32"/>
      <c r="Q8" s="32"/>
      <c r="R8" s="32"/>
      <c r="S8" s="32"/>
      <c r="T8" s="32"/>
      <c r="U8" s="32"/>
      <c r="V8" s="32"/>
    </row>
    <row r="9" spans="2:22">
      <c r="B9" s="8">
        <v>52.6</v>
      </c>
      <c r="C9" s="10">
        <v>3.43</v>
      </c>
      <c r="D9" s="9">
        <f t="shared" si="0"/>
        <v>0.99416666666666709</v>
      </c>
      <c r="E9" s="39">
        <f t="shared" si="1"/>
        <v>0.9883673611111119</v>
      </c>
      <c r="F9" s="29">
        <f t="shared" si="2"/>
        <v>1.0750000000000242</v>
      </c>
      <c r="G9" s="5">
        <f t="shared" si="3"/>
        <v>1.0687291666666912</v>
      </c>
      <c r="H9" s="4">
        <f t="shared" si="4"/>
        <v>51.618610203186201</v>
      </c>
      <c r="I9" s="41">
        <f t="shared" si="5"/>
        <v>0.96312593329023322</v>
      </c>
      <c r="J9" s="30">
        <f t="shared" si="6"/>
        <v>8.7628701405660248E-3</v>
      </c>
      <c r="N9" s="1"/>
      <c r="O9" s="1"/>
      <c r="P9" s="32"/>
      <c r="Q9" s="32"/>
      <c r="R9" s="32"/>
      <c r="S9" s="32"/>
      <c r="T9" s="32"/>
      <c r="U9" s="32"/>
      <c r="V9" s="32"/>
    </row>
    <row r="10" spans="2:22">
      <c r="B10" s="8">
        <v>60.9</v>
      </c>
      <c r="C10" s="10">
        <v>1.85</v>
      </c>
      <c r="D10" s="9">
        <f t="shared" si="0"/>
        <v>-0.58583333333333298</v>
      </c>
      <c r="E10" s="39">
        <f t="shared" si="1"/>
        <v>0.34320069444444401</v>
      </c>
      <c r="F10" s="29">
        <f t="shared" si="2"/>
        <v>9.3750000000000213</v>
      </c>
      <c r="G10" s="5">
        <f t="shared" si="3"/>
        <v>-5.4921875000000089</v>
      </c>
      <c r="H10" s="4">
        <f t="shared" si="4"/>
        <v>51.469838245733499</v>
      </c>
      <c r="I10" s="41">
        <f t="shared" si="5"/>
        <v>88.927950711630629</v>
      </c>
      <c r="J10" s="30">
        <f t="shared" si="6"/>
        <v>3.0428191337553727E-3</v>
      </c>
      <c r="N10" s="1"/>
      <c r="O10" s="1"/>
      <c r="P10" s="32"/>
      <c r="Q10" s="32"/>
      <c r="R10" s="32"/>
      <c r="S10" s="32"/>
      <c r="T10" s="32"/>
      <c r="U10" s="32"/>
      <c r="V10" s="32"/>
    </row>
    <row r="11" spans="2:22">
      <c r="B11" s="8">
        <v>61.3</v>
      </c>
      <c r="C11" s="10">
        <v>2.54</v>
      </c>
      <c r="D11" s="9">
        <f t="shared" si="0"/>
        <v>0.10416666666666696</v>
      </c>
      <c r="E11" s="39">
        <f t="shared" si="1"/>
        <v>1.0850694444444507E-2</v>
      </c>
      <c r="F11" s="29">
        <f t="shared" si="2"/>
        <v>9.7750000000000199</v>
      </c>
      <c r="G11" s="5">
        <f t="shared" si="3"/>
        <v>1.0182291666666716</v>
      </c>
      <c r="H11" s="4">
        <f t="shared" si="4"/>
        <v>51.534808277785629</v>
      </c>
      <c r="I11" s="41">
        <f t="shared" si="5"/>
        <v>95.358969371604019</v>
      </c>
      <c r="J11" s="30">
        <f t="shared" si="6"/>
        <v>9.6202313120511627E-5</v>
      </c>
      <c r="N11" s="1"/>
      <c r="O11" s="1"/>
      <c r="P11" s="32"/>
      <c r="Q11" s="32"/>
      <c r="R11" s="32"/>
      <c r="S11" s="32"/>
      <c r="T11" s="32"/>
      <c r="U11" s="32"/>
      <c r="V11" s="32"/>
    </row>
    <row r="12" spans="2:22">
      <c r="B12" s="8">
        <v>53</v>
      </c>
      <c r="C12" s="10">
        <v>3.09</v>
      </c>
      <c r="D12" s="9">
        <f t="shared" si="0"/>
        <v>0.65416666666666679</v>
      </c>
      <c r="E12" s="39">
        <f t="shared" si="1"/>
        <v>0.42793402777777795</v>
      </c>
      <c r="F12" s="29">
        <f t="shared" si="2"/>
        <v>1.4750000000000227</v>
      </c>
      <c r="G12" s="5">
        <f t="shared" si="3"/>
        <v>0.96489583333334838</v>
      </c>
      <c r="H12" s="4">
        <f t="shared" si="4"/>
        <v>51.586595984493847</v>
      </c>
      <c r="I12" s="41">
        <f t="shared" si="5"/>
        <v>1.9977109110489166</v>
      </c>
      <c r="J12" s="30">
        <f t="shared" si="6"/>
        <v>3.7940653057690794E-3</v>
      </c>
      <c r="N12" s="32"/>
      <c r="O12" s="32"/>
      <c r="P12" s="32"/>
      <c r="Q12" s="32"/>
      <c r="R12" s="32"/>
      <c r="S12" s="32"/>
      <c r="T12" s="32"/>
      <c r="U12" s="32"/>
      <c r="V12" s="32"/>
    </row>
    <row r="13" spans="2:22">
      <c r="B13" s="8">
        <v>51.9</v>
      </c>
      <c r="C13" s="10">
        <v>1.63</v>
      </c>
      <c r="D13" s="9">
        <f t="shared" si="0"/>
        <v>-0.80583333333333318</v>
      </c>
      <c r="E13" s="39">
        <f t="shared" si="1"/>
        <v>0.64936736111111082</v>
      </c>
      <c r="F13" s="29">
        <f t="shared" si="2"/>
        <v>0.37500000000002132</v>
      </c>
      <c r="G13" s="5">
        <f t="shared" si="3"/>
        <v>-0.3021875000000171</v>
      </c>
      <c r="H13" s="4">
        <f t="shared" si="4"/>
        <v>51.44912316305021</v>
      </c>
      <c r="I13" s="41">
        <f t="shared" si="5"/>
        <v>0.2032899220978463</v>
      </c>
      <c r="J13" s="30">
        <f t="shared" si="6"/>
        <v>5.7572943855015756E-3</v>
      </c>
      <c r="N13" s="32"/>
      <c r="O13" s="32"/>
      <c r="P13" s="32"/>
      <c r="Q13" s="32"/>
      <c r="R13" s="32"/>
      <c r="S13" s="32"/>
      <c r="T13" s="32"/>
      <c r="U13" s="32"/>
      <c r="V13" s="32"/>
    </row>
    <row r="14" spans="2:22">
      <c r="B14" s="8">
        <v>56.1</v>
      </c>
      <c r="C14" s="10">
        <v>1.52</v>
      </c>
      <c r="D14" s="9">
        <f t="shared" si="0"/>
        <v>-0.91583333333333306</v>
      </c>
      <c r="E14" s="39">
        <f t="shared" si="1"/>
        <v>0.83875069444444394</v>
      </c>
      <c r="F14" s="29">
        <f t="shared" si="2"/>
        <v>4.5750000000000242</v>
      </c>
      <c r="G14" s="5">
        <f t="shared" si="3"/>
        <v>-4.1899375000000205</v>
      </c>
      <c r="H14" s="4">
        <f t="shared" si="4"/>
        <v>51.438765621708569</v>
      </c>
      <c r="I14" s="41">
        <f t="shared" si="5"/>
        <v>21.727105929365916</v>
      </c>
      <c r="J14" s="30">
        <f t="shared" si="6"/>
        <v>7.43636799930568E-3</v>
      </c>
      <c r="N14" s="26"/>
      <c r="O14" s="26"/>
      <c r="P14" s="26"/>
      <c r="Q14" s="26"/>
      <c r="R14" s="26"/>
      <c r="S14" s="26"/>
      <c r="T14" s="32"/>
      <c r="U14" s="32"/>
      <c r="V14" s="32"/>
    </row>
    <row r="15" spans="2:22">
      <c r="B15" s="8">
        <v>47.8</v>
      </c>
      <c r="C15" s="10">
        <v>1.82</v>
      </c>
      <c r="D15" s="9">
        <f t="shared" si="0"/>
        <v>-0.61583333333333301</v>
      </c>
      <c r="E15" s="39">
        <f t="shared" si="1"/>
        <v>0.37925069444444404</v>
      </c>
      <c r="F15" s="29">
        <f t="shared" si="2"/>
        <v>-3.7249999999999801</v>
      </c>
      <c r="G15" s="5">
        <f t="shared" si="3"/>
        <v>2.2939791666666531</v>
      </c>
      <c r="H15" s="4">
        <f t="shared" si="4"/>
        <v>51.467013461731234</v>
      </c>
      <c r="I15" s="41">
        <f t="shared" si="5"/>
        <v>13.446987728518112</v>
      </c>
      <c r="J15" s="30">
        <f t="shared" si="6"/>
        <v>3.3624386203923969E-3</v>
      </c>
      <c r="N15" s="1"/>
      <c r="O15" s="1"/>
      <c r="P15" s="1"/>
      <c r="Q15" s="1"/>
      <c r="R15" s="1"/>
      <c r="S15" s="1"/>
      <c r="T15" s="32"/>
      <c r="U15" s="32"/>
      <c r="V15" s="32"/>
    </row>
    <row r="16" spans="2:22">
      <c r="B16" s="8">
        <v>48</v>
      </c>
      <c r="C16" s="10">
        <v>1.81</v>
      </c>
      <c r="D16" s="9">
        <f t="shared" si="0"/>
        <v>-0.62583333333333302</v>
      </c>
      <c r="E16" s="39">
        <f t="shared" si="1"/>
        <v>0.39166736111111072</v>
      </c>
      <c r="F16" s="29">
        <f t="shared" si="2"/>
        <v>-3.5249999999999773</v>
      </c>
      <c r="G16" s="5">
        <f t="shared" si="3"/>
        <v>2.2060624999999847</v>
      </c>
      <c r="H16" s="4">
        <f t="shared" si="4"/>
        <v>51.46607186706381</v>
      </c>
      <c r="I16" s="41">
        <f t="shared" si="5"/>
        <v>12.013654187651209</v>
      </c>
      <c r="J16" s="30">
        <f t="shared" si="6"/>
        <v>3.4725248513425501E-3</v>
      </c>
      <c r="N16" s="1"/>
      <c r="O16" s="1"/>
      <c r="P16" s="1"/>
      <c r="Q16" s="1"/>
      <c r="R16" s="1"/>
      <c r="S16" s="1"/>
      <c r="T16" s="32"/>
      <c r="U16" s="32"/>
      <c r="V16" s="32"/>
    </row>
    <row r="17" spans="2:22">
      <c r="B17" s="8">
        <v>59</v>
      </c>
      <c r="C17" s="10">
        <v>2.8</v>
      </c>
      <c r="D17" s="9">
        <f t="shared" si="0"/>
        <v>0.36416666666666675</v>
      </c>
      <c r="E17" s="39">
        <f t="shared" si="1"/>
        <v>0.13261736111111116</v>
      </c>
      <c r="F17" s="29">
        <f t="shared" si="2"/>
        <v>7.4750000000000227</v>
      </c>
      <c r="G17" s="5">
        <f t="shared" si="3"/>
        <v>2.7221458333333421</v>
      </c>
      <c r="H17" s="4">
        <f t="shared" si="4"/>
        <v>51.559289739138606</v>
      </c>
      <c r="I17" s="41">
        <f t="shared" si="5"/>
        <v>55.364169186088034</v>
      </c>
      <c r="J17" s="30">
        <f t="shared" si="6"/>
        <v>1.1757862101952092E-3</v>
      </c>
      <c r="N17" s="1"/>
      <c r="O17" s="1"/>
      <c r="P17" s="1"/>
      <c r="Q17" s="1"/>
      <c r="R17" s="1"/>
      <c r="S17" s="1"/>
      <c r="T17" s="32"/>
      <c r="U17" s="32"/>
      <c r="V17" s="32"/>
    </row>
    <row r="18" spans="2:22">
      <c r="B18" s="8">
        <v>50.3</v>
      </c>
      <c r="C18" s="10">
        <v>3.38</v>
      </c>
      <c r="D18" s="9">
        <f t="shared" si="0"/>
        <v>0.94416666666666682</v>
      </c>
      <c r="E18" s="39">
        <f t="shared" si="1"/>
        <v>0.89145069444444469</v>
      </c>
      <c r="F18" s="29">
        <f t="shared" si="2"/>
        <v>-1.2249999999999801</v>
      </c>
      <c r="G18" s="5">
        <f t="shared" si="3"/>
        <v>-1.156604166666648</v>
      </c>
      <c r="H18" s="4">
        <f t="shared" si="4"/>
        <v>51.613902229849089</v>
      </c>
      <c r="I18" s="41">
        <f t="shared" si="5"/>
        <v>1.7263390696024148</v>
      </c>
      <c r="J18" s="30">
        <f t="shared" si="6"/>
        <v>7.9036064721442218E-3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2:22">
      <c r="B19" s="8">
        <v>48.4</v>
      </c>
      <c r="C19" s="10">
        <v>2.78</v>
      </c>
      <c r="D19" s="9">
        <f t="shared" si="0"/>
        <v>0.34416666666666673</v>
      </c>
      <c r="E19" s="39">
        <f t="shared" si="1"/>
        <v>0.11845069444444449</v>
      </c>
      <c r="F19" s="29">
        <f t="shared" si="2"/>
        <v>-3.1249999999999787</v>
      </c>
      <c r="G19" s="5">
        <f t="shared" si="3"/>
        <v>-1.0755208333333262</v>
      </c>
      <c r="H19" s="4">
        <f t="shared" si="4"/>
        <v>51.557406549803758</v>
      </c>
      <c r="I19" s="41">
        <f t="shared" si="5"/>
        <v>9.9692161207436829</v>
      </c>
      <c r="J19" s="30">
        <f t="shared" si="6"/>
        <v>1.050184470184945E-3</v>
      </c>
      <c r="N19" s="26"/>
      <c r="O19" s="26"/>
      <c r="P19" s="26"/>
      <c r="Q19" s="26"/>
      <c r="R19" s="26"/>
      <c r="S19" s="26"/>
      <c r="T19" s="26"/>
      <c r="U19" s="26"/>
      <c r="V19" s="26"/>
    </row>
    <row r="20" spans="2:22">
      <c r="B20" s="8">
        <v>51.8</v>
      </c>
      <c r="C20" s="10">
        <v>1.71</v>
      </c>
      <c r="D20" s="9">
        <f t="shared" si="0"/>
        <v>-0.72583333333333311</v>
      </c>
      <c r="E20" s="39">
        <f t="shared" si="1"/>
        <v>0.52683402777777744</v>
      </c>
      <c r="F20" s="29">
        <f t="shared" si="2"/>
        <v>0.2750000000000199</v>
      </c>
      <c r="G20" s="5">
        <f t="shared" si="3"/>
        <v>-0.19960416666668104</v>
      </c>
      <c r="H20" s="4">
        <f t="shared" si="4"/>
        <v>51.456655920389586</v>
      </c>
      <c r="I20" s="41">
        <f t="shared" si="5"/>
        <v>0.11788515700352011</v>
      </c>
      <c r="J20" s="30">
        <f t="shared" si="6"/>
        <v>4.6709132177914503E-3</v>
      </c>
      <c r="N20" s="1"/>
      <c r="O20" s="1"/>
      <c r="P20" s="1"/>
      <c r="Q20" s="1"/>
      <c r="R20" s="1"/>
      <c r="S20" s="1"/>
      <c r="T20" s="1"/>
      <c r="U20" s="1"/>
      <c r="V20" s="1"/>
    </row>
    <row r="21" spans="2:22">
      <c r="B21" s="8">
        <v>45.1</v>
      </c>
      <c r="C21" s="10">
        <v>2.0699999999999998</v>
      </c>
      <c r="D21" s="9">
        <f t="shared" si="0"/>
        <v>-0.36583333333333323</v>
      </c>
      <c r="E21" s="39">
        <f t="shared" si="1"/>
        <v>0.1338340277777777</v>
      </c>
      <c r="F21" s="29">
        <f t="shared" si="2"/>
        <v>-6.4249999999999758</v>
      </c>
      <c r="G21" s="5">
        <f t="shared" si="3"/>
        <v>2.3504791666666573</v>
      </c>
      <c r="H21" s="4">
        <f t="shared" si="4"/>
        <v>51.490553328416787</v>
      </c>
      <c r="I21" s="41">
        <f t="shared" si="5"/>
        <v>40.83917184333886</v>
      </c>
      <c r="J21" s="30">
        <f t="shared" si="6"/>
        <v>1.1865731831601444E-3</v>
      </c>
      <c r="N21" s="1"/>
      <c r="O21" s="1"/>
      <c r="P21" s="1"/>
      <c r="Q21" s="1"/>
      <c r="R21" s="1"/>
      <c r="S21" s="1"/>
      <c r="T21" s="1"/>
      <c r="U21" s="1"/>
      <c r="V21" s="1"/>
    </row>
    <row r="22" spans="2:22">
      <c r="B22" s="8">
        <v>55.1</v>
      </c>
      <c r="C22" s="10">
        <v>3.29</v>
      </c>
      <c r="D22" s="9">
        <f t="shared" si="0"/>
        <v>0.85416666666666696</v>
      </c>
      <c r="E22" s="39">
        <f t="shared" si="1"/>
        <v>0.72960069444444497</v>
      </c>
      <c r="F22" s="29">
        <f t="shared" si="2"/>
        <v>3.5750000000000242</v>
      </c>
      <c r="G22" s="5">
        <f t="shared" si="3"/>
        <v>3.0536458333333552</v>
      </c>
      <c r="H22" s="4">
        <f t="shared" si="4"/>
        <v>51.605427877842288</v>
      </c>
      <c r="I22" s="41">
        <f t="shared" si="5"/>
        <v>12.212034316961862</v>
      </c>
      <c r="J22" s="30">
        <f t="shared" si="6"/>
        <v>6.4686435342177157E-3</v>
      </c>
    </row>
    <row r="23" spans="2:22">
      <c r="B23" s="8">
        <v>46.4</v>
      </c>
      <c r="C23" s="10">
        <v>3.28</v>
      </c>
      <c r="D23" s="9">
        <f t="shared" si="0"/>
        <v>0.84416666666666673</v>
      </c>
      <c r="E23" s="39">
        <f t="shared" si="1"/>
        <v>0.71261736111111118</v>
      </c>
      <c r="F23" s="29">
        <f t="shared" si="2"/>
        <v>-5.1249999999999787</v>
      </c>
      <c r="G23" s="5">
        <f t="shared" si="3"/>
        <v>-4.3263541666666487</v>
      </c>
      <c r="H23" s="4">
        <f t="shared" si="4"/>
        <v>51.604486283174865</v>
      </c>
      <c r="I23" s="41">
        <f t="shared" si="5"/>
        <v>27.08667747175533</v>
      </c>
      <c r="J23" s="30">
        <f t="shared" si="6"/>
        <v>6.3180692129583662E-3</v>
      </c>
    </row>
    <row r="24" spans="2:22">
      <c r="B24" s="8">
        <v>48.6</v>
      </c>
      <c r="C24" s="10">
        <v>2.64</v>
      </c>
      <c r="D24" s="9">
        <f t="shared" si="0"/>
        <v>0.20416666666666705</v>
      </c>
      <c r="E24" s="39">
        <f t="shared" si="1"/>
        <v>4.1684027777777938E-2</v>
      </c>
      <c r="F24" s="29">
        <f t="shared" si="2"/>
        <v>-2.9249999999999758</v>
      </c>
      <c r="G24" s="5">
        <f t="shared" si="3"/>
        <v>-0.59718749999999621</v>
      </c>
      <c r="H24" s="4">
        <f t="shared" si="4"/>
        <v>51.544224224459846</v>
      </c>
      <c r="I24" s="41">
        <f t="shared" si="5"/>
        <v>8.6684562838961732</v>
      </c>
      <c r="J24" s="30">
        <f t="shared" si="6"/>
        <v>3.6957080608341871E-4</v>
      </c>
    </row>
    <row r="25" spans="2:22">
      <c r="B25" s="8">
        <v>48.2</v>
      </c>
      <c r="C25" s="10">
        <v>1.75</v>
      </c>
      <c r="D25" s="9">
        <f t="shared" si="0"/>
        <v>-0.68583333333333307</v>
      </c>
      <c r="E25" s="39">
        <f t="shared" si="1"/>
        <v>0.47036736111111077</v>
      </c>
      <c r="F25" s="29">
        <f t="shared" si="2"/>
        <v>-3.3249999999999744</v>
      </c>
      <c r="G25" s="5">
        <f t="shared" si="3"/>
        <v>2.2803958333333147</v>
      </c>
      <c r="H25" s="4">
        <f t="shared" si="4"/>
        <v>51.460422299059275</v>
      </c>
      <c r="I25" s="41">
        <f t="shared" si="5"/>
        <v>10.630353568202947</v>
      </c>
      <c r="J25" s="30">
        <f t="shared" si="6"/>
        <v>4.1702794587868339E-3</v>
      </c>
    </row>
    <row r="26" spans="2:22">
      <c r="B26" s="8">
        <v>52.3</v>
      </c>
      <c r="C26" s="10">
        <v>3.25</v>
      </c>
      <c r="D26" s="9">
        <f t="shared" si="0"/>
        <v>0.81416666666666693</v>
      </c>
      <c r="E26" s="39">
        <f t="shared" si="1"/>
        <v>0.66286736111111155</v>
      </c>
      <c r="F26" s="29">
        <f t="shared" si="2"/>
        <v>0.7750000000000199</v>
      </c>
      <c r="G26" s="5">
        <f t="shared" si="3"/>
        <v>0.63097916666668308</v>
      </c>
      <c r="H26" s="4">
        <f t="shared" si="4"/>
        <v>51.6016614991726</v>
      </c>
      <c r="I26" s="41">
        <f t="shared" si="5"/>
        <v>0.4876766617378564</v>
      </c>
      <c r="J26" s="30">
        <f t="shared" si="6"/>
        <v>5.8769854553940588E-3</v>
      </c>
    </row>
    <row r="27" spans="2:22">
      <c r="B27" s="8">
        <v>53.6</v>
      </c>
      <c r="C27" s="10">
        <v>1.81</v>
      </c>
      <c r="D27" s="9">
        <f t="shared" si="0"/>
        <v>-0.62583333333333302</v>
      </c>
      <c r="E27" s="39">
        <f t="shared" si="1"/>
        <v>0.39166736111111072</v>
      </c>
      <c r="F27" s="29">
        <f t="shared" si="2"/>
        <v>2.0750000000000242</v>
      </c>
      <c r="G27" s="5">
        <f t="shared" si="3"/>
        <v>-1.2986041666666812</v>
      </c>
      <c r="H27" s="4">
        <f t="shared" si="4"/>
        <v>51.46607186706381</v>
      </c>
      <c r="I27" s="41">
        <f t="shared" si="5"/>
        <v>4.5536492765365377</v>
      </c>
      <c r="J27" s="30">
        <f t="shared" si="6"/>
        <v>3.4725248513425501E-3</v>
      </c>
    </row>
    <row r="28" spans="2:22">
      <c r="B28" s="8">
        <v>43.9</v>
      </c>
      <c r="C28" s="10">
        <v>3.15</v>
      </c>
      <c r="D28" s="9">
        <f t="shared" si="0"/>
        <v>0.71416666666666684</v>
      </c>
      <c r="E28" s="39">
        <f t="shared" si="1"/>
        <v>0.51003402777777807</v>
      </c>
      <c r="F28" s="29">
        <f t="shared" si="2"/>
        <v>-7.6249999999999787</v>
      </c>
      <c r="G28" s="5">
        <f t="shared" si="3"/>
        <v>-5.4455208333333198</v>
      </c>
      <c r="H28" s="4">
        <f t="shared" si="4"/>
        <v>51.592245552498376</v>
      </c>
      <c r="I28" s="41">
        <f t="shared" si="5"/>
        <v>59.17064163993107</v>
      </c>
      <c r="J28" s="30">
        <f t="shared" si="6"/>
        <v>4.52196433081491E-3</v>
      </c>
    </row>
    <row r="29" spans="2:22">
      <c r="B29" s="8">
        <v>50.6</v>
      </c>
      <c r="C29" s="10">
        <v>2.5499999999999998</v>
      </c>
      <c r="D29" s="9">
        <f t="shared" si="0"/>
        <v>0.11416666666666675</v>
      </c>
      <c r="E29" s="39">
        <f t="shared" si="1"/>
        <v>1.3034027777777797E-2</v>
      </c>
      <c r="F29" s="29">
        <f t="shared" si="2"/>
        <v>-0.92499999999997584</v>
      </c>
      <c r="G29" s="5">
        <f t="shared" si="3"/>
        <v>-0.10560416666666399</v>
      </c>
      <c r="H29" s="4">
        <f t="shared" si="4"/>
        <v>51.535749872453053</v>
      </c>
      <c r="I29" s="41">
        <f t="shared" si="5"/>
        <v>0.8756278237959022</v>
      </c>
      <c r="J29" s="30">
        <f t="shared" si="6"/>
        <v>1.1555975775739537E-4</v>
      </c>
    </row>
    <row r="30" spans="2:22">
      <c r="B30" s="8">
        <v>56.3</v>
      </c>
      <c r="C30" s="10">
        <v>2.0499999999999998</v>
      </c>
      <c r="D30" s="9">
        <f t="shared" si="0"/>
        <v>-0.38583333333333325</v>
      </c>
      <c r="E30" s="39">
        <f t="shared" si="1"/>
        <v>0.14886736111111104</v>
      </c>
      <c r="F30" s="29">
        <f t="shared" si="2"/>
        <v>4.7750000000000199</v>
      </c>
      <c r="G30" s="5">
        <f t="shared" si="3"/>
        <v>-1.8423541666666738</v>
      </c>
      <c r="H30" s="4">
        <f t="shared" si="4"/>
        <v>51.48867013908194</v>
      </c>
      <c r="I30" s="41">
        <f t="shared" si="5"/>
        <v>23.148895030561775</v>
      </c>
      <c r="J30" s="30">
        <f t="shared" si="6"/>
        <v>1.3198587943239544E-3</v>
      </c>
    </row>
    <row r="31" spans="2:22">
      <c r="B31" s="8">
        <v>50.7</v>
      </c>
      <c r="C31" s="10">
        <v>2.19</v>
      </c>
      <c r="D31" s="9">
        <f t="shared" si="0"/>
        <v>-0.24583333333333313</v>
      </c>
      <c r="E31" s="39">
        <f t="shared" si="1"/>
        <v>6.0434027777777677E-2</v>
      </c>
      <c r="F31" s="29">
        <f t="shared" si="2"/>
        <v>-0.82499999999997442</v>
      </c>
      <c r="G31" s="5">
        <f t="shared" si="3"/>
        <v>0.20281249999999354</v>
      </c>
      <c r="H31" s="4">
        <f t="shared" si="4"/>
        <v>51.501852464425852</v>
      </c>
      <c r="I31" s="41">
        <f t="shared" si="5"/>
        <v>0.64296737470580767</v>
      </c>
      <c r="J31" s="30">
        <f t="shared" si="6"/>
        <v>5.3580840315539625E-4</v>
      </c>
    </row>
    <row r="32" spans="2:22">
      <c r="B32" s="8">
        <v>49.8</v>
      </c>
      <c r="C32" s="10">
        <v>1.91</v>
      </c>
      <c r="D32" s="9">
        <f t="shared" si="0"/>
        <v>-0.52583333333333315</v>
      </c>
      <c r="E32" s="39">
        <f t="shared" si="1"/>
        <v>0.27650069444444425</v>
      </c>
      <c r="F32" s="29">
        <f t="shared" si="2"/>
        <v>-1.7249999999999801</v>
      </c>
      <c r="G32" s="5">
        <f t="shared" si="3"/>
        <v>0.90706249999998922</v>
      </c>
      <c r="H32" s="4">
        <f t="shared" si="4"/>
        <v>51.475487813738035</v>
      </c>
      <c r="I32" s="41">
        <f t="shared" si="5"/>
        <v>2.8072594139846681</v>
      </c>
      <c r="J32" s="30">
        <f t="shared" si="6"/>
        <v>2.4514565884373131E-3</v>
      </c>
    </row>
    <row r="33" spans="2:24">
      <c r="B33" s="8">
        <v>53.1</v>
      </c>
      <c r="C33" s="10">
        <v>2.3199999999999998</v>
      </c>
      <c r="D33" s="9">
        <f t="shared" si="0"/>
        <v>-0.11583333333333323</v>
      </c>
      <c r="E33" s="39">
        <f t="shared" si="1"/>
        <v>1.3417361111111088E-2</v>
      </c>
      <c r="F33" s="29">
        <f t="shared" si="2"/>
        <v>1.5750000000000242</v>
      </c>
      <c r="G33" s="5">
        <f t="shared" si="3"/>
        <v>-0.18243750000000264</v>
      </c>
      <c r="H33" s="4">
        <f t="shared" si="4"/>
        <v>51.51409319510234</v>
      </c>
      <c r="I33" s="41">
        <f t="shared" si="5"/>
        <v>2.5151003938207079</v>
      </c>
      <c r="J33" s="30">
        <f t="shared" si="6"/>
        <v>1.189583930751151E-4</v>
      </c>
    </row>
    <row r="34" spans="2:24">
      <c r="B34" s="8">
        <v>47.9</v>
      </c>
      <c r="C34" s="10">
        <v>2.0699999999999998</v>
      </c>
      <c r="D34" s="9">
        <f t="shared" si="0"/>
        <v>-0.36583333333333323</v>
      </c>
      <c r="E34" s="39">
        <f t="shared" si="1"/>
        <v>0.1338340277777777</v>
      </c>
      <c r="F34" s="29">
        <f t="shared" si="2"/>
        <v>-3.6249999999999787</v>
      </c>
      <c r="G34" s="5">
        <f t="shared" si="3"/>
        <v>1.3261458333333251</v>
      </c>
      <c r="H34" s="4">
        <f t="shared" si="4"/>
        <v>51.490553328416787</v>
      </c>
      <c r="I34" s="41">
        <f t="shared" si="5"/>
        <v>12.89207320420488</v>
      </c>
      <c r="J34" s="30">
        <f t="shared" si="6"/>
        <v>1.1865731831601444E-3</v>
      </c>
    </row>
    <row r="35" spans="2:24">
      <c r="B35" s="8">
        <v>47.6</v>
      </c>
      <c r="C35" s="10">
        <v>1.95</v>
      </c>
      <c r="D35" s="9">
        <f t="shared" si="0"/>
        <v>-0.48583333333333312</v>
      </c>
      <c r="E35" s="39">
        <f t="shared" si="1"/>
        <v>0.23603402777777757</v>
      </c>
      <c r="F35" s="29">
        <f t="shared" si="2"/>
        <v>-3.9249999999999758</v>
      </c>
      <c r="G35" s="5">
        <f t="shared" si="3"/>
        <v>1.9068958333333208</v>
      </c>
      <c r="H35" s="4">
        <f t="shared" si="4"/>
        <v>51.479254192407723</v>
      </c>
      <c r="I35" s="41">
        <f t="shared" si="5"/>
        <v>15.048613089312882</v>
      </c>
      <c r="J35" s="30">
        <f t="shared" si="6"/>
        <v>2.0926789122675741E-3</v>
      </c>
    </row>
    <row r="36" spans="2:24">
      <c r="B36" s="8">
        <v>43.3</v>
      </c>
      <c r="C36" s="10">
        <v>1.74</v>
      </c>
      <c r="D36" s="9">
        <f t="shared" si="0"/>
        <v>-0.69583333333333308</v>
      </c>
      <c r="E36" s="39">
        <f t="shared" si="1"/>
        <v>0.48418402777777741</v>
      </c>
      <c r="F36" s="29">
        <f t="shared" si="2"/>
        <v>-8.2249999999999801</v>
      </c>
      <c r="G36" s="5">
        <f t="shared" si="3"/>
        <v>5.723229166666651</v>
      </c>
      <c r="H36" s="4">
        <f t="shared" si="4"/>
        <v>51.459480704391858</v>
      </c>
      <c r="I36" s="41">
        <f t="shared" si="5"/>
        <v>66.577125365343093</v>
      </c>
      <c r="J36" s="30">
        <f t="shared" si="6"/>
        <v>4.2927780969841366E-3</v>
      </c>
    </row>
    <row r="37" spans="2:24">
      <c r="B37" s="8">
        <v>51.1</v>
      </c>
      <c r="C37" s="10">
        <v>1.76</v>
      </c>
      <c r="D37" s="9">
        <f t="shared" si="0"/>
        <v>-0.67583333333333306</v>
      </c>
      <c r="E37" s="39">
        <f t="shared" si="1"/>
        <v>0.45675069444444411</v>
      </c>
      <c r="F37" s="29">
        <f t="shared" si="2"/>
        <v>-0.42499999999997584</v>
      </c>
      <c r="G37" s="5">
        <f t="shared" si="3"/>
        <v>0.28722916666665022</v>
      </c>
      <c r="H37" s="4">
        <f t="shared" si="4"/>
        <v>51.461363893726698</v>
      </c>
      <c r="I37" s="41">
        <f t="shared" si="5"/>
        <v>0.13058386368931954</v>
      </c>
      <c r="J37" s="30">
        <f t="shared" si="6"/>
        <v>4.0495540216240423E-3</v>
      </c>
    </row>
    <row r="38" spans="2:24">
      <c r="B38" s="8">
        <v>53.4</v>
      </c>
      <c r="C38" s="10">
        <v>2.41</v>
      </c>
      <c r="D38" s="9">
        <f t="shared" si="0"/>
        <v>-2.5833333333332931E-2</v>
      </c>
      <c r="E38" s="39">
        <f t="shared" si="1"/>
        <v>6.6736111111109027E-4</v>
      </c>
      <c r="F38" s="29">
        <f t="shared" si="2"/>
        <v>1.8750000000000213</v>
      </c>
      <c r="G38" s="5">
        <f t="shared" si="3"/>
        <v>-4.8437499999999793E-2</v>
      </c>
      <c r="H38" s="4">
        <f t="shared" si="4"/>
        <v>51.522567547109141</v>
      </c>
      <c r="I38" s="41">
        <f t="shared" si="5"/>
        <v>3.5247526151677833</v>
      </c>
      <c r="J38" s="30">
        <f t="shared" si="6"/>
        <v>5.9168270661393348E-6</v>
      </c>
    </row>
    <row r="39" spans="2:24">
      <c r="B39" s="8">
        <v>47.3</v>
      </c>
      <c r="C39" s="10">
        <v>3.33</v>
      </c>
      <c r="D39" s="9">
        <f t="shared" si="0"/>
        <v>0.894166666666667</v>
      </c>
      <c r="E39" s="39">
        <f t="shared" si="1"/>
        <v>0.79953402777777838</v>
      </c>
      <c r="F39" s="29">
        <f t="shared" si="2"/>
        <v>-4.2249999999999801</v>
      </c>
      <c r="G39" s="5">
        <f t="shared" si="3"/>
        <v>-3.7778541666666503</v>
      </c>
      <c r="H39" s="4">
        <f t="shared" si="4"/>
        <v>51.609194256511977</v>
      </c>
      <c r="I39" s="41">
        <f t="shared" si="5"/>
        <v>18.569155140355832</v>
      </c>
      <c r="J39" s="30">
        <f t="shared" si="6"/>
        <v>7.0886728296083367E-3</v>
      </c>
    </row>
    <row r="40" spans="2:24">
      <c r="B40" s="8">
        <v>50.1</v>
      </c>
      <c r="C40" s="10">
        <v>1.62</v>
      </c>
      <c r="D40" s="9">
        <f t="shared" si="0"/>
        <v>-0.81583333333333297</v>
      </c>
      <c r="E40" s="39">
        <f t="shared" si="1"/>
        <v>0.66558402777777714</v>
      </c>
      <c r="F40" s="29">
        <f t="shared" si="2"/>
        <v>-1.4249999999999758</v>
      </c>
      <c r="G40" s="5">
        <f t="shared" si="3"/>
        <v>1.1625624999999797</v>
      </c>
      <c r="H40" s="4">
        <f t="shared" si="4"/>
        <v>51.448181568382793</v>
      </c>
      <c r="I40" s="41">
        <f t="shared" si="5"/>
        <v>1.8175935413270843</v>
      </c>
      <c r="J40" s="30">
        <f t="shared" si="6"/>
        <v>5.9010714361239815E-3</v>
      </c>
    </row>
    <row r="41" spans="2:24">
      <c r="B41" s="8">
        <v>44.8</v>
      </c>
      <c r="C41" s="10">
        <v>2.37</v>
      </c>
      <c r="D41" s="9">
        <f t="shared" si="0"/>
        <v>-6.5833333333332966E-2</v>
      </c>
      <c r="E41" s="39">
        <f t="shared" si="1"/>
        <v>4.3340277777777292E-3</v>
      </c>
      <c r="F41" s="29">
        <f t="shared" si="2"/>
        <v>-6.7249999999999801</v>
      </c>
      <c r="G41" s="5">
        <f t="shared" si="3"/>
        <v>0.4427291666666629</v>
      </c>
      <c r="H41" s="4">
        <f t="shared" si="4"/>
        <v>51.518801168439452</v>
      </c>
      <c r="I41" s="41">
        <f t="shared" si="5"/>
        <v>45.14228914102339</v>
      </c>
      <c r="J41" s="30">
        <f t="shared" si="6"/>
        <v>3.8425512715758439E-5</v>
      </c>
      <c r="L41" s="17" t="s">
        <v>76</v>
      </c>
      <c r="M41" s="20" t="s">
        <v>162</v>
      </c>
      <c r="N41" s="20"/>
      <c r="O41" s="20"/>
      <c r="P41" s="20"/>
      <c r="Q41" s="20"/>
      <c r="R41" s="20"/>
      <c r="S41" s="20"/>
      <c r="T41" s="20"/>
      <c r="U41" s="20"/>
      <c r="V41" s="6"/>
      <c r="W41" s="6"/>
      <c r="X41" s="6"/>
    </row>
    <row r="42" spans="2:24">
      <c r="B42" s="8">
        <v>50.6</v>
      </c>
      <c r="C42" s="10">
        <v>2.25</v>
      </c>
      <c r="D42" s="9">
        <f t="shared" si="0"/>
        <v>-0.18583333333333307</v>
      </c>
      <c r="E42" s="39">
        <f t="shared" si="1"/>
        <v>3.4534027777777684E-2</v>
      </c>
      <c r="F42" s="29">
        <f t="shared" si="2"/>
        <v>-0.92499999999997584</v>
      </c>
      <c r="G42" s="5">
        <f t="shared" si="3"/>
        <v>0.17189583333332861</v>
      </c>
      <c r="H42" s="4">
        <f t="shared" si="4"/>
        <v>51.507502032430388</v>
      </c>
      <c r="I42" s="41">
        <f t="shared" si="5"/>
        <v>0.82355993886528212</v>
      </c>
      <c r="J42" s="30">
        <f t="shared" si="6"/>
        <v>3.0617886906640358E-4</v>
      </c>
      <c r="M42" s="6" t="s">
        <v>118</v>
      </c>
      <c r="N42" s="6"/>
      <c r="O42" s="6"/>
      <c r="P42" s="6"/>
      <c r="Q42" s="6"/>
      <c r="R42" s="6"/>
      <c r="S42" s="6"/>
      <c r="T42" s="6"/>
      <c r="U42" s="6"/>
      <c r="V42" s="51"/>
      <c r="W42" s="6"/>
    </row>
    <row r="43" spans="2:24">
      <c r="B43" s="8">
        <v>42.6</v>
      </c>
      <c r="C43" s="10">
        <v>2.5299999999999998</v>
      </c>
      <c r="D43" s="9">
        <f t="shared" si="0"/>
        <v>9.4166666666666732E-2</v>
      </c>
      <c r="E43" s="39">
        <f t="shared" si="1"/>
        <v>8.8673611111111227E-3</v>
      </c>
      <c r="F43" s="29">
        <f t="shared" si="2"/>
        <v>-8.9249999999999758</v>
      </c>
      <c r="G43" s="5">
        <f t="shared" si="3"/>
        <v>-0.84043749999999828</v>
      </c>
      <c r="H43" s="4">
        <f t="shared" si="4"/>
        <v>51.533866683118205</v>
      </c>
      <c r="I43" s="41">
        <f t="shared" si="5"/>
        <v>79.813973911729462</v>
      </c>
      <c r="J43" s="30">
        <f t="shared" si="6"/>
        <v>7.8618069519069848E-5</v>
      </c>
      <c r="M43" s="51" t="s">
        <v>161</v>
      </c>
      <c r="N43" s="51"/>
      <c r="O43" s="51"/>
      <c r="P43" s="51"/>
    </row>
    <row r="44" spans="2:24">
      <c r="B44" s="8">
        <v>61.2</v>
      </c>
      <c r="C44" s="10">
        <v>3.31</v>
      </c>
      <c r="D44" s="9">
        <f t="shared" si="0"/>
        <v>0.87416666666666698</v>
      </c>
      <c r="E44" s="39">
        <f t="shared" si="1"/>
        <v>0.76416736111111161</v>
      </c>
      <c r="F44" s="29">
        <f t="shared" si="2"/>
        <v>9.6750000000000256</v>
      </c>
      <c r="G44" s="5">
        <f t="shared" si="3"/>
        <v>8.4575625000000247</v>
      </c>
      <c r="H44" s="4">
        <f t="shared" si="4"/>
        <v>51.607311067177136</v>
      </c>
      <c r="I44" s="41">
        <f t="shared" si="5"/>
        <v>92.01968096190231</v>
      </c>
      <c r="J44" s="30">
        <f t="shared" si="6"/>
        <v>6.7751117798427402E-3</v>
      </c>
    </row>
    <row r="45" spans="2:24">
      <c r="B45" s="8">
        <v>55.5</v>
      </c>
      <c r="C45" s="10">
        <v>3.45</v>
      </c>
      <c r="D45" s="9">
        <f t="shared" si="0"/>
        <v>1.0141666666666671</v>
      </c>
      <c r="E45" s="39">
        <f t="shared" si="1"/>
        <v>1.0285340277777786</v>
      </c>
      <c r="F45" s="29">
        <f t="shared" si="2"/>
        <v>3.9750000000000227</v>
      </c>
      <c r="G45" s="5">
        <f t="shared" si="3"/>
        <v>4.0313125000000252</v>
      </c>
      <c r="H45" s="4">
        <f t="shared" si="4"/>
        <v>51.620493392521041</v>
      </c>
      <c r="I45" s="41">
        <f t="shared" si="5"/>
        <v>15.0505715174729</v>
      </c>
      <c r="J45" s="30">
        <f t="shared" si="6"/>
        <v>9.1189880151819874E-3</v>
      </c>
    </row>
    <row r="46" spans="2:24">
      <c r="B46" s="8">
        <v>55</v>
      </c>
      <c r="C46" s="10">
        <v>2.02</v>
      </c>
      <c r="D46" s="9">
        <f t="shared" si="0"/>
        <v>-0.41583333333333306</v>
      </c>
      <c r="E46" s="39">
        <f t="shared" si="1"/>
        <v>0.17291736111111089</v>
      </c>
      <c r="F46" s="29">
        <f t="shared" si="2"/>
        <v>3.4750000000000227</v>
      </c>
      <c r="G46" s="5">
        <f t="shared" si="3"/>
        <v>-1.4450208333333419</v>
      </c>
      <c r="H46" s="4">
        <f t="shared" si="4"/>
        <v>51.485845355079675</v>
      </c>
      <c r="I46" s="41">
        <f t="shared" si="5"/>
        <v>12.349282868415093</v>
      </c>
      <c r="J46" s="30">
        <f t="shared" si="6"/>
        <v>1.5330862188349282E-3</v>
      </c>
    </row>
    <row r="47" spans="2:24">
      <c r="B47" s="8">
        <v>40.9</v>
      </c>
      <c r="C47" s="10">
        <v>3.07</v>
      </c>
      <c r="D47" s="9">
        <f t="shared" si="0"/>
        <v>0.63416666666666677</v>
      </c>
      <c r="E47" s="39">
        <f t="shared" si="1"/>
        <v>0.40216736111111123</v>
      </c>
      <c r="F47" s="29">
        <f t="shared" si="2"/>
        <v>-10.624999999999979</v>
      </c>
      <c r="G47" s="5">
        <f t="shared" si="3"/>
        <v>-6.7380208333333211</v>
      </c>
      <c r="H47" s="4">
        <f t="shared" si="4"/>
        <v>51.584712795159</v>
      </c>
      <c r="I47" s="41">
        <f t="shared" si="5"/>
        <v>114.16308751503448</v>
      </c>
      <c r="J47" s="30">
        <f t="shared" si="6"/>
        <v>3.5656179057033679E-3</v>
      </c>
    </row>
    <row r="48" spans="2:24">
      <c r="B48" s="8">
        <v>50.7</v>
      </c>
      <c r="C48" s="10">
        <v>2.54</v>
      </c>
      <c r="D48" s="9">
        <f t="shared" si="0"/>
        <v>0.10416666666666696</v>
      </c>
      <c r="E48" s="39">
        <f t="shared" si="1"/>
        <v>1.0850694444444507E-2</v>
      </c>
      <c r="F48" s="29">
        <f t="shared" si="2"/>
        <v>-0.82499999999997442</v>
      </c>
      <c r="G48" s="5">
        <f t="shared" si="3"/>
        <v>-8.5937499999997585E-2</v>
      </c>
      <c r="H48" s="4">
        <f t="shared" si="4"/>
        <v>51.534808277785629</v>
      </c>
      <c r="I48" s="41">
        <f t="shared" si="5"/>
        <v>0.69690486065940338</v>
      </c>
      <c r="J48" s="30">
        <f t="shared" si="6"/>
        <v>9.6202313120511627E-5</v>
      </c>
    </row>
    <row r="49" spans="2:20">
      <c r="B49" s="8">
        <v>48.2</v>
      </c>
      <c r="C49" s="10">
        <v>2.75</v>
      </c>
      <c r="D49" s="9">
        <f t="shared" si="0"/>
        <v>0.31416666666666693</v>
      </c>
      <c r="E49" s="39">
        <f t="shared" si="1"/>
        <v>9.8700694444444612E-2</v>
      </c>
      <c r="F49" s="29">
        <f t="shared" si="2"/>
        <v>-3.3249999999999744</v>
      </c>
      <c r="G49" s="5">
        <f t="shared" si="3"/>
        <v>-1.0446041666666595</v>
      </c>
      <c r="H49" s="4">
        <f t="shared" si="4"/>
        <v>51.554581765801494</v>
      </c>
      <c r="I49" s="41">
        <f t="shared" si="5"/>
        <v>11.253218823447851</v>
      </c>
      <c r="J49" s="30">
        <f t="shared" si="6"/>
        <v>8.7508086793578442E-4</v>
      </c>
    </row>
    <row r="50" spans="2:20">
      <c r="B50" s="8">
        <v>59.1</v>
      </c>
      <c r="C50" s="10">
        <v>3.12</v>
      </c>
      <c r="D50" s="9">
        <f t="shared" si="0"/>
        <v>0.68416666666666703</v>
      </c>
      <c r="E50" s="39">
        <f t="shared" si="1"/>
        <v>0.4680840277777783</v>
      </c>
      <c r="F50" s="29">
        <f t="shared" si="2"/>
        <v>7.5750000000000242</v>
      </c>
      <c r="G50" s="5">
        <f t="shared" si="3"/>
        <v>5.1825625000000191</v>
      </c>
      <c r="H50" s="4">
        <f t="shared" si="4"/>
        <v>51.589420768496112</v>
      </c>
      <c r="I50" s="41">
        <f t="shared" si="5"/>
        <v>56.408800392697557</v>
      </c>
      <c r="J50" s="30">
        <f t="shared" si="6"/>
        <v>4.1500354136325465E-3</v>
      </c>
    </row>
    <row r="51" spans="2:20">
      <c r="B51" s="8">
        <v>58.4</v>
      </c>
      <c r="C51" s="10">
        <v>2.0699999999999998</v>
      </c>
      <c r="D51" s="9">
        <f t="shared" si="0"/>
        <v>-0.36583333333333323</v>
      </c>
      <c r="E51" s="39">
        <f t="shared" si="1"/>
        <v>0.1338340277777777</v>
      </c>
      <c r="F51" s="29">
        <f t="shared" si="2"/>
        <v>6.8750000000000213</v>
      </c>
      <c r="G51" s="5">
        <f t="shared" si="3"/>
        <v>-2.5151041666666738</v>
      </c>
      <c r="H51" s="4">
        <f t="shared" si="4"/>
        <v>51.490553328416787</v>
      </c>
      <c r="I51" s="41">
        <f t="shared" si="5"/>
        <v>47.740453307452313</v>
      </c>
      <c r="J51" s="30">
        <f t="shared" si="6"/>
        <v>1.1865731831601444E-3</v>
      </c>
    </row>
    <row r="52" spans="2:20">
      <c r="B52" s="8">
        <v>42.9</v>
      </c>
      <c r="C52" s="10">
        <v>2.75</v>
      </c>
      <c r="D52" s="9">
        <f t="shared" si="0"/>
        <v>0.31416666666666693</v>
      </c>
      <c r="E52" s="39">
        <f t="shared" si="1"/>
        <v>9.8700694444444612E-2</v>
      </c>
      <c r="F52" s="29">
        <f t="shared" si="2"/>
        <v>-8.6249999999999787</v>
      </c>
      <c r="G52" s="5">
        <f t="shared" si="3"/>
        <v>-2.7096874999999954</v>
      </c>
      <c r="H52" s="4">
        <f t="shared" si="4"/>
        <v>51.554581765801494</v>
      </c>
      <c r="I52" s="41">
        <f t="shared" si="5"/>
        <v>74.901785540943735</v>
      </c>
      <c r="J52" s="30">
        <f t="shared" si="6"/>
        <v>8.7508086793578442E-4</v>
      </c>
      <c r="L52" s="32"/>
      <c r="M52" s="32"/>
      <c r="N52" s="32"/>
      <c r="O52" s="32"/>
      <c r="P52" s="32"/>
      <c r="Q52" s="32"/>
      <c r="R52" s="32"/>
      <c r="S52" s="32"/>
      <c r="T52" s="32"/>
    </row>
    <row r="53" spans="2:20">
      <c r="B53" s="8">
        <v>64.099999999999994</v>
      </c>
      <c r="C53" s="10">
        <v>1.87</v>
      </c>
      <c r="D53" s="9">
        <f t="shared" si="0"/>
        <v>-0.56583333333333297</v>
      </c>
      <c r="E53" s="39">
        <f t="shared" si="1"/>
        <v>0.32016736111111072</v>
      </c>
      <c r="F53" s="29">
        <f t="shared" si="2"/>
        <v>12.575000000000017</v>
      </c>
      <c r="G53" s="5">
        <f t="shared" si="3"/>
        <v>-7.1153541666666715</v>
      </c>
      <c r="H53" s="4">
        <f t="shared" si="4"/>
        <v>51.471721435068346</v>
      </c>
      <c r="I53" s="41">
        <f t="shared" si="5"/>
        <v>159.47341951351211</v>
      </c>
      <c r="J53" s="30">
        <f t="shared" si="6"/>
        <v>2.838605481174017E-3</v>
      </c>
      <c r="L53" s="32"/>
      <c r="M53" s="32"/>
      <c r="N53" s="32"/>
      <c r="O53" s="32"/>
      <c r="P53" s="32"/>
      <c r="Q53" s="32"/>
      <c r="R53" s="32"/>
      <c r="S53" s="32"/>
      <c r="T53" s="32"/>
    </row>
    <row r="54" spans="2:20">
      <c r="B54" s="8">
        <v>57.9</v>
      </c>
      <c r="C54" s="10">
        <v>2.64</v>
      </c>
      <c r="D54" s="9">
        <f t="shared" si="0"/>
        <v>0.20416666666666705</v>
      </c>
      <c r="E54" s="39">
        <f t="shared" si="1"/>
        <v>4.1684027777777938E-2</v>
      </c>
      <c r="F54" s="29">
        <f t="shared" si="2"/>
        <v>6.3750000000000213</v>
      </c>
      <c r="G54" s="5">
        <f t="shared" si="3"/>
        <v>1.3015625000000068</v>
      </c>
      <c r="H54" s="4">
        <f t="shared" si="4"/>
        <v>51.544224224459846</v>
      </c>
      <c r="I54" s="41">
        <f t="shared" si="5"/>
        <v>40.395885708943027</v>
      </c>
      <c r="J54" s="30">
        <f t="shared" si="6"/>
        <v>3.6957080608341871E-4</v>
      </c>
      <c r="L54" s="34"/>
      <c r="M54" s="34"/>
      <c r="N54" s="32"/>
      <c r="O54" s="32"/>
      <c r="P54" s="32"/>
      <c r="Q54" s="32"/>
      <c r="R54" s="32"/>
      <c r="S54" s="32"/>
      <c r="T54" s="32"/>
    </row>
    <row r="55" spans="2:20">
      <c r="B55" s="8">
        <v>46.1</v>
      </c>
      <c r="C55" s="10">
        <v>2.16</v>
      </c>
      <c r="D55" s="9">
        <f t="shared" si="0"/>
        <v>-0.27583333333333293</v>
      </c>
      <c r="E55" s="39">
        <f t="shared" si="1"/>
        <v>7.6084027777777549E-2</v>
      </c>
      <c r="F55" s="29">
        <f t="shared" si="2"/>
        <v>-5.4249999999999758</v>
      </c>
      <c r="G55" s="5">
        <f t="shared" si="3"/>
        <v>1.4963958333333245</v>
      </c>
      <c r="H55" s="4">
        <f t="shared" si="4"/>
        <v>51.499027680423588</v>
      </c>
      <c r="I55" s="41">
        <f t="shared" si="5"/>
        <v>29.149499893980089</v>
      </c>
      <c r="J55" s="30">
        <f t="shared" si="6"/>
        <v>6.7456138417811462E-4</v>
      </c>
      <c r="L55" s="1"/>
      <c r="M55" s="1"/>
      <c r="N55" s="32"/>
      <c r="O55" s="32"/>
      <c r="P55" s="32"/>
      <c r="Q55" s="32"/>
      <c r="R55" s="32"/>
      <c r="S55" s="32"/>
      <c r="T55" s="32"/>
    </row>
    <row r="56" spans="2:20">
      <c r="B56" s="8">
        <v>59.5</v>
      </c>
      <c r="C56" s="10">
        <v>2.2000000000000002</v>
      </c>
      <c r="D56" s="9">
        <f t="shared" si="0"/>
        <v>-0.2358333333333329</v>
      </c>
      <c r="E56" s="39">
        <f t="shared" si="1"/>
        <v>5.5617361111110902E-2</v>
      </c>
      <c r="F56" s="29">
        <f t="shared" si="2"/>
        <v>7.9750000000000227</v>
      </c>
      <c r="G56" s="5">
        <f t="shared" si="3"/>
        <v>-1.8807708333333353</v>
      </c>
      <c r="H56" s="4">
        <f t="shared" si="4"/>
        <v>51.502794059093276</v>
      </c>
      <c r="I56" s="41">
        <f t="shared" si="5"/>
        <v>63.955302861273807</v>
      </c>
      <c r="J56" s="30">
        <f t="shared" si="6"/>
        <v>4.9310381155191773E-4</v>
      </c>
      <c r="L56" s="1"/>
      <c r="M56" s="1"/>
      <c r="N56" s="32"/>
      <c r="O56" s="32"/>
      <c r="P56" s="32"/>
      <c r="Q56" s="32"/>
      <c r="R56" s="32"/>
      <c r="S56" s="32"/>
      <c r="T56" s="32"/>
    </row>
    <row r="57" spans="2:20">
      <c r="B57" s="8">
        <v>46.9</v>
      </c>
      <c r="C57" s="10">
        <v>1.94</v>
      </c>
      <c r="D57" s="9">
        <f t="shared" si="0"/>
        <v>-0.49583333333333313</v>
      </c>
      <c r="E57" s="39">
        <f t="shared" si="1"/>
        <v>0.24585069444444424</v>
      </c>
      <c r="F57" s="29">
        <f t="shared" si="2"/>
        <v>-4.6249999999999787</v>
      </c>
      <c r="G57" s="5">
        <f t="shared" si="3"/>
        <v>2.2932291666666553</v>
      </c>
      <c r="H57" s="4">
        <f t="shared" si="4"/>
        <v>51.478312597740299</v>
      </c>
      <c r="I57" s="41">
        <f t="shared" si="5"/>
        <v>20.960946242627536</v>
      </c>
      <c r="J57" s="30">
        <f t="shared" si="6"/>
        <v>2.1797135297570219E-3</v>
      </c>
      <c r="L57" s="1"/>
      <c r="M57" s="1"/>
      <c r="N57" s="32"/>
      <c r="O57" s="32"/>
      <c r="P57" s="32"/>
      <c r="Q57" s="32"/>
      <c r="R57" s="32"/>
      <c r="S57" s="32"/>
      <c r="T57" s="32"/>
    </row>
    <row r="58" spans="2:20">
      <c r="B58" s="8">
        <v>52.5</v>
      </c>
      <c r="C58" s="10">
        <v>3.05</v>
      </c>
      <c r="D58" s="9">
        <f t="shared" si="0"/>
        <v>0.61416666666666675</v>
      </c>
      <c r="E58" s="39">
        <f t="shared" si="1"/>
        <v>0.37720069444444454</v>
      </c>
      <c r="F58" s="29">
        <f t="shared" si="2"/>
        <v>0.97500000000002274</v>
      </c>
      <c r="G58" s="5">
        <f t="shared" si="3"/>
        <v>0.59881250000001407</v>
      </c>
      <c r="H58" s="4">
        <f t="shared" si="4"/>
        <v>51.582829605824159</v>
      </c>
      <c r="I58" s="41">
        <f t="shared" si="5"/>
        <v>0.84120153195266734</v>
      </c>
      <c r="J58" s="30">
        <f t="shared" si="6"/>
        <v>3.3442633097802463E-3</v>
      </c>
      <c r="L58" s="32"/>
      <c r="M58" s="32"/>
      <c r="N58" s="32"/>
      <c r="O58" s="32"/>
      <c r="P58" s="32"/>
      <c r="Q58" s="32"/>
      <c r="R58" s="32"/>
      <c r="S58" s="32"/>
      <c r="T58" s="32"/>
    </row>
    <row r="59" spans="2:20">
      <c r="B59" s="8">
        <v>48.5</v>
      </c>
      <c r="C59" s="10">
        <v>2.85</v>
      </c>
      <c r="D59" s="9">
        <f t="shared" si="0"/>
        <v>0.41416666666666702</v>
      </c>
      <c r="E59" s="39">
        <f t="shared" si="1"/>
        <v>0.17153402777777807</v>
      </c>
      <c r="F59" s="29">
        <f t="shared" si="2"/>
        <v>-3.0249999999999773</v>
      </c>
      <c r="G59" s="5">
        <f t="shared" si="3"/>
        <v>-1.2528541666666584</v>
      </c>
      <c r="H59" s="4">
        <f t="shared" si="4"/>
        <v>51.563997712475711</v>
      </c>
      <c r="I59" s="41">
        <f t="shared" si="5"/>
        <v>9.3880819820563897</v>
      </c>
      <c r="J59" s="30">
        <f t="shared" si="6"/>
        <v>1.5208215783399954E-3</v>
      </c>
      <c r="L59" s="32"/>
      <c r="M59" s="32"/>
      <c r="N59" s="32"/>
      <c r="O59" s="32"/>
      <c r="P59" s="32"/>
      <c r="Q59" s="32"/>
      <c r="R59" s="32"/>
      <c r="S59" s="32"/>
      <c r="T59" s="32"/>
    </row>
    <row r="60" spans="2:20">
      <c r="B60" s="8">
        <v>43.5</v>
      </c>
      <c r="C60" s="10">
        <v>3.38</v>
      </c>
      <c r="D60" s="9">
        <f t="shared" si="0"/>
        <v>0.94416666666666682</v>
      </c>
      <c r="E60" s="39">
        <f t="shared" si="1"/>
        <v>0.89145069444444469</v>
      </c>
      <c r="F60" s="29">
        <f t="shared" si="2"/>
        <v>-8.0249999999999773</v>
      </c>
      <c r="G60" s="5">
        <f t="shared" si="3"/>
        <v>-7.5769374999999801</v>
      </c>
      <c r="H60" s="4">
        <f t="shared" si="4"/>
        <v>51.613902229849089</v>
      </c>
      <c r="I60" s="41">
        <f t="shared" si="5"/>
        <v>65.835409395550016</v>
      </c>
      <c r="J60" s="30">
        <f t="shared" si="6"/>
        <v>7.9036064721442218E-3</v>
      </c>
      <c r="L60" s="34"/>
      <c r="M60" s="34"/>
      <c r="N60" s="32"/>
      <c r="O60" s="32"/>
      <c r="P60" s="32"/>
      <c r="Q60" s="32"/>
      <c r="R60" s="32"/>
      <c r="S60" s="32"/>
      <c r="T60" s="32"/>
    </row>
    <row r="61" spans="2:20">
      <c r="B61" s="8">
        <v>47.5</v>
      </c>
      <c r="C61" s="10">
        <v>1.56</v>
      </c>
      <c r="D61" s="9">
        <f t="shared" si="0"/>
        <v>-0.87583333333333302</v>
      </c>
      <c r="E61" s="39">
        <f t="shared" si="1"/>
        <v>0.76708402777777718</v>
      </c>
      <c r="F61" s="29">
        <f t="shared" si="2"/>
        <v>-4.0249999999999773</v>
      </c>
      <c r="G61" s="5">
        <f t="shared" si="3"/>
        <v>3.5252291666666453</v>
      </c>
      <c r="H61" s="4">
        <f t="shared" si="4"/>
        <v>51.442532000378257</v>
      </c>
      <c r="I61" s="41">
        <f t="shared" si="5"/>
        <v>15.543558574006584</v>
      </c>
      <c r="J61" s="30">
        <f t="shared" si="6"/>
        <v>6.8009709616079954E-3</v>
      </c>
      <c r="L61" s="1"/>
      <c r="M61" s="1"/>
      <c r="N61" s="32"/>
      <c r="O61" s="32"/>
      <c r="P61" s="32"/>
      <c r="Q61" s="32"/>
      <c r="R61" s="32"/>
      <c r="S61" s="32"/>
      <c r="T61" s="32"/>
    </row>
    <row r="62" spans="2:20">
      <c r="B62" s="8">
        <v>55.7</v>
      </c>
      <c r="C62" s="10">
        <v>2.14</v>
      </c>
      <c r="D62" s="9">
        <f t="shared" si="0"/>
        <v>-0.29583333333333295</v>
      </c>
      <c r="E62" s="39">
        <f t="shared" si="1"/>
        <v>8.7517361111110886E-2</v>
      </c>
      <c r="F62" s="29">
        <f t="shared" si="2"/>
        <v>4.1750000000000256</v>
      </c>
      <c r="G62" s="5">
        <f t="shared" si="3"/>
        <v>-1.2351041666666727</v>
      </c>
      <c r="H62" s="4">
        <f t="shared" si="4"/>
        <v>51.49714449108874</v>
      </c>
      <c r="I62" s="41">
        <f t="shared" si="5"/>
        <v>17.663994428785752</v>
      </c>
      <c r="J62" s="30">
        <f t="shared" si="6"/>
        <v>7.7592937670402265E-4</v>
      </c>
      <c r="L62" s="1"/>
      <c r="M62" s="1"/>
      <c r="N62" s="32"/>
      <c r="O62" s="32"/>
      <c r="P62" s="32"/>
      <c r="Q62" s="32"/>
      <c r="R62" s="32"/>
      <c r="S62" s="32"/>
      <c r="T62" s="32"/>
    </row>
    <row r="63" spans="2:20">
      <c r="B63" s="8">
        <v>57</v>
      </c>
      <c r="C63" s="10">
        <v>3.07</v>
      </c>
      <c r="D63" s="9">
        <f t="shared" si="0"/>
        <v>0.63416666666666677</v>
      </c>
      <c r="E63" s="39">
        <f t="shared" si="1"/>
        <v>0.40216736111111123</v>
      </c>
      <c r="F63" s="29">
        <f t="shared" si="2"/>
        <v>5.4750000000000227</v>
      </c>
      <c r="G63" s="5">
        <f t="shared" si="3"/>
        <v>3.4720625000000149</v>
      </c>
      <c r="H63" s="4">
        <f t="shared" si="4"/>
        <v>51.584712795159</v>
      </c>
      <c r="I63" s="41">
        <f t="shared" si="5"/>
        <v>29.325335510914655</v>
      </c>
      <c r="J63" s="30">
        <f t="shared" si="6"/>
        <v>3.5656179057033679E-3</v>
      </c>
      <c r="L63" s="1"/>
      <c r="M63" s="1"/>
      <c r="N63" s="32"/>
      <c r="O63" s="32"/>
      <c r="P63" s="32"/>
      <c r="Q63" s="32"/>
      <c r="R63" s="32"/>
      <c r="S63" s="32"/>
      <c r="T63" s="32"/>
    </row>
    <row r="64" spans="2:20">
      <c r="E64" s="1"/>
      <c r="F64" s="1"/>
      <c r="G64" s="1"/>
      <c r="L64" s="1"/>
      <c r="M64" s="1"/>
      <c r="N64" s="32"/>
      <c r="O64" s="32"/>
      <c r="P64" s="32"/>
      <c r="Q64" s="32"/>
      <c r="R64" s="32"/>
      <c r="S64" s="32"/>
      <c r="T64" s="32"/>
    </row>
    <row r="65" spans="2:20">
      <c r="B65" s="12" t="s">
        <v>55</v>
      </c>
      <c r="C65" s="11">
        <f>AVERAGE(C4:C63)</f>
        <v>2.4358333333333331</v>
      </c>
      <c r="E65" s="1"/>
      <c r="F65" s="1"/>
      <c r="G65" s="1"/>
      <c r="H65" s="12" t="s">
        <v>16</v>
      </c>
      <c r="I65" s="11">
        <f>C70/C81</f>
        <v>7.9162993556792335E-2</v>
      </c>
      <c r="L65" s="1"/>
      <c r="M65" s="1"/>
      <c r="N65" s="32"/>
      <c r="O65" s="32"/>
      <c r="P65" s="32"/>
      <c r="Q65" s="32"/>
      <c r="R65" s="32"/>
      <c r="S65" s="32"/>
      <c r="T65" s="32"/>
    </row>
    <row r="66" spans="2:20">
      <c r="B66" s="12" t="s">
        <v>56</v>
      </c>
      <c r="C66" s="11">
        <f>AVERAGE(B4:B63)</f>
        <v>51.524999999999977</v>
      </c>
      <c r="E66" s="1"/>
      <c r="F66" s="1"/>
      <c r="G66" s="1"/>
      <c r="H66" s="12" t="s">
        <v>96</v>
      </c>
      <c r="I66" s="11">
        <f>_xlfn.T.DIST.2T(I65,(60-2))</f>
        <v>0.93717547849069283</v>
      </c>
      <c r="L66" s="32"/>
      <c r="M66" s="32"/>
      <c r="N66" s="32"/>
      <c r="O66" s="32"/>
      <c r="P66" s="32"/>
      <c r="Q66" s="32"/>
      <c r="R66" s="32"/>
      <c r="S66" s="32"/>
      <c r="T66" s="32"/>
    </row>
    <row r="67" spans="2:20">
      <c r="B67" s="12" t="s">
        <v>75</v>
      </c>
      <c r="C67" s="11">
        <f>SUM(G4:G63)</f>
        <v>1.9332500000000077</v>
      </c>
      <c r="E67" s="1"/>
      <c r="F67" s="1"/>
      <c r="G67" s="1"/>
      <c r="H67" s="6" t="s">
        <v>97</v>
      </c>
      <c r="I67" s="11">
        <f>1-I66</f>
        <v>6.2824521509307174E-2</v>
      </c>
      <c r="L67" s="32"/>
      <c r="M67" s="32"/>
      <c r="N67" s="32"/>
      <c r="O67" s="32"/>
      <c r="P67" s="32"/>
      <c r="Q67" s="32"/>
      <c r="R67" s="32"/>
      <c r="S67" s="32"/>
      <c r="T67" s="32"/>
    </row>
    <row r="68" spans="2:20">
      <c r="B68" s="12" t="s">
        <v>94</v>
      </c>
      <c r="C68" s="11">
        <f>SUM(E4:E63)</f>
        <v>20.531658333333333</v>
      </c>
      <c r="E68" s="1"/>
      <c r="F68" s="1"/>
      <c r="G68" s="1"/>
      <c r="L68" s="26"/>
      <c r="M68" s="26"/>
      <c r="N68" s="26"/>
      <c r="O68" s="26"/>
      <c r="P68" s="26"/>
      <c r="Q68" s="26"/>
      <c r="R68" s="32"/>
      <c r="S68" s="32"/>
      <c r="T68" s="32"/>
    </row>
    <row r="69" spans="2:20">
      <c r="E69" s="1"/>
      <c r="F69" s="1"/>
      <c r="G69" s="1"/>
      <c r="H69" s="12" t="s">
        <v>20</v>
      </c>
      <c r="I69" s="11">
        <f>C79/C76</f>
        <v>6.2667795488727755E-3</v>
      </c>
      <c r="L69" s="1"/>
      <c r="M69" s="1"/>
      <c r="N69" s="1"/>
      <c r="O69" s="1"/>
      <c r="P69" s="1"/>
      <c r="Q69" s="1"/>
      <c r="R69" s="32"/>
      <c r="S69" s="32"/>
      <c r="T69" s="32"/>
    </row>
    <row r="70" spans="2:20">
      <c r="B70" s="12" t="s">
        <v>60</v>
      </c>
      <c r="C70" s="11">
        <f>C67/C68</f>
        <v>9.4159466742214329E-2</v>
      </c>
      <c r="E70" s="1"/>
      <c r="F70" s="1"/>
      <c r="G70" s="1"/>
      <c r="H70" s="12" t="s">
        <v>71</v>
      </c>
      <c r="I70" s="11">
        <f>_xlfn.F.DIST.RT(I69,1,(60-2))</f>
        <v>0.93717547849069271</v>
      </c>
      <c r="L70" s="1"/>
      <c r="M70" s="1"/>
      <c r="N70" s="1"/>
      <c r="O70" s="1"/>
      <c r="P70" s="1"/>
      <c r="Q70" s="1"/>
      <c r="R70" s="32"/>
      <c r="S70" s="32"/>
      <c r="T70" s="32"/>
    </row>
    <row r="71" spans="2:20">
      <c r="B71" s="12" t="s">
        <v>61</v>
      </c>
      <c r="C71" s="11">
        <f>C66-(C70*C65)</f>
        <v>51.295643232260403</v>
      </c>
      <c r="E71" s="1"/>
      <c r="F71" s="1"/>
      <c r="G71" s="1"/>
      <c r="H71" s="6" t="s">
        <v>54</v>
      </c>
      <c r="I71" s="11">
        <f>1-I70</f>
        <v>6.2824521509307285E-2</v>
      </c>
      <c r="L71" s="1"/>
      <c r="M71" s="1"/>
      <c r="N71" s="1"/>
      <c r="O71" s="1"/>
      <c r="P71" s="1"/>
      <c r="Q71" s="1"/>
      <c r="R71" s="32"/>
      <c r="S71" s="32"/>
      <c r="T71" s="32"/>
    </row>
    <row r="72" spans="2:20">
      <c r="E72" s="1"/>
      <c r="F72" s="1"/>
      <c r="G72" s="1"/>
      <c r="L72" s="32"/>
      <c r="M72" s="32"/>
      <c r="N72" s="32"/>
      <c r="O72" s="32"/>
      <c r="P72" s="32"/>
      <c r="Q72" s="32"/>
      <c r="R72" s="32"/>
      <c r="S72" s="32"/>
      <c r="T72" s="32"/>
    </row>
    <row r="73" spans="2:20">
      <c r="B73" s="6" t="s">
        <v>69</v>
      </c>
      <c r="C73" s="11" t="s">
        <v>95</v>
      </c>
      <c r="D73" s="11"/>
      <c r="E73" s="16"/>
      <c r="F73" s="16"/>
      <c r="G73" s="1"/>
      <c r="L73" s="26"/>
      <c r="M73" s="26"/>
      <c r="N73" s="26"/>
      <c r="O73" s="26"/>
      <c r="P73" s="26"/>
      <c r="Q73" s="26"/>
      <c r="R73" s="26"/>
      <c r="S73" s="26"/>
      <c r="T73" s="26"/>
    </row>
    <row r="74" spans="2:20">
      <c r="E74" s="1"/>
      <c r="F74" s="1"/>
      <c r="G74" s="1"/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12" t="s">
        <v>63</v>
      </c>
      <c r="C75" s="11">
        <f>SUM(I4:I63)</f>
        <v>1684.7504662109209</v>
      </c>
      <c r="E75" s="1"/>
      <c r="F75" s="1"/>
      <c r="G75" s="1"/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12" t="s">
        <v>70</v>
      </c>
      <c r="C76" s="11">
        <f>C75/(60-2)</f>
        <v>29.047421831222774</v>
      </c>
      <c r="E76" s="1"/>
      <c r="F76" s="1"/>
      <c r="G76" s="1"/>
      <c r="L76" s="32"/>
      <c r="M76" s="32"/>
      <c r="N76" s="32"/>
      <c r="O76" s="32"/>
      <c r="P76" s="32"/>
      <c r="Q76" s="32"/>
      <c r="R76" s="32"/>
      <c r="S76" s="32"/>
      <c r="T76" s="32"/>
    </row>
    <row r="77" spans="2:20">
      <c r="B77" s="12" t="s">
        <v>4</v>
      </c>
      <c r="C77" s="11">
        <f>SQRT(C76)</f>
        <v>5.3895660151094518</v>
      </c>
      <c r="E77" s="1"/>
      <c r="F77" s="1"/>
      <c r="G77" s="1"/>
      <c r="L77" s="32"/>
      <c r="M77" s="32"/>
      <c r="N77" s="32"/>
      <c r="O77" s="32"/>
      <c r="P77" s="32"/>
      <c r="Q77" s="32"/>
      <c r="R77" s="32"/>
      <c r="S77" s="32"/>
      <c r="T77" s="32"/>
    </row>
    <row r="78" spans="2:20">
      <c r="B78" s="12" t="s">
        <v>67</v>
      </c>
      <c r="C78" s="11">
        <f>SUM(J4:J63)</f>
        <v>0.18203378907938747</v>
      </c>
      <c r="E78" s="1"/>
      <c r="F78" s="1"/>
      <c r="G78" s="1"/>
      <c r="L78" s="32"/>
      <c r="M78" s="32"/>
      <c r="N78" s="32"/>
      <c r="O78" s="32"/>
      <c r="P78" s="32"/>
      <c r="Q78" s="32"/>
      <c r="R78" s="32"/>
      <c r="S78" s="32"/>
      <c r="T78" s="32"/>
    </row>
    <row r="79" spans="2:20">
      <c r="B79" s="12" t="s">
        <v>72</v>
      </c>
      <c r="C79" s="11">
        <f>C78/1</f>
        <v>0.18203378907938747</v>
      </c>
      <c r="E79" s="1"/>
      <c r="F79" s="1"/>
      <c r="G79" s="1"/>
      <c r="L79" s="1"/>
      <c r="M79" s="1"/>
      <c r="N79" s="1"/>
      <c r="O79" s="32"/>
      <c r="P79" s="32"/>
      <c r="Q79" s="32"/>
      <c r="R79" s="32"/>
      <c r="S79" s="32"/>
      <c r="T79" s="32"/>
    </row>
    <row r="80" spans="2:20">
      <c r="B80" s="12" t="s">
        <v>64</v>
      </c>
      <c r="C80" s="11">
        <f>C75+C78</f>
        <v>1684.9325000000003</v>
      </c>
      <c r="E80" s="1"/>
      <c r="F80" s="1"/>
      <c r="G80" s="1"/>
      <c r="L80" s="1"/>
      <c r="M80" s="1"/>
      <c r="N80" s="1"/>
      <c r="O80" s="32"/>
      <c r="P80" s="32"/>
      <c r="Q80" s="32"/>
      <c r="R80" s="32"/>
      <c r="S80" s="32"/>
      <c r="T80" s="32"/>
    </row>
    <row r="81" spans="2:20">
      <c r="B81" s="12" t="s">
        <v>73</v>
      </c>
      <c r="C81" s="11">
        <f>C77/SQRT(C68)</f>
        <v>1.1894379243587268</v>
      </c>
      <c r="E81" s="1"/>
      <c r="F81" s="1"/>
      <c r="G81" s="1"/>
      <c r="L81" s="1"/>
      <c r="M81" s="1"/>
      <c r="N81" s="1"/>
      <c r="O81" s="32"/>
      <c r="P81" s="32"/>
      <c r="Q81" s="32"/>
      <c r="R81" s="32"/>
      <c r="S81" s="32"/>
      <c r="T81" s="32"/>
    </row>
    <row r="82" spans="2:20">
      <c r="E82" s="1"/>
      <c r="F82" s="1"/>
      <c r="G82" s="1"/>
      <c r="L82" s="1"/>
      <c r="M82" s="1"/>
      <c r="N82" s="1"/>
      <c r="O82" s="32"/>
      <c r="P82" s="32"/>
      <c r="Q82" s="32"/>
      <c r="R82" s="32"/>
      <c r="S82" s="32"/>
      <c r="T82" s="32"/>
    </row>
    <row r="83" spans="2:20">
      <c r="B83" s="6" t="s">
        <v>87</v>
      </c>
      <c r="C83" s="11">
        <f>C78/C80</f>
        <v>1.0803625016396053E-4</v>
      </c>
      <c r="E83" s="1"/>
      <c r="F83" s="1"/>
      <c r="G83" s="1"/>
      <c r="L83" s="1"/>
      <c r="M83" s="1"/>
      <c r="N83" s="1"/>
      <c r="O83" s="32"/>
      <c r="P83" s="32"/>
      <c r="Q83" s="32"/>
      <c r="R83" s="32"/>
      <c r="S83" s="32"/>
      <c r="T83" s="32"/>
    </row>
    <row r="84" spans="2:20">
      <c r="E84" s="1"/>
      <c r="F84" s="1"/>
      <c r="G84" s="1"/>
      <c r="L84" s="1"/>
      <c r="M84" s="1"/>
      <c r="N84" s="1"/>
      <c r="O84" s="32"/>
      <c r="P84" s="32"/>
      <c r="Q84" s="32"/>
      <c r="R84" s="32"/>
      <c r="S84" s="32"/>
      <c r="T84" s="32"/>
    </row>
    <row r="85" spans="2:20">
      <c r="B85" s="6" t="s">
        <v>68</v>
      </c>
      <c r="C85" s="11">
        <f>SQRT(C83)</f>
        <v>1.039404878591401E-2</v>
      </c>
      <c r="E85" s="1"/>
      <c r="F85" s="1"/>
      <c r="G85" s="1"/>
      <c r="L85" s="1"/>
      <c r="M85" s="1"/>
      <c r="N85" s="1"/>
      <c r="O85" s="32"/>
      <c r="P85" s="32"/>
      <c r="Q85" s="32"/>
      <c r="R85" s="32"/>
      <c r="S85" s="32"/>
      <c r="T85" s="32"/>
    </row>
    <row r="86" spans="2:20">
      <c r="E86" s="1"/>
      <c r="F86" s="1"/>
      <c r="G86" s="1"/>
      <c r="L86" s="1"/>
      <c r="M86" s="1"/>
      <c r="N86" s="1"/>
      <c r="O86" s="32"/>
      <c r="P86" s="32"/>
      <c r="Q86" s="32"/>
      <c r="R86" s="32"/>
      <c r="S86" s="32"/>
      <c r="T86" s="32"/>
    </row>
    <row r="87" spans="2:20">
      <c r="E87" s="1"/>
      <c r="F87" s="1"/>
      <c r="G87" s="1"/>
      <c r="L87" s="1"/>
      <c r="M87" s="1"/>
      <c r="N87" s="1"/>
      <c r="O87" s="32"/>
      <c r="P87" s="32"/>
      <c r="Q87" s="32"/>
      <c r="R87" s="32"/>
      <c r="S87" s="32"/>
      <c r="T87" s="32"/>
    </row>
    <row r="88" spans="2:20">
      <c r="L88" s="1"/>
      <c r="M88" s="1"/>
      <c r="N88" s="1"/>
      <c r="O88" s="32"/>
      <c r="P88" s="32"/>
      <c r="Q88" s="32"/>
      <c r="R88" s="32"/>
      <c r="S88" s="32"/>
      <c r="T88" s="32"/>
    </row>
    <row r="89" spans="2:20">
      <c r="L89" s="1"/>
      <c r="M89" s="1"/>
      <c r="N89" s="1"/>
      <c r="O89" s="32"/>
      <c r="P89" s="32"/>
      <c r="Q89" s="32"/>
      <c r="R89" s="32"/>
      <c r="S89" s="32"/>
      <c r="T89" s="32"/>
    </row>
    <row r="90" spans="2:20">
      <c r="L90" s="1"/>
      <c r="M90" s="1"/>
      <c r="N90" s="1"/>
      <c r="O90" s="32"/>
      <c r="P90" s="32"/>
      <c r="Q90" s="32"/>
      <c r="R90" s="32"/>
      <c r="S90" s="32"/>
      <c r="T90" s="32"/>
    </row>
    <row r="91" spans="2:20">
      <c r="L91" s="1"/>
      <c r="M91" s="1"/>
      <c r="N91" s="1"/>
      <c r="O91" s="32"/>
      <c r="P91" s="32"/>
      <c r="Q91" s="32"/>
      <c r="R91" s="32"/>
      <c r="S91" s="32"/>
      <c r="T91" s="32"/>
    </row>
    <row r="92" spans="2:20">
      <c r="L92" s="1"/>
      <c r="M92" s="1"/>
      <c r="N92" s="1"/>
      <c r="O92" s="32"/>
      <c r="P92" s="32"/>
      <c r="Q92" s="32"/>
      <c r="R92" s="32"/>
      <c r="S92" s="32"/>
      <c r="T92" s="32"/>
    </row>
    <row r="93" spans="2:20">
      <c r="L93" s="1"/>
      <c r="M93" s="1"/>
      <c r="N93" s="1"/>
      <c r="O93" s="32"/>
      <c r="P93" s="32"/>
      <c r="Q93" s="32"/>
      <c r="R93" s="32"/>
      <c r="S93" s="32"/>
      <c r="T93" s="32"/>
    </row>
    <row r="94" spans="2:20">
      <c r="L94" s="1"/>
      <c r="M94" s="1"/>
      <c r="N94" s="1"/>
      <c r="O94" s="32"/>
      <c r="P94" s="32"/>
      <c r="Q94" s="32"/>
      <c r="R94" s="32"/>
      <c r="S94" s="32"/>
      <c r="T94" s="32"/>
    </row>
    <row r="95" spans="2:20">
      <c r="L95" s="1"/>
      <c r="M95" s="1"/>
      <c r="N95" s="1"/>
      <c r="O95" s="32"/>
      <c r="P95" s="32"/>
      <c r="Q95" s="32"/>
      <c r="R95" s="32"/>
      <c r="S95" s="32"/>
      <c r="T95" s="32"/>
    </row>
    <row r="96" spans="2:20">
      <c r="L96" s="1"/>
      <c r="M96" s="1"/>
      <c r="N96" s="1"/>
      <c r="O96" s="32"/>
      <c r="P96" s="32"/>
      <c r="Q96" s="32"/>
      <c r="R96" s="32"/>
      <c r="S96" s="32"/>
      <c r="T96" s="32"/>
    </row>
    <row r="97" spans="12:20">
      <c r="L97" s="1"/>
      <c r="M97" s="1"/>
      <c r="N97" s="1"/>
      <c r="O97" s="32"/>
      <c r="P97" s="32"/>
      <c r="Q97" s="32"/>
      <c r="R97" s="32"/>
      <c r="S97" s="32"/>
      <c r="T97" s="32"/>
    </row>
    <row r="98" spans="12:20">
      <c r="L98" s="1"/>
      <c r="M98" s="1"/>
      <c r="N98" s="1"/>
      <c r="O98" s="32"/>
      <c r="P98" s="32"/>
      <c r="Q98" s="32"/>
      <c r="R98" s="32"/>
      <c r="S98" s="32"/>
      <c r="T98" s="32"/>
    </row>
    <row r="99" spans="12:20">
      <c r="L99" s="1"/>
      <c r="M99" s="1"/>
      <c r="N99" s="1"/>
      <c r="O99" s="32"/>
      <c r="P99" s="32"/>
      <c r="Q99" s="32"/>
      <c r="R99" s="32"/>
      <c r="S99" s="32"/>
      <c r="T99" s="32"/>
    </row>
    <row r="100" spans="12:20">
      <c r="L100" s="1"/>
      <c r="M100" s="1"/>
      <c r="N100" s="1"/>
      <c r="O100" s="32"/>
      <c r="P100" s="32"/>
      <c r="Q100" s="32"/>
      <c r="R100" s="32"/>
      <c r="S100" s="32"/>
      <c r="T100" s="32"/>
    </row>
    <row r="101" spans="12:20">
      <c r="L101" s="1"/>
      <c r="M101" s="1"/>
      <c r="N101" s="1"/>
      <c r="O101" s="32"/>
      <c r="P101" s="32"/>
      <c r="Q101" s="32"/>
      <c r="R101" s="32"/>
      <c r="S101" s="32"/>
      <c r="T101" s="32"/>
    </row>
    <row r="102" spans="12:20">
      <c r="L102" s="1"/>
      <c r="M102" s="1"/>
      <c r="N102" s="1"/>
      <c r="O102" s="32"/>
      <c r="P102" s="32"/>
      <c r="Q102" s="32"/>
      <c r="R102" s="32"/>
      <c r="S102" s="32"/>
      <c r="T102" s="32"/>
    </row>
    <row r="103" spans="12:20">
      <c r="L103" s="1"/>
      <c r="M103" s="1"/>
      <c r="N103" s="1"/>
      <c r="O103" s="32"/>
      <c r="P103" s="32"/>
      <c r="Q103" s="32"/>
      <c r="R103" s="32"/>
      <c r="S103" s="32"/>
      <c r="T103" s="32"/>
    </row>
    <row r="104" spans="12:20">
      <c r="L104" s="1"/>
      <c r="M104" s="1"/>
      <c r="N104" s="1"/>
      <c r="O104" s="32"/>
      <c r="P104" s="32"/>
      <c r="Q104" s="32"/>
      <c r="R104" s="32"/>
      <c r="S104" s="32"/>
      <c r="T104" s="32"/>
    </row>
    <row r="105" spans="12:20">
      <c r="L105" s="1"/>
      <c r="M105" s="1"/>
      <c r="N105" s="1"/>
      <c r="O105" s="32"/>
      <c r="P105" s="32"/>
      <c r="Q105" s="32"/>
      <c r="R105" s="32"/>
      <c r="S105" s="32"/>
      <c r="T105" s="32"/>
    </row>
    <row r="106" spans="12:20">
      <c r="L106" s="1"/>
      <c r="M106" s="1"/>
      <c r="N106" s="1"/>
      <c r="O106" s="32"/>
      <c r="P106" s="32"/>
      <c r="Q106" s="32"/>
      <c r="R106" s="32"/>
      <c r="S106" s="32"/>
      <c r="T106" s="32"/>
    </row>
    <row r="107" spans="12:20">
      <c r="L107" s="1"/>
      <c r="M107" s="1"/>
      <c r="N107" s="1"/>
      <c r="O107" s="32"/>
      <c r="P107" s="32"/>
      <c r="Q107" s="32"/>
      <c r="R107" s="32"/>
      <c r="S107" s="32"/>
      <c r="T107" s="32"/>
    </row>
    <row r="108" spans="12:20">
      <c r="L108" s="1"/>
      <c r="M108" s="1"/>
      <c r="N108" s="1"/>
      <c r="O108" s="32"/>
      <c r="P108" s="32"/>
      <c r="Q108" s="32"/>
      <c r="R108" s="32"/>
      <c r="S108" s="32"/>
      <c r="T108" s="32"/>
    </row>
    <row r="109" spans="12:20">
      <c r="L109" s="1"/>
      <c r="M109" s="1"/>
      <c r="N109" s="1"/>
      <c r="O109" s="32"/>
      <c r="P109" s="32"/>
      <c r="Q109" s="32"/>
      <c r="R109" s="32"/>
      <c r="S109" s="32"/>
      <c r="T109" s="32"/>
    </row>
    <row r="110" spans="12:20">
      <c r="L110" s="1"/>
      <c r="M110" s="1"/>
      <c r="N110" s="1"/>
      <c r="O110" s="32"/>
      <c r="P110" s="32"/>
      <c r="Q110" s="32"/>
      <c r="R110" s="32"/>
      <c r="S110" s="32"/>
      <c r="T110" s="32"/>
    </row>
    <row r="111" spans="12:20">
      <c r="L111" s="1"/>
      <c r="M111" s="1"/>
      <c r="N111" s="1"/>
      <c r="O111" s="32"/>
      <c r="P111" s="32"/>
      <c r="Q111" s="32"/>
      <c r="R111" s="32"/>
      <c r="S111" s="32"/>
      <c r="T111" s="32"/>
    </row>
    <row r="112" spans="12:20">
      <c r="L112" s="1"/>
      <c r="M112" s="1"/>
      <c r="N112" s="1"/>
      <c r="O112" s="32"/>
      <c r="P112" s="32"/>
      <c r="Q112" s="32"/>
      <c r="R112" s="32"/>
      <c r="S112" s="32"/>
      <c r="T112" s="32"/>
    </row>
    <row r="113" spans="12:20">
      <c r="L113" s="1"/>
      <c r="M113" s="1"/>
      <c r="N113" s="1"/>
      <c r="O113" s="32"/>
      <c r="P113" s="32"/>
      <c r="Q113" s="32"/>
      <c r="R113" s="32"/>
      <c r="S113" s="32"/>
      <c r="T113" s="32"/>
    </row>
    <row r="114" spans="12:20">
      <c r="L114" s="1"/>
      <c r="M114" s="1"/>
      <c r="N114" s="1"/>
      <c r="O114" s="32"/>
      <c r="P114" s="32"/>
      <c r="Q114" s="32"/>
      <c r="R114" s="32"/>
      <c r="S114" s="32"/>
      <c r="T114" s="32"/>
    </row>
    <row r="115" spans="12:20">
      <c r="L115" s="1"/>
      <c r="M115" s="1"/>
      <c r="N115" s="1"/>
      <c r="O115" s="32"/>
      <c r="P115" s="32"/>
      <c r="Q115" s="32"/>
      <c r="R115" s="32"/>
      <c r="S115" s="32"/>
      <c r="T115" s="32"/>
    </row>
    <row r="116" spans="12:20">
      <c r="L116" s="1"/>
      <c r="M116" s="1"/>
      <c r="N116" s="1"/>
      <c r="O116" s="32"/>
      <c r="P116" s="32"/>
      <c r="Q116" s="32"/>
      <c r="R116" s="32"/>
      <c r="S116" s="32"/>
      <c r="T116" s="32"/>
    </row>
    <row r="117" spans="12:20">
      <c r="L117" s="1"/>
      <c r="M117" s="1"/>
      <c r="N117" s="1"/>
      <c r="O117" s="32"/>
      <c r="P117" s="32"/>
      <c r="Q117" s="32"/>
      <c r="R117" s="32"/>
      <c r="S117" s="32"/>
      <c r="T117" s="32"/>
    </row>
    <row r="118" spans="12:20">
      <c r="L118" s="1"/>
      <c r="M118" s="1"/>
      <c r="N118" s="1"/>
      <c r="O118" s="32"/>
      <c r="P118" s="32"/>
      <c r="Q118" s="32"/>
      <c r="R118" s="32"/>
      <c r="S118" s="32"/>
      <c r="T118" s="32"/>
    </row>
    <row r="119" spans="12:20">
      <c r="L119" s="1"/>
      <c r="M119" s="1"/>
      <c r="N119" s="1"/>
      <c r="O119" s="32"/>
      <c r="P119" s="32"/>
      <c r="Q119" s="32"/>
      <c r="R119" s="32"/>
      <c r="S119" s="32"/>
      <c r="T119" s="32"/>
    </row>
    <row r="120" spans="12:20">
      <c r="L120" s="1"/>
      <c r="M120" s="1"/>
      <c r="N120" s="1"/>
      <c r="O120" s="32"/>
      <c r="P120" s="32"/>
      <c r="Q120" s="32"/>
      <c r="R120" s="32"/>
      <c r="S120" s="32"/>
      <c r="T120" s="32"/>
    </row>
    <row r="121" spans="12:20">
      <c r="L121" s="1"/>
      <c r="M121" s="1"/>
      <c r="N121" s="1"/>
      <c r="O121" s="32"/>
      <c r="P121" s="32"/>
      <c r="Q121" s="32"/>
      <c r="R121" s="32"/>
      <c r="S121" s="32"/>
      <c r="T121" s="32"/>
    </row>
    <row r="122" spans="12:20">
      <c r="L122" s="1"/>
      <c r="M122" s="1"/>
      <c r="N122" s="1"/>
      <c r="O122" s="32"/>
      <c r="P122" s="32"/>
      <c r="Q122" s="32"/>
      <c r="R122" s="32"/>
      <c r="S122" s="32"/>
      <c r="T122" s="32"/>
    </row>
    <row r="123" spans="12:20">
      <c r="L123" s="1"/>
      <c r="M123" s="1"/>
      <c r="N123" s="1"/>
      <c r="O123" s="32"/>
      <c r="P123" s="32"/>
      <c r="Q123" s="32"/>
      <c r="R123" s="32"/>
      <c r="S123" s="32"/>
      <c r="T123" s="32"/>
    </row>
    <row r="124" spans="12:20">
      <c r="L124" s="1"/>
      <c r="M124" s="1"/>
      <c r="N124" s="1"/>
      <c r="O124" s="32"/>
      <c r="P124" s="32"/>
      <c r="Q124" s="32"/>
      <c r="R124" s="32"/>
      <c r="S124" s="32"/>
      <c r="T124" s="32"/>
    </row>
    <row r="125" spans="12:20">
      <c r="L125" s="1"/>
      <c r="M125" s="1"/>
      <c r="N125" s="1"/>
      <c r="O125" s="32"/>
      <c r="P125" s="32"/>
      <c r="Q125" s="32"/>
      <c r="R125" s="32"/>
      <c r="S125" s="32"/>
      <c r="T125" s="32"/>
    </row>
    <row r="126" spans="12:20">
      <c r="L126" s="1"/>
      <c r="M126" s="1"/>
      <c r="N126" s="1"/>
      <c r="O126" s="32"/>
      <c r="P126" s="32"/>
      <c r="Q126" s="32"/>
      <c r="R126" s="32"/>
      <c r="S126" s="32"/>
      <c r="T126" s="32"/>
    </row>
    <row r="127" spans="12:20">
      <c r="L127" s="1"/>
      <c r="M127" s="1"/>
      <c r="N127" s="1"/>
      <c r="O127" s="32"/>
      <c r="P127" s="32"/>
      <c r="Q127" s="32"/>
      <c r="R127" s="32"/>
      <c r="S127" s="32"/>
      <c r="T127" s="32"/>
    </row>
    <row r="128" spans="12:20">
      <c r="L128" s="1"/>
      <c r="M128" s="1"/>
      <c r="N128" s="1"/>
      <c r="O128" s="32"/>
      <c r="P128" s="32"/>
      <c r="Q128" s="32"/>
      <c r="R128" s="32"/>
      <c r="S128" s="32"/>
      <c r="T128" s="32"/>
    </row>
    <row r="129" spans="12:20">
      <c r="L129" s="1"/>
      <c r="M129" s="1"/>
      <c r="N129" s="1"/>
      <c r="O129" s="32"/>
      <c r="P129" s="32"/>
      <c r="Q129" s="32"/>
      <c r="R129" s="32"/>
      <c r="S129" s="32"/>
      <c r="T129" s="32"/>
    </row>
    <row r="130" spans="12:20">
      <c r="L130" s="1"/>
      <c r="M130" s="1"/>
      <c r="N130" s="1"/>
      <c r="O130" s="32"/>
      <c r="P130" s="32"/>
      <c r="Q130" s="32"/>
      <c r="R130" s="32"/>
      <c r="S130" s="32"/>
      <c r="T130" s="32"/>
    </row>
    <row r="131" spans="12:20">
      <c r="L131" s="1"/>
      <c r="M131" s="1"/>
      <c r="N131" s="1"/>
      <c r="O131" s="32"/>
      <c r="P131" s="32"/>
      <c r="Q131" s="32"/>
      <c r="R131" s="32"/>
      <c r="S131" s="32"/>
      <c r="T131" s="32"/>
    </row>
    <row r="132" spans="12:20">
      <c r="L132" s="1"/>
      <c r="M132" s="1"/>
      <c r="N132" s="1"/>
      <c r="O132" s="32"/>
      <c r="P132" s="32"/>
      <c r="Q132" s="32"/>
      <c r="R132" s="32"/>
      <c r="S132" s="32"/>
      <c r="T132" s="32"/>
    </row>
    <row r="133" spans="12:20">
      <c r="L133" s="1"/>
      <c r="M133" s="1"/>
      <c r="N133" s="1"/>
      <c r="O133" s="32"/>
      <c r="P133" s="32"/>
      <c r="Q133" s="32"/>
      <c r="R133" s="32"/>
      <c r="S133" s="32"/>
      <c r="T133" s="32"/>
    </row>
    <row r="134" spans="12:20">
      <c r="L134" s="1"/>
      <c r="M134" s="1"/>
      <c r="N134" s="1"/>
      <c r="O134" s="32"/>
      <c r="P134" s="32"/>
      <c r="Q134" s="32"/>
      <c r="R134" s="32"/>
      <c r="S134" s="32"/>
      <c r="T134" s="32"/>
    </row>
    <row r="135" spans="12:20">
      <c r="L135" s="1"/>
      <c r="M135" s="1"/>
      <c r="N135" s="1"/>
      <c r="O135" s="32"/>
      <c r="P135" s="32"/>
      <c r="Q135" s="32"/>
      <c r="R135" s="32"/>
      <c r="S135" s="32"/>
      <c r="T135" s="3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85"/>
  <sheetViews>
    <sheetView showGridLines="0" topLeftCell="L1" zoomScale="85" zoomScaleNormal="85" workbookViewId="0">
      <selection activeCell="M36" sqref="M36"/>
    </sheetView>
  </sheetViews>
  <sheetFormatPr baseColWidth="10" defaultColWidth="8.83203125" defaultRowHeight="13"/>
  <cols>
    <col min="2" max="2" width="39.5" bestFit="1" customWidth="1"/>
    <col min="3" max="3" width="22.33203125" bestFit="1" customWidth="1"/>
    <col min="4" max="4" width="11.5" customWidth="1"/>
    <col min="7" max="7" width="11.1640625" bestFit="1" customWidth="1"/>
    <col min="8" max="8" width="23.5" bestFit="1" customWidth="1"/>
    <col min="9" max="9" width="12.1640625" bestFit="1" customWidth="1"/>
    <col min="10" max="10" width="15.1640625" bestFit="1" customWidth="1"/>
    <col min="12" max="12" width="11.5" customWidth="1"/>
    <col min="14" max="14" width="17" customWidth="1"/>
    <col min="15" max="15" width="13.1640625" bestFit="1" customWidth="1"/>
    <col min="16" max="16" width="11.5" customWidth="1"/>
    <col min="17" max="17" width="12" bestFit="1" customWidth="1"/>
    <col min="18" max="18" width="12.1640625" bestFit="1" customWidth="1"/>
    <col min="19" max="19" width="15.1640625" bestFit="1" customWidth="1"/>
    <col min="20" max="20" width="12" bestFit="1" customWidth="1"/>
    <col min="21" max="21" width="13.33203125" bestFit="1" customWidth="1"/>
    <col min="22" max="22" width="13.5" bestFit="1" customWidth="1"/>
  </cols>
  <sheetData>
    <row r="2" spans="2:22">
      <c r="B2" s="42" t="s">
        <v>88</v>
      </c>
      <c r="C2" s="42" t="s">
        <v>89</v>
      </c>
    </row>
    <row r="3" spans="2:22" ht="56">
      <c r="B3" s="23" t="s">
        <v>48</v>
      </c>
      <c r="C3" s="23" t="s">
        <v>115</v>
      </c>
      <c r="D3" s="22" t="s">
        <v>57</v>
      </c>
      <c r="E3" s="23" t="s">
        <v>59</v>
      </c>
      <c r="F3" s="22" t="s">
        <v>58</v>
      </c>
      <c r="G3" s="23" t="s">
        <v>74</v>
      </c>
      <c r="H3" s="23" t="s">
        <v>86</v>
      </c>
      <c r="I3" s="23" t="s">
        <v>66</v>
      </c>
      <c r="J3" s="23" t="s">
        <v>65</v>
      </c>
    </row>
    <row r="4" spans="2:22">
      <c r="B4" s="25">
        <v>2.76</v>
      </c>
      <c r="C4" s="5">
        <v>42.9</v>
      </c>
      <c r="D4" s="42">
        <f>C4-$C$65</f>
        <v>3.2149999999999821</v>
      </c>
      <c r="E4" s="9">
        <f>D4^2</f>
        <v>10.336224999999885</v>
      </c>
      <c r="F4" s="5">
        <f>B4-$C$66</f>
        <v>9.4999999999996199E-3</v>
      </c>
      <c r="G4" s="43">
        <f>D4*F4</f>
        <v>3.0542499999998609E-2</v>
      </c>
      <c r="H4" s="40">
        <f>$C$71+$C$70*C4</f>
        <v>2.766004826962031</v>
      </c>
      <c r="I4" s="43">
        <f>(B4-H4)^2</f>
        <v>3.6057946843936796E-5</v>
      </c>
      <c r="J4" s="9">
        <f>(H4-$C$66)^2</f>
        <v>2.4039965912251771E-4</v>
      </c>
      <c r="N4" s="32"/>
      <c r="O4" s="32"/>
      <c r="P4" s="32"/>
      <c r="Q4" s="32"/>
      <c r="R4" s="32"/>
      <c r="S4" s="32"/>
      <c r="T4" s="32"/>
      <c r="U4" s="32"/>
      <c r="V4" s="32"/>
    </row>
    <row r="5" spans="2:22">
      <c r="B5" s="9">
        <v>2.96</v>
      </c>
      <c r="C5" s="5">
        <v>41.6</v>
      </c>
      <c r="D5" s="42">
        <f t="shared" ref="D5:D63" si="0">C5-$C$65</f>
        <v>1.9149999999999849</v>
      </c>
      <c r="E5" s="9">
        <f t="shared" ref="E5:E63" si="1">D5^2</f>
        <v>3.6672249999999424</v>
      </c>
      <c r="F5" s="5">
        <f t="shared" ref="F5:F63" si="2">B5-$C$66</f>
        <v>0.2094999999999998</v>
      </c>
      <c r="G5" s="43">
        <f t="shared" ref="G5:G63" si="3">D5*F5</f>
        <v>0.40119249999999645</v>
      </c>
      <c r="H5" s="40">
        <f t="shared" ref="H5:H63" si="4">$C$71+$C$70*C5</f>
        <v>2.759735379045813</v>
      </c>
      <c r="I5" s="43">
        <f t="shared" ref="I5:I63" si="5">(B5-H5)^2</f>
        <v>4.0105918405924181E-2</v>
      </c>
      <c r="J5" s="9">
        <f t="shared" ref="J5:J63" si="6">(H5-$C$66)^2</f>
        <v>8.5292226119838913E-5</v>
      </c>
      <c r="N5" s="32"/>
      <c r="O5" s="32"/>
      <c r="P5" s="32"/>
      <c r="Q5" s="32"/>
      <c r="R5" s="32"/>
      <c r="S5" s="32"/>
      <c r="T5" s="32"/>
      <c r="U5" s="32"/>
      <c r="V5" s="32"/>
    </row>
    <row r="6" spans="2:22">
      <c r="B6" s="9">
        <v>2.5</v>
      </c>
      <c r="C6" s="5">
        <v>36.1</v>
      </c>
      <c r="D6" s="42">
        <f t="shared" si="0"/>
        <v>-3.5850000000000151</v>
      </c>
      <c r="E6" s="9">
        <f t="shared" si="1"/>
        <v>12.852225000000107</v>
      </c>
      <c r="F6" s="5">
        <f t="shared" si="2"/>
        <v>-0.25050000000000017</v>
      </c>
      <c r="G6" s="43">
        <f t="shared" si="3"/>
        <v>0.89804250000000441</v>
      </c>
      <c r="H6" s="40">
        <f t="shared" si="4"/>
        <v>2.7332107917079691</v>
      </c>
      <c r="I6" s="43">
        <f t="shared" si="5"/>
        <v>5.438727336905775E-2</v>
      </c>
      <c r="J6" s="9">
        <f t="shared" si="6"/>
        <v>2.989167233652358E-4</v>
      </c>
      <c r="N6" s="34"/>
      <c r="O6" s="34"/>
      <c r="P6" s="32"/>
      <c r="Q6" s="32"/>
      <c r="R6" s="32"/>
      <c r="S6" s="32"/>
      <c r="T6" s="32"/>
      <c r="U6" s="32"/>
      <c r="V6" s="32"/>
    </row>
    <row r="7" spans="2:22">
      <c r="B7" s="9">
        <v>2.42</v>
      </c>
      <c r="C7" s="5">
        <v>44.3</v>
      </c>
      <c r="D7" s="42">
        <f t="shared" si="0"/>
        <v>4.6149999999999807</v>
      </c>
      <c r="E7" s="9">
        <f t="shared" si="1"/>
        <v>21.298224999999821</v>
      </c>
      <c r="F7" s="5">
        <f t="shared" si="2"/>
        <v>-0.33050000000000024</v>
      </c>
      <c r="G7" s="43">
        <f t="shared" si="3"/>
        <v>-1.5252574999999946</v>
      </c>
      <c r="H7" s="40">
        <f t="shared" si="4"/>
        <v>2.7727565401025731</v>
      </c>
      <c r="I7" s="43">
        <f t="shared" si="5"/>
        <v>0.12443717658513832</v>
      </c>
      <c r="J7" s="9">
        <f t="shared" si="6"/>
        <v>4.9535357733743754E-4</v>
      </c>
      <c r="N7" s="1"/>
      <c r="O7" s="1"/>
      <c r="P7" s="32"/>
      <c r="Q7" s="32"/>
      <c r="R7" s="32"/>
      <c r="S7" s="32"/>
      <c r="T7" s="32"/>
      <c r="U7" s="32"/>
      <c r="V7" s="32"/>
    </row>
    <row r="8" spans="2:22">
      <c r="B8" s="9">
        <v>2.71</v>
      </c>
      <c r="C8" s="5">
        <v>42.9</v>
      </c>
      <c r="D8" s="42">
        <f t="shared" si="0"/>
        <v>3.2149999999999821</v>
      </c>
      <c r="E8" s="9">
        <f t="shared" si="1"/>
        <v>10.336224999999885</v>
      </c>
      <c r="F8" s="5">
        <f t="shared" si="2"/>
        <v>-4.0500000000000203E-2</v>
      </c>
      <c r="G8" s="43">
        <f t="shared" si="3"/>
        <v>-0.13020749999999992</v>
      </c>
      <c r="H8" s="40">
        <f t="shared" si="4"/>
        <v>2.766004826962031</v>
      </c>
      <c r="I8" s="43">
        <f t="shared" si="5"/>
        <v>3.1365406430470364E-3</v>
      </c>
      <c r="J8" s="9">
        <f t="shared" si="6"/>
        <v>2.4039965912251771E-4</v>
      </c>
      <c r="N8" s="1"/>
      <c r="O8" s="1"/>
      <c r="P8" s="32"/>
      <c r="Q8" s="32"/>
      <c r="R8" s="32"/>
      <c r="S8" s="32"/>
      <c r="T8" s="32"/>
      <c r="U8" s="32"/>
      <c r="V8" s="32"/>
    </row>
    <row r="9" spans="2:22">
      <c r="B9" s="9">
        <v>3.01</v>
      </c>
      <c r="C9" s="5">
        <v>40.200000000000003</v>
      </c>
      <c r="D9" s="42">
        <f t="shared" si="0"/>
        <v>0.51499999999998636</v>
      </c>
      <c r="E9" s="9">
        <f t="shared" si="1"/>
        <v>0.26522499999998594</v>
      </c>
      <c r="F9" s="5">
        <f t="shared" si="2"/>
        <v>0.25949999999999962</v>
      </c>
      <c r="G9" s="43">
        <f t="shared" si="3"/>
        <v>0.13364249999999625</v>
      </c>
      <c r="H9" s="40">
        <f t="shared" si="4"/>
        <v>2.7529836659052709</v>
      </c>
      <c r="I9" s="43">
        <f t="shared" si="5"/>
        <v>6.6057395991493309E-2</v>
      </c>
      <c r="J9" s="9">
        <f t="shared" si="6"/>
        <v>6.1685963290042032E-6</v>
      </c>
      <c r="N9" s="1"/>
      <c r="O9" s="1"/>
      <c r="P9" s="32"/>
      <c r="Q9" s="32"/>
      <c r="R9" s="32"/>
      <c r="S9" s="32"/>
      <c r="T9" s="32"/>
      <c r="U9" s="32"/>
      <c r="V9" s="32"/>
    </row>
    <row r="10" spans="2:22">
      <c r="B10" s="9">
        <v>2.97</v>
      </c>
      <c r="C10" s="5">
        <v>38.799999999999997</v>
      </c>
      <c r="D10" s="42">
        <f t="shared" si="0"/>
        <v>-0.88500000000001933</v>
      </c>
      <c r="E10" s="9">
        <f t="shared" si="1"/>
        <v>0.78322500000003425</v>
      </c>
      <c r="F10" s="5">
        <f t="shared" si="2"/>
        <v>0.21950000000000003</v>
      </c>
      <c r="G10" s="43">
        <f t="shared" si="3"/>
        <v>-0.19425750000000427</v>
      </c>
      <c r="H10" s="40">
        <f t="shared" si="4"/>
        <v>2.7462319527647288</v>
      </c>
      <c r="I10" s="43">
        <f t="shared" si="5"/>
        <v>5.0072138963486668E-2</v>
      </c>
      <c r="J10" s="9">
        <f t="shared" si="6"/>
        <v>1.821622720250793E-5</v>
      </c>
      <c r="N10" s="1"/>
      <c r="O10" s="1"/>
      <c r="P10" s="32"/>
      <c r="Q10" s="32"/>
      <c r="R10" s="32"/>
      <c r="S10" s="32"/>
      <c r="T10" s="32"/>
      <c r="U10" s="32"/>
      <c r="V10" s="32"/>
    </row>
    <row r="11" spans="2:22">
      <c r="B11" s="9">
        <v>3.09</v>
      </c>
      <c r="C11" s="5">
        <v>36.1</v>
      </c>
      <c r="D11" s="42">
        <f t="shared" si="0"/>
        <v>-3.5850000000000151</v>
      </c>
      <c r="E11" s="9">
        <f t="shared" si="1"/>
        <v>12.852225000000107</v>
      </c>
      <c r="F11" s="5">
        <f t="shared" si="2"/>
        <v>0.33949999999999969</v>
      </c>
      <c r="G11" s="43">
        <f t="shared" si="3"/>
        <v>-1.217107500000004</v>
      </c>
      <c r="H11" s="40">
        <f t="shared" si="4"/>
        <v>2.7332107917079691</v>
      </c>
      <c r="I11" s="43">
        <f t="shared" si="5"/>
        <v>0.12729853915365411</v>
      </c>
      <c r="J11" s="9">
        <f t="shared" si="6"/>
        <v>2.989167233652358E-4</v>
      </c>
      <c r="N11" s="1"/>
      <c r="O11" s="1"/>
      <c r="P11" s="32"/>
      <c r="Q11" s="32"/>
      <c r="R11" s="32"/>
      <c r="S11" s="32"/>
      <c r="T11" s="32"/>
      <c r="U11" s="32"/>
      <c r="V11" s="32"/>
    </row>
    <row r="12" spans="2:22">
      <c r="B12" s="9">
        <v>2.4900000000000002</v>
      </c>
      <c r="C12" s="5">
        <v>37.5</v>
      </c>
      <c r="D12" s="42">
        <f t="shared" si="0"/>
        <v>-2.1850000000000165</v>
      </c>
      <c r="E12" s="9">
        <f t="shared" si="1"/>
        <v>4.7742250000000723</v>
      </c>
      <c r="F12" s="5">
        <f t="shared" si="2"/>
        <v>-0.26049999999999995</v>
      </c>
      <c r="G12" s="43">
        <f t="shared" si="3"/>
        <v>0.56919250000000421</v>
      </c>
      <c r="H12" s="40">
        <f t="shared" si="4"/>
        <v>2.7399625048485112</v>
      </c>
      <c r="I12" s="43">
        <f t="shared" si="5"/>
        <v>6.2481253830141893E-2</v>
      </c>
      <c r="J12" s="9">
        <f t="shared" si="6"/>
        <v>1.1103880406765293E-4</v>
      </c>
      <c r="N12" s="32"/>
      <c r="O12" s="32"/>
      <c r="P12" s="32"/>
      <c r="Q12" s="32"/>
      <c r="R12" s="32"/>
      <c r="S12" s="32"/>
      <c r="T12" s="32"/>
      <c r="U12" s="32"/>
      <c r="V12" s="32"/>
    </row>
    <row r="13" spans="2:22">
      <c r="B13" s="9">
        <v>2.75</v>
      </c>
      <c r="C13" s="5">
        <v>40.799999999999997</v>
      </c>
      <c r="D13" s="42">
        <f t="shared" si="0"/>
        <v>1.1149999999999807</v>
      </c>
      <c r="E13" s="9">
        <f t="shared" si="1"/>
        <v>1.2432249999999569</v>
      </c>
      <c r="F13" s="5">
        <f t="shared" si="2"/>
        <v>-5.0000000000016698E-4</v>
      </c>
      <c r="G13" s="43">
        <f t="shared" si="3"/>
        <v>-5.5750000000017656E-4</v>
      </c>
      <c r="H13" s="40">
        <f t="shared" si="4"/>
        <v>2.7558772572512176</v>
      </c>
      <c r="I13" s="43">
        <f t="shared" si="5"/>
        <v>3.4542152796989521E-5</v>
      </c>
      <c r="J13" s="9">
        <f t="shared" si="6"/>
        <v>2.8914895545770155E-5</v>
      </c>
      <c r="N13" s="32"/>
      <c r="O13" s="32"/>
      <c r="P13" s="32"/>
      <c r="Q13" s="32"/>
      <c r="R13" s="32"/>
      <c r="S13" s="32"/>
      <c r="T13" s="32"/>
      <c r="U13" s="32"/>
      <c r="V13" s="32"/>
    </row>
    <row r="14" spans="2:22">
      <c r="B14" s="9">
        <v>2.3199999999999998</v>
      </c>
      <c r="C14" s="5">
        <v>37.4</v>
      </c>
      <c r="D14" s="42">
        <f t="shared" si="0"/>
        <v>-2.2850000000000179</v>
      </c>
      <c r="E14" s="9">
        <f t="shared" si="1"/>
        <v>5.2212250000000822</v>
      </c>
      <c r="F14" s="5">
        <f t="shared" si="2"/>
        <v>-0.43050000000000033</v>
      </c>
      <c r="G14" s="43">
        <f t="shared" si="3"/>
        <v>0.98369250000000841</v>
      </c>
      <c r="H14" s="40">
        <f t="shared" si="4"/>
        <v>2.7394802396241866</v>
      </c>
      <c r="I14" s="43">
        <f t="shared" si="5"/>
        <v>0.17596367143516517</v>
      </c>
      <c r="J14" s="9">
        <f t="shared" si="6"/>
        <v>1.2143511874035009E-4</v>
      </c>
      <c r="N14" s="26"/>
      <c r="O14" s="26"/>
      <c r="P14" s="26"/>
      <c r="Q14" s="26"/>
      <c r="R14" s="26"/>
      <c r="S14" s="26"/>
      <c r="T14" s="32"/>
      <c r="U14" s="32"/>
      <c r="V14" s="32"/>
    </row>
    <row r="15" spans="2:22">
      <c r="B15" s="9">
        <v>2.2200000000000002</v>
      </c>
      <c r="C15" s="5">
        <v>35.4</v>
      </c>
      <c r="D15" s="42">
        <f t="shared" si="0"/>
        <v>-4.2850000000000179</v>
      </c>
      <c r="E15" s="9">
        <f t="shared" si="1"/>
        <v>18.361225000000154</v>
      </c>
      <c r="F15" s="5">
        <f t="shared" si="2"/>
        <v>-0.53049999999999997</v>
      </c>
      <c r="G15" s="43">
        <f t="shared" si="3"/>
        <v>2.2731925000000093</v>
      </c>
      <c r="H15" s="40">
        <f t="shared" si="4"/>
        <v>2.7298349351376978</v>
      </c>
      <c r="I15" s="43">
        <f t="shared" si="5"/>
        <v>0.25993166108686033</v>
      </c>
      <c r="J15" s="9">
        <f t="shared" si="6"/>
        <v>4.2704490576316332E-4</v>
      </c>
      <c r="N15" s="1"/>
      <c r="O15" s="1"/>
      <c r="P15" s="1"/>
      <c r="Q15" s="1"/>
      <c r="R15" s="1"/>
      <c r="S15" s="1"/>
      <c r="T15" s="32"/>
      <c r="U15" s="32"/>
      <c r="V15" s="32"/>
    </row>
    <row r="16" spans="2:22">
      <c r="B16" s="9">
        <v>2.6</v>
      </c>
      <c r="C16" s="5">
        <v>39.200000000000003</v>
      </c>
      <c r="D16" s="42">
        <f t="shared" si="0"/>
        <v>-0.48500000000001364</v>
      </c>
      <c r="E16" s="9">
        <f t="shared" si="1"/>
        <v>0.23522500000001323</v>
      </c>
      <c r="F16" s="5">
        <f t="shared" si="2"/>
        <v>-0.15050000000000008</v>
      </c>
      <c r="G16" s="43">
        <f t="shared" si="3"/>
        <v>7.2992500000002097E-2</v>
      </c>
      <c r="H16" s="40">
        <f t="shared" si="4"/>
        <v>2.7481610136620267</v>
      </c>
      <c r="I16" s="43">
        <f t="shared" si="5"/>
        <v>2.1951685969359234E-2</v>
      </c>
      <c r="J16" s="9">
        <f t="shared" si="6"/>
        <v>5.4708570892265433E-6</v>
      </c>
      <c r="N16" s="1"/>
      <c r="O16" s="1"/>
      <c r="P16" s="1"/>
      <c r="Q16" s="1"/>
      <c r="R16" s="1"/>
      <c r="S16" s="1"/>
      <c r="T16" s="32"/>
      <c r="U16" s="32"/>
      <c r="V16" s="32"/>
    </row>
    <row r="17" spans="2:22">
      <c r="B17" s="9">
        <v>3.11</v>
      </c>
      <c r="C17" s="5">
        <v>43.5</v>
      </c>
      <c r="D17" s="42">
        <f t="shared" si="0"/>
        <v>3.8149999999999835</v>
      </c>
      <c r="E17" s="9">
        <f t="shared" si="1"/>
        <v>14.554224999999875</v>
      </c>
      <c r="F17" s="5">
        <f t="shared" si="2"/>
        <v>0.35949999999999971</v>
      </c>
      <c r="G17" s="43">
        <f t="shared" si="3"/>
        <v>1.3714924999999929</v>
      </c>
      <c r="H17" s="40">
        <f t="shared" si="4"/>
        <v>2.7688984183079777</v>
      </c>
      <c r="I17" s="43">
        <f t="shared" si="5"/>
        <v>0.1163502890327993</v>
      </c>
      <c r="J17" s="9">
        <f t="shared" si="6"/>
        <v>3.3850179623532182E-4</v>
      </c>
      <c r="N17" s="1"/>
      <c r="O17" s="1"/>
      <c r="P17" s="1"/>
      <c r="Q17" s="1"/>
      <c r="R17" s="1"/>
      <c r="S17" s="1"/>
      <c r="T17" s="32"/>
      <c r="U17" s="32"/>
      <c r="V17" s="32"/>
    </row>
    <row r="18" spans="2:22">
      <c r="B18" s="9">
        <v>2.84</v>
      </c>
      <c r="C18" s="5">
        <v>45</v>
      </c>
      <c r="D18" s="42">
        <f t="shared" si="0"/>
        <v>5.3149999999999835</v>
      </c>
      <c r="E18" s="9">
        <f t="shared" si="1"/>
        <v>28.249224999999825</v>
      </c>
      <c r="F18" s="5">
        <f t="shared" si="2"/>
        <v>8.9499999999999691E-2</v>
      </c>
      <c r="G18" s="43">
        <f t="shared" si="3"/>
        <v>0.47569249999999691</v>
      </c>
      <c r="H18" s="40">
        <f t="shared" si="4"/>
        <v>2.7761323966728439</v>
      </c>
      <c r="I18" s="43">
        <f t="shared" si="5"/>
        <v>4.0790707547549362E-3</v>
      </c>
      <c r="J18" s="9">
        <f t="shared" si="6"/>
        <v>6.57019759194013E-4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2:22">
      <c r="B19" s="9">
        <v>2.52</v>
      </c>
      <c r="C19" s="5">
        <v>35.1</v>
      </c>
      <c r="D19" s="42">
        <f t="shared" si="0"/>
        <v>-4.5850000000000151</v>
      </c>
      <c r="E19" s="9">
        <f t="shared" si="1"/>
        <v>21.022225000000137</v>
      </c>
      <c r="F19" s="5">
        <f t="shared" si="2"/>
        <v>-0.23050000000000015</v>
      </c>
      <c r="G19" s="43">
        <f t="shared" si="3"/>
        <v>1.0568425000000041</v>
      </c>
      <c r="H19" s="40">
        <f t="shared" si="4"/>
        <v>2.7283881394647245</v>
      </c>
      <c r="I19" s="43">
        <f t="shared" si="5"/>
        <v>4.3425616669569449E-2</v>
      </c>
      <c r="J19" s="9">
        <f t="shared" si="6"/>
        <v>4.889343763314828E-4</v>
      </c>
      <c r="N19" s="26"/>
      <c r="O19" s="26"/>
      <c r="P19" s="26"/>
      <c r="Q19" s="26"/>
      <c r="R19" s="26"/>
      <c r="S19" s="26"/>
      <c r="T19" s="26"/>
      <c r="U19" s="26"/>
      <c r="V19" s="26"/>
    </row>
    <row r="20" spans="2:22">
      <c r="B20" s="9">
        <v>2.58</v>
      </c>
      <c r="C20" s="5">
        <v>38</v>
      </c>
      <c r="D20" s="42">
        <f t="shared" si="0"/>
        <v>-1.6850000000000165</v>
      </c>
      <c r="E20" s="9">
        <f t="shared" si="1"/>
        <v>2.8392250000000554</v>
      </c>
      <c r="F20" s="5">
        <f t="shared" si="2"/>
        <v>-0.1705000000000001</v>
      </c>
      <c r="G20" s="43">
        <f t="shared" si="3"/>
        <v>0.28729250000000295</v>
      </c>
      <c r="H20" s="40">
        <f t="shared" si="4"/>
        <v>2.7423738309701333</v>
      </c>
      <c r="I20" s="43">
        <f t="shared" si="5"/>
        <v>2.6365260983917404E-2</v>
      </c>
      <c r="J20" s="9">
        <f t="shared" si="6"/>
        <v>6.6034623101967103E-5</v>
      </c>
      <c r="N20" s="1"/>
      <c r="O20" s="1"/>
      <c r="P20" s="1"/>
      <c r="Q20" s="1"/>
      <c r="R20" s="1"/>
      <c r="S20" s="1"/>
      <c r="T20" s="1"/>
      <c r="U20" s="1"/>
      <c r="V20" s="1"/>
    </row>
    <row r="21" spans="2:22">
      <c r="B21" s="9">
        <v>3.1</v>
      </c>
      <c r="C21" s="5">
        <v>37.9</v>
      </c>
      <c r="D21" s="42">
        <f t="shared" si="0"/>
        <v>-1.7850000000000179</v>
      </c>
      <c r="E21" s="9">
        <f t="shared" si="1"/>
        <v>3.1862250000000638</v>
      </c>
      <c r="F21" s="5">
        <f t="shared" si="2"/>
        <v>0.34949999999999992</v>
      </c>
      <c r="G21" s="43">
        <f t="shared" si="3"/>
        <v>-0.62385750000000617</v>
      </c>
      <c r="H21" s="40">
        <f t="shared" si="4"/>
        <v>2.7418915657458087</v>
      </c>
      <c r="I21" s="43">
        <f t="shared" si="5"/>
        <v>0.12824165068398849</v>
      </c>
      <c r="J21" s="9">
        <f t="shared" si="6"/>
        <v>7.4105140308736603E-5</v>
      </c>
      <c r="N21" s="1"/>
      <c r="O21" s="1"/>
      <c r="P21" s="1"/>
      <c r="Q21" s="1"/>
      <c r="R21" s="1"/>
      <c r="S21" s="1"/>
      <c r="T21" s="1"/>
      <c r="U21" s="1"/>
      <c r="V21" s="1"/>
    </row>
    <row r="22" spans="2:22">
      <c r="B22" s="9">
        <v>3.02</v>
      </c>
      <c r="C22" s="5">
        <v>43.1</v>
      </c>
      <c r="D22" s="42">
        <f t="shared" si="0"/>
        <v>3.4149999999999849</v>
      </c>
      <c r="E22" s="9">
        <f t="shared" si="1"/>
        <v>11.662224999999896</v>
      </c>
      <c r="F22" s="5">
        <f t="shared" si="2"/>
        <v>0.26949999999999985</v>
      </c>
      <c r="G22" s="43">
        <f t="shared" si="3"/>
        <v>0.9203424999999954</v>
      </c>
      <c r="H22" s="40">
        <f t="shared" si="4"/>
        <v>2.7669693574106797</v>
      </c>
      <c r="I22" s="43">
        <f t="shared" si="5"/>
        <v>6.4024506089164351E-2</v>
      </c>
      <c r="J22" s="9">
        <f t="shared" si="6"/>
        <v>2.7123973352070587E-4</v>
      </c>
    </row>
    <row r="23" spans="2:22">
      <c r="B23" s="9">
        <v>2.86</v>
      </c>
      <c r="C23" s="5">
        <v>35.200000000000003</v>
      </c>
      <c r="D23" s="42">
        <f t="shared" si="0"/>
        <v>-4.4850000000000136</v>
      </c>
      <c r="E23" s="9">
        <f t="shared" si="1"/>
        <v>20.115225000000123</v>
      </c>
      <c r="F23" s="5">
        <f t="shared" si="2"/>
        <v>0.10949999999999971</v>
      </c>
      <c r="G23" s="43">
        <f t="shared" si="3"/>
        <v>-0.4911075000000002</v>
      </c>
      <c r="H23" s="40">
        <f t="shared" si="4"/>
        <v>2.7288704046890491</v>
      </c>
      <c r="I23" s="43">
        <f t="shared" si="5"/>
        <v>1.7194970766413731E-2</v>
      </c>
      <c r="J23" s="9">
        <f t="shared" si="6"/>
        <v>4.678393933155178E-4</v>
      </c>
    </row>
    <row r="24" spans="2:22">
      <c r="B24" s="9">
        <v>3.04</v>
      </c>
      <c r="C24" s="5">
        <v>35</v>
      </c>
      <c r="D24" s="42">
        <f t="shared" si="0"/>
        <v>-4.6850000000000165</v>
      </c>
      <c r="E24" s="9">
        <f t="shared" si="1"/>
        <v>21.949225000000155</v>
      </c>
      <c r="F24" s="5">
        <f t="shared" si="2"/>
        <v>0.28949999999999987</v>
      </c>
      <c r="G24" s="43">
        <f t="shared" si="3"/>
        <v>-1.3563075000000042</v>
      </c>
      <c r="H24" s="40">
        <f t="shared" si="4"/>
        <v>2.7279058742404003</v>
      </c>
      <c r="I24" s="43">
        <f t="shared" si="5"/>
        <v>9.7402743333648845E-2</v>
      </c>
      <c r="J24" s="9">
        <f t="shared" si="6"/>
        <v>5.1049451884061338E-4</v>
      </c>
    </row>
    <row r="25" spans="2:22">
      <c r="B25" s="9">
        <v>2.35</v>
      </c>
      <c r="C25" s="5">
        <v>39.9</v>
      </c>
      <c r="D25" s="42">
        <f t="shared" si="0"/>
        <v>0.21499999999998209</v>
      </c>
      <c r="E25" s="9">
        <f t="shared" si="1"/>
        <v>4.62249999999923E-2</v>
      </c>
      <c r="F25" s="5">
        <f t="shared" si="2"/>
        <v>-0.40050000000000008</v>
      </c>
      <c r="G25" s="43">
        <f t="shared" si="3"/>
        <v>-8.6107499999992843E-2</v>
      </c>
      <c r="H25" s="40">
        <f t="shared" si="4"/>
        <v>2.7515368702322975</v>
      </c>
      <c r="I25" s="43">
        <f t="shared" si="5"/>
        <v>0.16123185815594887</v>
      </c>
      <c r="J25" s="9">
        <f t="shared" si="6"/>
        <v>1.0750998786244042E-6</v>
      </c>
    </row>
    <row r="26" spans="2:22">
      <c r="B26" s="9">
        <v>2.89</v>
      </c>
      <c r="C26" s="5">
        <v>42.1</v>
      </c>
      <c r="D26" s="42">
        <f t="shared" si="0"/>
        <v>2.4149999999999849</v>
      </c>
      <c r="E26" s="9">
        <f t="shared" si="1"/>
        <v>5.8322249999999274</v>
      </c>
      <c r="F26" s="5">
        <f t="shared" si="2"/>
        <v>0.13949999999999996</v>
      </c>
      <c r="G26" s="43">
        <f t="shared" si="3"/>
        <v>0.33689249999999782</v>
      </c>
      <c r="H26" s="40">
        <f t="shared" si="4"/>
        <v>2.7621467051674351</v>
      </c>
      <c r="I26" s="43">
        <f t="shared" si="5"/>
        <v>1.6346464999542797E-2</v>
      </c>
      <c r="J26" s="9">
        <f t="shared" si="6"/>
        <v>1.3564574125715561E-4</v>
      </c>
    </row>
    <row r="27" spans="2:22">
      <c r="B27" s="9">
        <v>2.34</v>
      </c>
      <c r="C27" s="5">
        <v>44.1</v>
      </c>
      <c r="D27" s="42">
        <f t="shared" si="0"/>
        <v>4.4149999999999849</v>
      </c>
      <c r="E27" s="9">
        <f t="shared" si="1"/>
        <v>19.492224999999866</v>
      </c>
      <c r="F27" s="5">
        <f t="shared" si="2"/>
        <v>-0.41050000000000031</v>
      </c>
      <c r="G27" s="43">
        <f t="shared" si="3"/>
        <v>-1.8123574999999952</v>
      </c>
      <c r="H27" s="40">
        <f t="shared" si="4"/>
        <v>2.7717920096539239</v>
      </c>
      <c r="I27" s="43">
        <f t="shared" si="5"/>
        <v>0.18644433960097445</v>
      </c>
      <c r="J27" s="9">
        <f t="shared" si="6"/>
        <v>4.5334967510278213E-4</v>
      </c>
    </row>
    <row r="28" spans="2:22">
      <c r="B28" s="9">
        <v>2.81</v>
      </c>
      <c r="C28" s="5">
        <v>40.5</v>
      </c>
      <c r="D28" s="42">
        <f t="shared" si="0"/>
        <v>0.81499999999998352</v>
      </c>
      <c r="E28" s="9">
        <f t="shared" si="1"/>
        <v>0.66422499999997309</v>
      </c>
      <c r="F28" s="5">
        <f t="shared" si="2"/>
        <v>5.9499999999999886E-2</v>
      </c>
      <c r="G28" s="43">
        <f t="shared" si="3"/>
        <v>4.8492499999998925E-2</v>
      </c>
      <c r="H28" s="40">
        <f t="shared" si="4"/>
        <v>2.7544304615782442</v>
      </c>
      <c r="I28" s="43">
        <f t="shared" si="5"/>
        <v>3.0879736004069971E-3</v>
      </c>
      <c r="J28" s="9">
        <f t="shared" si="6"/>
        <v>1.5448528218052785E-5</v>
      </c>
    </row>
    <row r="29" spans="2:22">
      <c r="B29" s="9">
        <v>2.39</v>
      </c>
      <c r="C29" s="5">
        <v>42.2</v>
      </c>
      <c r="D29" s="42">
        <f t="shared" si="0"/>
        <v>2.5149999999999864</v>
      </c>
      <c r="E29" s="9">
        <f t="shared" si="1"/>
        <v>6.3252249999999313</v>
      </c>
      <c r="F29" s="5">
        <f t="shared" si="2"/>
        <v>-0.36050000000000004</v>
      </c>
      <c r="G29" s="43">
        <f t="shared" si="3"/>
        <v>-0.90665749999999523</v>
      </c>
      <c r="H29" s="40">
        <f t="shared" si="4"/>
        <v>2.7626289703917597</v>
      </c>
      <c r="I29" s="43">
        <f t="shared" si="5"/>
        <v>0.13885234957522283</v>
      </c>
      <c r="J29" s="9">
        <f t="shared" si="6"/>
        <v>1.4711192276417934E-4</v>
      </c>
    </row>
    <row r="30" spans="2:22">
      <c r="B30" s="9">
        <v>2.73</v>
      </c>
      <c r="C30" s="5">
        <v>42.3</v>
      </c>
      <c r="D30" s="42">
        <f t="shared" si="0"/>
        <v>2.6149999999999807</v>
      </c>
      <c r="E30" s="9">
        <f t="shared" si="1"/>
        <v>6.8382249999998992</v>
      </c>
      <c r="F30" s="5">
        <f t="shared" si="2"/>
        <v>-2.0500000000000185E-2</v>
      </c>
      <c r="G30" s="43">
        <f t="shared" si="3"/>
        <v>-5.3607500000000086E-2</v>
      </c>
      <c r="H30" s="40">
        <f t="shared" si="4"/>
        <v>2.7631112356160843</v>
      </c>
      <c r="I30" s="43">
        <f t="shared" si="5"/>
        <v>1.0963539240238503E-3</v>
      </c>
      <c r="J30" s="9">
        <f t="shared" si="6"/>
        <v>1.5904326376438879E-4</v>
      </c>
    </row>
    <row r="31" spans="2:22">
      <c r="B31" s="9">
        <v>2.4900000000000002</v>
      </c>
      <c r="C31" s="5">
        <v>38.5</v>
      </c>
      <c r="D31" s="42">
        <f t="shared" si="0"/>
        <v>-1.1850000000000165</v>
      </c>
      <c r="E31" s="9">
        <f t="shared" si="1"/>
        <v>1.4042250000000391</v>
      </c>
      <c r="F31" s="5">
        <f t="shared" si="2"/>
        <v>-0.26049999999999995</v>
      </c>
      <c r="G31" s="43">
        <f t="shared" si="3"/>
        <v>0.30869250000000426</v>
      </c>
      <c r="H31" s="40">
        <f t="shared" si="4"/>
        <v>2.7447851570917554</v>
      </c>
      <c r="I31" s="43">
        <f t="shared" si="5"/>
        <v>6.491547627427037E-2</v>
      </c>
      <c r="J31" s="9">
        <f t="shared" si="6"/>
        <v>3.2659429465915365E-5</v>
      </c>
    </row>
    <row r="32" spans="2:22">
      <c r="B32" s="9">
        <v>2.74</v>
      </c>
      <c r="C32" s="5">
        <v>37.799999999999997</v>
      </c>
      <c r="D32" s="42">
        <f t="shared" si="0"/>
        <v>-1.8850000000000193</v>
      </c>
      <c r="E32" s="9">
        <f t="shared" si="1"/>
        <v>3.5532250000000727</v>
      </c>
      <c r="F32" s="5">
        <f t="shared" si="2"/>
        <v>-1.0499999999999954E-2</v>
      </c>
      <c r="G32" s="43">
        <f t="shared" si="3"/>
        <v>1.9792500000000116E-2</v>
      </c>
      <c r="H32" s="40">
        <f t="shared" si="4"/>
        <v>2.7414093005214846</v>
      </c>
      <c r="I32" s="43">
        <f t="shared" si="5"/>
        <v>1.9861279598560833E-6</v>
      </c>
      <c r="J32" s="9">
        <f t="shared" si="6"/>
        <v>8.2640817008683724E-5</v>
      </c>
    </row>
    <row r="33" spans="2:26">
      <c r="B33" s="9">
        <v>2.73</v>
      </c>
      <c r="C33" s="5">
        <v>43.6</v>
      </c>
      <c r="D33" s="42">
        <f t="shared" si="0"/>
        <v>3.9149999999999849</v>
      </c>
      <c r="E33" s="9">
        <f t="shared" si="1"/>
        <v>15.327224999999881</v>
      </c>
      <c r="F33" s="5">
        <f t="shared" si="2"/>
        <v>-2.0500000000000185E-2</v>
      </c>
      <c r="G33" s="43">
        <f t="shared" si="3"/>
        <v>-8.0257500000000412E-2</v>
      </c>
      <c r="H33" s="40">
        <f t="shared" si="4"/>
        <v>2.7693806835323018</v>
      </c>
      <c r="I33" s="43">
        <f t="shared" si="5"/>
        <v>1.5508382354713095E-3</v>
      </c>
      <c r="J33" s="9">
        <f t="shared" si="6"/>
        <v>3.5648021064692693E-4</v>
      </c>
      <c r="L33" s="6" t="s">
        <v>76</v>
      </c>
      <c r="M33" s="20" t="s">
        <v>163</v>
      </c>
      <c r="N33" s="20"/>
      <c r="O33" s="20"/>
      <c r="P33" s="20"/>
      <c r="Q33" s="20"/>
      <c r="R33" s="20"/>
      <c r="S33" s="20"/>
      <c r="T33" s="20"/>
      <c r="U33" s="20"/>
      <c r="V33" s="20"/>
      <c r="W33" s="6"/>
      <c r="X33" s="6"/>
      <c r="Y33" s="6"/>
    </row>
    <row r="34" spans="2:26">
      <c r="B34" s="9">
        <v>2.52</v>
      </c>
      <c r="C34" s="5">
        <v>35.200000000000003</v>
      </c>
      <c r="D34" s="42">
        <f t="shared" si="0"/>
        <v>-4.4850000000000136</v>
      </c>
      <c r="E34" s="9">
        <f t="shared" si="1"/>
        <v>20.115225000000123</v>
      </c>
      <c r="F34" s="5">
        <f t="shared" si="2"/>
        <v>-0.23050000000000015</v>
      </c>
      <c r="G34" s="43">
        <f t="shared" si="3"/>
        <v>1.0337925000000039</v>
      </c>
      <c r="H34" s="40">
        <f t="shared" si="4"/>
        <v>2.7288704046890491</v>
      </c>
      <c r="I34" s="43">
        <f t="shared" si="5"/>
        <v>4.3626845954967124E-2</v>
      </c>
      <c r="J34" s="9">
        <f t="shared" si="6"/>
        <v>4.678393933155178E-4</v>
      </c>
      <c r="M34" s="6" t="s">
        <v>164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2:26">
      <c r="B35" s="9">
        <v>2.66</v>
      </c>
      <c r="C35" s="5">
        <v>44.6</v>
      </c>
      <c r="D35" s="42">
        <f t="shared" si="0"/>
        <v>4.9149999999999849</v>
      </c>
      <c r="E35" s="9">
        <f t="shared" si="1"/>
        <v>24.157224999999851</v>
      </c>
      <c r="F35" s="5">
        <f t="shared" si="2"/>
        <v>-9.0500000000000025E-2</v>
      </c>
      <c r="G35" s="43">
        <f t="shared" si="3"/>
        <v>-0.44480749999999875</v>
      </c>
      <c r="H35" s="40">
        <f t="shared" si="4"/>
        <v>2.7742033357755465</v>
      </c>
      <c r="I35" s="43">
        <f t="shared" si="5"/>
        <v>1.3042401902262175E-2</v>
      </c>
      <c r="J35" s="9">
        <f t="shared" si="6"/>
        <v>5.618481268882924E-4</v>
      </c>
      <c r="M35" s="51" t="s">
        <v>165</v>
      </c>
      <c r="N35" s="51"/>
      <c r="O35" s="51"/>
      <c r="P35" s="51"/>
      <c r="Q35" s="51"/>
    </row>
    <row r="36" spans="2:26">
      <c r="B36" s="9">
        <v>2.54</v>
      </c>
      <c r="C36" s="5">
        <v>36.700000000000003</v>
      </c>
      <c r="D36" s="42">
        <f t="shared" si="0"/>
        <v>-2.9850000000000136</v>
      </c>
      <c r="E36" s="9">
        <f t="shared" si="1"/>
        <v>8.9102250000000822</v>
      </c>
      <c r="F36" s="5">
        <f t="shared" si="2"/>
        <v>-0.21050000000000013</v>
      </c>
      <c r="G36" s="43">
        <f t="shared" si="3"/>
        <v>0.62834250000000325</v>
      </c>
      <c r="H36" s="40">
        <f t="shared" si="4"/>
        <v>2.7361043830539158</v>
      </c>
      <c r="I36" s="43">
        <f t="shared" si="5"/>
        <v>3.8456929052956917E-2</v>
      </c>
      <c r="J36" s="9">
        <f t="shared" si="6"/>
        <v>2.072337872583917E-4</v>
      </c>
    </row>
    <row r="37" spans="2:26">
      <c r="B37" s="9">
        <v>3.06</v>
      </c>
      <c r="C37" s="5">
        <v>35.299999999999997</v>
      </c>
      <c r="D37" s="42">
        <f t="shared" si="0"/>
        <v>-4.3850000000000193</v>
      </c>
      <c r="E37" s="9">
        <f t="shared" si="1"/>
        <v>19.228225000000169</v>
      </c>
      <c r="F37" s="5">
        <f t="shared" si="2"/>
        <v>0.30949999999999989</v>
      </c>
      <c r="G37" s="43">
        <f t="shared" si="3"/>
        <v>-1.3571575000000056</v>
      </c>
      <c r="H37" s="40">
        <f t="shared" si="4"/>
        <v>2.7293526699133732</v>
      </c>
      <c r="I37" s="43">
        <f t="shared" si="5"/>
        <v>0.10932765689341477</v>
      </c>
      <c r="J37" s="9">
        <f t="shared" si="6"/>
        <v>4.4720956979275731E-4</v>
      </c>
    </row>
    <row r="38" spans="2:26">
      <c r="B38" s="9">
        <v>2.78</v>
      </c>
      <c r="C38" s="5">
        <v>38.6</v>
      </c>
      <c r="D38" s="42">
        <f t="shared" si="0"/>
        <v>-1.0850000000000151</v>
      </c>
      <c r="E38" s="9">
        <f t="shared" si="1"/>
        <v>1.1772250000000326</v>
      </c>
      <c r="F38" s="5">
        <f t="shared" si="2"/>
        <v>2.9499999999999638E-2</v>
      </c>
      <c r="G38" s="43">
        <f t="shared" si="3"/>
        <v>-3.200750000000005E-2</v>
      </c>
      <c r="H38" s="40">
        <f t="shared" si="4"/>
        <v>2.74526742231608</v>
      </c>
      <c r="I38" s="43">
        <f t="shared" si="5"/>
        <v>1.2063519525695235E-3</v>
      </c>
      <c r="J38" s="9">
        <f t="shared" si="6"/>
        <v>2.7379869218259252E-5</v>
      </c>
    </row>
    <row r="39" spans="2:26">
      <c r="B39" s="9">
        <v>2.81</v>
      </c>
      <c r="C39" s="5">
        <v>37.1</v>
      </c>
      <c r="D39" s="42">
        <f t="shared" si="0"/>
        <v>-2.5850000000000151</v>
      </c>
      <c r="E39" s="9">
        <f t="shared" si="1"/>
        <v>6.682225000000078</v>
      </c>
      <c r="F39" s="5">
        <f t="shared" si="2"/>
        <v>5.9499999999999886E-2</v>
      </c>
      <c r="G39" s="43">
        <f t="shared" si="3"/>
        <v>-0.1538075000000006</v>
      </c>
      <c r="H39" s="40">
        <f t="shared" si="4"/>
        <v>2.7380334439512133</v>
      </c>
      <c r="I39" s="43">
        <f t="shared" si="5"/>
        <v>5.1791851895231673E-3</v>
      </c>
      <c r="J39" s="9">
        <f t="shared" si="6"/>
        <v>1.5541501971754476E-4</v>
      </c>
    </row>
    <row r="40" spans="2:26">
      <c r="B40" s="9">
        <v>2.97</v>
      </c>
      <c r="C40" s="5">
        <v>42.9</v>
      </c>
      <c r="D40" s="42">
        <f t="shared" si="0"/>
        <v>3.2149999999999821</v>
      </c>
      <c r="E40" s="9">
        <f t="shared" si="1"/>
        <v>10.336224999999885</v>
      </c>
      <c r="F40" s="5">
        <f t="shared" si="2"/>
        <v>0.21950000000000003</v>
      </c>
      <c r="G40" s="43">
        <f t="shared" si="3"/>
        <v>0.70569249999999617</v>
      </c>
      <c r="H40" s="40">
        <f t="shared" si="4"/>
        <v>2.766004826962031</v>
      </c>
      <c r="I40" s="43">
        <f t="shared" si="5"/>
        <v>4.1614030622791003E-2</v>
      </c>
      <c r="J40" s="9">
        <f t="shared" si="6"/>
        <v>2.4039965912251771E-4</v>
      </c>
    </row>
    <row r="41" spans="2:26">
      <c r="B41" s="9">
        <v>3.27</v>
      </c>
      <c r="C41" s="5">
        <v>42.3</v>
      </c>
      <c r="D41" s="42">
        <f t="shared" si="0"/>
        <v>2.6149999999999807</v>
      </c>
      <c r="E41" s="9">
        <f t="shared" si="1"/>
        <v>6.8382249999998992</v>
      </c>
      <c r="F41" s="5">
        <f t="shared" si="2"/>
        <v>0.51949999999999985</v>
      </c>
      <c r="G41" s="43">
        <f t="shared" si="3"/>
        <v>1.3584924999999897</v>
      </c>
      <c r="H41" s="40">
        <f t="shared" si="4"/>
        <v>2.7631112356160843</v>
      </c>
      <c r="I41" s="43">
        <f t="shared" si="5"/>
        <v>0.2569362194586528</v>
      </c>
      <c r="J41" s="9">
        <f t="shared" si="6"/>
        <v>1.5904326376438879E-4</v>
      </c>
    </row>
    <row r="42" spans="2:26">
      <c r="B42" s="9">
        <v>2.96</v>
      </c>
      <c r="C42" s="5">
        <v>38.4</v>
      </c>
      <c r="D42" s="42">
        <f t="shared" si="0"/>
        <v>-1.2850000000000179</v>
      </c>
      <c r="E42" s="9">
        <f t="shared" si="1"/>
        <v>1.6512250000000461</v>
      </c>
      <c r="F42" s="5">
        <f t="shared" si="2"/>
        <v>0.2094999999999998</v>
      </c>
      <c r="G42" s="43">
        <f t="shared" si="3"/>
        <v>-0.26920750000000349</v>
      </c>
      <c r="H42" s="40">
        <f t="shared" si="4"/>
        <v>2.7443028918674313</v>
      </c>
      <c r="I42" s="43">
        <f t="shared" si="5"/>
        <v>4.652524245675304E-2</v>
      </c>
      <c r="J42" s="9">
        <f t="shared" si="6"/>
        <v>3.8404149206751684E-5</v>
      </c>
    </row>
    <row r="43" spans="2:26">
      <c r="B43" s="9">
        <v>2.5099999999999998</v>
      </c>
      <c r="C43" s="5">
        <v>43.8</v>
      </c>
      <c r="D43" s="42">
        <f t="shared" si="0"/>
        <v>4.1149999999999807</v>
      </c>
      <c r="E43" s="9">
        <f t="shared" si="1"/>
        <v>16.93322499999984</v>
      </c>
      <c r="F43" s="5">
        <f t="shared" si="2"/>
        <v>-0.24050000000000038</v>
      </c>
      <c r="G43" s="43">
        <f t="shared" si="3"/>
        <v>-0.98965749999999697</v>
      </c>
      <c r="H43" s="40">
        <f t="shared" si="4"/>
        <v>2.770345213980951</v>
      </c>
      <c r="I43" s="43">
        <f t="shared" si="5"/>
        <v>6.7779630442787286E-2</v>
      </c>
      <c r="J43" s="9">
        <f t="shared" si="6"/>
        <v>3.9383251794972705E-4</v>
      </c>
    </row>
    <row r="44" spans="2:26">
      <c r="B44" s="9">
        <v>3.09</v>
      </c>
      <c r="C44" s="5">
        <v>43</v>
      </c>
      <c r="D44" s="42">
        <f t="shared" si="0"/>
        <v>3.3149999999999835</v>
      </c>
      <c r="E44" s="9">
        <f t="shared" si="1"/>
        <v>10.989224999999891</v>
      </c>
      <c r="F44" s="5">
        <f t="shared" si="2"/>
        <v>0.33949999999999969</v>
      </c>
      <c r="G44" s="43">
        <f t="shared" si="3"/>
        <v>1.1254424999999935</v>
      </c>
      <c r="H44" s="40">
        <f t="shared" si="4"/>
        <v>2.7664870921863551</v>
      </c>
      <c r="I44" s="43">
        <f t="shared" si="5"/>
        <v>0.10466060152203979</v>
      </c>
      <c r="J44" s="9">
        <f t="shared" si="6"/>
        <v>2.5558711657501206E-4</v>
      </c>
    </row>
    <row r="45" spans="2:26">
      <c r="B45" s="9">
        <v>2.83</v>
      </c>
      <c r="C45" s="5">
        <v>42.5</v>
      </c>
      <c r="D45" s="42">
        <f t="shared" si="0"/>
        <v>2.8149999999999835</v>
      </c>
      <c r="E45" s="9">
        <f t="shared" si="1"/>
        <v>7.9242249999999075</v>
      </c>
      <c r="F45" s="5">
        <f t="shared" si="2"/>
        <v>7.9499999999999904E-2</v>
      </c>
      <c r="G45" s="43">
        <f t="shared" si="3"/>
        <v>0.22379249999999842</v>
      </c>
      <c r="H45" s="40">
        <f t="shared" si="4"/>
        <v>2.764075766064733</v>
      </c>
      <c r="I45" s="43">
        <f t="shared" si="5"/>
        <v>4.3460046199518126E-3</v>
      </c>
      <c r="J45" s="9">
        <f t="shared" si="6"/>
        <v>1.8430142424435272E-4</v>
      </c>
    </row>
    <row r="46" spans="2:26">
      <c r="B46" s="9">
        <v>2.95</v>
      </c>
      <c r="C46" s="5">
        <v>39</v>
      </c>
      <c r="D46" s="42">
        <f t="shared" si="0"/>
        <v>-0.68500000000001648</v>
      </c>
      <c r="E46" s="9">
        <f t="shared" si="1"/>
        <v>0.4692250000000226</v>
      </c>
      <c r="F46" s="5">
        <f t="shared" si="2"/>
        <v>0.19950000000000001</v>
      </c>
      <c r="G46" s="43">
        <f t="shared" si="3"/>
        <v>-0.13665750000000329</v>
      </c>
      <c r="H46" s="40">
        <f t="shared" si="4"/>
        <v>2.7471964832133775</v>
      </c>
      <c r="I46" s="43">
        <f t="shared" si="5"/>
        <v>4.1129266421021944E-2</v>
      </c>
      <c r="J46" s="9">
        <f t="shared" si="6"/>
        <v>1.0913223159497721E-5</v>
      </c>
    </row>
    <row r="47" spans="2:26">
      <c r="B47" s="9">
        <v>2.42</v>
      </c>
      <c r="C47" s="5">
        <v>37.299999999999997</v>
      </c>
      <c r="D47" s="42">
        <f t="shared" si="0"/>
        <v>-2.3850000000000193</v>
      </c>
      <c r="E47" s="9">
        <f t="shared" si="1"/>
        <v>5.6882250000000925</v>
      </c>
      <c r="F47" s="5">
        <f t="shared" si="2"/>
        <v>-0.33050000000000024</v>
      </c>
      <c r="G47" s="43">
        <f t="shared" si="3"/>
        <v>0.78824250000000695</v>
      </c>
      <c r="H47" s="40">
        <f t="shared" si="4"/>
        <v>2.738997974399862</v>
      </c>
      <c r="I47" s="43">
        <f t="shared" si="5"/>
        <v>0.10175970767121507</v>
      </c>
      <c r="J47" s="9">
        <f t="shared" si="6"/>
        <v>1.3229659290623296E-4</v>
      </c>
    </row>
    <row r="48" spans="2:26">
      <c r="B48" s="9">
        <v>2.94</v>
      </c>
      <c r="C48" s="5">
        <v>44.4</v>
      </c>
      <c r="D48" s="42">
        <f t="shared" si="0"/>
        <v>4.7149999999999821</v>
      </c>
      <c r="E48" s="9">
        <f t="shared" si="1"/>
        <v>22.231224999999831</v>
      </c>
      <c r="F48" s="5">
        <f t="shared" si="2"/>
        <v>0.18949999999999978</v>
      </c>
      <c r="G48" s="43">
        <f t="shared" si="3"/>
        <v>0.89349249999999558</v>
      </c>
      <c r="H48" s="40">
        <f t="shared" si="4"/>
        <v>2.7732388053268973</v>
      </c>
      <c r="I48" s="43">
        <f t="shared" si="5"/>
        <v>2.7809296048800451E-2</v>
      </c>
      <c r="J48" s="9">
        <f t="shared" si="6"/>
        <v>5.1705326769452362E-4</v>
      </c>
    </row>
    <row r="49" spans="2:20">
      <c r="B49" s="9">
        <v>3.1</v>
      </c>
      <c r="C49" s="5">
        <v>38.5</v>
      </c>
      <c r="D49" s="42">
        <f t="shared" si="0"/>
        <v>-1.1850000000000165</v>
      </c>
      <c r="E49" s="9">
        <f t="shared" si="1"/>
        <v>1.4042250000000391</v>
      </c>
      <c r="F49" s="5">
        <f t="shared" si="2"/>
        <v>0.34949999999999992</v>
      </c>
      <c r="G49" s="43">
        <f t="shared" si="3"/>
        <v>-0.41415750000000567</v>
      </c>
      <c r="H49" s="40">
        <f t="shared" si="4"/>
        <v>2.7447851570917554</v>
      </c>
      <c r="I49" s="43">
        <f t="shared" si="5"/>
        <v>0.12617758462232895</v>
      </c>
      <c r="J49" s="9">
        <f t="shared" si="6"/>
        <v>3.2659429465915365E-5</v>
      </c>
    </row>
    <row r="50" spans="2:20">
      <c r="B50" s="9">
        <v>3.03</v>
      </c>
      <c r="C50" s="5">
        <v>36.700000000000003</v>
      </c>
      <c r="D50" s="42">
        <f t="shared" si="0"/>
        <v>-2.9850000000000136</v>
      </c>
      <c r="E50" s="9">
        <f t="shared" si="1"/>
        <v>8.9102250000000822</v>
      </c>
      <c r="F50" s="5">
        <f t="shared" si="2"/>
        <v>0.27949999999999964</v>
      </c>
      <c r="G50" s="43">
        <f t="shared" si="3"/>
        <v>-0.83430750000000276</v>
      </c>
      <c r="H50" s="40">
        <f t="shared" si="4"/>
        <v>2.7361043830539158</v>
      </c>
      <c r="I50" s="43">
        <f t="shared" si="5"/>
        <v>8.637463366011934E-2</v>
      </c>
      <c r="J50" s="9">
        <f t="shared" si="6"/>
        <v>2.072337872583917E-4</v>
      </c>
    </row>
    <row r="51" spans="2:20">
      <c r="B51" s="9">
        <v>2.73</v>
      </c>
      <c r="C51" s="5">
        <v>35.1</v>
      </c>
      <c r="D51" s="42">
        <f t="shared" si="0"/>
        <v>-4.5850000000000151</v>
      </c>
      <c r="E51" s="9">
        <f t="shared" si="1"/>
        <v>21.022225000000137</v>
      </c>
      <c r="F51" s="5">
        <f t="shared" si="2"/>
        <v>-2.0500000000000185E-2</v>
      </c>
      <c r="G51" s="43">
        <f t="shared" si="3"/>
        <v>9.3992500000001158E-2</v>
      </c>
      <c r="H51" s="40">
        <f t="shared" si="4"/>
        <v>2.7283881394647245</v>
      </c>
      <c r="I51" s="43">
        <f t="shared" si="5"/>
        <v>2.5980943851786571E-6</v>
      </c>
      <c r="J51" s="9">
        <f t="shared" si="6"/>
        <v>4.889343763314828E-4</v>
      </c>
    </row>
    <row r="52" spans="2:20">
      <c r="B52" s="9">
        <v>2.04</v>
      </c>
      <c r="C52" s="5">
        <v>37.200000000000003</v>
      </c>
      <c r="D52" s="42">
        <f t="shared" si="0"/>
        <v>-2.4850000000000136</v>
      </c>
      <c r="E52" s="9">
        <f t="shared" si="1"/>
        <v>6.1752250000000677</v>
      </c>
      <c r="F52" s="5">
        <f t="shared" si="2"/>
        <v>-0.71050000000000013</v>
      </c>
      <c r="G52" s="43">
        <f t="shared" si="3"/>
        <v>1.7655925000000101</v>
      </c>
      <c r="H52" s="40">
        <f t="shared" si="4"/>
        <v>2.7385157091755379</v>
      </c>
      <c r="I52" s="43">
        <f t="shared" si="5"/>
        <v>0.48792419596500458</v>
      </c>
      <c r="J52" s="9">
        <f t="shared" si="6"/>
        <v>1.4362322656529092E-4</v>
      </c>
    </row>
    <row r="53" spans="2:20">
      <c r="B53" s="9">
        <v>2.67</v>
      </c>
      <c r="C53" s="5">
        <v>38.200000000000003</v>
      </c>
      <c r="D53" s="42">
        <f t="shared" si="0"/>
        <v>-1.4850000000000136</v>
      </c>
      <c r="E53" s="9">
        <f t="shared" si="1"/>
        <v>2.2052250000000404</v>
      </c>
      <c r="F53" s="5">
        <f t="shared" si="2"/>
        <v>-8.0500000000000238E-2</v>
      </c>
      <c r="G53" s="43">
        <f t="shared" si="3"/>
        <v>0.11954250000000145</v>
      </c>
      <c r="H53" s="40">
        <f t="shared" si="4"/>
        <v>2.7433383614187821</v>
      </c>
      <c r="I53" s="43">
        <f t="shared" si="5"/>
        <v>5.3785152555919126E-3</v>
      </c>
      <c r="J53" s="9">
        <f t="shared" si="6"/>
        <v>5.128906716799159E-5</v>
      </c>
    </row>
    <row r="54" spans="2:20">
      <c r="B54" s="9">
        <v>2.52</v>
      </c>
      <c r="C54" s="5">
        <v>45</v>
      </c>
      <c r="D54" s="42">
        <f t="shared" si="0"/>
        <v>5.3149999999999835</v>
      </c>
      <c r="E54" s="9">
        <f t="shared" si="1"/>
        <v>28.249224999999825</v>
      </c>
      <c r="F54" s="5">
        <f t="shared" si="2"/>
        <v>-0.23050000000000015</v>
      </c>
      <c r="G54" s="43">
        <f t="shared" si="3"/>
        <v>-1.2251074999999969</v>
      </c>
      <c r="H54" s="40">
        <f t="shared" si="4"/>
        <v>2.7761323966728439</v>
      </c>
      <c r="I54" s="43">
        <f t="shared" si="5"/>
        <v>6.5603804625375073E-2</v>
      </c>
      <c r="J54" s="9">
        <f t="shared" si="6"/>
        <v>6.57019759194013E-4</v>
      </c>
    </row>
    <row r="55" spans="2:20">
      <c r="B55" s="9">
        <v>2.36</v>
      </c>
      <c r="C55" s="5">
        <v>37.799999999999997</v>
      </c>
      <c r="D55" s="42">
        <f t="shared" si="0"/>
        <v>-1.8850000000000193</v>
      </c>
      <c r="E55" s="9">
        <f t="shared" si="1"/>
        <v>3.5532250000000727</v>
      </c>
      <c r="F55" s="5">
        <f t="shared" si="2"/>
        <v>-0.39050000000000029</v>
      </c>
      <c r="G55" s="43">
        <f t="shared" si="3"/>
        <v>0.73609250000000814</v>
      </c>
      <c r="H55" s="40">
        <f t="shared" si="4"/>
        <v>2.7414093005214846</v>
      </c>
      <c r="I55" s="43">
        <f t="shared" si="5"/>
        <v>0.14547305452428821</v>
      </c>
      <c r="J55" s="9">
        <f t="shared" si="6"/>
        <v>8.2640817008683724E-5</v>
      </c>
    </row>
    <row r="56" spans="2:20">
      <c r="B56" s="9">
        <v>2.3199999999999998</v>
      </c>
      <c r="C56" s="5">
        <v>41.4</v>
      </c>
      <c r="D56" s="42">
        <f t="shared" si="0"/>
        <v>1.7149999999999821</v>
      </c>
      <c r="E56" s="9">
        <f t="shared" si="1"/>
        <v>2.9412249999999385</v>
      </c>
      <c r="F56" s="5">
        <f t="shared" si="2"/>
        <v>-0.43050000000000033</v>
      </c>
      <c r="G56" s="43">
        <f t="shared" si="3"/>
        <v>-0.7383074999999929</v>
      </c>
      <c r="H56" s="40">
        <f t="shared" si="4"/>
        <v>2.7587708485971643</v>
      </c>
      <c r="I56" s="43">
        <f t="shared" si="5"/>
        <v>0.19251985757867579</v>
      </c>
      <c r="J56" s="9">
        <f t="shared" si="6"/>
        <v>6.8406936517211256E-5</v>
      </c>
    </row>
    <row r="57" spans="2:20">
      <c r="B57" s="9">
        <v>2.76</v>
      </c>
      <c r="C57" s="5">
        <v>44.8</v>
      </c>
      <c r="D57" s="42">
        <f t="shared" si="0"/>
        <v>5.1149999999999807</v>
      </c>
      <c r="E57" s="9">
        <f t="shared" si="1"/>
        <v>26.163224999999802</v>
      </c>
      <c r="F57" s="5">
        <f t="shared" si="2"/>
        <v>9.4999999999996199E-3</v>
      </c>
      <c r="G57" s="43">
        <f t="shared" si="3"/>
        <v>4.8592499999997874E-2</v>
      </c>
      <c r="H57" s="40">
        <f t="shared" si="4"/>
        <v>2.7751678662241952</v>
      </c>
      <c r="I57" s="43">
        <f t="shared" si="5"/>
        <v>2.3006416579508807E-4</v>
      </c>
      <c r="J57" s="9">
        <f t="shared" si="6"/>
        <v>6.0850362405478217E-4</v>
      </c>
    </row>
    <row r="58" spans="2:20">
      <c r="B58" s="9">
        <v>2.86</v>
      </c>
      <c r="C58" s="5">
        <v>40.799999999999997</v>
      </c>
      <c r="D58" s="42">
        <f t="shared" si="0"/>
        <v>1.1149999999999807</v>
      </c>
      <c r="E58" s="9">
        <f t="shared" si="1"/>
        <v>1.2432249999999569</v>
      </c>
      <c r="F58" s="5">
        <f t="shared" si="2"/>
        <v>0.10949999999999971</v>
      </c>
      <c r="G58" s="43">
        <f t="shared" si="3"/>
        <v>0.12209249999999756</v>
      </c>
      <c r="H58" s="40">
        <f t="shared" si="4"/>
        <v>2.7558772572512176</v>
      </c>
      <c r="I58" s="43">
        <f t="shared" si="5"/>
        <v>1.0841545557529099E-2</v>
      </c>
      <c r="J58" s="9">
        <f t="shared" si="6"/>
        <v>2.8914895545770155E-5</v>
      </c>
      <c r="L58" s="32"/>
      <c r="M58" s="32"/>
      <c r="N58" s="32"/>
      <c r="O58" s="32"/>
      <c r="P58" s="32"/>
      <c r="Q58" s="32"/>
      <c r="R58" s="32"/>
      <c r="S58" s="32"/>
      <c r="T58" s="32"/>
    </row>
    <row r="59" spans="2:20">
      <c r="B59" s="9">
        <v>3.16</v>
      </c>
      <c r="C59" s="5">
        <v>37.9</v>
      </c>
      <c r="D59" s="42">
        <f t="shared" si="0"/>
        <v>-1.7850000000000179</v>
      </c>
      <c r="E59" s="9">
        <f t="shared" si="1"/>
        <v>3.1862250000000638</v>
      </c>
      <c r="F59" s="5">
        <f t="shared" si="2"/>
        <v>0.40949999999999998</v>
      </c>
      <c r="G59" s="43">
        <f t="shared" si="3"/>
        <v>-0.73095750000000725</v>
      </c>
      <c r="H59" s="40">
        <f t="shared" si="4"/>
        <v>2.7418915657458087</v>
      </c>
      <c r="I59" s="43">
        <f t="shared" si="5"/>
        <v>0.17481466279449151</v>
      </c>
      <c r="J59" s="9">
        <f t="shared" si="6"/>
        <v>7.4105140308736603E-5</v>
      </c>
      <c r="L59" s="32"/>
      <c r="M59" s="32"/>
      <c r="N59" s="32"/>
      <c r="O59" s="32"/>
      <c r="P59" s="32"/>
      <c r="Q59" s="32"/>
      <c r="R59" s="32"/>
      <c r="S59" s="32"/>
      <c r="T59" s="32"/>
    </row>
    <row r="60" spans="2:20">
      <c r="B60" s="9">
        <v>2.99</v>
      </c>
      <c r="C60" s="5">
        <v>40.799999999999997</v>
      </c>
      <c r="D60" s="42">
        <f t="shared" si="0"/>
        <v>1.1149999999999807</v>
      </c>
      <c r="E60" s="9">
        <f t="shared" si="1"/>
        <v>1.2432249999999569</v>
      </c>
      <c r="F60" s="5">
        <f t="shared" si="2"/>
        <v>0.23950000000000005</v>
      </c>
      <c r="G60" s="43">
        <f t="shared" si="3"/>
        <v>0.26704249999999541</v>
      </c>
      <c r="H60" s="40">
        <f t="shared" si="4"/>
        <v>2.7558772572512176</v>
      </c>
      <c r="I60" s="43">
        <f t="shared" si="5"/>
        <v>5.4813458672212656E-2</v>
      </c>
      <c r="J60" s="9">
        <f t="shared" si="6"/>
        <v>2.8914895545770155E-5</v>
      </c>
      <c r="L60" s="34"/>
      <c r="M60" s="34"/>
      <c r="N60" s="32"/>
      <c r="O60" s="32"/>
      <c r="P60" s="32"/>
      <c r="Q60" s="32"/>
      <c r="R60" s="32"/>
      <c r="S60" s="32"/>
      <c r="T60" s="32"/>
    </row>
    <row r="61" spans="2:20">
      <c r="B61" s="9">
        <v>3.13</v>
      </c>
      <c r="C61" s="5">
        <v>36.799999999999997</v>
      </c>
      <c r="D61" s="42">
        <f t="shared" si="0"/>
        <v>-2.8850000000000193</v>
      </c>
      <c r="E61" s="9">
        <f t="shared" si="1"/>
        <v>8.3232250000001109</v>
      </c>
      <c r="F61" s="5">
        <f t="shared" si="2"/>
        <v>0.37949999999999973</v>
      </c>
      <c r="G61" s="43">
        <f t="shared" si="3"/>
        <v>-1.0948575000000065</v>
      </c>
      <c r="H61" s="40">
        <f t="shared" si="4"/>
        <v>2.7365866482782399</v>
      </c>
      <c r="I61" s="43">
        <f t="shared" si="5"/>
        <v>0.15477406531294921</v>
      </c>
      <c r="J61" s="9">
        <f t="shared" si="6"/>
        <v>1.9358135613340823E-4</v>
      </c>
      <c r="L61" s="1"/>
      <c r="M61" s="1"/>
      <c r="N61" s="32"/>
      <c r="O61" s="32"/>
      <c r="P61" s="32"/>
      <c r="Q61" s="32"/>
      <c r="R61" s="32"/>
      <c r="S61" s="32"/>
      <c r="T61" s="32"/>
    </row>
    <row r="62" spans="2:20">
      <c r="B62" s="9">
        <v>2.59</v>
      </c>
      <c r="C62" s="5">
        <v>35.200000000000003</v>
      </c>
      <c r="D62" s="42">
        <f t="shared" si="0"/>
        <v>-4.4850000000000136</v>
      </c>
      <c r="E62" s="9">
        <f t="shared" si="1"/>
        <v>20.115225000000123</v>
      </c>
      <c r="F62" s="5">
        <f t="shared" si="2"/>
        <v>-0.16050000000000031</v>
      </c>
      <c r="G62" s="43">
        <f t="shared" si="3"/>
        <v>0.7198425000000036</v>
      </c>
      <c r="H62" s="40">
        <f t="shared" si="4"/>
        <v>2.7288704046890491</v>
      </c>
      <c r="I62" s="43">
        <f t="shared" si="5"/>
        <v>1.92849892985003E-2</v>
      </c>
      <c r="J62" s="9">
        <f t="shared" si="6"/>
        <v>4.678393933155178E-4</v>
      </c>
      <c r="L62" s="1"/>
      <c r="M62" s="1"/>
      <c r="N62" s="32"/>
      <c r="O62" s="32"/>
      <c r="P62" s="32"/>
      <c r="Q62" s="32"/>
      <c r="R62" s="32"/>
      <c r="S62" s="32"/>
      <c r="T62" s="32"/>
    </row>
    <row r="63" spans="2:20">
      <c r="B63" s="9">
        <v>3.12</v>
      </c>
      <c r="C63" s="5">
        <v>36.799999999999997</v>
      </c>
      <c r="D63" s="42">
        <f t="shared" si="0"/>
        <v>-2.8850000000000193</v>
      </c>
      <c r="E63" s="9">
        <f t="shared" si="1"/>
        <v>8.3232250000001109</v>
      </c>
      <c r="F63" s="5">
        <f t="shared" si="2"/>
        <v>0.36949999999999994</v>
      </c>
      <c r="G63" s="43">
        <f t="shared" si="3"/>
        <v>-1.0660075000000069</v>
      </c>
      <c r="H63" s="40">
        <f t="shared" si="4"/>
        <v>2.7365866482782399</v>
      </c>
      <c r="I63" s="43">
        <f t="shared" si="5"/>
        <v>0.14700579827851418</v>
      </c>
      <c r="J63" s="9">
        <f t="shared" si="6"/>
        <v>1.9358135613340823E-4</v>
      </c>
      <c r="L63" s="1"/>
      <c r="M63" s="1"/>
      <c r="N63" s="32"/>
      <c r="O63" s="32"/>
      <c r="P63" s="32"/>
      <c r="Q63" s="32"/>
      <c r="R63" s="32"/>
      <c r="S63" s="32"/>
      <c r="T63" s="32"/>
    </row>
    <row r="64" spans="2:20">
      <c r="L64" s="1"/>
      <c r="M64" s="1"/>
      <c r="N64" s="32"/>
      <c r="O64" s="32"/>
      <c r="P64" s="32"/>
      <c r="Q64" s="32"/>
      <c r="R64" s="32"/>
      <c r="S64" s="32"/>
      <c r="T64" s="32"/>
    </row>
    <row r="65" spans="2:20">
      <c r="B65" s="12" t="s">
        <v>55</v>
      </c>
      <c r="C65" s="11">
        <f>AVERAGE(C4:C63)</f>
        <v>39.685000000000016</v>
      </c>
      <c r="H65" s="12" t="s">
        <v>16</v>
      </c>
      <c r="I65" s="11">
        <f>C70/C81</f>
        <v>0.41514413617355261</v>
      </c>
      <c r="L65" s="1"/>
      <c r="M65" s="1"/>
      <c r="N65" s="32"/>
      <c r="O65" s="32"/>
      <c r="P65" s="32"/>
      <c r="Q65" s="32"/>
      <c r="R65" s="32"/>
      <c r="S65" s="32"/>
      <c r="T65" s="32"/>
    </row>
    <row r="66" spans="2:20">
      <c r="B66" s="12" t="s">
        <v>56</v>
      </c>
      <c r="C66" s="11">
        <f>AVERAGE(B4:B63)</f>
        <v>2.7505000000000002</v>
      </c>
      <c r="H66" s="12" t="s">
        <v>71</v>
      </c>
      <c r="I66" s="11">
        <f>_xlfn.T.DIST.2T(I65,(60-2))</f>
        <v>0.67956812865573246</v>
      </c>
      <c r="L66" s="32"/>
      <c r="M66" s="32"/>
      <c r="N66" s="32"/>
      <c r="O66" s="32"/>
      <c r="P66" s="32"/>
      <c r="Q66" s="32"/>
      <c r="R66" s="32"/>
      <c r="S66" s="32"/>
      <c r="T66" s="32"/>
    </row>
    <row r="67" spans="2:20">
      <c r="B67" s="12" t="s">
        <v>75</v>
      </c>
      <c r="C67" s="11">
        <f>SUM(G4:G63)</f>
        <v>2.8534499999999916</v>
      </c>
      <c r="H67" s="6" t="s">
        <v>54</v>
      </c>
      <c r="I67" s="11">
        <f>1-I66</f>
        <v>0.32043187134426754</v>
      </c>
      <c r="L67" s="32"/>
      <c r="M67" s="32"/>
      <c r="N67" s="32"/>
      <c r="O67" s="32"/>
      <c r="P67" s="32"/>
      <c r="Q67" s="32"/>
      <c r="R67" s="32"/>
      <c r="S67" s="32"/>
      <c r="T67" s="32"/>
    </row>
    <row r="68" spans="2:20">
      <c r="B68" s="12" t="s">
        <v>62</v>
      </c>
      <c r="C68" s="11">
        <f>SUM(E4:E63)</f>
        <v>591.67649999999981</v>
      </c>
      <c r="L68" s="26"/>
      <c r="M68" s="26"/>
      <c r="N68" s="26"/>
      <c r="O68" s="26"/>
      <c r="P68" s="26"/>
      <c r="Q68" s="26"/>
      <c r="R68" s="32"/>
      <c r="S68" s="32"/>
      <c r="T68" s="32"/>
    </row>
    <row r="69" spans="2:20">
      <c r="H69" s="12" t="s">
        <v>20</v>
      </c>
      <c r="I69" s="11">
        <f>C79/C76</f>
        <v>0.17234465379928499</v>
      </c>
      <c r="L69" s="1"/>
      <c r="M69" s="1"/>
      <c r="N69" s="1"/>
      <c r="O69" s="1"/>
      <c r="P69" s="1"/>
      <c r="Q69" s="1"/>
      <c r="R69" s="32"/>
      <c r="S69" s="32"/>
      <c r="T69" s="32"/>
    </row>
    <row r="70" spans="2:20">
      <c r="B70" s="12" t="s">
        <v>60</v>
      </c>
      <c r="C70" s="11">
        <f>C67/C68</f>
        <v>4.8226522432443953E-3</v>
      </c>
      <c r="H70" s="12" t="s">
        <v>71</v>
      </c>
      <c r="I70" s="11">
        <f>_xlfn.F.DIST.RT(I69,1,(60-2))</f>
        <v>0.67956812865573268</v>
      </c>
      <c r="L70" s="1"/>
      <c r="M70" s="1"/>
      <c r="N70" s="1"/>
      <c r="O70" s="1"/>
      <c r="P70" s="1"/>
      <c r="Q70" s="1"/>
      <c r="R70" s="32"/>
      <c r="S70" s="32"/>
      <c r="T70" s="32"/>
    </row>
    <row r="71" spans="2:20">
      <c r="B71" s="12" t="s">
        <v>61</v>
      </c>
      <c r="C71" s="11">
        <f>C66-(C70*C65)</f>
        <v>2.5591130457268463</v>
      </c>
      <c r="H71" s="6" t="s">
        <v>100</v>
      </c>
      <c r="I71" s="11">
        <f>1-I70</f>
        <v>0.32043187134426732</v>
      </c>
      <c r="L71" s="1"/>
      <c r="M71" s="1"/>
      <c r="N71" s="1"/>
      <c r="O71" s="1"/>
      <c r="P71" s="1"/>
      <c r="Q71" s="1"/>
      <c r="R71" s="32"/>
      <c r="S71" s="32"/>
      <c r="T71" s="32"/>
    </row>
    <row r="72" spans="2:20">
      <c r="L72" s="32"/>
      <c r="M72" s="32"/>
      <c r="N72" s="32"/>
      <c r="O72" s="32"/>
      <c r="P72" s="32"/>
      <c r="Q72" s="32"/>
      <c r="R72" s="32"/>
      <c r="S72" s="32"/>
      <c r="T72" s="32"/>
    </row>
    <row r="73" spans="2:20">
      <c r="B73" s="6" t="s">
        <v>98</v>
      </c>
      <c r="C73" s="11" t="s">
        <v>99</v>
      </c>
      <c r="D73" s="11"/>
      <c r="E73" s="11"/>
      <c r="F73" s="11"/>
      <c r="G73" s="11"/>
      <c r="L73" s="26"/>
      <c r="M73" s="26"/>
      <c r="N73" s="26"/>
      <c r="O73" s="26"/>
      <c r="P73" s="26"/>
      <c r="Q73" s="26"/>
      <c r="R73" s="26"/>
      <c r="S73" s="26"/>
      <c r="T73" s="26"/>
    </row>
    <row r="74" spans="2:20"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12" t="s">
        <v>63</v>
      </c>
      <c r="C75" s="11">
        <f>SUM(I4:I63)</f>
        <v>4.6311238029565143</v>
      </c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12" t="s">
        <v>70</v>
      </c>
      <c r="C76" s="11">
        <f>C75/(60-2)</f>
        <v>7.9846962119939899E-2</v>
      </c>
      <c r="L76" s="32"/>
      <c r="M76" s="32"/>
      <c r="N76" s="32"/>
      <c r="O76" s="32"/>
      <c r="P76" s="32"/>
      <c r="Q76" s="32"/>
      <c r="R76" s="32"/>
      <c r="S76" s="32"/>
      <c r="T76" s="32"/>
    </row>
    <row r="77" spans="2:20">
      <c r="B77" s="12" t="s">
        <v>4</v>
      </c>
      <c r="C77" s="11">
        <f>SQRT(C76)</f>
        <v>0.28257204766207838</v>
      </c>
      <c r="L77" s="32"/>
      <c r="M77" s="32"/>
      <c r="N77" s="32"/>
      <c r="O77" s="32"/>
      <c r="P77" s="32"/>
      <c r="Q77" s="32"/>
      <c r="R77" s="32"/>
      <c r="S77" s="32"/>
      <c r="T77" s="32"/>
    </row>
    <row r="78" spans="2:20">
      <c r="B78" s="12" t="s">
        <v>67</v>
      </c>
      <c r="C78" s="11">
        <f>SUM(J4:J63)</f>
        <v>1.3761197043485664E-2</v>
      </c>
      <c r="L78" s="32"/>
      <c r="M78" s="32"/>
      <c r="N78" s="32"/>
      <c r="O78" s="32"/>
      <c r="P78" s="32"/>
      <c r="Q78" s="32"/>
      <c r="R78" s="32"/>
      <c r="S78" s="32"/>
      <c r="T78" s="32"/>
    </row>
    <row r="79" spans="2:20">
      <c r="B79" s="12" t="s">
        <v>72</v>
      </c>
      <c r="C79" s="11">
        <f>C78/1</f>
        <v>1.3761197043485664E-2</v>
      </c>
    </row>
    <row r="80" spans="2:20">
      <c r="B80" s="12" t="s">
        <v>64</v>
      </c>
      <c r="C80" s="11">
        <f>C75+C78</f>
        <v>4.6448850000000004</v>
      </c>
    </row>
    <row r="81" spans="2:3">
      <c r="B81" s="12" t="s">
        <v>73</v>
      </c>
      <c r="C81" s="11">
        <f>C77/SQRT(C68)</f>
        <v>1.1616814072566515E-2</v>
      </c>
    </row>
    <row r="83" spans="2:3">
      <c r="B83" s="6" t="s">
        <v>87</v>
      </c>
      <c r="C83" s="11">
        <f>C78/C80</f>
        <v>2.9626561354017728E-3</v>
      </c>
    </row>
    <row r="85" spans="2:3">
      <c r="B85" s="6" t="s">
        <v>68</v>
      </c>
      <c r="C85" s="11">
        <f>SQRT(C83)</f>
        <v>5.443028693109906E-2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 Data</vt:lpstr>
      <vt:lpstr>T Test for Pricing Means</vt:lpstr>
      <vt:lpstr>Eagle Mean Price Interval</vt:lpstr>
      <vt:lpstr>Competitor Mean Price Interval</vt:lpstr>
      <vt:lpstr>F Test for Pricing Variance</vt:lpstr>
      <vt:lpstr>Eagle &amp; Comp Price Collinearity</vt:lpstr>
      <vt:lpstr>Price &amp; Promo Collinearity</vt:lpstr>
      <vt:lpstr>Com Price &amp; Promo Collinearity</vt:lpstr>
      <vt:lpstr>Income and Price Collinearity</vt:lpstr>
      <vt:lpstr>Income &amp; Com Price Collinearity</vt:lpstr>
      <vt:lpstr>Income and Promo Collinearity</vt:lpstr>
      <vt:lpstr>Competitor Price Regression</vt:lpstr>
      <vt:lpstr>Eagle Price Regression</vt:lpstr>
      <vt:lpstr>Revised Multiple Regression</vt:lpstr>
      <vt:lpstr>Proportion Over $.50 Difference</vt:lpstr>
      <vt:lpstr>Mean Gross Sales Interval</vt:lpstr>
      <vt:lpstr>Promotional Budget 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HistData</dc:title>
  <dc:creator>Christopher Smith and QI Macros</dc:creator>
  <dc:description>_x000d_
Charts created with QI Macros for Excel_x000d_
www.qimacros.com</dc:description>
  <cp:lastModifiedBy>Shruthi Sreenivasamurthy</cp:lastModifiedBy>
  <dcterms:created xsi:type="dcterms:W3CDTF">2018-03-06T14:22:23Z</dcterms:created>
  <dcterms:modified xsi:type="dcterms:W3CDTF">2019-06-20T16:48:46Z</dcterms:modified>
</cp:coreProperties>
</file>