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bhabrataroy/Desktop/eMBA/Final Thesis/"/>
    </mc:Choice>
  </mc:AlternateContent>
  <xr:revisionPtr revIDLastSave="0" documentId="8_{07C0DB78-C9DC-5049-9B06-5E6A1998A784}" xr6:coauthVersionLast="47" xr6:coauthVersionMax="47" xr10:uidLastSave="{00000000-0000-0000-0000-000000000000}"/>
  <bookViews>
    <workbookView xWindow="0" yWindow="500" windowWidth="28800" windowHeight="16500" activeTab="6" xr2:uid="{00000000-000D-0000-FFFF-FFFF00000000}"/>
  </bookViews>
  <sheets>
    <sheet name="costs 2022" sheetId="1" r:id="rId1"/>
    <sheet name="costs 2023" sheetId="9" r:id="rId2"/>
    <sheet name="costs 2024" sheetId="10" r:id="rId3"/>
    <sheet name="costs 2025" sheetId="11" r:id="rId4"/>
    <sheet name="revenue 2023" sheetId="13" r:id="rId5"/>
    <sheet name="revenue 2024" sheetId="6" r:id="rId6"/>
    <sheet name="revenue 2025" sheetId="7" r:id="rId7"/>
    <sheet name="overview" sheetId="14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7" l="1"/>
  <c r="B10" i="7"/>
  <c r="B14" i="6"/>
  <c r="C14" i="6" s="1"/>
  <c r="B6" i="7"/>
  <c r="B6" i="6"/>
  <c r="B6" i="13"/>
  <c r="M19" i="7"/>
  <c r="M20" i="7" s="1"/>
  <c r="L19" i="7"/>
  <c r="K19" i="7"/>
  <c r="J19" i="7"/>
  <c r="I19" i="7"/>
  <c r="H19" i="7"/>
  <c r="G19" i="7"/>
  <c r="F19" i="7"/>
  <c r="E19" i="7"/>
  <c r="D19" i="7"/>
  <c r="C19" i="7"/>
  <c r="B19" i="7"/>
  <c r="B13" i="7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G16" i="10"/>
  <c r="F16" i="10"/>
  <c r="O11" i="11"/>
  <c r="N11" i="11"/>
  <c r="T10" i="11"/>
  <c r="K10" i="11"/>
  <c r="R14" i="10"/>
  <c r="N14" i="10"/>
  <c r="F14" i="10"/>
  <c r="D14" i="10"/>
  <c r="P14" i="10" s="1"/>
  <c r="D15" i="11"/>
  <c r="T15" i="11" s="1"/>
  <c r="B43" i="11"/>
  <c r="T42" i="11"/>
  <c r="S42" i="11"/>
  <c r="R42" i="11"/>
  <c r="P42" i="11"/>
  <c r="O42" i="11"/>
  <c r="N42" i="11"/>
  <c r="L42" i="11"/>
  <c r="K42" i="11"/>
  <c r="J42" i="11"/>
  <c r="H42" i="11"/>
  <c r="G42" i="11"/>
  <c r="F42" i="11"/>
  <c r="I42" i="11" s="1"/>
  <c r="T41" i="11"/>
  <c r="S41" i="11"/>
  <c r="S43" i="11" s="1"/>
  <c r="R41" i="11"/>
  <c r="P41" i="11"/>
  <c r="O41" i="11"/>
  <c r="O43" i="11" s="1"/>
  <c r="N41" i="11"/>
  <c r="L41" i="11"/>
  <c r="K41" i="11"/>
  <c r="J41" i="11"/>
  <c r="H41" i="11"/>
  <c r="H43" i="11" s="1"/>
  <c r="G41" i="11"/>
  <c r="F41" i="11"/>
  <c r="B35" i="11"/>
  <c r="T34" i="11"/>
  <c r="S34" i="11"/>
  <c r="R34" i="11"/>
  <c r="U34" i="11" s="1"/>
  <c r="P34" i="11"/>
  <c r="O34" i="11"/>
  <c r="N34" i="11"/>
  <c r="L34" i="11"/>
  <c r="K34" i="11"/>
  <c r="J34" i="11"/>
  <c r="H34" i="11"/>
  <c r="G34" i="11"/>
  <c r="F34" i="11"/>
  <c r="T33" i="11"/>
  <c r="S33" i="11"/>
  <c r="R33" i="11"/>
  <c r="P33" i="11"/>
  <c r="O33" i="11"/>
  <c r="N33" i="11"/>
  <c r="L33" i="11"/>
  <c r="K33" i="11"/>
  <c r="J33" i="11"/>
  <c r="H33" i="11"/>
  <c r="G33" i="11"/>
  <c r="F33" i="11"/>
  <c r="T32" i="11"/>
  <c r="S32" i="11"/>
  <c r="R32" i="11"/>
  <c r="P32" i="11"/>
  <c r="O32" i="11"/>
  <c r="N32" i="11"/>
  <c r="L32" i="11"/>
  <c r="K32" i="11"/>
  <c r="J32" i="11"/>
  <c r="H32" i="11"/>
  <c r="G32" i="11"/>
  <c r="F32" i="11"/>
  <c r="T31" i="11"/>
  <c r="S31" i="11"/>
  <c r="R31" i="11"/>
  <c r="P31" i="11"/>
  <c r="O31" i="11"/>
  <c r="N31" i="11"/>
  <c r="L31" i="11"/>
  <c r="K31" i="11"/>
  <c r="J31" i="11"/>
  <c r="H31" i="11"/>
  <c r="G31" i="11"/>
  <c r="F31" i="11"/>
  <c r="B26" i="11"/>
  <c r="T25" i="11"/>
  <c r="S25" i="11"/>
  <c r="R25" i="11"/>
  <c r="P25" i="11"/>
  <c r="O25" i="11"/>
  <c r="N25" i="11"/>
  <c r="L25" i="11"/>
  <c r="K25" i="11"/>
  <c r="J25" i="11"/>
  <c r="H25" i="11"/>
  <c r="G25" i="11"/>
  <c r="F25" i="11"/>
  <c r="T24" i="11"/>
  <c r="S24" i="11"/>
  <c r="R24" i="11"/>
  <c r="P24" i="11"/>
  <c r="O24" i="11"/>
  <c r="N24" i="11"/>
  <c r="Q24" i="11" s="1"/>
  <c r="L24" i="11"/>
  <c r="K24" i="11"/>
  <c r="J24" i="11"/>
  <c r="H24" i="11"/>
  <c r="G24" i="11"/>
  <c r="F24" i="11"/>
  <c r="T23" i="11"/>
  <c r="S23" i="11"/>
  <c r="R23" i="11"/>
  <c r="P23" i="11"/>
  <c r="O23" i="11"/>
  <c r="N23" i="11"/>
  <c r="L23" i="11"/>
  <c r="K23" i="11"/>
  <c r="J23" i="11"/>
  <c r="H23" i="11"/>
  <c r="G23" i="11"/>
  <c r="F23" i="11"/>
  <c r="T22" i="11"/>
  <c r="S22" i="11"/>
  <c r="R22" i="11"/>
  <c r="R26" i="11" s="1"/>
  <c r="P22" i="11"/>
  <c r="O22" i="11"/>
  <c r="N22" i="11"/>
  <c r="L22" i="11"/>
  <c r="K22" i="11"/>
  <c r="J22" i="11"/>
  <c r="H22" i="11"/>
  <c r="G22" i="11"/>
  <c r="G26" i="11" s="1"/>
  <c r="F22" i="11"/>
  <c r="B16" i="11"/>
  <c r="D14" i="11"/>
  <c r="S14" i="11" s="1"/>
  <c r="D13" i="11"/>
  <c r="T13" i="11" s="1"/>
  <c r="D12" i="11"/>
  <c r="O12" i="11" s="1"/>
  <c r="D11" i="11"/>
  <c r="L11" i="11" s="1"/>
  <c r="D10" i="11"/>
  <c r="S10" i="11" s="1"/>
  <c r="J9" i="11"/>
  <c r="D9" i="11"/>
  <c r="S9" i="11" s="1"/>
  <c r="D8" i="11"/>
  <c r="T8" i="11" s="1"/>
  <c r="D7" i="11"/>
  <c r="O7" i="11" s="1"/>
  <c r="D6" i="11"/>
  <c r="P6" i="11" s="1"/>
  <c r="B10" i="6"/>
  <c r="C10" i="6"/>
  <c r="D10" i="6" s="1"/>
  <c r="E10" i="6" s="1"/>
  <c r="F10" i="6" s="1"/>
  <c r="G10" i="6" s="1"/>
  <c r="H10" i="6" s="1"/>
  <c r="I10" i="6" s="1"/>
  <c r="J10" i="6" s="1"/>
  <c r="K10" i="6" s="1"/>
  <c r="L10" i="6" s="1"/>
  <c r="M10" i="6" s="1"/>
  <c r="M19" i="6"/>
  <c r="M20" i="6" s="1"/>
  <c r="L19" i="6"/>
  <c r="L20" i="6" s="1"/>
  <c r="K19" i="6"/>
  <c r="K20" i="6" s="1"/>
  <c r="J19" i="6"/>
  <c r="J20" i="6" s="1"/>
  <c r="I19" i="6"/>
  <c r="I20" i="6" s="1"/>
  <c r="H19" i="6"/>
  <c r="H20" i="6" s="1"/>
  <c r="G19" i="6"/>
  <c r="F19" i="6"/>
  <c r="E19" i="6"/>
  <c r="E20" i="6" s="1"/>
  <c r="D19" i="6"/>
  <c r="D20" i="6" s="1"/>
  <c r="C19" i="6"/>
  <c r="C20" i="6" s="1"/>
  <c r="B19" i="6"/>
  <c r="B20" i="6" s="1"/>
  <c r="B13" i="6"/>
  <c r="D13" i="10"/>
  <c r="R13" i="10" s="1"/>
  <c r="D12" i="10"/>
  <c r="D11" i="10"/>
  <c r="N11" i="10" s="1"/>
  <c r="D10" i="10"/>
  <c r="S10" i="10" s="1"/>
  <c r="D9" i="10"/>
  <c r="D8" i="10"/>
  <c r="R8" i="10" s="1"/>
  <c r="D7" i="10"/>
  <c r="J7" i="10" s="1"/>
  <c r="I10" i="13"/>
  <c r="J10" i="13" s="1"/>
  <c r="K10" i="13" s="1"/>
  <c r="L10" i="13" s="1"/>
  <c r="M10" i="13" s="1"/>
  <c r="D9" i="9"/>
  <c r="O9" i="9" s="1"/>
  <c r="D10" i="9"/>
  <c r="O10" i="9" s="1"/>
  <c r="D12" i="9"/>
  <c r="T12" i="9" s="1"/>
  <c r="D11" i="9"/>
  <c r="K11" i="9" s="1"/>
  <c r="D8" i="9"/>
  <c r="G8" i="9" s="1"/>
  <c r="D7" i="9"/>
  <c r="K7" i="9" s="1"/>
  <c r="D6" i="9"/>
  <c r="T6" i="9" s="1"/>
  <c r="T28" i="1"/>
  <c r="S28" i="1"/>
  <c r="R28" i="1"/>
  <c r="T27" i="1"/>
  <c r="S27" i="1"/>
  <c r="R27" i="1"/>
  <c r="M19" i="13"/>
  <c r="M20" i="13" s="1"/>
  <c r="L19" i="13"/>
  <c r="L20" i="13" s="1"/>
  <c r="K19" i="13"/>
  <c r="K20" i="13" s="1"/>
  <c r="J19" i="13"/>
  <c r="J20" i="13" s="1"/>
  <c r="I19" i="13"/>
  <c r="I20" i="13" s="1"/>
  <c r="H19" i="13"/>
  <c r="H20" i="13" s="1"/>
  <c r="B42" i="10"/>
  <c r="T41" i="10"/>
  <c r="S41" i="10"/>
  <c r="R41" i="10"/>
  <c r="P41" i="10"/>
  <c r="O41" i="10"/>
  <c r="N41" i="10"/>
  <c r="L41" i="10"/>
  <c r="K41" i="10"/>
  <c r="J41" i="10"/>
  <c r="H41" i="10"/>
  <c r="G41" i="10"/>
  <c r="F41" i="10"/>
  <c r="I41" i="10" s="1"/>
  <c r="T40" i="10"/>
  <c r="S40" i="10"/>
  <c r="R40" i="10"/>
  <c r="P40" i="10"/>
  <c r="O40" i="10"/>
  <c r="N40" i="10"/>
  <c r="L40" i="10"/>
  <c r="K40" i="10"/>
  <c r="J40" i="10"/>
  <c r="H40" i="10"/>
  <c r="G40" i="10"/>
  <c r="F40" i="10"/>
  <c r="B34" i="10"/>
  <c r="T33" i="10"/>
  <c r="S33" i="10"/>
  <c r="R33" i="10"/>
  <c r="P33" i="10"/>
  <c r="O33" i="10"/>
  <c r="N33" i="10"/>
  <c r="L33" i="10"/>
  <c r="K33" i="10"/>
  <c r="J33" i="10"/>
  <c r="H33" i="10"/>
  <c r="G33" i="10"/>
  <c r="F33" i="10"/>
  <c r="T32" i="10"/>
  <c r="S32" i="10"/>
  <c r="R32" i="10"/>
  <c r="P32" i="10"/>
  <c r="O32" i="10"/>
  <c r="N32" i="10"/>
  <c r="L32" i="10"/>
  <c r="K32" i="10"/>
  <c r="J32" i="10"/>
  <c r="H32" i="10"/>
  <c r="G32" i="10"/>
  <c r="F32" i="10"/>
  <c r="T31" i="10"/>
  <c r="S31" i="10"/>
  <c r="R31" i="10"/>
  <c r="P31" i="10"/>
  <c r="O31" i="10"/>
  <c r="N31" i="10"/>
  <c r="L31" i="10"/>
  <c r="K31" i="10"/>
  <c r="J31" i="10"/>
  <c r="H31" i="10"/>
  <c r="G31" i="10"/>
  <c r="F31" i="10"/>
  <c r="T30" i="10"/>
  <c r="S30" i="10"/>
  <c r="R30" i="10"/>
  <c r="P30" i="10"/>
  <c r="O30" i="10"/>
  <c r="N30" i="10"/>
  <c r="L30" i="10"/>
  <c r="K30" i="10"/>
  <c r="J30" i="10"/>
  <c r="H30" i="10"/>
  <c r="G30" i="10"/>
  <c r="F30" i="10"/>
  <c r="B25" i="10"/>
  <c r="T24" i="10"/>
  <c r="S24" i="10"/>
  <c r="R24" i="10"/>
  <c r="P24" i="10"/>
  <c r="O24" i="10"/>
  <c r="N24" i="10"/>
  <c r="L24" i="10"/>
  <c r="K24" i="10"/>
  <c r="J24" i="10"/>
  <c r="H24" i="10"/>
  <c r="G24" i="10"/>
  <c r="F24" i="10"/>
  <c r="T23" i="10"/>
  <c r="S23" i="10"/>
  <c r="R23" i="10"/>
  <c r="P23" i="10"/>
  <c r="O23" i="10"/>
  <c r="N23" i="10"/>
  <c r="L23" i="10"/>
  <c r="K23" i="10"/>
  <c r="J23" i="10"/>
  <c r="H23" i="10"/>
  <c r="G23" i="10"/>
  <c r="F23" i="10"/>
  <c r="T22" i="10"/>
  <c r="S22" i="10"/>
  <c r="R22" i="10"/>
  <c r="P22" i="10"/>
  <c r="O22" i="10"/>
  <c r="N22" i="10"/>
  <c r="L22" i="10"/>
  <c r="K22" i="10"/>
  <c r="J22" i="10"/>
  <c r="H22" i="10"/>
  <c r="G22" i="10"/>
  <c r="F22" i="10"/>
  <c r="T21" i="10"/>
  <c r="S21" i="10"/>
  <c r="R21" i="10"/>
  <c r="P21" i="10"/>
  <c r="O21" i="10"/>
  <c r="N21" i="10"/>
  <c r="L21" i="10"/>
  <c r="K21" i="10"/>
  <c r="J21" i="10"/>
  <c r="H21" i="10"/>
  <c r="G21" i="10"/>
  <c r="F21" i="10"/>
  <c r="B15" i="10"/>
  <c r="T12" i="10"/>
  <c r="S12" i="10"/>
  <c r="R12" i="10"/>
  <c r="O12" i="10"/>
  <c r="N12" i="10"/>
  <c r="L12" i="10"/>
  <c r="K12" i="10"/>
  <c r="J12" i="10"/>
  <c r="G12" i="10"/>
  <c r="F12" i="10"/>
  <c r="P12" i="10"/>
  <c r="T9" i="10"/>
  <c r="L9" i="10"/>
  <c r="S9" i="10"/>
  <c r="D6" i="10"/>
  <c r="S6" i="10" s="1"/>
  <c r="B43" i="9"/>
  <c r="T42" i="9"/>
  <c r="S42" i="9"/>
  <c r="R42" i="9"/>
  <c r="P42" i="9"/>
  <c r="O42" i="9"/>
  <c r="N42" i="9"/>
  <c r="L42" i="9"/>
  <c r="K42" i="9"/>
  <c r="J42" i="9"/>
  <c r="H42" i="9"/>
  <c r="G42" i="9"/>
  <c r="F42" i="9"/>
  <c r="T41" i="9"/>
  <c r="S41" i="9"/>
  <c r="R41" i="9"/>
  <c r="P41" i="9"/>
  <c r="O41" i="9"/>
  <c r="N41" i="9"/>
  <c r="L41" i="9"/>
  <c r="K41" i="9"/>
  <c r="J41" i="9"/>
  <c r="H41" i="9"/>
  <c r="G41" i="9"/>
  <c r="F41" i="9"/>
  <c r="B35" i="9"/>
  <c r="T34" i="9"/>
  <c r="S34" i="9"/>
  <c r="R34" i="9"/>
  <c r="P34" i="9"/>
  <c r="O34" i="9"/>
  <c r="N34" i="9"/>
  <c r="L34" i="9"/>
  <c r="K34" i="9"/>
  <c r="J34" i="9"/>
  <c r="H34" i="9"/>
  <c r="G34" i="9"/>
  <c r="F34" i="9"/>
  <c r="T33" i="9"/>
  <c r="S33" i="9"/>
  <c r="R33" i="9"/>
  <c r="P33" i="9"/>
  <c r="O33" i="9"/>
  <c r="N33" i="9"/>
  <c r="L33" i="9"/>
  <c r="K33" i="9"/>
  <c r="J33" i="9"/>
  <c r="H33" i="9"/>
  <c r="G33" i="9"/>
  <c r="F33" i="9"/>
  <c r="T32" i="9"/>
  <c r="S32" i="9"/>
  <c r="R32" i="9"/>
  <c r="P32" i="9"/>
  <c r="O32" i="9"/>
  <c r="N32" i="9"/>
  <c r="L32" i="9"/>
  <c r="K32" i="9"/>
  <c r="J32" i="9"/>
  <c r="H32" i="9"/>
  <c r="G32" i="9"/>
  <c r="F32" i="9"/>
  <c r="T31" i="9"/>
  <c r="S31" i="9"/>
  <c r="R31" i="9"/>
  <c r="P31" i="9"/>
  <c r="O31" i="9"/>
  <c r="N31" i="9"/>
  <c r="L31" i="9"/>
  <c r="K31" i="9"/>
  <c r="J31" i="9"/>
  <c r="H31" i="9"/>
  <c r="G31" i="9"/>
  <c r="F31" i="9"/>
  <c r="B26" i="9"/>
  <c r="T25" i="9"/>
  <c r="S25" i="9"/>
  <c r="R25" i="9"/>
  <c r="P25" i="9"/>
  <c r="O25" i="9"/>
  <c r="N25" i="9"/>
  <c r="L25" i="9"/>
  <c r="K25" i="9"/>
  <c r="J25" i="9"/>
  <c r="H25" i="9"/>
  <c r="G25" i="9"/>
  <c r="F25" i="9"/>
  <c r="T24" i="9"/>
  <c r="S24" i="9"/>
  <c r="R24" i="9"/>
  <c r="P24" i="9"/>
  <c r="O24" i="9"/>
  <c r="N24" i="9"/>
  <c r="L24" i="9"/>
  <c r="K24" i="9"/>
  <c r="J24" i="9"/>
  <c r="H24" i="9"/>
  <c r="G24" i="9"/>
  <c r="F24" i="9"/>
  <c r="T23" i="9"/>
  <c r="S23" i="9"/>
  <c r="R23" i="9"/>
  <c r="P23" i="9"/>
  <c r="O23" i="9"/>
  <c r="N23" i="9"/>
  <c r="L23" i="9"/>
  <c r="K23" i="9"/>
  <c r="J23" i="9"/>
  <c r="H23" i="9"/>
  <c r="G23" i="9"/>
  <c r="F23" i="9"/>
  <c r="T22" i="9"/>
  <c r="S22" i="9"/>
  <c r="R22" i="9"/>
  <c r="P22" i="9"/>
  <c r="O22" i="9"/>
  <c r="N22" i="9"/>
  <c r="L22" i="9"/>
  <c r="K22" i="9"/>
  <c r="J22" i="9"/>
  <c r="H22" i="9"/>
  <c r="G22" i="9"/>
  <c r="F22" i="9"/>
  <c r="B16" i="9"/>
  <c r="D14" i="9"/>
  <c r="O14" i="9" s="1"/>
  <c r="D13" i="9"/>
  <c r="P13" i="9" s="1"/>
  <c r="L12" i="9"/>
  <c r="T11" i="9"/>
  <c r="R11" i="9"/>
  <c r="O11" i="9"/>
  <c r="N11" i="9"/>
  <c r="L11" i="9"/>
  <c r="J11" i="9"/>
  <c r="G11" i="9"/>
  <c r="F11" i="9"/>
  <c r="P11" i="9"/>
  <c r="J8" i="9"/>
  <c r="H8" i="9"/>
  <c r="L7" i="9"/>
  <c r="S6" i="9"/>
  <c r="B39" i="1"/>
  <c r="T38" i="1"/>
  <c r="S38" i="1"/>
  <c r="R38" i="1"/>
  <c r="P38" i="1"/>
  <c r="O38" i="1"/>
  <c r="N38" i="1"/>
  <c r="L38" i="1"/>
  <c r="K38" i="1"/>
  <c r="J38" i="1"/>
  <c r="H38" i="1"/>
  <c r="G38" i="1"/>
  <c r="F38" i="1"/>
  <c r="T37" i="1"/>
  <c r="S37" i="1"/>
  <c r="R37" i="1"/>
  <c r="P37" i="1"/>
  <c r="O37" i="1"/>
  <c r="N37" i="1"/>
  <c r="N39" i="1" s="1"/>
  <c r="L37" i="1"/>
  <c r="K37" i="1"/>
  <c r="J37" i="1"/>
  <c r="H37" i="1"/>
  <c r="G37" i="1"/>
  <c r="F37" i="1"/>
  <c r="B31" i="1"/>
  <c r="T30" i="1"/>
  <c r="S30" i="1"/>
  <c r="R30" i="1"/>
  <c r="P30" i="1"/>
  <c r="O30" i="1"/>
  <c r="N30" i="1"/>
  <c r="L30" i="1"/>
  <c r="K30" i="1"/>
  <c r="J30" i="1"/>
  <c r="H30" i="1"/>
  <c r="G30" i="1"/>
  <c r="F30" i="1"/>
  <c r="T29" i="1"/>
  <c r="S29" i="1"/>
  <c r="R29" i="1"/>
  <c r="P29" i="1"/>
  <c r="O29" i="1"/>
  <c r="N29" i="1"/>
  <c r="L29" i="1"/>
  <c r="K29" i="1"/>
  <c r="J29" i="1"/>
  <c r="H29" i="1"/>
  <c r="G29" i="1"/>
  <c r="F29" i="1"/>
  <c r="B22" i="1"/>
  <c r="T21" i="1"/>
  <c r="S21" i="1"/>
  <c r="R21" i="1"/>
  <c r="P21" i="1"/>
  <c r="O21" i="1"/>
  <c r="N21" i="1"/>
  <c r="L21" i="1"/>
  <c r="K21" i="1"/>
  <c r="J21" i="1"/>
  <c r="H21" i="1"/>
  <c r="G21" i="1"/>
  <c r="F21" i="1"/>
  <c r="T20" i="1"/>
  <c r="S20" i="1"/>
  <c r="R20" i="1"/>
  <c r="P20" i="1"/>
  <c r="O20" i="1"/>
  <c r="N20" i="1"/>
  <c r="L20" i="1"/>
  <c r="K20" i="1"/>
  <c r="J20" i="1"/>
  <c r="H20" i="1"/>
  <c r="G20" i="1"/>
  <c r="F20" i="1"/>
  <c r="B12" i="1"/>
  <c r="D10" i="1"/>
  <c r="S10" i="1" s="1"/>
  <c r="D9" i="1"/>
  <c r="R9" i="1" s="1"/>
  <c r="H8" i="1"/>
  <c r="G8" i="1"/>
  <c r="F8" i="1"/>
  <c r="D8" i="1"/>
  <c r="O8" i="1" s="1"/>
  <c r="D7" i="1"/>
  <c r="N7" i="1" s="1"/>
  <c r="D6" i="1"/>
  <c r="S6" i="1" s="1"/>
  <c r="D14" i="6" l="1"/>
  <c r="E14" i="6" s="1"/>
  <c r="F14" i="6" s="1"/>
  <c r="G14" i="6" s="1"/>
  <c r="H14" i="6" s="1"/>
  <c r="I14" i="6" s="1"/>
  <c r="J14" i="6" s="1"/>
  <c r="K14" i="6" s="1"/>
  <c r="L14" i="6" s="1"/>
  <c r="M14" i="6" s="1"/>
  <c r="C11" i="6"/>
  <c r="B11" i="6"/>
  <c r="B15" i="6"/>
  <c r="C12" i="6" s="1"/>
  <c r="F20" i="6"/>
  <c r="G20" i="6"/>
  <c r="F20" i="7"/>
  <c r="G20" i="7"/>
  <c r="H20" i="7"/>
  <c r="I20" i="7"/>
  <c r="B20" i="7"/>
  <c r="J20" i="7"/>
  <c r="K20" i="7"/>
  <c r="D20" i="7"/>
  <c r="L20" i="7"/>
  <c r="C20" i="7"/>
  <c r="E20" i="7"/>
  <c r="G14" i="10"/>
  <c r="S14" i="10"/>
  <c r="H14" i="10"/>
  <c r="T14" i="10"/>
  <c r="U14" i="10" s="1"/>
  <c r="J14" i="10"/>
  <c r="K14" i="10"/>
  <c r="I14" i="10"/>
  <c r="L14" i="10"/>
  <c r="O14" i="10"/>
  <c r="N10" i="11"/>
  <c r="G11" i="11"/>
  <c r="R11" i="11"/>
  <c r="U11" i="11" s="1"/>
  <c r="L10" i="11"/>
  <c r="F10" i="11"/>
  <c r="O10" i="11"/>
  <c r="Q10" i="11" s="1"/>
  <c r="H11" i="11"/>
  <c r="S11" i="11"/>
  <c r="F11" i="11"/>
  <c r="L35" i="11"/>
  <c r="K43" i="11"/>
  <c r="G10" i="11"/>
  <c r="P10" i="11"/>
  <c r="J11" i="11"/>
  <c r="M11" i="11" s="1"/>
  <c r="T11" i="11"/>
  <c r="P11" i="11"/>
  <c r="Q11" i="11" s="1"/>
  <c r="F15" i="11"/>
  <c r="H10" i="11"/>
  <c r="R10" i="11"/>
  <c r="U10" i="11" s="1"/>
  <c r="K11" i="11"/>
  <c r="H9" i="11"/>
  <c r="N15" i="11"/>
  <c r="J10" i="11"/>
  <c r="Q14" i="10"/>
  <c r="H13" i="10"/>
  <c r="O13" i="10"/>
  <c r="J13" i="10"/>
  <c r="P13" i="10"/>
  <c r="K34" i="10"/>
  <c r="J10" i="10"/>
  <c r="L10" i="10"/>
  <c r="H25" i="10"/>
  <c r="S25" i="10"/>
  <c r="G34" i="10"/>
  <c r="R34" i="10"/>
  <c r="M33" i="10"/>
  <c r="F42" i="10"/>
  <c r="T10" i="10"/>
  <c r="S34" i="10"/>
  <c r="G42" i="10"/>
  <c r="R42" i="10"/>
  <c r="G11" i="10"/>
  <c r="K25" i="10"/>
  <c r="J34" i="10"/>
  <c r="T34" i="10"/>
  <c r="H42" i="10"/>
  <c r="O11" i="10"/>
  <c r="R11" i="10"/>
  <c r="Q41" i="10"/>
  <c r="K10" i="10"/>
  <c r="F11" i="10"/>
  <c r="P11" i="10"/>
  <c r="N10" i="10"/>
  <c r="H11" i="10"/>
  <c r="S11" i="10"/>
  <c r="M22" i="10"/>
  <c r="O10" i="10"/>
  <c r="J11" i="10"/>
  <c r="T11" i="10"/>
  <c r="F10" i="10"/>
  <c r="P10" i="10"/>
  <c r="K11" i="10"/>
  <c r="O42" i="10"/>
  <c r="G10" i="10"/>
  <c r="R10" i="10"/>
  <c r="L11" i="10"/>
  <c r="P42" i="10"/>
  <c r="H10" i="10"/>
  <c r="U23" i="10"/>
  <c r="Q33" i="10"/>
  <c r="N25" i="10"/>
  <c r="L34" i="10"/>
  <c r="U33" i="10"/>
  <c r="U22" i="10"/>
  <c r="Q32" i="10"/>
  <c r="N42" i="10"/>
  <c r="G15" i="11"/>
  <c r="H15" i="11"/>
  <c r="K15" i="11"/>
  <c r="O15" i="11"/>
  <c r="P15" i="11"/>
  <c r="S15" i="11"/>
  <c r="J15" i="11"/>
  <c r="R15" i="11"/>
  <c r="L15" i="11"/>
  <c r="G6" i="11"/>
  <c r="H6" i="11"/>
  <c r="O35" i="11"/>
  <c r="R6" i="11"/>
  <c r="U24" i="11"/>
  <c r="S6" i="11"/>
  <c r="Q32" i="11"/>
  <c r="U33" i="11"/>
  <c r="Q34" i="11"/>
  <c r="N6" i="11"/>
  <c r="I32" i="11"/>
  <c r="M34" i="11"/>
  <c r="M25" i="11"/>
  <c r="H26" i="11"/>
  <c r="S26" i="11"/>
  <c r="G35" i="11"/>
  <c r="M22" i="11"/>
  <c r="M26" i="11" s="1"/>
  <c r="J35" i="11"/>
  <c r="P7" i="11"/>
  <c r="P17" i="11" s="1"/>
  <c r="U25" i="11"/>
  <c r="K35" i="11"/>
  <c r="J6" i="11"/>
  <c r="T6" i="11"/>
  <c r="F8" i="11"/>
  <c r="K9" i="11"/>
  <c r="G14" i="11"/>
  <c r="Q25" i="11"/>
  <c r="Q33" i="11"/>
  <c r="K6" i="11"/>
  <c r="H8" i="11"/>
  <c r="L9" i="11"/>
  <c r="H12" i="11"/>
  <c r="H14" i="11"/>
  <c r="I23" i="11"/>
  <c r="M32" i="11"/>
  <c r="L6" i="11"/>
  <c r="N8" i="11"/>
  <c r="N9" i="11"/>
  <c r="Q9" i="11" s="1"/>
  <c r="P12" i="11"/>
  <c r="L14" i="11"/>
  <c r="H35" i="11"/>
  <c r="S35" i="11"/>
  <c r="O9" i="11"/>
  <c r="T14" i="11"/>
  <c r="N26" i="11"/>
  <c r="G43" i="11"/>
  <c r="R43" i="11"/>
  <c r="F14" i="11"/>
  <c r="O6" i="11"/>
  <c r="O17" i="11" s="1"/>
  <c r="F9" i="11"/>
  <c r="P9" i="11"/>
  <c r="F13" i="11"/>
  <c r="B47" i="11"/>
  <c r="O26" i="11"/>
  <c r="F6" i="11"/>
  <c r="H7" i="11"/>
  <c r="G9" i="11"/>
  <c r="T9" i="11"/>
  <c r="N13" i="11"/>
  <c r="L26" i="11"/>
  <c r="U23" i="11"/>
  <c r="I25" i="11"/>
  <c r="I31" i="11"/>
  <c r="I35" i="11" s="1"/>
  <c r="P35" i="11"/>
  <c r="L43" i="11"/>
  <c r="U42" i="11"/>
  <c r="R35" i="11"/>
  <c r="U32" i="11"/>
  <c r="N43" i="11"/>
  <c r="M23" i="11"/>
  <c r="I33" i="11"/>
  <c r="M42" i="11"/>
  <c r="F26" i="11"/>
  <c r="P26" i="11"/>
  <c r="I24" i="11"/>
  <c r="T35" i="11"/>
  <c r="F43" i="11"/>
  <c r="P43" i="11"/>
  <c r="U22" i="11"/>
  <c r="Q23" i="11"/>
  <c r="Q42" i="11"/>
  <c r="J26" i="11"/>
  <c r="T26" i="11"/>
  <c r="M24" i="11"/>
  <c r="K26" i="11"/>
  <c r="Q31" i="11"/>
  <c r="Q35" i="11" s="1"/>
  <c r="M33" i="11"/>
  <c r="I34" i="11"/>
  <c r="J43" i="11"/>
  <c r="T43" i="11"/>
  <c r="G8" i="11"/>
  <c r="O8" i="11"/>
  <c r="G13" i="11"/>
  <c r="O13" i="11"/>
  <c r="I22" i="11"/>
  <c r="Q22" i="11"/>
  <c r="Q26" i="11" s="1"/>
  <c r="F35" i="11"/>
  <c r="N35" i="11"/>
  <c r="M41" i="11"/>
  <c r="U41" i="11"/>
  <c r="J7" i="11"/>
  <c r="R7" i="11"/>
  <c r="P8" i="11"/>
  <c r="J12" i="11"/>
  <c r="R12" i="11"/>
  <c r="H13" i="11"/>
  <c r="P13" i="11"/>
  <c r="N14" i="11"/>
  <c r="K7" i="11"/>
  <c r="S7" i="11"/>
  <c r="K12" i="11"/>
  <c r="S12" i="11"/>
  <c r="O14" i="11"/>
  <c r="M31" i="11"/>
  <c r="U31" i="11"/>
  <c r="U35" i="11" s="1"/>
  <c r="L7" i="11"/>
  <c r="T7" i="11"/>
  <c r="J8" i="11"/>
  <c r="R8" i="11"/>
  <c r="L12" i="11"/>
  <c r="T12" i="11"/>
  <c r="J13" i="11"/>
  <c r="R13" i="11"/>
  <c r="P14" i="11"/>
  <c r="K8" i="11"/>
  <c r="S8" i="11"/>
  <c r="K13" i="11"/>
  <c r="S13" i="11"/>
  <c r="I41" i="11"/>
  <c r="Q41" i="11"/>
  <c r="F7" i="11"/>
  <c r="N7" i="11"/>
  <c r="Q7" i="11" s="1"/>
  <c r="L8" i="11"/>
  <c r="R9" i="11"/>
  <c r="F12" i="11"/>
  <c r="N12" i="11"/>
  <c r="L13" i="11"/>
  <c r="J14" i="11"/>
  <c r="R14" i="11"/>
  <c r="G7" i="11"/>
  <c r="G12" i="11"/>
  <c r="K14" i="11"/>
  <c r="C13" i="6"/>
  <c r="C15" i="6"/>
  <c r="B16" i="6"/>
  <c r="L42" i="10"/>
  <c r="M41" i="10"/>
  <c r="M21" i="10"/>
  <c r="I33" i="10"/>
  <c r="S42" i="10"/>
  <c r="Q23" i="10"/>
  <c r="U24" i="10"/>
  <c r="J42" i="10"/>
  <c r="T42" i="10"/>
  <c r="K42" i="10"/>
  <c r="O25" i="10"/>
  <c r="G8" i="10"/>
  <c r="F25" i="10"/>
  <c r="P25" i="10"/>
  <c r="K7" i="10"/>
  <c r="L6" i="10"/>
  <c r="H8" i="10"/>
  <c r="G25" i="10"/>
  <c r="U21" i="10"/>
  <c r="T6" i="10"/>
  <c r="S8" i="10"/>
  <c r="U32" i="10"/>
  <c r="U41" i="10"/>
  <c r="L7" i="10"/>
  <c r="N7" i="10"/>
  <c r="J8" i="10"/>
  <c r="T7" i="10"/>
  <c r="O7" i="10"/>
  <c r="K8" i="10"/>
  <c r="F7" i="10"/>
  <c r="P7" i="10"/>
  <c r="N8" i="10"/>
  <c r="U12" i="10"/>
  <c r="G7" i="10"/>
  <c r="R7" i="10"/>
  <c r="O8" i="10"/>
  <c r="H7" i="10"/>
  <c r="T8" i="10"/>
  <c r="P8" i="10"/>
  <c r="F8" i="10"/>
  <c r="O26" i="9"/>
  <c r="S12" i="9"/>
  <c r="L10" i="9"/>
  <c r="L9" i="9"/>
  <c r="P9" i="9"/>
  <c r="S10" i="9"/>
  <c r="S9" i="9"/>
  <c r="T10" i="9"/>
  <c r="T9" i="9"/>
  <c r="P10" i="9"/>
  <c r="Q42" i="9"/>
  <c r="R10" i="9"/>
  <c r="R9" i="9"/>
  <c r="P7" i="9"/>
  <c r="O7" i="9"/>
  <c r="K8" i="9"/>
  <c r="M8" i="9" s="1"/>
  <c r="F7" i="9"/>
  <c r="R7" i="9"/>
  <c r="L8" i="9"/>
  <c r="G7" i="9"/>
  <c r="S7" i="9"/>
  <c r="N8" i="9"/>
  <c r="H43" i="9"/>
  <c r="S43" i="9"/>
  <c r="N10" i="9"/>
  <c r="H7" i="9"/>
  <c r="T8" i="9"/>
  <c r="O8" i="9"/>
  <c r="J43" i="9"/>
  <c r="N9" i="9"/>
  <c r="Q9" i="9" s="1"/>
  <c r="J7" i="9"/>
  <c r="F8" i="9"/>
  <c r="I8" i="9" s="1"/>
  <c r="P8" i="9"/>
  <c r="K10" i="9"/>
  <c r="N7" i="9"/>
  <c r="K9" i="9"/>
  <c r="U34" i="9"/>
  <c r="I42" i="9"/>
  <c r="L6" i="9"/>
  <c r="G26" i="9"/>
  <c r="R26" i="9"/>
  <c r="F35" i="9"/>
  <c r="H26" i="9"/>
  <c r="S11" i="9"/>
  <c r="U11" i="9" s="1"/>
  <c r="T43" i="9"/>
  <c r="L35" i="9"/>
  <c r="K43" i="9"/>
  <c r="P43" i="9"/>
  <c r="M23" i="9"/>
  <c r="Q24" i="9"/>
  <c r="U32" i="9"/>
  <c r="L43" i="9"/>
  <c r="N43" i="9"/>
  <c r="M42" i="9"/>
  <c r="U33" i="9"/>
  <c r="M22" i="9"/>
  <c r="S26" i="9"/>
  <c r="U42" i="9"/>
  <c r="T26" i="9"/>
  <c r="R35" i="9"/>
  <c r="O43" i="9"/>
  <c r="K26" i="9"/>
  <c r="I23" i="9"/>
  <c r="S35" i="9"/>
  <c r="Q34" i="9"/>
  <c r="F43" i="9"/>
  <c r="L26" i="9"/>
  <c r="J35" i="9"/>
  <c r="T35" i="9"/>
  <c r="G43" i="9"/>
  <c r="R43" i="9"/>
  <c r="H14" i="9"/>
  <c r="R13" i="9"/>
  <c r="F13" i="9"/>
  <c r="K13" i="9"/>
  <c r="U24" i="9"/>
  <c r="Q25" i="9"/>
  <c r="G13" i="9"/>
  <c r="M33" i="9"/>
  <c r="J13" i="9"/>
  <c r="P14" i="9"/>
  <c r="U23" i="9"/>
  <c r="K35" i="9"/>
  <c r="I34" i="9"/>
  <c r="U25" i="9"/>
  <c r="N13" i="9"/>
  <c r="Q33" i="9"/>
  <c r="O13" i="9"/>
  <c r="I24" i="9"/>
  <c r="S13" i="9"/>
  <c r="Q23" i="9"/>
  <c r="M34" i="9"/>
  <c r="Q11" i="9"/>
  <c r="M7" i="9"/>
  <c r="R39" i="1"/>
  <c r="F10" i="1"/>
  <c r="L9" i="1"/>
  <c r="I30" i="10"/>
  <c r="I23" i="10"/>
  <c r="M24" i="10"/>
  <c r="Q31" i="10"/>
  <c r="M32" i="10"/>
  <c r="M12" i="10"/>
  <c r="T25" i="10"/>
  <c r="Q22" i="10"/>
  <c r="J25" i="10"/>
  <c r="I22" i="10"/>
  <c r="Q24" i="10"/>
  <c r="I31" i="10"/>
  <c r="U31" i="10"/>
  <c r="L25" i="10"/>
  <c r="R25" i="10"/>
  <c r="N34" i="10"/>
  <c r="I24" i="10"/>
  <c r="O34" i="10"/>
  <c r="M31" i="10"/>
  <c r="M23" i="10"/>
  <c r="F34" i="10"/>
  <c r="P34" i="10"/>
  <c r="I32" i="10"/>
  <c r="V41" i="10"/>
  <c r="Q12" i="10"/>
  <c r="F9" i="10"/>
  <c r="G6" i="10"/>
  <c r="O6" i="10"/>
  <c r="S7" i="10"/>
  <c r="G9" i="10"/>
  <c r="O9" i="10"/>
  <c r="K13" i="10"/>
  <c r="S13" i="10"/>
  <c r="I21" i="10"/>
  <c r="Q21" i="10"/>
  <c r="M40" i="10"/>
  <c r="U40" i="10"/>
  <c r="F6" i="10"/>
  <c r="H6" i="10"/>
  <c r="P6" i="10"/>
  <c r="H9" i="10"/>
  <c r="P9" i="10"/>
  <c r="L13" i="10"/>
  <c r="T13" i="10"/>
  <c r="Q30" i="10"/>
  <c r="M30" i="10"/>
  <c r="U30" i="10"/>
  <c r="H34" i="10"/>
  <c r="J6" i="10"/>
  <c r="R6" i="10"/>
  <c r="L8" i="10"/>
  <c r="J9" i="10"/>
  <c r="R9" i="10"/>
  <c r="U9" i="10" s="1"/>
  <c r="H12" i="10"/>
  <c r="I12" i="10" s="1"/>
  <c r="F13" i="10"/>
  <c r="N13" i="10"/>
  <c r="Q13" i="10" s="1"/>
  <c r="N6" i="10"/>
  <c r="N9" i="10"/>
  <c r="K6" i="10"/>
  <c r="K9" i="10"/>
  <c r="G13" i="10"/>
  <c r="I40" i="10"/>
  <c r="Q40" i="10"/>
  <c r="M25" i="9"/>
  <c r="U31" i="9"/>
  <c r="Q32" i="9"/>
  <c r="J26" i="9"/>
  <c r="M31" i="9"/>
  <c r="N26" i="9"/>
  <c r="N35" i="9"/>
  <c r="I32" i="9"/>
  <c r="O35" i="9"/>
  <c r="M11" i="9"/>
  <c r="F26" i="9"/>
  <c r="P26" i="9"/>
  <c r="M24" i="9"/>
  <c r="G35" i="9"/>
  <c r="Q31" i="9"/>
  <c r="U22" i="9"/>
  <c r="I25" i="9"/>
  <c r="H35" i="9"/>
  <c r="M32" i="9"/>
  <c r="I33" i="9"/>
  <c r="F6" i="9"/>
  <c r="N6" i="9"/>
  <c r="T7" i="9"/>
  <c r="R8" i="9"/>
  <c r="H11" i="9"/>
  <c r="I11" i="9" s="1"/>
  <c r="F12" i="9"/>
  <c r="N12" i="9"/>
  <c r="L13" i="9"/>
  <c r="T13" i="9"/>
  <c r="J14" i="9"/>
  <c r="R14" i="9"/>
  <c r="G6" i="9"/>
  <c r="O6" i="9"/>
  <c r="S8" i="9"/>
  <c r="G12" i="9"/>
  <c r="O12" i="9"/>
  <c r="K14" i="9"/>
  <c r="S14" i="9"/>
  <c r="I22" i="9"/>
  <c r="Q22" i="9"/>
  <c r="M41" i="9"/>
  <c r="U41" i="9"/>
  <c r="H6" i="9"/>
  <c r="P6" i="9"/>
  <c r="H12" i="9"/>
  <c r="P12" i="9"/>
  <c r="L14" i="9"/>
  <c r="T14" i="9"/>
  <c r="I31" i="9"/>
  <c r="P35" i="9"/>
  <c r="J6" i="9"/>
  <c r="R6" i="9"/>
  <c r="J12" i="9"/>
  <c r="R12" i="9"/>
  <c r="U12" i="9" s="1"/>
  <c r="H13" i="9"/>
  <c r="F14" i="9"/>
  <c r="N14" i="9"/>
  <c r="K6" i="9"/>
  <c r="K12" i="9"/>
  <c r="G14" i="9"/>
  <c r="I41" i="9"/>
  <c r="Q41" i="9"/>
  <c r="F9" i="1"/>
  <c r="T9" i="1"/>
  <c r="G10" i="1"/>
  <c r="J31" i="1"/>
  <c r="T31" i="1"/>
  <c r="J39" i="1"/>
  <c r="T39" i="1"/>
  <c r="H10" i="1"/>
  <c r="G9" i="1"/>
  <c r="J10" i="1"/>
  <c r="L31" i="1"/>
  <c r="H9" i="1"/>
  <c r="T6" i="1"/>
  <c r="L22" i="1"/>
  <c r="U28" i="1"/>
  <c r="J22" i="1"/>
  <c r="U21" i="1"/>
  <c r="I29" i="1"/>
  <c r="Q21" i="1"/>
  <c r="O9" i="1"/>
  <c r="M19" i="1"/>
  <c r="I20" i="1"/>
  <c r="Q27" i="1"/>
  <c r="Q29" i="1"/>
  <c r="M21" i="1"/>
  <c r="O31" i="1"/>
  <c r="U20" i="1"/>
  <c r="K39" i="1"/>
  <c r="U37" i="1"/>
  <c r="O39" i="1"/>
  <c r="P8" i="1"/>
  <c r="L7" i="1"/>
  <c r="T22" i="1"/>
  <c r="M20" i="1"/>
  <c r="L39" i="1"/>
  <c r="P7" i="1"/>
  <c r="I19" i="1"/>
  <c r="I21" i="1"/>
  <c r="Q30" i="1"/>
  <c r="N31" i="1"/>
  <c r="G39" i="1"/>
  <c r="U38" i="1"/>
  <c r="R22" i="1"/>
  <c r="M29" i="1"/>
  <c r="K9" i="1"/>
  <c r="N22" i="1"/>
  <c r="Q20" i="1"/>
  <c r="K31" i="1"/>
  <c r="Q28" i="1"/>
  <c r="I30" i="1"/>
  <c r="M38" i="1"/>
  <c r="Q37" i="1"/>
  <c r="F39" i="1"/>
  <c r="I37" i="1"/>
  <c r="P39" i="1"/>
  <c r="H39" i="1"/>
  <c r="S39" i="1"/>
  <c r="M37" i="1"/>
  <c r="M28" i="1"/>
  <c r="I27" i="1"/>
  <c r="P31" i="1"/>
  <c r="U30" i="1"/>
  <c r="G31" i="1"/>
  <c r="R31" i="1"/>
  <c r="I28" i="1"/>
  <c r="H31" i="1"/>
  <c r="S31" i="1"/>
  <c r="M30" i="1"/>
  <c r="U29" i="1"/>
  <c r="F31" i="1"/>
  <c r="G22" i="1"/>
  <c r="P22" i="1"/>
  <c r="H22" i="1"/>
  <c r="Q18" i="1"/>
  <c r="F22" i="1"/>
  <c r="U19" i="1"/>
  <c r="I18" i="1"/>
  <c r="U18" i="1"/>
  <c r="M18" i="1"/>
  <c r="Q19" i="1"/>
  <c r="O7" i="1"/>
  <c r="I8" i="1"/>
  <c r="N9" i="1"/>
  <c r="R7" i="1"/>
  <c r="P9" i="1"/>
  <c r="L10" i="1"/>
  <c r="G7" i="1"/>
  <c r="S7" i="1"/>
  <c r="S9" i="1"/>
  <c r="T10" i="1"/>
  <c r="H7" i="1"/>
  <c r="T7" i="1"/>
  <c r="J7" i="1"/>
  <c r="K7" i="1"/>
  <c r="S22" i="1"/>
  <c r="R8" i="1"/>
  <c r="N10" i="1"/>
  <c r="K8" i="1"/>
  <c r="O10" i="1"/>
  <c r="J8" i="1"/>
  <c r="S8" i="1"/>
  <c r="P6" i="1"/>
  <c r="F7" i="1"/>
  <c r="L8" i="1"/>
  <c r="T8" i="1"/>
  <c r="J9" i="1"/>
  <c r="P10" i="1"/>
  <c r="M27" i="1"/>
  <c r="U27" i="1"/>
  <c r="R6" i="1"/>
  <c r="R10" i="1"/>
  <c r="N8" i="1"/>
  <c r="K10" i="1"/>
  <c r="I38" i="1"/>
  <c r="Q38" i="1"/>
  <c r="M7" i="10" l="1"/>
  <c r="M14" i="10"/>
  <c r="V14" i="10" s="1"/>
  <c r="Q25" i="10"/>
  <c r="U10" i="10"/>
  <c r="M25" i="10"/>
  <c r="U11" i="10"/>
  <c r="I42" i="10"/>
  <c r="V33" i="11"/>
  <c r="I6" i="11"/>
  <c r="F17" i="11"/>
  <c r="U6" i="11"/>
  <c r="T17" i="11"/>
  <c r="G17" i="11"/>
  <c r="Q6" i="11"/>
  <c r="V23" i="11"/>
  <c r="V25" i="11"/>
  <c r="J17" i="11"/>
  <c r="S17" i="11"/>
  <c r="I10" i="11"/>
  <c r="L17" i="11"/>
  <c r="R17" i="11"/>
  <c r="I11" i="11"/>
  <c r="V11" i="11" s="1"/>
  <c r="K17" i="11"/>
  <c r="M43" i="11"/>
  <c r="I9" i="11"/>
  <c r="N17" i="11"/>
  <c r="H17" i="11"/>
  <c r="M10" i="11"/>
  <c r="Q15" i="11"/>
  <c r="I14" i="11"/>
  <c r="M34" i="10"/>
  <c r="Q11" i="10"/>
  <c r="M10" i="10"/>
  <c r="Q10" i="10"/>
  <c r="V33" i="10"/>
  <c r="Q34" i="10"/>
  <c r="Q42" i="10"/>
  <c r="I10" i="10"/>
  <c r="V10" i="10" s="1"/>
  <c r="U25" i="10"/>
  <c r="M11" i="10"/>
  <c r="I11" i="10"/>
  <c r="M42" i="10"/>
  <c r="U34" i="10"/>
  <c r="I15" i="11"/>
  <c r="V40" i="10"/>
  <c r="U15" i="11"/>
  <c r="M15" i="11"/>
  <c r="I43" i="11"/>
  <c r="V32" i="11"/>
  <c r="U43" i="11"/>
  <c r="M35" i="11"/>
  <c r="V34" i="11"/>
  <c r="U26" i="11"/>
  <c r="M9" i="11"/>
  <c r="I13" i="11"/>
  <c r="H16" i="11"/>
  <c r="H47" i="11" s="1"/>
  <c r="I8" i="11"/>
  <c r="Q12" i="11"/>
  <c r="M6" i="11"/>
  <c r="V24" i="11"/>
  <c r="U14" i="11"/>
  <c r="V41" i="11"/>
  <c r="V42" i="11"/>
  <c r="U9" i="11"/>
  <c r="Q43" i="11"/>
  <c r="Q13" i="11"/>
  <c r="V43" i="11"/>
  <c r="I7" i="11"/>
  <c r="O16" i="11"/>
  <c r="O47" i="11" s="1"/>
  <c r="Q8" i="11"/>
  <c r="G16" i="11"/>
  <c r="G47" i="11" s="1"/>
  <c r="M12" i="11"/>
  <c r="S16" i="11"/>
  <c r="S47" i="11" s="1"/>
  <c r="P16" i="11"/>
  <c r="P47" i="11" s="1"/>
  <c r="U7" i="11"/>
  <c r="U13" i="11"/>
  <c r="K16" i="11"/>
  <c r="K47" i="11" s="1"/>
  <c r="U12" i="11"/>
  <c r="M14" i="11"/>
  <c r="M13" i="11"/>
  <c r="T16" i="11"/>
  <c r="T47" i="11" s="1"/>
  <c r="I12" i="11"/>
  <c r="L16" i="11"/>
  <c r="L47" i="11" s="1"/>
  <c r="M7" i="11"/>
  <c r="I26" i="11"/>
  <c r="V22" i="11"/>
  <c r="V26" i="11" s="1"/>
  <c r="U8" i="11"/>
  <c r="Q14" i="11"/>
  <c r="V31" i="11"/>
  <c r="V35" i="11" s="1"/>
  <c r="R16" i="11"/>
  <c r="R47" i="11" s="1"/>
  <c r="N16" i="11"/>
  <c r="N47" i="11" s="1"/>
  <c r="M8" i="11"/>
  <c r="F16" i="11"/>
  <c r="F47" i="11" s="1"/>
  <c r="J16" i="11"/>
  <c r="J47" i="11" s="1"/>
  <c r="C16" i="6"/>
  <c r="C17" i="6" s="1"/>
  <c r="D12" i="6"/>
  <c r="E11" i="6"/>
  <c r="C18" i="6"/>
  <c r="B18" i="6"/>
  <c r="D11" i="6"/>
  <c r="U42" i="10"/>
  <c r="U8" i="10"/>
  <c r="V32" i="10"/>
  <c r="V22" i="10"/>
  <c r="I7" i="10"/>
  <c r="V23" i="10"/>
  <c r="V24" i="10"/>
  <c r="I8" i="10"/>
  <c r="Q8" i="10"/>
  <c r="Q7" i="10"/>
  <c r="V12" i="10"/>
  <c r="Q9" i="10"/>
  <c r="M9" i="10"/>
  <c r="Q7" i="9"/>
  <c r="M10" i="9"/>
  <c r="M9" i="9"/>
  <c r="Q10" i="9"/>
  <c r="I7" i="9"/>
  <c r="U9" i="9"/>
  <c r="U10" i="9"/>
  <c r="V10" i="9" s="1"/>
  <c r="V9" i="9"/>
  <c r="Q8" i="9"/>
  <c r="I43" i="9"/>
  <c r="V42" i="9"/>
  <c r="U35" i="9"/>
  <c r="M26" i="9"/>
  <c r="Q43" i="9"/>
  <c r="M35" i="9"/>
  <c r="M43" i="9"/>
  <c r="U8" i="9"/>
  <c r="I13" i="9"/>
  <c r="U43" i="9"/>
  <c r="U13" i="9"/>
  <c r="V32" i="9"/>
  <c r="Q35" i="9"/>
  <c r="V33" i="9"/>
  <c r="V24" i="9"/>
  <c r="V11" i="9"/>
  <c r="V34" i="9"/>
  <c r="V23" i="9"/>
  <c r="I14" i="9"/>
  <c r="T17" i="9"/>
  <c r="M13" i="9"/>
  <c r="Q13" i="9"/>
  <c r="S16" i="9"/>
  <c r="S47" i="9" s="1"/>
  <c r="Q26" i="9"/>
  <c r="Q14" i="9"/>
  <c r="U26" i="9"/>
  <c r="Q7" i="1"/>
  <c r="V20" i="1"/>
  <c r="U31" i="1"/>
  <c r="M10" i="1"/>
  <c r="I10" i="1"/>
  <c r="M9" i="1"/>
  <c r="I9" i="1"/>
  <c r="U9" i="1"/>
  <c r="M13" i="10"/>
  <c r="V30" i="10"/>
  <c r="V31" i="10"/>
  <c r="I34" i="10"/>
  <c r="U13" i="10"/>
  <c r="N15" i="10"/>
  <c r="N46" i="10" s="1"/>
  <c r="Q6" i="10"/>
  <c r="M8" i="10"/>
  <c r="T15" i="10"/>
  <c r="T46" i="10" s="1"/>
  <c r="V21" i="10"/>
  <c r="I25" i="10"/>
  <c r="O15" i="10"/>
  <c r="O46" i="10" s="1"/>
  <c r="U7" i="10"/>
  <c r="R15" i="10"/>
  <c r="R46" i="10" s="1"/>
  <c r="U6" i="10"/>
  <c r="J15" i="10"/>
  <c r="J46" i="10" s="1"/>
  <c r="M6" i="10"/>
  <c r="L15" i="10"/>
  <c r="L46" i="10" s="1"/>
  <c r="G15" i="10"/>
  <c r="G46" i="10" s="1"/>
  <c r="F15" i="10"/>
  <c r="F46" i="10" s="1"/>
  <c r="I6" i="10"/>
  <c r="P15" i="10"/>
  <c r="P46" i="10" s="1"/>
  <c r="I9" i="10"/>
  <c r="S15" i="10"/>
  <c r="S46" i="10" s="1"/>
  <c r="K15" i="10"/>
  <c r="K46" i="10" s="1"/>
  <c r="I13" i="10"/>
  <c r="H15" i="10"/>
  <c r="H46" i="10" s="1"/>
  <c r="U7" i="9"/>
  <c r="V7" i="9" s="1"/>
  <c r="M14" i="9"/>
  <c r="S17" i="9"/>
  <c r="L16" i="9"/>
  <c r="L47" i="9" s="1"/>
  <c r="V25" i="9"/>
  <c r="N17" i="9"/>
  <c r="N16" i="9"/>
  <c r="N47" i="9" s="1"/>
  <c r="Q6" i="9"/>
  <c r="I26" i="9"/>
  <c r="V22" i="9"/>
  <c r="L17" i="9"/>
  <c r="O16" i="9"/>
  <c r="O47" i="9" s="1"/>
  <c r="O17" i="9"/>
  <c r="F17" i="9"/>
  <c r="F16" i="9"/>
  <c r="F47" i="9" s="1"/>
  <c r="I6" i="9"/>
  <c r="Q12" i="9"/>
  <c r="J17" i="9"/>
  <c r="M6" i="9"/>
  <c r="J16" i="9"/>
  <c r="J47" i="9" s="1"/>
  <c r="P16" i="9"/>
  <c r="P47" i="9" s="1"/>
  <c r="P17" i="9"/>
  <c r="H17" i="9"/>
  <c r="H16" i="9"/>
  <c r="H47" i="9" s="1"/>
  <c r="I12" i="9"/>
  <c r="M12" i="9"/>
  <c r="G16" i="9"/>
  <c r="G47" i="9" s="1"/>
  <c r="G17" i="9"/>
  <c r="I35" i="9"/>
  <c r="V31" i="9"/>
  <c r="V41" i="9"/>
  <c r="T16" i="9"/>
  <c r="T47" i="9" s="1"/>
  <c r="K17" i="9"/>
  <c r="K16" i="9"/>
  <c r="K47" i="9" s="1"/>
  <c r="U6" i="9"/>
  <c r="R17" i="9"/>
  <c r="R16" i="9"/>
  <c r="R47" i="9" s="1"/>
  <c r="U14" i="9"/>
  <c r="V21" i="1"/>
  <c r="M39" i="1"/>
  <c r="I39" i="1"/>
  <c r="Q39" i="1"/>
  <c r="U39" i="1"/>
  <c r="Q8" i="1"/>
  <c r="V30" i="1"/>
  <c r="Q31" i="1"/>
  <c r="I31" i="1"/>
  <c r="U22" i="1"/>
  <c r="V29" i="1"/>
  <c r="V18" i="1"/>
  <c r="M22" i="1"/>
  <c r="Q22" i="1"/>
  <c r="V28" i="1"/>
  <c r="S13" i="1"/>
  <c r="V37" i="1"/>
  <c r="M31" i="1"/>
  <c r="I22" i="1"/>
  <c r="V19" i="1"/>
  <c r="M7" i="1"/>
  <c r="I7" i="1"/>
  <c r="Q9" i="1"/>
  <c r="T12" i="1"/>
  <c r="T43" i="1" s="1"/>
  <c r="Q10" i="1"/>
  <c r="S12" i="1"/>
  <c r="S43" i="1" s="1"/>
  <c r="M8" i="1"/>
  <c r="U10" i="1"/>
  <c r="L13" i="1"/>
  <c r="U7" i="1"/>
  <c r="J13" i="1"/>
  <c r="N13" i="1"/>
  <c r="N12" i="1"/>
  <c r="N43" i="1" s="1"/>
  <c r="Q6" i="1"/>
  <c r="K13" i="1"/>
  <c r="K12" i="1"/>
  <c r="K43" i="1" s="1"/>
  <c r="U8" i="1"/>
  <c r="V27" i="1"/>
  <c r="P13" i="1"/>
  <c r="P12" i="1"/>
  <c r="P43" i="1" s="1"/>
  <c r="H12" i="1"/>
  <c r="H43" i="1" s="1"/>
  <c r="H13" i="1"/>
  <c r="J12" i="1"/>
  <c r="J43" i="1" s="1"/>
  <c r="F13" i="1"/>
  <c r="F12" i="1"/>
  <c r="F43" i="1" s="1"/>
  <c r="I6" i="1"/>
  <c r="T13" i="1"/>
  <c r="V38" i="1"/>
  <c r="L12" i="1"/>
  <c r="L43" i="1" s="1"/>
  <c r="M6" i="1"/>
  <c r="R13" i="1"/>
  <c r="R12" i="1"/>
  <c r="R43" i="1" s="1"/>
  <c r="U6" i="1"/>
  <c r="G12" i="1"/>
  <c r="G43" i="1" s="1"/>
  <c r="G13" i="1"/>
  <c r="O13" i="1"/>
  <c r="O12" i="1"/>
  <c r="O43" i="1" s="1"/>
  <c r="V11" i="10" l="1"/>
  <c r="Q17" i="11"/>
  <c r="V6" i="11"/>
  <c r="M17" i="11"/>
  <c r="V10" i="11"/>
  <c r="U17" i="11"/>
  <c r="V9" i="11"/>
  <c r="I17" i="11"/>
  <c r="V15" i="11"/>
  <c r="V8" i="10"/>
  <c r="V34" i="10"/>
  <c r="V42" i="10"/>
  <c r="V25" i="10"/>
  <c r="V7" i="10"/>
  <c r="V9" i="10"/>
  <c r="U16" i="11"/>
  <c r="V7" i="11"/>
  <c r="V8" i="11"/>
  <c r="Q47" i="11"/>
  <c r="I16" i="11"/>
  <c r="V13" i="11"/>
  <c r="I47" i="11"/>
  <c r="Q16" i="11"/>
  <c r="V14" i="11"/>
  <c r="U47" i="11"/>
  <c r="V12" i="11"/>
  <c r="M47" i="11"/>
  <c r="M16" i="11"/>
  <c r="F11" i="6"/>
  <c r="D15" i="6"/>
  <c r="D13" i="6"/>
  <c r="M46" i="10"/>
  <c r="V13" i="10"/>
  <c r="V8" i="9"/>
  <c r="V43" i="9"/>
  <c r="V13" i="9"/>
  <c r="V26" i="9"/>
  <c r="V35" i="9"/>
  <c r="V14" i="9"/>
  <c r="V39" i="1"/>
  <c r="V9" i="1"/>
  <c r="U46" i="10"/>
  <c r="Q46" i="10"/>
  <c r="I46" i="10"/>
  <c r="M15" i="10"/>
  <c r="I15" i="10"/>
  <c r="V6" i="10"/>
  <c r="U15" i="10"/>
  <c r="Q15" i="10"/>
  <c r="M47" i="9"/>
  <c r="M17" i="9"/>
  <c r="M16" i="9"/>
  <c r="U47" i="9"/>
  <c r="I16" i="9"/>
  <c r="I17" i="9"/>
  <c r="V6" i="9"/>
  <c r="Q16" i="9"/>
  <c r="Q17" i="9"/>
  <c r="V12" i="9"/>
  <c r="I47" i="9"/>
  <c r="Q47" i="9"/>
  <c r="U17" i="9"/>
  <c r="U16" i="9"/>
  <c r="V22" i="1"/>
  <c r="V31" i="1"/>
  <c r="V7" i="1"/>
  <c r="V10" i="1"/>
  <c r="V8" i="1"/>
  <c r="U43" i="1"/>
  <c r="I43" i="1"/>
  <c r="Q43" i="1"/>
  <c r="M13" i="1"/>
  <c r="M12" i="1"/>
  <c r="V6" i="1"/>
  <c r="I13" i="1"/>
  <c r="I12" i="1"/>
  <c r="M43" i="1"/>
  <c r="U13" i="1"/>
  <c r="U12" i="1"/>
  <c r="Q13" i="1"/>
  <c r="Q12" i="1"/>
  <c r="V17" i="11" l="1"/>
  <c r="V46" i="10"/>
  <c r="B55" i="10" s="1"/>
  <c r="V47" i="11"/>
  <c r="B56" i="11" s="1"/>
  <c r="V16" i="11"/>
  <c r="D16" i="6"/>
  <c r="E12" i="6"/>
  <c r="G11" i="6"/>
  <c r="V47" i="9"/>
  <c r="B51" i="9" s="1"/>
  <c r="V15" i="10"/>
  <c r="B46" i="10" s="1"/>
  <c r="V17" i="9"/>
  <c r="V16" i="9"/>
  <c r="B15" i="9" s="1"/>
  <c r="B47" i="9" s="1"/>
  <c r="V43" i="1"/>
  <c r="B47" i="1" s="1"/>
  <c r="V13" i="1"/>
  <c r="V12" i="1"/>
  <c r="B11" i="1" s="1"/>
  <c r="B43" i="1" s="1"/>
  <c r="B57" i="9" l="1"/>
  <c r="B52" i="9"/>
  <c r="B53" i="9" s="1"/>
  <c r="B50" i="10"/>
  <c r="B51" i="11"/>
  <c r="H11" i="6"/>
  <c r="E15" i="6"/>
  <c r="E13" i="6"/>
  <c r="D17" i="6"/>
  <c r="D18" i="6"/>
  <c r="B56" i="9"/>
  <c r="I14" i="13"/>
  <c r="H11" i="13"/>
  <c r="B49" i="1"/>
  <c r="F12" i="6" l="1"/>
  <c r="E16" i="6"/>
  <c r="I11" i="6"/>
  <c r="J14" i="13"/>
  <c r="I11" i="13"/>
  <c r="J11" i="6" l="1"/>
  <c r="E17" i="6"/>
  <c r="E18" i="6"/>
  <c r="F15" i="6"/>
  <c r="F13" i="6"/>
  <c r="K14" i="13"/>
  <c r="J11" i="13"/>
  <c r="G12" i="6" l="1"/>
  <c r="F16" i="6"/>
  <c r="K11" i="6"/>
  <c r="L14" i="13"/>
  <c r="K11" i="13"/>
  <c r="G15" i="6" l="1"/>
  <c r="G13" i="6"/>
  <c r="L11" i="6"/>
  <c r="M11" i="6"/>
  <c r="F17" i="6"/>
  <c r="F18" i="6"/>
  <c r="L11" i="13"/>
  <c r="M14" i="13"/>
  <c r="M11" i="13" s="1"/>
  <c r="H12" i="6" l="1"/>
  <c r="G16" i="6"/>
  <c r="H12" i="13"/>
  <c r="G17" i="6" l="1"/>
  <c r="G18" i="6"/>
  <c r="H15" i="6"/>
  <c r="H13" i="6"/>
  <c r="H15" i="13"/>
  <c r="H13" i="13"/>
  <c r="I12" i="6" l="1"/>
  <c r="H16" i="6"/>
  <c r="I12" i="13"/>
  <c r="H16" i="13"/>
  <c r="H17" i="6" l="1"/>
  <c r="H18" i="6"/>
  <c r="I15" i="6"/>
  <c r="I13" i="6"/>
  <c r="I15" i="13"/>
  <c r="I13" i="13"/>
  <c r="J12" i="6" l="1"/>
  <c r="I16" i="6"/>
  <c r="J12" i="13"/>
  <c r="I16" i="13"/>
  <c r="I17" i="6" l="1"/>
  <c r="I18" i="6"/>
  <c r="J15" i="6"/>
  <c r="J13" i="6"/>
  <c r="I17" i="13"/>
  <c r="I18" i="13"/>
  <c r="J15" i="13"/>
  <c r="J13" i="13"/>
  <c r="K12" i="6" l="1"/>
  <c r="J16" i="6"/>
  <c r="K12" i="13"/>
  <c r="J16" i="13"/>
  <c r="J17" i="6" l="1"/>
  <c r="J18" i="6"/>
  <c r="K15" i="6"/>
  <c r="K13" i="6"/>
  <c r="J17" i="13"/>
  <c r="J18" i="13"/>
  <c r="K15" i="13"/>
  <c r="K13" i="13"/>
  <c r="K16" i="6" l="1"/>
  <c r="L12" i="6"/>
  <c r="K16" i="13"/>
  <c r="L12" i="13"/>
  <c r="L15" i="6" l="1"/>
  <c r="L13" i="6"/>
  <c r="K17" i="6"/>
  <c r="K18" i="6"/>
  <c r="L15" i="13"/>
  <c r="L13" i="13"/>
  <c r="K17" i="13"/>
  <c r="K18" i="13"/>
  <c r="L16" i="6" l="1"/>
  <c r="M12" i="6"/>
  <c r="L16" i="13"/>
  <c r="M12" i="13"/>
  <c r="M15" i="6" l="1"/>
  <c r="M13" i="6"/>
  <c r="L17" i="6"/>
  <c r="L18" i="6"/>
  <c r="M15" i="13"/>
  <c r="M16" i="13" s="1"/>
  <c r="M13" i="13"/>
  <c r="L17" i="13"/>
  <c r="L18" i="13"/>
  <c r="M16" i="6" l="1"/>
  <c r="M17" i="13"/>
  <c r="M18" i="13"/>
  <c r="B58" i="9" s="1"/>
  <c r="B59" i="9" s="1"/>
  <c r="B51" i="10" l="1"/>
  <c r="B56" i="10"/>
  <c r="C59" i="9"/>
  <c r="D5" i="14" s="1"/>
  <c r="B60" i="9"/>
  <c r="B52" i="10"/>
  <c r="M17" i="6"/>
  <c r="M18" i="6"/>
  <c r="B57" i="10" s="1"/>
  <c r="B58" i="10" l="1"/>
  <c r="C10" i="7"/>
  <c r="D10" i="7" s="1"/>
  <c r="E10" i="7" s="1"/>
  <c r="F10" i="7" s="1"/>
  <c r="G10" i="7" s="1"/>
  <c r="H10" i="7" s="1"/>
  <c r="I10" i="7" s="1"/>
  <c r="J10" i="7" s="1"/>
  <c r="K10" i="7" s="1"/>
  <c r="L10" i="7" s="1"/>
  <c r="M10" i="7" s="1"/>
  <c r="C12" i="7"/>
  <c r="C13" i="7" s="1"/>
  <c r="B15" i="7"/>
  <c r="B16" i="7"/>
  <c r="B11" i="7"/>
  <c r="C14" i="7"/>
  <c r="B52" i="11" l="1"/>
  <c r="B53" i="11" s="1"/>
  <c r="C58" i="10"/>
  <c r="E5" i="14" s="1"/>
  <c r="B57" i="11"/>
  <c r="B59" i="10"/>
  <c r="C15" i="7"/>
  <c r="B18" i="7"/>
  <c r="C11" i="7"/>
  <c r="D14" i="7"/>
  <c r="D11" i="7" l="1"/>
  <c r="E14" i="7"/>
  <c r="C16" i="7"/>
  <c r="D12" i="7"/>
  <c r="D15" i="7" s="1"/>
  <c r="D16" i="7" l="1"/>
  <c r="D17" i="7" s="1"/>
  <c r="E12" i="7"/>
  <c r="E13" i="7"/>
  <c r="D13" i="7"/>
  <c r="C18" i="7"/>
  <c r="C17" i="7"/>
  <c r="D18" i="7"/>
  <c r="E15" i="7"/>
  <c r="F14" i="7"/>
  <c r="E11" i="7"/>
  <c r="G14" i="7" l="1"/>
  <c r="F11" i="7"/>
  <c r="F12" i="7"/>
  <c r="E16" i="7"/>
  <c r="F15" i="7"/>
  <c r="E17" i="7" l="1"/>
  <c r="E18" i="7"/>
  <c r="F16" i="7"/>
  <c r="F17" i="7" s="1"/>
  <c r="G12" i="7"/>
  <c r="F13" i="7"/>
  <c r="G15" i="7"/>
  <c r="H14" i="7"/>
  <c r="G11" i="7"/>
  <c r="I14" i="7" l="1"/>
  <c r="H11" i="7"/>
  <c r="H12" i="7"/>
  <c r="G16" i="7"/>
  <c r="F18" i="7"/>
  <c r="G13" i="7"/>
  <c r="G17" i="7" l="1"/>
  <c r="G18" i="7"/>
  <c r="H15" i="7"/>
  <c r="H13" i="7"/>
  <c r="I11" i="7"/>
  <c r="J14" i="7"/>
  <c r="I12" i="7" l="1"/>
  <c r="H16" i="7"/>
  <c r="J11" i="7"/>
  <c r="K14" i="7"/>
  <c r="L14" i="7" l="1"/>
  <c r="K11" i="7"/>
  <c r="H17" i="7"/>
  <c r="H18" i="7"/>
  <c r="I13" i="7"/>
  <c r="I15" i="7"/>
  <c r="J12" i="7" l="1"/>
  <c r="I16" i="7"/>
  <c r="M14" i="7"/>
  <c r="L11" i="7"/>
  <c r="I17" i="7" l="1"/>
  <c r="I18" i="7"/>
  <c r="M11" i="7"/>
  <c r="J15" i="7"/>
  <c r="J13" i="7"/>
  <c r="J16" i="7" l="1"/>
  <c r="K12" i="7"/>
  <c r="K15" i="7" l="1"/>
  <c r="K13" i="7"/>
  <c r="J17" i="7"/>
  <c r="J18" i="7"/>
  <c r="L12" i="7" l="1"/>
  <c r="K16" i="7"/>
  <c r="K17" i="7" l="1"/>
  <c r="K18" i="7"/>
  <c r="L13" i="7"/>
  <c r="L15" i="7"/>
  <c r="L16" i="7" l="1"/>
  <c r="M12" i="7"/>
  <c r="M13" i="7" l="1"/>
  <c r="M15" i="7"/>
  <c r="M16" i="7" s="1"/>
  <c r="L17" i="7"/>
  <c r="L18" i="7"/>
  <c r="M17" i="7" l="1"/>
  <c r="M18" i="7"/>
  <c r="B58" i="11" s="1"/>
  <c r="B59" i="11" s="1"/>
  <c r="B60" i="11" l="1"/>
  <c r="C59" i="11"/>
  <c r="F5" i="14" s="1"/>
  <c r="A1" i="14" s="1"/>
  <c r="F1" i="14" s="1"/>
</calcChain>
</file>

<file path=xl/sharedStrings.xml><?xml version="1.0" encoding="utf-8"?>
<sst xmlns="http://schemas.openxmlformats.org/spreadsheetml/2006/main" count="646" uniqueCount="98">
  <si>
    <t>menso costs 2022</t>
  </si>
  <si>
    <t xml:space="preserve">Salaries: </t>
  </si>
  <si>
    <t>Title</t>
  </si>
  <si>
    <t>Annual Salary</t>
  </si>
  <si>
    <t>Fringe benefits</t>
  </si>
  <si>
    <t>Salary + Fringe</t>
  </si>
  <si>
    <t>Tentative start date</t>
  </si>
  <si>
    <t>Q1 2022</t>
  </si>
  <si>
    <t>Q2 2022</t>
  </si>
  <si>
    <t>Q3 2022</t>
  </si>
  <si>
    <t>Q4 2022</t>
  </si>
  <si>
    <t>FY 2022</t>
  </si>
  <si>
    <t>CEO</t>
  </si>
  <si>
    <t xml:space="preserve">CTO </t>
  </si>
  <si>
    <t>CPO</t>
  </si>
  <si>
    <t>Developer 1</t>
  </si>
  <si>
    <t>Developer 2</t>
  </si>
  <si>
    <t>Actual salary+benefits in 2022</t>
  </si>
  <si>
    <t>Total:</t>
  </si>
  <si>
    <t>Number of people in team</t>
  </si>
  <si>
    <t xml:space="preserve">Office: </t>
  </si>
  <si>
    <t>Annual</t>
  </si>
  <si>
    <t>Start Date</t>
  </si>
  <si>
    <t>Rent</t>
  </si>
  <si>
    <t>Other OpEx related to office</t>
  </si>
  <si>
    <t>Add more</t>
  </si>
  <si>
    <t xml:space="preserve">AWS and other services: </t>
  </si>
  <si>
    <t>AWS</t>
  </si>
  <si>
    <t xml:space="preserve">Other </t>
  </si>
  <si>
    <t>Legal services</t>
  </si>
  <si>
    <t>Marketing:</t>
  </si>
  <si>
    <t>Acquisition campaigns</t>
  </si>
  <si>
    <t>Total costs:</t>
  </si>
  <si>
    <t xml:space="preserve">Total costs </t>
  </si>
  <si>
    <t>No monetization</t>
  </si>
  <si>
    <t>Average Monthly Burn</t>
  </si>
  <si>
    <t>Cash Available (Capital from ventures and other resources)</t>
  </si>
  <si>
    <t>How many months you have until cash will be burned totally</t>
  </si>
  <si>
    <t>menso costs 2023</t>
  </si>
  <si>
    <t xml:space="preserve">Date Hired </t>
  </si>
  <si>
    <t>Q1 2023</t>
  </si>
  <si>
    <t>Q2 2023</t>
  </si>
  <si>
    <t>Q3 2023</t>
  </si>
  <si>
    <t>Q4 2023</t>
  </si>
  <si>
    <t>FY 2023</t>
  </si>
  <si>
    <t>CMO</t>
  </si>
  <si>
    <t>COO</t>
  </si>
  <si>
    <t>Developer 3</t>
  </si>
  <si>
    <t>R&amp;D Engineer 1</t>
  </si>
  <si>
    <t>Actual salary+benefits in 2023</t>
  </si>
  <si>
    <t>Q4 2018</t>
  </si>
  <si>
    <t>FY 2018</t>
  </si>
  <si>
    <t>Cash Available (Capital)</t>
  </si>
  <si>
    <t>SaaS</t>
  </si>
  <si>
    <t>Total Revenue from SaaS model</t>
  </si>
  <si>
    <t>Capital + Revenue</t>
  </si>
  <si>
    <t>How many months you have until cash will be burned totally in Saas Model</t>
  </si>
  <si>
    <t>menso costs 2024</t>
  </si>
  <si>
    <t>Q1 2024</t>
  </si>
  <si>
    <t>Q2 2024</t>
  </si>
  <si>
    <t>Q3 2024</t>
  </si>
  <si>
    <t>Q4 2024</t>
  </si>
  <si>
    <t>FY 2024</t>
  </si>
  <si>
    <t>menso costs 2025</t>
  </si>
  <si>
    <t>Q1 2025</t>
  </si>
  <si>
    <t>Q2 2025</t>
  </si>
  <si>
    <t>Q3 2025</t>
  </si>
  <si>
    <t>Q4 2025</t>
  </si>
  <si>
    <t>FY 2025</t>
  </si>
  <si>
    <t>Business developer</t>
  </si>
  <si>
    <t>menso business revenue 2023</t>
  </si>
  <si>
    <t>Monthly growth in subscriptions</t>
  </si>
  <si>
    <t>menso affordable subscription fees per client</t>
  </si>
  <si>
    <t>menso premium subscription fees per client</t>
  </si>
  <si>
    <t>menso earning per client per appointment per month</t>
  </si>
  <si>
    <t>Average revenue per client</t>
  </si>
  <si>
    <t>Metric</t>
  </si>
  <si>
    <t>Monthly Churn rate, %</t>
  </si>
  <si>
    <t>New trials (20% growth)</t>
  </si>
  <si>
    <t>Trial-to-paid conversion rate, %</t>
  </si>
  <si>
    <t>Lost customers (churn)</t>
  </si>
  <si>
    <t>Total lost customers cumulative (churn)</t>
  </si>
  <si>
    <t>New customers (purchased subscription)</t>
  </si>
  <si>
    <t>Total active customers cumulative</t>
  </si>
  <si>
    <t>MRR</t>
  </si>
  <si>
    <t>MRR month over month growth,%</t>
  </si>
  <si>
    <t>Total Revenue cumulative</t>
  </si>
  <si>
    <t>Average lifetime of customer in months</t>
  </si>
  <si>
    <t>Lifetime revenue per client</t>
  </si>
  <si>
    <t>menso business revenue 2024</t>
  </si>
  <si>
    <t>menso business revenue 2025</t>
  </si>
  <si>
    <t>IRR</t>
  </si>
  <si>
    <t>NPV</t>
  </si>
  <si>
    <t>discount rate</t>
  </si>
  <si>
    <t>CF</t>
  </si>
  <si>
    <t>Yearly Income and Expense Statement</t>
  </si>
  <si>
    <t>How many months until cash will be burned totally</t>
  </si>
  <si>
    <t>How many months until cash will be burned totally in Saas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</si>
</sst>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€&quot;\ #,##0.00;[Red]&quot;€&quot;\ \-#,##0.00"/>
    <numFmt numFmtId="42" formatCode="_ &quot;€&quot;\ * #,##0_ ;_ &quot;€&quot;\ * \-#,##0_ ;_ &quot;€&quot;\ * &quot;-&quot;_ ;_ @_ "/>
    <numFmt numFmtId="44" formatCode="_ &quot;€&quot;\ * #,##0.00_ ;_ &quot;€&quot;\ * \-#,##0.00_ ;_ &quot;€&quot;\ * &quot;-&quot;??_ ;_ @_ "/>
    <numFmt numFmtId="165" formatCode="[$-409]mmmm\ d\,\ yyyy"/>
    <numFmt numFmtId="166" formatCode="0.0"/>
    <numFmt numFmtId="167" formatCode="&quot;€&quot;\ #,##0.00"/>
  </numFmts>
  <fonts count="6">
    <font>
      <sz val="12"/>
      <color rgb="FF000000"/>
      <name val="Calibri"/>
    </font>
    <font>
      <sz val="12"/>
      <color rgb="FF000000"/>
      <name val="Times Roman"/>
    </font>
    <font>
      <b/>
      <sz val="12"/>
      <color rgb="FF000000"/>
      <name val="Times Roman"/>
    </font>
    <font>
      <b/>
      <sz val="10"/>
      <color rgb="FF000000"/>
      <name val="Times Roman"/>
    </font>
    <font>
      <b/>
      <sz val="12"/>
      <color rgb="FFFF0000"/>
      <name val="Times Roman"/>
    </font>
    <font>
      <b/>
      <sz val="12"/>
      <color rgb="FFFFFFFF"/>
      <name val="Times Roman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2F5496"/>
        <bgColor rgb="FF2F5496"/>
      </patternFill>
    </fill>
    <fill>
      <patternFill patternType="solid">
        <fgColor rgb="FF548135"/>
        <bgColor rgb="FF548135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0" xfId="0" applyFont="1" applyBorder="1"/>
    <xf numFmtId="0" fontId="1" fillId="0" borderId="0" xfId="0" applyFont="1"/>
    <xf numFmtId="0" fontId="1" fillId="2" borderId="13" xfId="0" applyFont="1" applyFill="1" applyBorder="1"/>
    <xf numFmtId="10" fontId="1" fillId="2" borderId="13" xfId="0" applyNumberFormat="1" applyFont="1" applyFill="1" applyBorder="1"/>
    <xf numFmtId="42" fontId="1" fillId="2" borderId="13" xfId="0" applyNumberFormat="1" applyFont="1" applyFill="1" applyBorder="1"/>
    <xf numFmtId="0" fontId="2" fillId="2" borderId="13" xfId="0" applyFont="1" applyFill="1" applyBorder="1"/>
    <xf numFmtId="0" fontId="1" fillId="0" borderId="13" xfId="0" applyFont="1" applyBorder="1"/>
    <xf numFmtId="166" fontId="1" fillId="0" borderId="13" xfId="0" applyNumberFormat="1" applyFont="1" applyBorder="1"/>
    <xf numFmtId="166" fontId="1" fillId="2" borderId="13" xfId="0" applyNumberFormat="1" applyFont="1" applyFill="1" applyBorder="1"/>
    <xf numFmtId="1" fontId="1" fillId="0" borderId="13" xfId="0" applyNumberFormat="1" applyFont="1" applyBorder="1"/>
    <xf numFmtId="10" fontId="1" fillId="0" borderId="13" xfId="0" applyNumberFormat="1" applyFont="1" applyBorder="1"/>
    <xf numFmtId="0" fontId="2" fillId="0" borderId="9" xfId="0" applyFont="1" applyBorder="1"/>
    <xf numFmtId="17" fontId="2" fillId="2" borderId="13" xfId="0" applyNumberFormat="1" applyFont="1" applyFill="1" applyBorder="1" applyAlignment="1">
      <alignment horizontal="center"/>
    </xf>
    <xf numFmtId="44" fontId="1" fillId="0" borderId="0" xfId="0" applyNumberFormat="1" applyFont="1"/>
    <xf numFmtId="9" fontId="1" fillId="0" borderId="0" xfId="0" applyNumberFormat="1" applyFont="1"/>
    <xf numFmtId="165" fontId="1" fillId="0" borderId="0" xfId="0" applyNumberFormat="1" applyFont="1"/>
    <xf numFmtId="0" fontId="4" fillId="0" borderId="5" xfId="0" applyFont="1" applyBorder="1"/>
    <xf numFmtId="44" fontId="4" fillId="0" borderId="0" xfId="0" applyNumberFormat="1" applyFont="1"/>
    <xf numFmtId="0" fontId="2" fillId="0" borderId="3" xfId="0" applyFont="1" applyBorder="1"/>
    <xf numFmtId="0" fontId="1" fillId="0" borderId="1" xfId="0" applyFont="1" applyBorder="1"/>
    <xf numFmtId="44" fontId="1" fillId="2" borderId="6" xfId="0" applyNumberFormat="1" applyFont="1" applyFill="1" applyBorder="1"/>
    <xf numFmtId="0" fontId="2" fillId="0" borderId="0" xfId="0" applyFont="1"/>
    <xf numFmtId="17" fontId="2" fillId="0" borderId="1" xfId="0" applyNumberFormat="1" applyFont="1" applyBorder="1" applyAlignment="1">
      <alignment horizontal="center"/>
    </xf>
    <xf numFmtId="0" fontId="2" fillId="2" borderId="5" xfId="0" applyFont="1" applyFill="1" applyBorder="1"/>
    <xf numFmtId="49" fontId="2" fillId="2" borderId="7" xfId="0" applyNumberFormat="1" applyFont="1" applyFill="1" applyBorder="1" applyAlignment="1">
      <alignment wrapText="1"/>
    </xf>
    <xf numFmtId="0" fontId="1" fillId="0" borderId="5" xfId="0" applyFont="1" applyBorder="1"/>
    <xf numFmtId="0" fontId="2" fillId="2" borderId="3" xfId="0" applyFont="1" applyFill="1" applyBorder="1"/>
    <xf numFmtId="17" fontId="3" fillId="2" borderId="3" xfId="0" applyNumberFormat="1" applyFont="1" applyFill="1" applyBorder="1" applyAlignment="1">
      <alignment horizontal="center"/>
    </xf>
    <xf numFmtId="17" fontId="3" fillId="2" borderId="1" xfId="0" applyNumberFormat="1" applyFont="1" applyFill="1" applyBorder="1" applyAlignment="1">
      <alignment horizontal="center"/>
    </xf>
    <xf numFmtId="17" fontId="3" fillId="2" borderId="4" xfId="0" applyNumberFormat="1" applyFont="1" applyFill="1" applyBorder="1" applyAlignment="1">
      <alignment horizontal="center"/>
    </xf>
    <xf numFmtId="0" fontId="1" fillId="0" borderId="9" xfId="0" applyFont="1" applyBorder="1"/>
    <xf numFmtId="166" fontId="1" fillId="0" borderId="12" xfId="0" applyNumberFormat="1" applyFont="1" applyBorder="1"/>
    <xf numFmtId="166" fontId="1" fillId="0" borderId="0" xfId="0" applyNumberFormat="1" applyFont="1"/>
    <xf numFmtId="166" fontId="1" fillId="0" borderId="6" xfId="0" applyNumberFormat="1" applyFont="1" applyBorder="1"/>
    <xf numFmtId="0" fontId="1" fillId="2" borderId="5" xfId="0" applyFont="1" applyFill="1" applyBorder="1"/>
    <xf numFmtId="166" fontId="1" fillId="2" borderId="2" xfId="0" applyNumberFormat="1" applyFont="1" applyFill="1" applyBorder="1"/>
    <xf numFmtId="1" fontId="1" fillId="0" borderId="0" xfId="0" applyNumberFormat="1" applyFont="1"/>
    <xf numFmtId="1" fontId="1" fillId="0" borderId="6" xfId="0" applyNumberFormat="1" applyFont="1" applyBorder="1"/>
    <xf numFmtId="10" fontId="1" fillId="0" borderId="0" xfId="0" applyNumberFormat="1" applyFont="1"/>
    <xf numFmtId="10" fontId="1" fillId="0" borderId="6" xfId="0" applyNumberFormat="1" applyFont="1" applyBorder="1"/>
    <xf numFmtId="0" fontId="1" fillId="2" borderId="7" xfId="0" applyFont="1" applyFill="1" applyBorder="1"/>
    <xf numFmtId="0" fontId="2" fillId="2" borderId="1" xfId="0" applyFont="1" applyFill="1" applyBorder="1"/>
    <xf numFmtId="0" fontId="2" fillId="2" borderId="4" xfId="0" applyFont="1" applyFill="1" applyBorder="1"/>
    <xf numFmtId="17" fontId="5" fillId="3" borderId="1" xfId="0" applyNumberFormat="1" applyFont="1" applyFill="1" applyBorder="1" applyAlignment="1">
      <alignment horizontal="center"/>
    </xf>
    <xf numFmtId="17" fontId="5" fillId="4" borderId="4" xfId="0" applyNumberFormat="1" applyFont="1" applyFill="1" applyBorder="1" applyAlignment="1">
      <alignment horizontal="center"/>
    </xf>
    <xf numFmtId="0" fontId="2" fillId="0" borderId="7" xfId="0" applyFont="1" applyBorder="1"/>
    <xf numFmtId="0" fontId="1" fillId="0" borderId="11" xfId="0" applyFont="1" applyBorder="1"/>
    <xf numFmtId="0" fontId="1" fillId="0" borderId="8" xfId="0" applyFont="1" applyBorder="1"/>
    <xf numFmtId="0" fontId="1" fillId="2" borderId="1" xfId="0" applyFont="1" applyFill="1" applyBorder="1"/>
    <xf numFmtId="0" fontId="2" fillId="0" borderId="5" xfId="0" applyFont="1" applyBorder="1"/>
    <xf numFmtId="0" fontId="2" fillId="2" borderId="9" xfId="0" applyFont="1" applyFill="1" applyBorder="1"/>
    <xf numFmtId="0" fontId="1" fillId="2" borderId="10" xfId="0" applyFont="1" applyFill="1" applyBorder="1"/>
    <xf numFmtId="8" fontId="1" fillId="0" borderId="0" xfId="0" applyNumberFormat="1" applyFont="1"/>
    <xf numFmtId="167" fontId="1" fillId="0" borderId="0" xfId="0" applyNumberFormat="1" applyFont="1"/>
    <xf numFmtId="0" fontId="1" fillId="0" borderId="2" xfId="0" applyFont="1" applyBorder="1"/>
    <xf numFmtId="44" fontId="1" fillId="5" borderId="0" xfId="0" applyNumberFormat="1" applyFont="1" applyFill="1"/>
    <xf numFmtId="0" fontId="1" fillId="5" borderId="0" xfId="0" applyFont="1" applyFill="1"/>
    <xf numFmtId="2" fontId="1" fillId="2" borderId="8" xfId="0" applyNumberFormat="1" applyFont="1" applyFill="1" applyBorder="1"/>
    <xf numFmtId="2" fontId="1" fillId="0" borderId="13" xfId="0" applyNumberFormat="1" applyFont="1" applyBorder="1"/>
    <xf numFmtId="0" fontId="1" fillId="0" borderId="14" xfId="0" applyFont="1" applyBorder="1"/>
    <xf numFmtId="0" fontId="2" fillId="5" borderId="14" xfId="0" applyFont="1" applyFill="1" applyBorder="1"/>
    <xf numFmtId="167" fontId="1" fillId="0" borderId="14" xfId="0" applyNumberFormat="1" applyFont="1" applyBorder="1"/>
    <xf numFmtId="2" fontId="1" fillId="0" borderId="1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2200349956254"/>
          <c:y val="0.1439122193059201"/>
          <c:w val="0.81633355205599301"/>
          <c:h val="0.53608522892971711"/>
        </c:manualLayout>
      </c:layout>
      <c:lineChart>
        <c:grouping val="standard"/>
        <c:varyColors val="0"/>
        <c:ser>
          <c:idx val="0"/>
          <c:order val="0"/>
          <c:tx>
            <c:strRef>
              <c:f>'revenue 2023'!$A$16</c:f>
              <c:strCache>
                <c:ptCount val="1"/>
                <c:pt idx="0">
                  <c:v>MRR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'revenue 2023'!$B$8:$M$8</c:f>
              <c:numCache>
                <c:formatCode>mmm\-yy</c:formatCode>
                <c:ptCount val="12"/>
                <c:pt idx="0">
                  <c:v>44941</c:v>
                </c:pt>
                <c:pt idx="1">
                  <c:v>44972</c:v>
                </c:pt>
                <c:pt idx="2">
                  <c:v>45000</c:v>
                </c:pt>
                <c:pt idx="3">
                  <c:v>45031</c:v>
                </c:pt>
                <c:pt idx="4">
                  <c:v>45061</c:v>
                </c:pt>
                <c:pt idx="5">
                  <c:v>45092</c:v>
                </c:pt>
                <c:pt idx="6">
                  <c:v>45122</c:v>
                </c:pt>
                <c:pt idx="7">
                  <c:v>45153</c:v>
                </c:pt>
                <c:pt idx="8">
                  <c:v>45184</c:v>
                </c:pt>
                <c:pt idx="9">
                  <c:v>45214</c:v>
                </c:pt>
                <c:pt idx="10">
                  <c:v>45245</c:v>
                </c:pt>
                <c:pt idx="11">
                  <c:v>45275</c:v>
                </c:pt>
              </c:numCache>
            </c:numRef>
          </c:cat>
          <c:val>
            <c:numRef>
              <c:f>'revenue 2023'!$B$16:$M$16</c:f>
              <c:numCache>
                <c:formatCode>_("€"* #,##0_);_("€"* \(#,##0\);_("€"* "-"_);_(@_)</c:formatCode>
                <c:ptCount val="12"/>
                <c:pt idx="6">
                  <c:v>1120</c:v>
                </c:pt>
                <c:pt idx="7">
                  <c:v>2245.6</c:v>
                </c:pt>
                <c:pt idx="8">
                  <c:v>3505.096</c:v>
                </c:pt>
                <c:pt idx="9">
                  <c:v>4899.9868399999996</c:v>
                </c:pt>
                <c:pt idx="10">
                  <c:v>6445.7130527999998</c:v>
                </c:pt>
                <c:pt idx="11">
                  <c:v>8158.0547210399991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A-E74C-90CA-F7E799F408B8}"/>
            </c:ext>
          </c:extLst>
        </c:ser>
        <c:ser>
          <c:idx val="1"/>
          <c:order val="1"/>
          <c:tx>
            <c:strRef>
              <c:f>'revenue 2023'!$A$18</c:f>
              <c:strCache>
                <c:ptCount val="1"/>
                <c:pt idx="0">
                  <c:v>Total Revenue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'revenue 2023'!$B$8:$M$8</c:f>
              <c:numCache>
                <c:formatCode>mmm\-yy</c:formatCode>
                <c:ptCount val="12"/>
                <c:pt idx="0">
                  <c:v>44941</c:v>
                </c:pt>
                <c:pt idx="1">
                  <c:v>44972</c:v>
                </c:pt>
                <c:pt idx="2">
                  <c:v>45000</c:v>
                </c:pt>
                <c:pt idx="3">
                  <c:v>45031</c:v>
                </c:pt>
                <c:pt idx="4">
                  <c:v>45061</c:v>
                </c:pt>
                <c:pt idx="5">
                  <c:v>45092</c:v>
                </c:pt>
                <c:pt idx="6">
                  <c:v>45122</c:v>
                </c:pt>
                <c:pt idx="7">
                  <c:v>45153</c:v>
                </c:pt>
                <c:pt idx="8">
                  <c:v>45184</c:v>
                </c:pt>
                <c:pt idx="9">
                  <c:v>45214</c:v>
                </c:pt>
                <c:pt idx="10">
                  <c:v>45245</c:v>
                </c:pt>
                <c:pt idx="11">
                  <c:v>45275</c:v>
                </c:pt>
              </c:numCache>
            </c:numRef>
          </c:cat>
          <c:val>
            <c:numRef>
              <c:f>'revenue 2023'!$B$18:$M$18</c:f>
              <c:numCache>
                <c:formatCode>_("€"* #,##0_);_("€"* \(#,##0\);_("€"* "-"_);_(@_)</c:formatCode>
                <c:ptCount val="12"/>
                <c:pt idx="7">
                  <c:v>3365.6</c:v>
                </c:pt>
                <c:pt idx="8">
                  <c:v>6870.6959999999999</c:v>
                </c:pt>
                <c:pt idx="9">
                  <c:v>11770.682839999999</c:v>
                </c:pt>
                <c:pt idx="10">
                  <c:v>18216.395892799999</c:v>
                </c:pt>
                <c:pt idx="11">
                  <c:v>26374.450613839999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A-E74C-90CA-F7E799F40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161968"/>
        <c:axId val="1165797536"/>
      </c:lineChart>
      <c:dateAx>
        <c:axId val="1143161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NL"/>
          </a:p>
        </c:txPr>
        <c:crossAx val="1165797536"/>
        <c:crosses val="autoZero"/>
        <c:auto val="1"/>
        <c:lblOffset val="100"/>
        <c:baseTimeUnit val="months"/>
      </c:dateAx>
      <c:valAx>
        <c:axId val="11657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NL"/>
          </a:p>
        </c:txPr>
        <c:crossAx val="11431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'revenue 2024'!$A$16</c:f>
              <c:strCache>
                <c:ptCount val="1"/>
                <c:pt idx="0">
                  <c:v>MRR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'revenue 2024'!$B$8:$M$8</c:f>
              <c:numCache>
                <c:formatCode>mmm\-yy</c:formatCode>
                <c:ptCount val="12"/>
                <c:pt idx="0">
                  <c:v>45306</c:v>
                </c:pt>
                <c:pt idx="1">
                  <c:v>45337</c:v>
                </c:pt>
                <c:pt idx="2">
                  <c:v>45366</c:v>
                </c:pt>
                <c:pt idx="3">
                  <c:v>45397</c:v>
                </c:pt>
                <c:pt idx="4">
                  <c:v>45427</c:v>
                </c:pt>
                <c:pt idx="5">
                  <c:v>45458</c:v>
                </c:pt>
                <c:pt idx="6">
                  <c:v>45488</c:v>
                </c:pt>
                <c:pt idx="7">
                  <c:v>45519</c:v>
                </c:pt>
                <c:pt idx="8">
                  <c:v>45550</c:v>
                </c:pt>
                <c:pt idx="9">
                  <c:v>45580</c:v>
                </c:pt>
                <c:pt idx="10">
                  <c:v>45611</c:v>
                </c:pt>
                <c:pt idx="11">
                  <c:v>45641</c:v>
                </c:pt>
              </c:numCache>
            </c:numRef>
          </c:cat>
          <c:val>
            <c:numRef>
              <c:f>'revenue 2024'!$B$16:$M$16</c:f>
              <c:numCache>
                <c:formatCode>_("€"* #,##0_);_("€"* \(#,##0\);_("€"* "-"_);_(@_)</c:formatCode>
                <c:ptCount val="12"/>
                <c:pt idx="0">
                  <c:v>2074.3368799999998</c:v>
                </c:pt>
                <c:pt idx="1">
                  <c:v>4324.9923947999996</c:v>
                </c:pt>
                <c:pt idx="2">
                  <c:v>6965.2602340859994</c:v>
                </c:pt>
                <c:pt idx="3">
                  <c:v>10009.678906465699</c:v>
                </c:pt>
                <c:pt idx="4">
                  <c:v>13485.486140572215</c:v>
                </c:pt>
                <c:pt idx="5">
                  <c:v>17483.928171751213</c:v>
                </c:pt>
                <c:pt idx="6">
                  <c:v>22082.073322009237</c:v>
                </c:pt>
                <c:pt idx="7">
                  <c:v>27369.943404085858</c:v>
                </c:pt>
                <c:pt idx="8">
                  <c:v>33450.993840509967</c:v>
                </c:pt>
                <c:pt idx="9">
                  <c:v>40444.201850295911</c:v>
                </c:pt>
                <c:pt idx="10">
                  <c:v>48486.39106115482</c:v>
                </c:pt>
                <c:pt idx="11">
                  <c:v>57734.908653662314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A-D749-8E63-B00B2DB8B55C}"/>
            </c:ext>
          </c:extLst>
        </c:ser>
        <c:ser>
          <c:idx val="1"/>
          <c:order val="1"/>
          <c:tx>
            <c:strRef>
              <c:f>'revenue 2024'!$A$18</c:f>
              <c:strCache>
                <c:ptCount val="1"/>
                <c:pt idx="0">
                  <c:v>Total Revenue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'revenue 2024'!$B$8:$M$8</c:f>
              <c:numCache>
                <c:formatCode>mmm\-yy</c:formatCode>
                <c:ptCount val="12"/>
                <c:pt idx="0">
                  <c:v>45306</c:v>
                </c:pt>
                <c:pt idx="1">
                  <c:v>45337</c:v>
                </c:pt>
                <c:pt idx="2">
                  <c:v>45366</c:v>
                </c:pt>
                <c:pt idx="3">
                  <c:v>45397</c:v>
                </c:pt>
                <c:pt idx="4">
                  <c:v>45427</c:v>
                </c:pt>
                <c:pt idx="5">
                  <c:v>45458</c:v>
                </c:pt>
                <c:pt idx="6">
                  <c:v>45488</c:v>
                </c:pt>
                <c:pt idx="7">
                  <c:v>45519</c:v>
                </c:pt>
                <c:pt idx="8">
                  <c:v>45550</c:v>
                </c:pt>
                <c:pt idx="9">
                  <c:v>45580</c:v>
                </c:pt>
                <c:pt idx="10">
                  <c:v>45611</c:v>
                </c:pt>
                <c:pt idx="11">
                  <c:v>45641</c:v>
                </c:pt>
              </c:numCache>
            </c:numRef>
          </c:cat>
          <c:val>
            <c:numRef>
              <c:f>'revenue 2024'!$B$18:$M$18</c:f>
              <c:numCache>
                <c:formatCode>_("€"* #,##0_);_("€"* \(#,##0\);_("€"* "-"_);_(@_)</c:formatCode>
                <c:ptCount val="12"/>
                <c:pt idx="0">
                  <c:v>2074.3368799999998</c:v>
                </c:pt>
                <c:pt idx="1">
                  <c:v>6399.3292747999994</c:v>
                </c:pt>
                <c:pt idx="2">
                  <c:v>13364.589508885998</c:v>
                </c:pt>
                <c:pt idx="3">
                  <c:v>23374.268415351697</c:v>
                </c:pt>
                <c:pt idx="4">
                  <c:v>36859.754555923908</c:v>
                </c:pt>
                <c:pt idx="5">
                  <c:v>54343.682727675121</c:v>
                </c:pt>
                <c:pt idx="6">
                  <c:v>76425.756049684365</c:v>
                </c:pt>
                <c:pt idx="7">
                  <c:v>103795.69945377023</c:v>
                </c:pt>
                <c:pt idx="8">
                  <c:v>137246.69329428021</c:v>
                </c:pt>
                <c:pt idx="9">
                  <c:v>177690.89514457612</c:v>
                </c:pt>
                <c:pt idx="10">
                  <c:v>226177.28620573092</c:v>
                </c:pt>
                <c:pt idx="11">
                  <c:v>283912.19485939323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A-D749-8E63-B00B2DB8B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770448"/>
        <c:axId val="1224021552"/>
      </c:lineChart>
      <c:dateAx>
        <c:axId val="1129770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NL"/>
          </a:p>
        </c:txPr>
        <c:crossAx val="1224021552"/>
        <c:crosses val="autoZero"/>
        <c:auto val="1"/>
        <c:lblOffset val="100"/>
        <c:baseTimeUnit val="months"/>
      </c:dateAx>
      <c:valAx>
        <c:axId val="12240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NL"/>
          </a:p>
        </c:txPr>
        <c:crossAx val="11297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'revenue 2025'!$A$16</c:f>
              <c:strCache>
                <c:ptCount val="1"/>
                <c:pt idx="0">
                  <c:v>MRR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'revenue 2025'!$B$8:$M$8</c:f>
              <c:numCache>
                <c:formatCode>mmm\-yy</c:formatCode>
                <c:ptCount val="12"/>
                <c:pt idx="0">
                  <c:v>45672</c:v>
                </c:pt>
                <c:pt idx="1">
                  <c:v>45703</c:v>
                </c:pt>
                <c:pt idx="2">
                  <c:v>45731</c:v>
                </c:pt>
                <c:pt idx="3">
                  <c:v>45762</c:v>
                </c:pt>
                <c:pt idx="4">
                  <c:v>45792</c:v>
                </c:pt>
                <c:pt idx="5">
                  <c:v>45823</c:v>
                </c:pt>
                <c:pt idx="6">
                  <c:v>45853</c:v>
                </c:pt>
                <c:pt idx="7">
                  <c:v>45884</c:v>
                </c:pt>
                <c:pt idx="8">
                  <c:v>45915</c:v>
                </c:pt>
                <c:pt idx="9">
                  <c:v>45945</c:v>
                </c:pt>
                <c:pt idx="10">
                  <c:v>45976</c:v>
                </c:pt>
                <c:pt idx="11">
                  <c:v>46006</c:v>
                </c:pt>
              </c:numCache>
            </c:numRef>
          </c:cat>
          <c:val>
            <c:numRef>
              <c:f>'revenue 2025'!$B$16:$M$16</c:f>
              <c:numCache>
                <c:formatCode>_("€"* #,##0_);_("€"* \(#,##0\);_("€"* "-"_);_(@_)</c:formatCode>
                <c:ptCount val="12"/>
                <c:pt idx="0">
                  <c:v>11580.75246366053</c:v>
                </c:pt>
                <c:pt idx="1">
                  <c:v>24898.617796870141</c:v>
                </c:pt>
                <c:pt idx="2">
                  <c:v>40909.008077880826</c:v>
                </c:pt>
                <c:pt idx="3">
                  <c:v>60120.028821035681</c:v>
                </c:pt>
                <c:pt idx="4">
                  <c:v>83173.32609252441</c:v>
                </c:pt>
                <c:pt idx="5">
                  <c:v>110837.27919932574</c:v>
                </c:pt>
                <c:pt idx="6">
                  <c:v>144034.02310843661</c:v>
                </c:pt>
                <c:pt idx="7">
                  <c:v>183870.11579032219</c:v>
                </c:pt>
                <c:pt idx="8">
                  <c:v>231673.42700903723</c:v>
                </c:pt>
                <c:pt idx="9">
                  <c:v>289037.40047147265</c:v>
                </c:pt>
                <c:pt idx="10">
                  <c:v>357874.16862639633</c:v>
                </c:pt>
                <c:pt idx="11">
                  <c:v>440478.29041230469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E-BE47-B739-A572A32B64AF}"/>
            </c:ext>
          </c:extLst>
        </c:ser>
        <c:ser>
          <c:idx val="1"/>
          <c:order val="1"/>
          <c:tx>
            <c:strRef>
              <c:f>'revenue 2025'!$A$18</c:f>
              <c:strCache>
                <c:ptCount val="1"/>
                <c:pt idx="0">
                  <c:v>Total Revenue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'revenue 2025'!$B$8:$M$8</c:f>
              <c:numCache>
                <c:formatCode>mmm\-yy</c:formatCode>
                <c:ptCount val="12"/>
                <c:pt idx="0">
                  <c:v>45672</c:v>
                </c:pt>
                <c:pt idx="1">
                  <c:v>45703</c:v>
                </c:pt>
                <c:pt idx="2">
                  <c:v>45731</c:v>
                </c:pt>
                <c:pt idx="3">
                  <c:v>45762</c:v>
                </c:pt>
                <c:pt idx="4">
                  <c:v>45792</c:v>
                </c:pt>
                <c:pt idx="5">
                  <c:v>45823</c:v>
                </c:pt>
                <c:pt idx="6">
                  <c:v>45853</c:v>
                </c:pt>
                <c:pt idx="7">
                  <c:v>45884</c:v>
                </c:pt>
                <c:pt idx="8">
                  <c:v>45915</c:v>
                </c:pt>
                <c:pt idx="9">
                  <c:v>45945</c:v>
                </c:pt>
                <c:pt idx="10">
                  <c:v>45976</c:v>
                </c:pt>
                <c:pt idx="11">
                  <c:v>46006</c:v>
                </c:pt>
              </c:numCache>
            </c:numRef>
          </c:cat>
          <c:val>
            <c:numRef>
              <c:f>'revenue 2025'!$B$18:$M$18</c:f>
              <c:numCache>
                <c:formatCode>_("€"* #,##0_);_("€"* \(#,##0\);_("€"* "-"_);_(@_)</c:formatCode>
                <c:ptCount val="12"/>
                <c:pt idx="0">
                  <c:v>11580.75246366053</c:v>
                </c:pt>
                <c:pt idx="1">
                  <c:v>36479.370260530675</c:v>
                </c:pt>
                <c:pt idx="2">
                  <c:v>77388.378338411509</c:v>
                </c:pt>
                <c:pt idx="3">
                  <c:v>137508.4071594472</c:v>
                </c:pt>
                <c:pt idx="4">
                  <c:v>220681.7332519716</c:v>
                </c:pt>
                <c:pt idx="5">
                  <c:v>331519.01245129737</c:v>
                </c:pt>
                <c:pt idx="6">
                  <c:v>475553.03555973398</c:v>
                </c:pt>
                <c:pt idx="7">
                  <c:v>659423.15135005617</c:v>
                </c:pt>
                <c:pt idx="8">
                  <c:v>891096.5783590934</c:v>
                </c:pt>
                <c:pt idx="9">
                  <c:v>1180133.9788305662</c:v>
                </c:pt>
                <c:pt idx="10">
                  <c:v>1538008.1474569626</c:v>
                </c:pt>
                <c:pt idx="11">
                  <c:v>1978486.4378692673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E-BE47-B739-A572A32B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369440"/>
        <c:axId val="1245760304"/>
      </c:lineChart>
      <c:dateAx>
        <c:axId val="12463694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NL"/>
          </a:p>
        </c:txPr>
        <c:crossAx val="1245760304"/>
        <c:crosses val="autoZero"/>
        <c:auto val="1"/>
        <c:lblOffset val="100"/>
        <c:baseTimeUnit val="months"/>
      </c:dateAx>
      <c:valAx>
        <c:axId val="12457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NL"/>
          </a:p>
        </c:txPr>
        <c:crossAx val="124636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1130300</xdr:colOff>
      <xdr:row>21</xdr:row>
      <xdr:rowOff>88900</xdr:rowOff>
    </xdr:from>
    <xdr:to>
      <xdr:col>8</xdr:col>
      <xdr:colOff>584200</xdr:colOff>
      <xdr:row>38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F8DD0D-D24C-5438-8AFE-A1E524839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2838450</xdr:colOff>
      <xdr:row>22</xdr:row>
      <xdr:rowOff>88900</xdr:rowOff>
    </xdr:from>
    <xdr:to>
      <xdr:col>9</xdr:col>
      <xdr:colOff>304800</xdr:colOff>
      <xdr:row>39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81E1E-F332-9061-3810-662938C61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27</xdr:row>
      <xdr:rowOff>101600</xdr:rowOff>
    </xdr:from>
    <xdr:to>
      <xdr:col>8</xdr:col>
      <xdr:colOff>520700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FB918-EE3E-7518-D20E-6DC4DACB6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V984"/>
  <sheetViews>
    <sheetView topLeftCell="E1" workbookViewId="0">
      <selection activeCell="U5" activeCellId="5" sqref="B5:B43 I5:I43 C5:D43 M5:M43 Q5:Q43 U5:V43"/>
    </sheetView>
  </sheetViews>
  <sheetFormatPr baseColWidth="10" defaultColWidth="11.1640625" defaultRowHeight="15" customHeight="1"/>
  <cols>
    <col min="1" max="1" width="54.6640625" style="2" customWidth="1"/>
    <col min="2" max="2" width="16.1640625" style="2" customWidth="1"/>
    <col min="3" max="3" width="5.83203125" style="2" customWidth="1"/>
    <col min="4" max="4" width="14.83203125" style="2" customWidth="1"/>
    <col min="5" max="5" width="18.83203125" style="2" customWidth="1"/>
    <col min="6" max="6" width="10.33203125" style="2" customWidth="1"/>
    <col min="7" max="12" width="11.5" style="2" customWidth="1"/>
    <col min="13" max="13" width="12.6640625" style="2" customWidth="1"/>
    <col min="14" max="16" width="11.5" style="2" customWidth="1"/>
    <col min="17" max="17" width="13" style="2" customWidth="1"/>
    <col min="18" max="20" width="11.5" style="2" customWidth="1"/>
    <col min="21" max="21" width="12.6640625" style="2" customWidth="1"/>
    <col min="22" max="22" width="12.5" style="2" customWidth="1"/>
    <col min="23" max="26" width="10.5" style="2" customWidth="1"/>
    <col min="27" max="16384" width="11.1640625" style="2"/>
  </cols>
  <sheetData>
    <row r="1" spans="1:22" ht="18.75" customHeight="1">
      <c r="A1" s="22" t="s">
        <v>0</v>
      </c>
    </row>
    <row r="2" spans="1:22" ht="18.75" customHeight="1"/>
    <row r="3" spans="1:22" ht="15.75" customHeight="1"/>
    <row r="4" spans="1:22" ht="18.75" customHeight="1">
      <c r="A4" s="22" t="s">
        <v>1</v>
      </c>
    </row>
    <row r="5" spans="1:22" ht="15.75" customHeight="1">
      <c r="A5" s="27" t="s">
        <v>2</v>
      </c>
      <c r="B5" s="42" t="s">
        <v>3</v>
      </c>
      <c r="C5" s="42" t="s">
        <v>4</v>
      </c>
      <c r="D5" s="42" t="s">
        <v>5</v>
      </c>
      <c r="E5" s="43" t="s">
        <v>6</v>
      </c>
      <c r="F5" s="23">
        <v>44576</v>
      </c>
      <c r="G5" s="23">
        <v>44607</v>
      </c>
      <c r="H5" s="23">
        <v>44635</v>
      </c>
      <c r="I5" s="44" t="s">
        <v>7</v>
      </c>
      <c r="J5" s="23">
        <v>44666</v>
      </c>
      <c r="K5" s="23">
        <v>44696</v>
      </c>
      <c r="L5" s="23">
        <v>44727</v>
      </c>
      <c r="M5" s="44" t="s">
        <v>8</v>
      </c>
      <c r="N5" s="23">
        <v>44757</v>
      </c>
      <c r="O5" s="23">
        <v>44788</v>
      </c>
      <c r="P5" s="23">
        <v>44819</v>
      </c>
      <c r="Q5" s="44" t="s">
        <v>9</v>
      </c>
      <c r="R5" s="23">
        <v>44849</v>
      </c>
      <c r="S5" s="23">
        <v>44880</v>
      </c>
      <c r="T5" s="23">
        <v>44910</v>
      </c>
      <c r="U5" s="44" t="s">
        <v>10</v>
      </c>
      <c r="V5" s="45" t="s">
        <v>11</v>
      </c>
    </row>
    <row r="6" spans="1:22" ht="15.75" customHeight="1">
      <c r="A6" s="26" t="s">
        <v>12</v>
      </c>
      <c r="B6" s="14">
        <v>20000</v>
      </c>
      <c r="C6" s="15">
        <v>0.09</v>
      </c>
      <c r="D6" s="14">
        <f t="shared" ref="D6:D10" si="0">B6+(B6*C6)</f>
        <v>21800</v>
      </c>
      <c r="E6" s="16">
        <v>44805</v>
      </c>
      <c r="F6" s="14">
        <v>0</v>
      </c>
      <c r="G6" s="14">
        <v>0</v>
      </c>
      <c r="H6" s="14">
        <v>0</v>
      </c>
      <c r="I6" s="14">
        <f t="shared" ref="I6:I10" si="1">SUM(F6:H6)</f>
        <v>0</v>
      </c>
      <c r="J6" s="14">
        <v>0</v>
      </c>
      <c r="K6" s="14">
        <v>0</v>
      </c>
      <c r="L6" s="14">
        <v>0</v>
      </c>
      <c r="M6" s="14">
        <f t="shared" ref="M6:M10" si="2">SUM(J6:L6)</f>
        <v>0</v>
      </c>
      <c r="N6" s="14">
        <v>0</v>
      </c>
      <c r="O6" s="14">
        <v>0</v>
      </c>
      <c r="P6" s="14">
        <f t="shared" ref="P6" si="3">IF($E6&lt;=P$5, $D6/12, 0)</f>
        <v>1816.6666666666667</v>
      </c>
      <c r="Q6" s="14">
        <f t="shared" ref="Q6:Q10" si="4">SUM(N6:P6)</f>
        <v>1816.6666666666667</v>
      </c>
      <c r="R6" s="14">
        <f t="shared" ref="R6:T6" si="5">IF($E6&lt;=R$5, $D6/12, 0)</f>
        <v>1816.6666666666667</v>
      </c>
      <c r="S6" s="14">
        <f t="shared" si="5"/>
        <v>1816.6666666666667</v>
      </c>
      <c r="T6" s="14">
        <f t="shared" si="5"/>
        <v>1816.6666666666667</v>
      </c>
      <c r="U6" s="14">
        <f t="shared" ref="U6:U10" si="6">SUM(R6:T6)</f>
        <v>5450</v>
      </c>
      <c r="V6" s="14">
        <f t="shared" ref="V6:V10" si="7">I6+M6+Q6+U6</f>
        <v>7266.666666666667</v>
      </c>
    </row>
    <row r="7" spans="1:22" ht="15.75" customHeight="1">
      <c r="A7" s="26" t="s">
        <v>13</v>
      </c>
      <c r="B7" s="14">
        <v>20000</v>
      </c>
      <c r="C7" s="15">
        <v>0.09</v>
      </c>
      <c r="D7" s="14">
        <f t="shared" si="0"/>
        <v>21800</v>
      </c>
      <c r="E7" s="16">
        <v>44805</v>
      </c>
      <c r="F7" s="14">
        <f t="shared" ref="F7:H7" si="8">IF($E7&lt;=F$5, $D7/12, 0)</f>
        <v>0</v>
      </c>
      <c r="G7" s="14">
        <f t="shared" si="8"/>
        <v>0</v>
      </c>
      <c r="H7" s="14">
        <f t="shared" si="8"/>
        <v>0</v>
      </c>
      <c r="I7" s="14">
        <f t="shared" si="1"/>
        <v>0</v>
      </c>
      <c r="J7" s="14">
        <f t="shared" ref="J7:L7" si="9">IF($E7&lt;=J$5, $D7/12, 0)</f>
        <v>0</v>
      </c>
      <c r="K7" s="14">
        <f t="shared" si="9"/>
        <v>0</v>
      </c>
      <c r="L7" s="14">
        <f t="shared" si="9"/>
        <v>0</v>
      </c>
      <c r="M7" s="14">
        <f t="shared" si="2"/>
        <v>0</v>
      </c>
      <c r="N7" s="14">
        <f t="shared" ref="N7:P7" si="10">IF($E7&lt;=N$5, $D7/12, 0)</f>
        <v>0</v>
      </c>
      <c r="O7" s="14">
        <f t="shared" si="10"/>
        <v>0</v>
      </c>
      <c r="P7" s="14">
        <f t="shared" si="10"/>
        <v>1816.6666666666667</v>
      </c>
      <c r="Q7" s="14">
        <f t="shared" si="4"/>
        <v>1816.6666666666667</v>
      </c>
      <c r="R7" s="14">
        <f t="shared" ref="R7:T7" si="11">IF($E7&lt;=R$5, $D7/12, 0)</f>
        <v>1816.6666666666667</v>
      </c>
      <c r="S7" s="14">
        <f t="shared" si="11"/>
        <v>1816.6666666666667</v>
      </c>
      <c r="T7" s="14">
        <f t="shared" si="11"/>
        <v>1816.6666666666667</v>
      </c>
      <c r="U7" s="14">
        <f t="shared" si="6"/>
        <v>5450</v>
      </c>
      <c r="V7" s="14">
        <f t="shared" si="7"/>
        <v>7266.666666666667</v>
      </c>
    </row>
    <row r="8" spans="1:22" ht="15.75" customHeight="1">
      <c r="A8" s="26" t="s">
        <v>14</v>
      </c>
      <c r="B8" s="14">
        <v>20000</v>
      </c>
      <c r="C8" s="15">
        <v>0.09</v>
      </c>
      <c r="D8" s="14">
        <f t="shared" si="0"/>
        <v>21800</v>
      </c>
      <c r="E8" s="16">
        <v>44805</v>
      </c>
      <c r="F8" s="14">
        <f t="shared" ref="F8:H8" si="12">IF($E8&lt;=F$5, $D8/12, 0)</f>
        <v>0</v>
      </c>
      <c r="G8" s="14">
        <f t="shared" si="12"/>
        <v>0</v>
      </c>
      <c r="H8" s="14">
        <f t="shared" si="12"/>
        <v>0</v>
      </c>
      <c r="I8" s="14">
        <f t="shared" si="1"/>
        <v>0</v>
      </c>
      <c r="J8" s="14">
        <f t="shared" ref="J8:L8" si="13">IF($E8&lt;=J$5, $D8/12, 0)</f>
        <v>0</v>
      </c>
      <c r="K8" s="14">
        <f t="shared" si="13"/>
        <v>0</v>
      </c>
      <c r="L8" s="14">
        <f t="shared" si="13"/>
        <v>0</v>
      </c>
      <c r="M8" s="14">
        <f t="shared" si="2"/>
        <v>0</v>
      </c>
      <c r="N8" s="14">
        <f t="shared" ref="N8:P8" si="14">IF($E8&lt;=N$5, $D8/12, 0)</f>
        <v>0</v>
      </c>
      <c r="O8" s="14">
        <f t="shared" si="14"/>
        <v>0</v>
      </c>
      <c r="P8" s="14">
        <f t="shared" si="14"/>
        <v>1816.6666666666667</v>
      </c>
      <c r="Q8" s="14">
        <f t="shared" si="4"/>
        <v>1816.6666666666667</v>
      </c>
      <c r="R8" s="14">
        <f t="shared" ref="R8:T8" si="15">IF($E8&lt;=R$5, $D8/12, 0)</f>
        <v>1816.6666666666667</v>
      </c>
      <c r="S8" s="14">
        <f t="shared" si="15"/>
        <v>1816.6666666666667</v>
      </c>
      <c r="T8" s="14">
        <f t="shared" si="15"/>
        <v>1816.6666666666667</v>
      </c>
      <c r="U8" s="14">
        <f t="shared" si="6"/>
        <v>5450</v>
      </c>
      <c r="V8" s="14">
        <f t="shared" si="7"/>
        <v>7266.666666666667</v>
      </c>
    </row>
    <row r="9" spans="1:22" ht="15.75" customHeight="1">
      <c r="A9" s="26" t="s">
        <v>15</v>
      </c>
      <c r="B9" s="14">
        <v>20000</v>
      </c>
      <c r="C9" s="15">
        <v>0</v>
      </c>
      <c r="D9" s="14">
        <f t="shared" si="0"/>
        <v>20000</v>
      </c>
      <c r="E9" s="16">
        <v>44835</v>
      </c>
      <c r="F9" s="14">
        <f t="shared" ref="F9:H9" si="16">IF($E9&lt;=F$5, $D9/12, 0)</f>
        <v>0</v>
      </c>
      <c r="G9" s="14">
        <f t="shared" si="16"/>
        <v>0</v>
      </c>
      <c r="H9" s="14">
        <f t="shared" si="16"/>
        <v>0</v>
      </c>
      <c r="I9" s="14">
        <f t="shared" si="1"/>
        <v>0</v>
      </c>
      <c r="J9" s="14">
        <f t="shared" ref="J9:L9" si="17">IF($E9&lt;=J$5, $D9/12, 0)</f>
        <v>0</v>
      </c>
      <c r="K9" s="14">
        <f t="shared" si="17"/>
        <v>0</v>
      </c>
      <c r="L9" s="14">
        <f t="shared" si="17"/>
        <v>0</v>
      </c>
      <c r="M9" s="14">
        <f t="shared" si="2"/>
        <v>0</v>
      </c>
      <c r="N9" s="14">
        <f t="shared" ref="N9:P9" si="18">IF($E9&lt;=N$5, $D9/12, 0)</f>
        <v>0</v>
      </c>
      <c r="O9" s="14">
        <f t="shared" si="18"/>
        <v>0</v>
      </c>
      <c r="P9" s="14">
        <f t="shared" si="18"/>
        <v>0</v>
      </c>
      <c r="Q9" s="14">
        <f t="shared" si="4"/>
        <v>0</v>
      </c>
      <c r="R9" s="14">
        <f t="shared" ref="R9:T9" si="19">IF($E9&lt;=R$5, $D9/12, 0)</f>
        <v>1666.6666666666667</v>
      </c>
      <c r="S9" s="14">
        <f t="shared" si="19"/>
        <v>1666.6666666666667</v>
      </c>
      <c r="T9" s="14">
        <f t="shared" si="19"/>
        <v>1666.6666666666667</v>
      </c>
      <c r="U9" s="14">
        <f t="shared" si="6"/>
        <v>5000</v>
      </c>
      <c r="V9" s="14">
        <f t="shared" si="7"/>
        <v>5000</v>
      </c>
    </row>
    <row r="10" spans="1:22" ht="15.75" customHeight="1">
      <c r="A10" s="26" t="s">
        <v>16</v>
      </c>
      <c r="B10" s="14">
        <v>20000</v>
      </c>
      <c r="C10" s="15">
        <v>0</v>
      </c>
      <c r="D10" s="14">
        <f t="shared" si="0"/>
        <v>20000</v>
      </c>
      <c r="E10" s="16">
        <v>44835</v>
      </c>
      <c r="F10" s="14">
        <f t="shared" ref="F10:H10" si="20">IF($E10&lt;=F$5, $D10/12, 0)</f>
        <v>0</v>
      </c>
      <c r="G10" s="14">
        <f t="shared" si="20"/>
        <v>0</v>
      </c>
      <c r="H10" s="14">
        <f t="shared" si="20"/>
        <v>0</v>
      </c>
      <c r="I10" s="14">
        <f t="shared" si="1"/>
        <v>0</v>
      </c>
      <c r="J10" s="14">
        <f t="shared" ref="J10:L10" si="21">IF($E10&lt;=J$5, $D10/12, 0)</f>
        <v>0</v>
      </c>
      <c r="K10" s="14">
        <f t="shared" si="21"/>
        <v>0</v>
      </c>
      <c r="L10" s="14">
        <f t="shared" si="21"/>
        <v>0</v>
      </c>
      <c r="M10" s="14">
        <f t="shared" si="2"/>
        <v>0</v>
      </c>
      <c r="N10" s="14">
        <f t="shared" ref="N10:P10" si="22">IF($E10&lt;=N$5, $D10/12, 0)</f>
        <v>0</v>
      </c>
      <c r="O10" s="14">
        <f t="shared" si="22"/>
        <v>0</v>
      </c>
      <c r="P10" s="14">
        <f t="shared" si="22"/>
        <v>0</v>
      </c>
      <c r="Q10" s="14">
        <f t="shared" si="4"/>
        <v>0</v>
      </c>
      <c r="R10" s="14">
        <f t="shared" ref="R10:T10" si="23">IF($E10&lt;=R$5, $D10/12, 0)</f>
        <v>1666.6666666666667</v>
      </c>
      <c r="S10" s="14">
        <f t="shared" si="23"/>
        <v>1666.6666666666667</v>
      </c>
      <c r="T10" s="14">
        <f t="shared" si="23"/>
        <v>1666.6666666666667</v>
      </c>
      <c r="U10" s="14">
        <f t="shared" si="6"/>
        <v>5000</v>
      </c>
      <c r="V10" s="14">
        <f t="shared" si="7"/>
        <v>5000</v>
      </c>
    </row>
    <row r="11" spans="1:22" ht="15.75" customHeight="1">
      <c r="A11" s="17" t="s">
        <v>17</v>
      </c>
      <c r="B11" s="18">
        <f>V12</f>
        <v>31800</v>
      </c>
      <c r="C11" s="15"/>
      <c r="D11" s="14"/>
      <c r="E11" s="16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15.75" customHeight="1">
      <c r="A12" s="19" t="s">
        <v>18</v>
      </c>
      <c r="B12" s="14">
        <f>SUM(B6:B10)</f>
        <v>100000</v>
      </c>
      <c r="C12" s="20"/>
      <c r="D12" s="20"/>
      <c r="E12" s="20"/>
      <c r="F12" s="14">
        <f t="shared" ref="F12:V12" si="24">SUM(F6:F10)</f>
        <v>0</v>
      </c>
      <c r="G12" s="14">
        <f t="shared" si="24"/>
        <v>0</v>
      </c>
      <c r="H12" s="14">
        <f t="shared" si="24"/>
        <v>0</v>
      </c>
      <c r="I12" s="14">
        <f t="shared" si="24"/>
        <v>0</v>
      </c>
      <c r="J12" s="14">
        <f t="shared" si="24"/>
        <v>0</v>
      </c>
      <c r="K12" s="14">
        <f t="shared" si="24"/>
        <v>0</v>
      </c>
      <c r="L12" s="14">
        <f t="shared" si="24"/>
        <v>0</v>
      </c>
      <c r="M12" s="14">
        <f t="shared" si="24"/>
        <v>0</v>
      </c>
      <c r="N12" s="14">
        <f t="shared" si="24"/>
        <v>0</v>
      </c>
      <c r="O12" s="14">
        <f t="shared" si="24"/>
        <v>0</v>
      </c>
      <c r="P12" s="14">
        <f t="shared" si="24"/>
        <v>5450</v>
      </c>
      <c r="Q12" s="14">
        <f t="shared" si="24"/>
        <v>5450</v>
      </c>
      <c r="R12" s="14">
        <f t="shared" si="24"/>
        <v>8783.3333333333339</v>
      </c>
      <c r="S12" s="14">
        <f t="shared" si="24"/>
        <v>8783.3333333333339</v>
      </c>
      <c r="T12" s="14">
        <f t="shared" si="24"/>
        <v>8783.3333333333339</v>
      </c>
      <c r="U12" s="14">
        <f t="shared" si="24"/>
        <v>26350</v>
      </c>
      <c r="V12" s="14">
        <f t="shared" si="24"/>
        <v>31800</v>
      </c>
    </row>
    <row r="13" spans="1:22" ht="15.75" customHeight="1">
      <c r="A13" s="46" t="s">
        <v>19</v>
      </c>
      <c r="B13" s="47"/>
      <c r="C13" s="47"/>
      <c r="D13" s="47"/>
      <c r="E13" s="47"/>
      <c r="F13" s="47">
        <f t="shared" ref="F13:V13" si="25">COUNTIF(F6:F10,"&gt;0")</f>
        <v>0</v>
      </c>
      <c r="G13" s="47">
        <f t="shared" si="25"/>
        <v>0</v>
      </c>
      <c r="H13" s="47">
        <f t="shared" si="25"/>
        <v>0</v>
      </c>
      <c r="I13" s="47">
        <f t="shared" si="25"/>
        <v>0</v>
      </c>
      <c r="J13" s="47">
        <f t="shared" si="25"/>
        <v>0</v>
      </c>
      <c r="K13" s="47">
        <f t="shared" si="25"/>
        <v>0</v>
      </c>
      <c r="L13" s="47">
        <f t="shared" si="25"/>
        <v>0</v>
      </c>
      <c r="M13" s="47">
        <f t="shared" si="25"/>
        <v>0</v>
      </c>
      <c r="N13" s="47">
        <f t="shared" si="25"/>
        <v>0</v>
      </c>
      <c r="O13" s="47">
        <f t="shared" si="25"/>
        <v>0</v>
      </c>
      <c r="P13" s="47">
        <f t="shared" si="25"/>
        <v>3</v>
      </c>
      <c r="Q13" s="47">
        <f t="shared" si="25"/>
        <v>3</v>
      </c>
      <c r="R13" s="47">
        <f t="shared" si="25"/>
        <v>5</v>
      </c>
      <c r="S13" s="47">
        <f t="shared" si="25"/>
        <v>5</v>
      </c>
      <c r="T13" s="47">
        <f t="shared" si="25"/>
        <v>5</v>
      </c>
      <c r="U13" s="47">
        <f t="shared" si="25"/>
        <v>5</v>
      </c>
      <c r="V13" s="48">
        <f t="shared" si="25"/>
        <v>5</v>
      </c>
    </row>
    <row r="14" spans="1:22" ht="15.75" customHeight="1"/>
    <row r="15" spans="1:22" ht="15.75" customHeight="1"/>
    <row r="16" spans="1:22" ht="18.75" customHeight="1">
      <c r="A16" s="22" t="s">
        <v>20</v>
      </c>
    </row>
    <row r="17" spans="1:22" ht="15.75" customHeight="1">
      <c r="A17" s="27" t="s">
        <v>2</v>
      </c>
      <c r="B17" s="42" t="s">
        <v>21</v>
      </c>
      <c r="C17" s="49"/>
      <c r="D17" s="49"/>
      <c r="E17" s="43" t="s">
        <v>22</v>
      </c>
      <c r="F17" s="23">
        <v>44576</v>
      </c>
      <c r="G17" s="23">
        <v>44607</v>
      </c>
      <c r="H17" s="23">
        <v>44635</v>
      </c>
      <c r="I17" s="44" t="s">
        <v>7</v>
      </c>
      <c r="J17" s="23">
        <v>44666</v>
      </c>
      <c r="K17" s="23">
        <v>44696</v>
      </c>
      <c r="L17" s="23">
        <v>44727</v>
      </c>
      <c r="M17" s="44" t="s">
        <v>8</v>
      </c>
      <c r="N17" s="23">
        <v>44757</v>
      </c>
      <c r="O17" s="23">
        <v>44788</v>
      </c>
      <c r="P17" s="23">
        <v>44819</v>
      </c>
      <c r="Q17" s="44" t="s">
        <v>9</v>
      </c>
      <c r="R17" s="23">
        <v>44849</v>
      </c>
      <c r="S17" s="23">
        <v>44880</v>
      </c>
      <c r="T17" s="23">
        <v>44910</v>
      </c>
      <c r="U17" s="44" t="s">
        <v>10</v>
      </c>
      <c r="V17" s="45" t="s">
        <v>11</v>
      </c>
    </row>
    <row r="18" spans="1:22" ht="15.75" customHeight="1">
      <c r="A18" s="2" t="s">
        <v>23</v>
      </c>
      <c r="B18" s="14">
        <v>0</v>
      </c>
      <c r="E18" s="16"/>
      <c r="F18" s="14">
        <v>0</v>
      </c>
      <c r="G18" s="14">
        <v>0</v>
      </c>
      <c r="H18" s="14">
        <v>0</v>
      </c>
      <c r="I18" s="14">
        <f t="shared" ref="I18:I21" si="26">SUM(F18:H18)</f>
        <v>0</v>
      </c>
      <c r="J18" s="14">
        <v>0</v>
      </c>
      <c r="K18" s="14">
        <v>0</v>
      </c>
      <c r="L18" s="14">
        <v>0</v>
      </c>
      <c r="M18" s="14">
        <f t="shared" ref="M18:M21" si="27">SUM(J18:L18)</f>
        <v>0</v>
      </c>
      <c r="N18" s="14">
        <v>0</v>
      </c>
      <c r="O18" s="14">
        <v>0</v>
      </c>
      <c r="P18" s="14">
        <v>0</v>
      </c>
      <c r="Q18" s="14">
        <f t="shared" ref="Q18:Q21" si="28">SUM(N18:P18)</f>
        <v>0</v>
      </c>
      <c r="R18" s="14">
        <v>0</v>
      </c>
      <c r="S18" s="14">
        <v>0</v>
      </c>
      <c r="T18" s="14">
        <v>0</v>
      </c>
      <c r="U18" s="14">
        <f t="shared" ref="U18:U21" si="29">SUM(R18:T18)</f>
        <v>0</v>
      </c>
      <c r="V18" s="14">
        <f t="shared" ref="V18:V21" si="30">I18+M18+Q18+U18</f>
        <v>0</v>
      </c>
    </row>
    <row r="19" spans="1:22" ht="15.75" customHeight="1">
      <c r="A19" s="2" t="s">
        <v>24</v>
      </c>
      <c r="B19" s="14">
        <v>0</v>
      </c>
      <c r="E19" s="16"/>
      <c r="F19" s="14">
        <v>0</v>
      </c>
      <c r="G19" s="14">
        <v>0</v>
      </c>
      <c r="H19" s="14">
        <v>0</v>
      </c>
      <c r="I19" s="14">
        <f t="shared" si="26"/>
        <v>0</v>
      </c>
      <c r="J19" s="14">
        <v>0</v>
      </c>
      <c r="K19" s="14">
        <v>0</v>
      </c>
      <c r="L19" s="14">
        <v>0</v>
      </c>
      <c r="M19" s="14">
        <f t="shared" si="27"/>
        <v>0</v>
      </c>
      <c r="N19" s="14">
        <v>0</v>
      </c>
      <c r="O19" s="14">
        <v>0</v>
      </c>
      <c r="P19" s="14">
        <v>0</v>
      </c>
      <c r="Q19" s="14">
        <f t="shared" si="28"/>
        <v>0</v>
      </c>
      <c r="R19" s="14">
        <v>0</v>
      </c>
      <c r="S19" s="14">
        <v>0</v>
      </c>
      <c r="T19" s="14">
        <v>0</v>
      </c>
      <c r="U19" s="14">
        <f t="shared" si="29"/>
        <v>0</v>
      </c>
      <c r="V19" s="14">
        <f t="shared" si="30"/>
        <v>0</v>
      </c>
    </row>
    <row r="20" spans="1:22" ht="15.75" customHeight="1">
      <c r="A20" s="2" t="s">
        <v>25</v>
      </c>
      <c r="B20" s="14">
        <v>0</v>
      </c>
      <c r="E20" s="16"/>
      <c r="F20" s="14">
        <f t="shared" ref="F20:H20" si="31">IF($E20&lt;=F$17, $B20/12, 0)</f>
        <v>0</v>
      </c>
      <c r="G20" s="14">
        <f t="shared" si="31"/>
        <v>0</v>
      </c>
      <c r="H20" s="14">
        <f t="shared" si="31"/>
        <v>0</v>
      </c>
      <c r="I20" s="14">
        <f t="shared" si="26"/>
        <v>0</v>
      </c>
      <c r="J20" s="14">
        <f t="shared" ref="J20:L20" si="32">IF($E20&lt;=J$17, $B20/12, 0)</f>
        <v>0</v>
      </c>
      <c r="K20" s="14">
        <f t="shared" si="32"/>
        <v>0</v>
      </c>
      <c r="L20" s="14">
        <f t="shared" si="32"/>
        <v>0</v>
      </c>
      <c r="M20" s="14">
        <f t="shared" si="27"/>
        <v>0</v>
      </c>
      <c r="N20" s="14">
        <f t="shared" ref="N20:P20" si="33">IF($E20&lt;=N$17, $B20/12, 0)</f>
        <v>0</v>
      </c>
      <c r="O20" s="14">
        <f t="shared" si="33"/>
        <v>0</v>
      </c>
      <c r="P20" s="14">
        <f t="shared" si="33"/>
        <v>0</v>
      </c>
      <c r="Q20" s="14">
        <f t="shared" si="28"/>
        <v>0</v>
      </c>
      <c r="R20" s="14">
        <f t="shared" ref="R20:T20" si="34">IF($E20&lt;=R$17, $B20/12, 0)</f>
        <v>0</v>
      </c>
      <c r="S20" s="14">
        <f t="shared" si="34"/>
        <v>0</v>
      </c>
      <c r="T20" s="14">
        <f t="shared" si="34"/>
        <v>0</v>
      </c>
      <c r="U20" s="14">
        <f t="shared" si="29"/>
        <v>0</v>
      </c>
      <c r="V20" s="14">
        <f t="shared" si="30"/>
        <v>0</v>
      </c>
    </row>
    <row r="21" spans="1:22" ht="15.75" customHeight="1">
      <c r="A21" s="2" t="s">
        <v>25</v>
      </c>
      <c r="B21" s="14">
        <v>0</v>
      </c>
      <c r="E21" s="16"/>
      <c r="F21" s="14">
        <f t="shared" ref="F21:H21" si="35">IF($E21&lt;=F$17, $B21/12, 0)</f>
        <v>0</v>
      </c>
      <c r="G21" s="14">
        <f t="shared" si="35"/>
        <v>0</v>
      </c>
      <c r="H21" s="14">
        <f t="shared" si="35"/>
        <v>0</v>
      </c>
      <c r="I21" s="14">
        <f t="shared" si="26"/>
        <v>0</v>
      </c>
      <c r="J21" s="14">
        <f t="shared" ref="J21:L21" si="36">IF($E21&lt;=J$17, $B21/12, 0)</f>
        <v>0</v>
      </c>
      <c r="K21" s="14">
        <f t="shared" si="36"/>
        <v>0</v>
      </c>
      <c r="L21" s="14">
        <f t="shared" si="36"/>
        <v>0</v>
      </c>
      <c r="M21" s="14">
        <f t="shared" si="27"/>
        <v>0</v>
      </c>
      <c r="N21" s="14">
        <f t="shared" ref="N21:P21" si="37">IF($E21&lt;=N$17, $B21/12, 0)</f>
        <v>0</v>
      </c>
      <c r="O21" s="14">
        <f t="shared" si="37"/>
        <v>0</v>
      </c>
      <c r="P21" s="14">
        <f t="shared" si="37"/>
        <v>0</v>
      </c>
      <c r="Q21" s="14">
        <f t="shared" si="28"/>
        <v>0</v>
      </c>
      <c r="R21" s="14">
        <f t="shared" ref="R21:T21" si="38">IF($E21&lt;=R$17, $B21/12, 0)</f>
        <v>0</v>
      </c>
      <c r="S21" s="14">
        <f t="shared" si="38"/>
        <v>0</v>
      </c>
      <c r="T21" s="14">
        <f t="shared" si="38"/>
        <v>0</v>
      </c>
      <c r="U21" s="14">
        <f t="shared" si="29"/>
        <v>0</v>
      </c>
      <c r="V21" s="14">
        <f t="shared" si="30"/>
        <v>0</v>
      </c>
    </row>
    <row r="22" spans="1:22" ht="15.75" customHeight="1">
      <c r="A22" s="50" t="s">
        <v>18</v>
      </c>
      <c r="B22" s="14">
        <f>SUM(B18:B21)</f>
        <v>0</v>
      </c>
      <c r="F22" s="14">
        <f t="shared" ref="F22:V22" si="39">SUM(F18:F19)</f>
        <v>0</v>
      </c>
      <c r="G22" s="14">
        <f t="shared" si="39"/>
        <v>0</v>
      </c>
      <c r="H22" s="14">
        <f t="shared" si="39"/>
        <v>0</v>
      </c>
      <c r="I22" s="14">
        <f t="shared" si="39"/>
        <v>0</v>
      </c>
      <c r="J22" s="14">
        <f t="shared" si="39"/>
        <v>0</v>
      </c>
      <c r="K22" s="14">
        <v>0</v>
      </c>
      <c r="L22" s="14">
        <f t="shared" si="39"/>
        <v>0</v>
      </c>
      <c r="M22" s="14">
        <f t="shared" si="39"/>
        <v>0</v>
      </c>
      <c r="N22" s="14">
        <f t="shared" si="39"/>
        <v>0</v>
      </c>
      <c r="O22" s="14">
        <v>0</v>
      </c>
      <c r="P22" s="14">
        <f t="shared" si="39"/>
        <v>0</v>
      </c>
      <c r="Q22" s="14">
        <f t="shared" si="39"/>
        <v>0</v>
      </c>
      <c r="R22" s="14">
        <f t="shared" si="39"/>
        <v>0</v>
      </c>
      <c r="S22" s="14">
        <f t="shared" si="39"/>
        <v>0</v>
      </c>
      <c r="T22" s="14">
        <f t="shared" si="39"/>
        <v>0</v>
      </c>
      <c r="U22" s="14">
        <f t="shared" si="39"/>
        <v>0</v>
      </c>
      <c r="V22" s="14">
        <f t="shared" si="39"/>
        <v>0</v>
      </c>
    </row>
    <row r="23" spans="1:22" ht="15.75" customHeight="1"/>
    <row r="24" spans="1:22" ht="15.75" customHeight="1"/>
    <row r="25" spans="1:22" ht="18.75" customHeight="1">
      <c r="A25" s="22" t="s">
        <v>26</v>
      </c>
    </row>
    <row r="26" spans="1:22" ht="15.75" customHeight="1">
      <c r="A26" s="27" t="s">
        <v>2</v>
      </c>
      <c r="B26" s="42" t="s">
        <v>21</v>
      </c>
      <c r="C26" s="49"/>
      <c r="D26" s="49"/>
      <c r="E26" s="43" t="s">
        <v>22</v>
      </c>
      <c r="F26" s="23">
        <v>44576</v>
      </c>
      <c r="G26" s="23">
        <v>44607</v>
      </c>
      <c r="H26" s="23">
        <v>44635</v>
      </c>
      <c r="I26" s="44" t="s">
        <v>7</v>
      </c>
      <c r="J26" s="23">
        <v>44666</v>
      </c>
      <c r="K26" s="23">
        <v>44696</v>
      </c>
      <c r="L26" s="23">
        <v>44727</v>
      </c>
      <c r="M26" s="44" t="s">
        <v>8</v>
      </c>
      <c r="N26" s="23">
        <v>44757</v>
      </c>
      <c r="O26" s="23">
        <v>44788</v>
      </c>
      <c r="P26" s="23">
        <v>44819</v>
      </c>
      <c r="Q26" s="44" t="s">
        <v>9</v>
      </c>
      <c r="R26" s="23">
        <v>44849</v>
      </c>
      <c r="S26" s="23">
        <v>44880</v>
      </c>
      <c r="T26" s="23">
        <v>44910</v>
      </c>
      <c r="U26" s="44" t="s">
        <v>10</v>
      </c>
      <c r="V26" s="45" t="s">
        <v>11</v>
      </c>
    </row>
    <row r="27" spans="1:22" ht="15.75" customHeight="1">
      <c r="A27" s="2" t="s">
        <v>27</v>
      </c>
      <c r="B27" s="14">
        <v>1000</v>
      </c>
      <c r="E27" s="16">
        <v>44835</v>
      </c>
      <c r="F27" s="14">
        <v>0</v>
      </c>
      <c r="G27" s="14">
        <v>0</v>
      </c>
      <c r="H27" s="14">
        <v>0</v>
      </c>
      <c r="I27" s="14">
        <f t="shared" ref="I27:I30" si="40">SUM(F27:H27)</f>
        <v>0</v>
      </c>
      <c r="J27" s="14">
        <v>0</v>
      </c>
      <c r="K27" s="14">
        <v>0</v>
      </c>
      <c r="L27" s="14">
        <v>0</v>
      </c>
      <c r="M27" s="14">
        <f t="shared" ref="M27:M30" si="41">SUM(J27:L27)</f>
        <v>0</v>
      </c>
      <c r="N27" s="14">
        <v>0</v>
      </c>
      <c r="O27" s="14">
        <v>0</v>
      </c>
      <c r="P27" s="14">
        <v>0</v>
      </c>
      <c r="Q27" s="14">
        <f t="shared" ref="Q27:Q30" si="42">SUM(N27:P27)</f>
        <v>0</v>
      </c>
      <c r="R27" s="14">
        <f t="shared" ref="R27:T28" si="43">IF($E27&lt;=R$26, $B27/3, 0)</f>
        <v>333.33333333333331</v>
      </c>
      <c r="S27" s="14">
        <f t="shared" si="43"/>
        <v>333.33333333333331</v>
      </c>
      <c r="T27" s="14">
        <f t="shared" si="43"/>
        <v>333.33333333333331</v>
      </c>
      <c r="U27" s="14">
        <f t="shared" ref="U27:U30" si="44">SUM(R27:T27)</f>
        <v>1000</v>
      </c>
      <c r="V27" s="14">
        <f t="shared" ref="V27:V30" si="45">I27+M27+Q27+U27</f>
        <v>1000</v>
      </c>
    </row>
    <row r="28" spans="1:22" ht="15.75" customHeight="1">
      <c r="A28" s="2" t="s">
        <v>28</v>
      </c>
      <c r="B28" s="14">
        <v>600</v>
      </c>
      <c r="E28" s="16">
        <v>44835</v>
      </c>
      <c r="F28" s="14">
        <v>0</v>
      </c>
      <c r="G28" s="14">
        <v>0</v>
      </c>
      <c r="H28" s="14">
        <v>0</v>
      </c>
      <c r="I28" s="14">
        <f t="shared" si="40"/>
        <v>0</v>
      </c>
      <c r="J28" s="14">
        <v>0</v>
      </c>
      <c r="K28" s="14">
        <v>0</v>
      </c>
      <c r="L28" s="14">
        <v>0</v>
      </c>
      <c r="M28" s="14">
        <f t="shared" si="41"/>
        <v>0</v>
      </c>
      <c r="N28" s="14">
        <v>0</v>
      </c>
      <c r="O28" s="14">
        <v>0</v>
      </c>
      <c r="P28" s="14">
        <v>0</v>
      </c>
      <c r="Q28" s="14">
        <f t="shared" si="42"/>
        <v>0</v>
      </c>
      <c r="R28" s="14">
        <f t="shared" si="43"/>
        <v>200</v>
      </c>
      <c r="S28" s="14">
        <f t="shared" si="43"/>
        <v>200</v>
      </c>
      <c r="T28" s="14">
        <f t="shared" si="43"/>
        <v>200</v>
      </c>
      <c r="U28" s="14">
        <f t="shared" si="44"/>
        <v>600</v>
      </c>
      <c r="V28" s="14">
        <f t="shared" si="45"/>
        <v>600</v>
      </c>
    </row>
    <row r="29" spans="1:22" ht="15.75" customHeight="1">
      <c r="A29" s="2" t="s">
        <v>29</v>
      </c>
      <c r="B29" s="14">
        <v>0</v>
      </c>
      <c r="E29" s="16">
        <v>44835</v>
      </c>
      <c r="F29" s="14">
        <f t="shared" ref="F29:H29" si="46">IF($E29&lt;=F$17, $B29/12, 0)</f>
        <v>0</v>
      </c>
      <c r="G29" s="14">
        <f t="shared" si="46"/>
        <v>0</v>
      </c>
      <c r="H29" s="14">
        <f t="shared" si="46"/>
        <v>0</v>
      </c>
      <c r="I29" s="14">
        <f t="shared" si="40"/>
        <v>0</v>
      </c>
      <c r="J29" s="14">
        <f t="shared" ref="J29:L29" si="47">IF($E29&lt;=J$17, $B29/12, 0)</f>
        <v>0</v>
      </c>
      <c r="K29" s="14">
        <f t="shared" si="47"/>
        <v>0</v>
      </c>
      <c r="L29" s="14">
        <f t="shared" si="47"/>
        <v>0</v>
      </c>
      <c r="M29" s="14">
        <f t="shared" si="41"/>
        <v>0</v>
      </c>
      <c r="N29" s="14">
        <f t="shared" ref="N29:P29" si="48">IF($E29&lt;=N$17, $B29/12, 0)</f>
        <v>0</v>
      </c>
      <c r="O29" s="14">
        <f t="shared" si="48"/>
        <v>0</v>
      </c>
      <c r="P29" s="14">
        <f t="shared" si="48"/>
        <v>0</v>
      </c>
      <c r="Q29" s="14">
        <f t="shared" si="42"/>
        <v>0</v>
      </c>
      <c r="R29" s="14">
        <f t="shared" ref="R29:T29" si="49">IF($E29&lt;=R$17, $B29/12, 0)</f>
        <v>0</v>
      </c>
      <c r="S29" s="14">
        <f t="shared" si="49"/>
        <v>0</v>
      </c>
      <c r="T29" s="14">
        <f t="shared" si="49"/>
        <v>0</v>
      </c>
      <c r="U29" s="14">
        <f t="shared" si="44"/>
        <v>0</v>
      </c>
      <c r="V29" s="14">
        <f t="shared" si="45"/>
        <v>0</v>
      </c>
    </row>
    <row r="30" spans="1:22" ht="15.75" customHeight="1">
      <c r="A30" s="2" t="s">
        <v>25</v>
      </c>
      <c r="B30" s="14">
        <v>0</v>
      </c>
      <c r="E30" s="16">
        <v>44835</v>
      </c>
      <c r="F30" s="14">
        <f t="shared" ref="F30:H30" si="50">IF($E30&lt;=F$17, $B30/12, 0)</f>
        <v>0</v>
      </c>
      <c r="G30" s="14">
        <f t="shared" si="50"/>
        <v>0</v>
      </c>
      <c r="H30" s="14">
        <f t="shared" si="50"/>
        <v>0</v>
      </c>
      <c r="I30" s="14">
        <f t="shared" si="40"/>
        <v>0</v>
      </c>
      <c r="J30" s="14">
        <f t="shared" ref="J30:L30" si="51">IF($E30&lt;=J$17, $B30/12, 0)</f>
        <v>0</v>
      </c>
      <c r="K30" s="14">
        <f t="shared" si="51"/>
        <v>0</v>
      </c>
      <c r="L30" s="14">
        <f t="shared" si="51"/>
        <v>0</v>
      </c>
      <c r="M30" s="14">
        <f t="shared" si="41"/>
        <v>0</v>
      </c>
      <c r="N30" s="14">
        <f t="shared" ref="N30:P30" si="52">IF($E30&lt;=N$17, $B30/12, 0)</f>
        <v>0</v>
      </c>
      <c r="O30" s="14">
        <f t="shared" si="52"/>
        <v>0</v>
      </c>
      <c r="P30" s="14">
        <f t="shared" si="52"/>
        <v>0</v>
      </c>
      <c r="Q30" s="14">
        <f t="shared" si="42"/>
        <v>0</v>
      </c>
      <c r="R30" s="14">
        <f t="shared" ref="R30:T30" si="53">IF($E30&lt;=R$17, $B30/12, 0)</f>
        <v>0</v>
      </c>
      <c r="S30" s="14">
        <f t="shared" si="53"/>
        <v>0</v>
      </c>
      <c r="T30" s="14">
        <f t="shared" si="53"/>
        <v>0</v>
      </c>
      <c r="U30" s="14">
        <f t="shared" si="44"/>
        <v>0</v>
      </c>
      <c r="V30" s="14">
        <f t="shared" si="45"/>
        <v>0</v>
      </c>
    </row>
    <row r="31" spans="1:22" ht="15.75" customHeight="1">
      <c r="A31" s="50" t="s">
        <v>18</v>
      </c>
      <c r="B31" s="14">
        <f>SUM(B27:B30)</f>
        <v>1600</v>
      </c>
      <c r="F31" s="14">
        <f t="shared" ref="F31:V31" si="54">SUM(F27:F28)</f>
        <v>0</v>
      </c>
      <c r="G31" s="14">
        <f t="shared" si="54"/>
        <v>0</v>
      </c>
      <c r="H31" s="14">
        <f t="shared" si="54"/>
        <v>0</v>
      </c>
      <c r="I31" s="14">
        <f t="shared" si="54"/>
        <v>0</v>
      </c>
      <c r="J31" s="14">
        <f t="shared" si="54"/>
        <v>0</v>
      </c>
      <c r="K31" s="14">
        <f t="shared" si="54"/>
        <v>0</v>
      </c>
      <c r="L31" s="14">
        <f t="shared" si="54"/>
        <v>0</v>
      </c>
      <c r="M31" s="14">
        <f t="shared" si="54"/>
        <v>0</v>
      </c>
      <c r="N31" s="14">
        <f t="shared" si="54"/>
        <v>0</v>
      </c>
      <c r="O31" s="14">
        <f t="shared" si="54"/>
        <v>0</v>
      </c>
      <c r="P31" s="14">
        <f t="shared" si="54"/>
        <v>0</v>
      </c>
      <c r="Q31" s="14">
        <f t="shared" si="54"/>
        <v>0</v>
      </c>
      <c r="R31" s="14">
        <f t="shared" si="54"/>
        <v>533.33333333333326</v>
      </c>
      <c r="S31" s="14">
        <f t="shared" si="54"/>
        <v>533.33333333333326</v>
      </c>
      <c r="T31" s="14">
        <f t="shared" si="54"/>
        <v>533.33333333333326</v>
      </c>
      <c r="U31" s="14">
        <f t="shared" si="54"/>
        <v>1600</v>
      </c>
      <c r="V31" s="14">
        <f t="shared" si="54"/>
        <v>1600</v>
      </c>
    </row>
    <row r="32" spans="1:22" ht="15.75" customHeight="1"/>
    <row r="33" spans="1:22" ht="15.75" customHeight="1"/>
    <row r="34" spans="1:22" ht="15.75" customHeight="1"/>
    <row r="35" spans="1:22" ht="18.75" customHeight="1">
      <c r="A35" s="22" t="s">
        <v>30</v>
      </c>
    </row>
    <row r="36" spans="1:22" ht="15.75" customHeight="1">
      <c r="A36" s="27" t="s">
        <v>2</v>
      </c>
      <c r="B36" s="42" t="s">
        <v>21</v>
      </c>
      <c r="C36" s="49"/>
      <c r="D36" s="49"/>
      <c r="E36" s="43" t="s">
        <v>22</v>
      </c>
      <c r="F36" s="23">
        <v>44576</v>
      </c>
      <c r="G36" s="23">
        <v>44607</v>
      </c>
      <c r="H36" s="23">
        <v>44635</v>
      </c>
      <c r="I36" s="44" t="s">
        <v>7</v>
      </c>
      <c r="J36" s="23">
        <v>44666</v>
      </c>
      <c r="K36" s="23">
        <v>44696</v>
      </c>
      <c r="L36" s="23">
        <v>44727</v>
      </c>
      <c r="M36" s="44" t="s">
        <v>8</v>
      </c>
      <c r="N36" s="23">
        <v>44757</v>
      </c>
      <c r="O36" s="23">
        <v>44788</v>
      </c>
      <c r="P36" s="23">
        <v>44819</v>
      </c>
      <c r="Q36" s="44" t="s">
        <v>9</v>
      </c>
      <c r="R36" s="23">
        <v>44849</v>
      </c>
      <c r="S36" s="23">
        <v>44880</v>
      </c>
      <c r="T36" s="23">
        <v>44910</v>
      </c>
      <c r="U36" s="44" t="s">
        <v>10</v>
      </c>
      <c r="V36" s="45" t="s">
        <v>11</v>
      </c>
    </row>
    <row r="37" spans="1:22" ht="15.75" customHeight="1">
      <c r="A37" s="2" t="s">
        <v>31</v>
      </c>
      <c r="B37" s="14">
        <v>0</v>
      </c>
      <c r="E37" s="16">
        <v>44927</v>
      </c>
      <c r="F37" s="14">
        <f t="shared" ref="F37:H37" si="55">IF($E37&lt;=F$36, $B37/12, 0)</f>
        <v>0</v>
      </c>
      <c r="G37" s="14">
        <f t="shared" si="55"/>
        <v>0</v>
      </c>
      <c r="H37" s="14">
        <f t="shared" si="55"/>
        <v>0</v>
      </c>
      <c r="I37" s="14">
        <f t="shared" ref="I37:I39" si="56">SUM(F37:H37)</f>
        <v>0</v>
      </c>
      <c r="J37" s="14">
        <f t="shared" ref="J37:L37" si="57">IF($E37&lt;=J$36, $B37/12, 0)</f>
        <v>0</v>
      </c>
      <c r="K37" s="14">
        <f t="shared" si="57"/>
        <v>0</v>
      </c>
      <c r="L37" s="14">
        <f t="shared" si="57"/>
        <v>0</v>
      </c>
      <c r="M37" s="14">
        <f t="shared" ref="M37:M39" si="58">SUM(J37:L37)</f>
        <v>0</v>
      </c>
      <c r="N37" s="14">
        <f t="shared" ref="N37:P37" si="59">IF($E37&lt;=N$36, $B37/12, 0)</f>
        <v>0</v>
      </c>
      <c r="O37" s="14">
        <f t="shared" si="59"/>
        <v>0</v>
      </c>
      <c r="P37" s="14">
        <f t="shared" si="59"/>
        <v>0</v>
      </c>
      <c r="Q37" s="14">
        <f t="shared" ref="Q37:Q39" si="60">SUM(N37:P37)</f>
        <v>0</v>
      </c>
      <c r="R37" s="14">
        <f t="shared" ref="R37:T37" si="61">IF($E37&lt;=R$36, $B37/12, 0)</f>
        <v>0</v>
      </c>
      <c r="S37" s="14">
        <f t="shared" si="61"/>
        <v>0</v>
      </c>
      <c r="T37" s="14">
        <f t="shared" si="61"/>
        <v>0</v>
      </c>
      <c r="U37" s="14">
        <f t="shared" ref="U37:U39" si="62">SUM(R37:T37)</f>
        <v>0</v>
      </c>
      <c r="V37" s="14">
        <f t="shared" ref="V37:V39" si="63">I37+M37+Q37+U37</f>
        <v>0</v>
      </c>
    </row>
    <row r="38" spans="1:22" ht="15.75" customHeight="1">
      <c r="A38" s="2" t="s">
        <v>25</v>
      </c>
      <c r="B38" s="14">
        <v>0</v>
      </c>
      <c r="F38" s="14">
        <f t="shared" ref="F38:H38" si="64">IF($E38&lt;=F$36, $B38/12, 0)</f>
        <v>0</v>
      </c>
      <c r="G38" s="14">
        <f t="shared" si="64"/>
        <v>0</v>
      </c>
      <c r="H38" s="14">
        <f t="shared" si="64"/>
        <v>0</v>
      </c>
      <c r="I38" s="14">
        <f t="shared" si="56"/>
        <v>0</v>
      </c>
      <c r="J38" s="14">
        <f t="shared" ref="J38:L38" si="65">IF($E38&lt;=J$36, $B38/12, 0)</f>
        <v>0</v>
      </c>
      <c r="K38" s="14">
        <f t="shared" si="65"/>
        <v>0</v>
      </c>
      <c r="L38" s="14">
        <f t="shared" si="65"/>
        <v>0</v>
      </c>
      <c r="M38" s="14">
        <f t="shared" si="58"/>
        <v>0</v>
      </c>
      <c r="N38" s="14">
        <f t="shared" ref="N38:P38" si="66">IF($E38&lt;=N$36, $B38/12, 0)</f>
        <v>0</v>
      </c>
      <c r="O38" s="14">
        <f t="shared" si="66"/>
        <v>0</v>
      </c>
      <c r="P38" s="14">
        <f t="shared" si="66"/>
        <v>0</v>
      </c>
      <c r="Q38" s="14">
        <f t="shared" si="60"/>
        <v>0</v>
      </c>
      <c r="R38" s="14">
        <f t="shared" ref="R38:T38" si="67">IF($E38&lt;=R$36, $B38/12, 0)</f>
        <v>0</v>
      </c>
      <c r="S38" s="14">
        <f t="shared" si="67"/>
        <v>0</v>
      </c>
      <c r="T38" s="14">
        <f t="shared" si="67"/>
        <v>0</v>
      </c>
      <c r="U38" s="14">
        <f t="shared" si="62"/>
        <v>0</v>
      </c>
      <c r="V38" s="14">
        <f t="shared" si="63"/>
        <v>0</v>
      </c>
    </row>
    <row r="39" spans="1:22" ht="15.75" customHeight="1">
      <c r="A39" s="50" t="s">
        <v>18</v>
      </c>
      <c r="B39" s="14">
        <f>SUM(B37:B38)</f>
        <v>0</v>
      </c>
      <c r="F39" s="14">
        <f t="shared" ref="F39:H39" si="68">SUM(F37:F38)</f>
        <v>0</v>
      </c>
      <c r="G39" s="14">
        <f t="shared" si="68"/>
        <v>0</v>
      </c>
      <c r="H39" s="14">
        <f t="shared" si="68"/>
        <v>0</v>
      </c>
      <c r="I39" s="14">
        <f t="shared" si="56"/>
        <v>0</v>
      </c>
      <c r="J39" s="14">
        <f t="shared" ref="J39:L39" si="69">SUM(J37:J38)</f>
        <v>0</v>
      </c>
      <c r="K39" s="14">
        <f t="shared" si="69"/>
        <v>0</v>
      </c>
      <c r="L39" s="14">
        <f t="shared" si="69"/>
        <v>0</v>
      </c>
      <c r="M39" s="14">
        <f t="shared" si="58"/>
        <v>0</v>
      </c>
      <c r="N39" s="14">
        <f t="shared" ref="N39:P39" si="70">SUM(N37:N38)</f>
        <v>0</v>
      </c>
      <c r="O39" s="14">
        <f t="shared" si="70"/>
        <v>0</v>
      </c>
      <c r="P39" s="14">
        <f t="shared" si="70"/>
        <v>0</v>
      </c>
      <c r="Q39" s="14">
        <f t="shared" si="60"/>
        <v>0</v>
      </c>
      <c r="R39" s="14">
        <f t="shared" ref="R39:T39" si="71">SUM(R37:R38)</f>
        <v>0</v>
      </c>
      <c r="S39" s="14">
        <f t="shared" si="71"/>
        <v>0</v>
      </c>
      <c r="T39" s="14">
        <f t="shared" si="71"/>
        <v>0</v>
      </c>
      <c r="U39" s="14">
        <f t="shared" si="62"/>
        <v>0</v>
      </c>
      <c r="V39" s="14">
        <f t="shared" si="63"/>
        <v>0</v>
      </c>
    </row>
    <row r="40" spans="1:22" ht="15.75" customHeight="1"/>
    <row r="41" spans="1:22" ht="18.75" customHeight="1">
      <c r="A41" s="22" t="s">
        <v>32</v>
      </c>
    </row>
    <row r="42" spans="1:22" ht="15.75" customHeight="1">
      <c r="A42" s="27" t="s">
        <v>2</v>
      </c>
      <c r="B42" s="42" t="s">
        <v>21</v>
      </c>
      <c r="C42" s="49"/>
      <c r="D42" s="49"/>
      <c r="E42" s="43" t="s">
        <v>22</v>
      </c>
      <c r="F42" s="23">
        <v>44576</v>
      </c>
      <c r="G42" s="23">
        <v>44607</v>
      </c>
      <c r="H42" s="23">
        <v>44635</v>
      </c>
      <c r="I42" s="44" t="s">
        <v>7</v>
      </c>
      <c r="J42" s="23">
        <v>44666</v>
      </c>
      <c r="K42" s="23">
        <v>44696</v>
      </c>
      <c r="L42" s="23">
        <v>44727</v>
      </c>
      <c r="M42" s="44" t="s">
        <v>8</v>
      </c>
      <c r="N42" s="23">
        <v>44757</v>
      </c>
      <c r="O42" s="23">
        <v>44788</v>
      </c>
      <c r="P42" s="23">
        <v>44819</v>
      </c>
      <c r="Q42" s="44" t="s">
        <v>9</v>
      </c>
      <c r="R42" s="23">
        <v>44849</v>
      </c>
      <c r="S42" s="23">
        <v>44880</v>
      </c>
      <c r="T42" s="23">
        <v>44910</v>
      </c>
      <c r="U42" s="44" t="s">
        <v>10</v>
      </c>
      <c r="V42" s="45" t="s">
        <v>11</v>
      </c>
    </row>
    <row r="43" spans="1:22" ht="15.75" customHeight="1">
      <c r="A43" s="2" t="s">
        <v>33</v>
      </c>
      <c r="B43" s="14">
        <f>B11+B22+B31+B39</f>
        <v>33400</v>
      </c>
      <c r="F43" s="14">
        <f t="shared" ref="F43:H43" si="72">F12+F22+F31+F39</f>
        <v>0</v>
      </c>
      <c r="G43" s="14">
        <f t="shared" si="72"/>
        <v>0</v>
      </c>
      <c r="H43" s="14">
        <f t="shared" si="72"/>
        <v>0</v>
      </c>
      <c r="I43" s="14">
        <f>SUM(F43:H43)</f>
        <v>0</v>
      </c>
      <c r="J43" s="14">
        <f t="shared" ref="J43:L43" si="73">J12+J22+J31+J39</f>
        <v>0</v>
      </c>
      <c r="K43" s="14">
        <f t="shared" si="73"/>
        <v>0</v>
      </c>
      <c r="L43" s="14">
        <f t="shared" si="73"/>
        <v>0</v>
      </c>
      <c r="M43" s="14">
        <f>SUM(J43:L43)</f>
        <v>0</v>
      </c>
      <c r="N43" s="14">
        <f t="shared" ref="N43:P43" si="74">N12+N22+N31+N39</f>
        <v>0</v>
      </c>
      <c r="O43" s="14">
        <f t="shared" si="74"/>
        <v>0</v>
      </c>
      <c r="P43" s="14">
        <f t="shared" si="74"/>
        <v>5450</v>
      </c>
      <c r="Q43" s="14">
        <f>SUM(N43:P43)</f>
        <v>5450</v>
      </c>
      <c r="R43" s="14">
        <f t="shared" ref="R43:T43" si="75">R12+R22+R31+R39</f>
        <v>9316.6666666666679</v>
      </c>
      <c r="S43" s="14">
        <f t="shared" si="75"/>
        <v>9316.6666666666679</v>
      </c>
      <c r="T43" s="14">
        <f t="shared" si="75"/>
        <v>9316.6666666666679</v>
      </c>
      <c r="U43" s="14">
        <f>SUM(R43:T43)</f>
        <v>27950.000000000004</v>
      </c>
      <c r="V43" s="14">
        <f>I43+M43+Q43+U43</f>
        <v>33400</v>
      </c>
    </row>
    <row r="44" spans="1:22" ht="15.75" customHeight="1">
      <c r="B44" s="14"/>
    </row>
    <row r="45" spans="1:22" ht="15.75" customHeight="1">
      <c r="B45" s="14"/>
    </row>
    <row r="46" spans="1:22" ht="21" customHeight="1">
      <c r="A46" s="51" t="s">
        <v>34</v>
      </c>
      <c r="B46" s="52"/>
    </row>
    <row r="47" spans="1:22" ht="18.75" customHeight="1">
      <c r="A47" s="24" t="s">
        <v>35</v>
      </c>
      <c r="B47" s="21">
        <f>-(V43/4)</f>
        <v>-8350</v>
      </c>
    </row>
    <row r="48" spans="1:22" ht="18.75" customHeight="1">
      <c r="A48" s="24" t="s">
        <v>36</v>
      </c>
      <c r="B48" s="21">
        <v>100000</v>
      </c>
    </row>
    <row r="49" spans="1:2" ht="37.5" customHeight="1">
      <c r="A49" s="25" t="s">
        <v>37</v>
      </c>
      <c r="B49" s="58">
        <f>-(B48/B47)</f>
        <v>11.976047904191617</v>
      </c>
    </row>
    <row r="50" spans="1:2" ht="15.75" customHeight="1"/>
    <row r="51" spans="1:2" ht="15.75" customHeight="1"/>
    <row r="52" spans="1:2" ht="15.75" customHeight="1"/>
    <row r="53" spans="1:2" ht="15.75" customHeight="1"/>
    <row r="54" spans="1:2" ht="15.75" customHeight="1"/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.3" footer="0.3"/>
  <pageSetup paperSize="9" scale="3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9C21-377B-6945-95BA-0D02293DA1E7}">
  <dimension ref="A1:V994"/>
  <sheetViews>
    <sheetView topLeftCell="L1" workbookViewId="0">
      <selection activeCell="U5" activeCellId="5" sqref="A5:A47 B5:B47 I5:I47 M5:M47 Q5:Q47 U5:V47"/>
    </sheetView>
  </sheetViews>
  <sheetFormatPr baseColWidth="10" defaultColWidth="11.1640625" defaultRowHeight="16"/>
  <cols>
    <col min="1" max="1" width="32.1640625" style="2" customWidth="1"/>
    <col min="2" max="2" width="24.33203125" style="2" customWidth="1"/>
    <col min="3" max="3" width="18.6640625" style="2" customWidth="1"/>
    <col min="4" max="4" width="19.83203125" style="2" customWidth="1"/>
    <col min="5" max="5" width="21.5" style="2" customWidth="1"/>
    <col min="6" max="6" width="12.33203125" style="2" customWidth="1"/>
    <col min="7" max="7" width="12.1640625" style="2" customWidth="1"/>
    <col min="8" max="8" width="12.83203125" style="2" customWidth="1"/>
    <col min="9" max="9" width="13.33203125" style="2" customWidth="1"/>
    <col min="10" max="10" width="13" style="2" customWidth="1"/>
    <col min="11" max="12" width="12.5" style="2" customWidth="1"/>
    <col min="13" max="13" width="12.6640625" style="2" customWidth="1"/>
    <col min="14" max="14" width="12.33203125" style="2" customWidth="1"/>
    <col min="15" max="15" width="13.33203125" style="2" customWidth="1"/>
    <col min="16" max="16" width="12.1640625" style="2" customWidth="1"/>
    <col min="17" max="17" width="13" style="2" customWidth="1"/>
    <col min="18" max="18" width="13.1640625" style="2" customWidth="1"/>
    <col min="19" max="19" width="12.33203125" style="2" customWidth="1"/>
    <col min="20" max="20" width="12.1640625" style="2" customWidth="1"/>
    <col min="21" max="21" width="12.6640625" style="2" customWidth="1"/>
    <col min="22" max="22" width="14" style="2" customWidth="1"/>
    <col min="23" max="26" width="10.5" style="2" customWidth="1"/>
    <col min="27" max="16384" width="11.1640625" style="2"/>
  </cols>
  <sheetData>
    <row r="1" spans="1:22" ht="18.75" customHeight="1">
      <c r="A1" s="22" t="s">
        <v>38</v>
      </c>
    </row>
    <row r="2" spans="1:22" ht="18.75" customHeight="1"/>
    <row r="3" spans="1:22" ht="15.75" customHeight="1"/>
    <row r="4" spans="1:22" ht="18.75" customHeight="1">
      <c r="A4" s="22" t="s">
        <v>1</v>
      </c>
    </row>
    <row r="5" spans="1:22" ht="15.75" customHeight="1">
      <c r="A5" s="27" t="s">
        <v>2</v>
      </c>
      <c r="B5" s="42" t="s">
        <v>3</v>
      </c>
      <c r="C5" s="42" t="s">
        <v>4</v>
      </c>
      <c r="D5" s="42" t="s">
        <v>5</v>
      </c>
      <c r="E5" s="43" t="s">
        <v>39</v>
      </c>
      <c r="F5" s="23">
        <v>44941</v>
      </c>
      <c r="G5" s="23">
        <v>44972</v>
      </c>
      <c r="H5" s="23">
        <v>45000</v>
      </c>
      <c r="I5" s="44" t="s">
        <v>40</v>
      </c>
      <c r="J5" s="23">
        <v>45031</v>
      </c>
      <c r="K5" s="23">
        <v>45061</v>
      </c>
      <c r="L5" s="23">
        <v>45092</v>
      </c>
      <c r="M5" s="44" t="s">
        <v>41</v>
      </c>
      <c r="N5" s="23">
        <v>45122</v>
      </c>
      <c r="O5" s="23">
        <v>45153</v>
      </c>
      <c r="P5" s="23">
        <v>45184</v>
      </c>
      <c r="Q5" s="44" t="s">
        <v>42</v>
      </c>
      <c r="R5" s="23">
        <v>45214</v>
      </c>
      <c r="S5" s="23">
        <v>45245</v>
      </c>
      <c r="T5" s="23">
        <v>45275</v>
      </c>
      <c r="U5" s="44" t="s">
        <v>43</v>
      </c>
      <c r="V5" s="45" t="s">
        <v>44</v>
      </c>
    </row>
    <row r="6" spans="1:22" ht="15.75" customHeight="1">
      <c r="A6" s="26" t="s">
        <v>12</v>
      </c>
      <c r="B6" s="14">
        <v>20000</v>
      </c>
      <c r="C6" s="15">
        <v>0.09</v>
      </c>
      <c r="D6" s="14">
        <f t="shared" ref="D6:D12" si="0">B6+(B6*C6)</f>
        <v>21800</v>
      </c>
      <c r="E6" s="16">
        <v>44805</v>
      </c>
      <c r="F6" s="14">
        <f t="shared" ref="F6:H12" si="1">IF($E6&lt;=F$5, $D6/12, 0)</f>
        <v>1816.6666666666667</v>
      </c>
      <c r="G6" s="14">
        <f t="shared" si="1"/>
        <v>1816.6666666666667</v>
      </c>
      <c r="H6" s="14">
        <f t="shared" si="1"/>
        <v>1816.6666666666667</v>
      </c>
      <c r="I6" s="14">
        <f t="shared" ref="I6:I14" si="2">SUM(F6:H6)</f>
        <v>5450</v>
      </c>
      <c r="J6" s="14">
        <f t="shared" ref="J6:L12" si="3">IF($E6&lt;=J$5, $D6/12, 0)</f>
        <v>1816.6666666666667</v>
      </c>
      <c r="K6" s="14">
        <f t="shared" si="3"/>
        <v>1816.6666666666667</v>
      </c>
      <c r="L6" s="14">
        <f t="shared" si="3"/>
        <v>1816.6666666666667</v>
      </c>
      <c r="M6" s="14">
        <f t="shared" ref="M6:M14" si="4">SUM(J6:L6)</f>
        <v>5450</v>
      </c>
      <c r="N6" s="14">
        <f t="shared" ref="N6:P12" si="5">IF($E6&lt;=N$5, $D6/12, 0)</f>
        <v>1816.6666666666667</v>
      </c>
      <c r="O6" s="14">
        <f t="shared" si="5"/>
        <v>1816.6666666666667</v>
      </c>
      <c r="P6" s="14">
        <f>IF($E6&lt;=P$5, $D6/12, 0)</f>
        <v>1816.6666666666667</v>
      </c>
      <c r="Q6" s="14">
        <f t="shared" ref="Q6:Q14" si="6">SUM(N6:P6)</f>
        <v>5450</v>
      </c>
      <c r="R6" s="14">
        <f t="shared" ref="R6:T12" si="7">IF($E6&lt;=R$5, $D6/12, 0)</f>
        <v>1816.6666666666667</v>
      </c>
      <c r="S6" s="14">
        <f t="shared" si="7"/>
        <v>1816.6666666666667</v>
      </c>
      <c r="T6" s="14">
        <f t="shared" si="7"/>
        <v>1816.6666666666667</v>
      </c>
      <c r="U6" s="14">
        <f t="shared" ref="U6:U14" si="8">SUM(R6:T6)</f>
        <v>5450</v>
      </c>
      <c r="V6" s="14">
        <f t="shared" ref="V6:V14" si="9">I6+M6+Q6+U6</f>
        <v>21800</v>
      </c>
    </row>
    <row r="7" spans="1:22" ht="15.75" customHeight="1">
      <c r="A7" s="26" t="s">
        <v>13</v>
      </c>
      <c r="B7" s="14">
        <v>20000</v>
      </c>
      <c r="C7" s="15">
        <v>0.09</v>
      </c>
      <c r="D7" s="14">
        <f t="shared" si="0"/>
        <v>21800</v>
      </c>
      <c r="E7" s="16">
        <v>44805</v>
      </c>
      <c r="F7" s="14">
        <f t="shared" si="1"/>
        <v>1816.6666666666667</v>
      </c>
      <c r="G7" s="14">
        <f t="shared" si="1"/>
        <v>1816.6666666666667</v>
      </c>
      <c r="H7" s="14">
        <f t="shared" si="1"/>
        <v>1816.6666666666667</v>
      </c>
      <c r="I7" s="14">
        <f t="shared" si="2"/>
        <v>5450</v>
      </c>
      <c r="J7" s="14">
        <f t="shared" si="3"/>
        <v>1816.6666666666667</v>
      </c>
      <c r="K7" s="14">
        <f t="shared" si="3"/>
        <v>1816.6666666666667</v>
      </c>
      <c r="L7" s="14">
        <f t="shared" si="3"/>
        <v>1816.6666666666667</v>
      </c>
      <c r="M7" s="14">
        <f t="shared" si="4"/>
        <v>5450</v>
      </c>
      <c r="N7" s="14">
        <f t="shared" si="5"/>
        <v>1816.6666666666667</v>
      </c>
      <c r="O7" s="14">
        <f t="shared" si="5"/>
        <v>1816.6666666666667</v>
      </c>
      <c r="P7" s="14">
        <f>IF($E7&lt;=P$5, $D7/12, 0)</f>
        <v>1816.6666666666667</v>
      </c>
      <c r="Q7" s="14">
        <f t="shared" si="6"/>
        <v>5450</v>
      </c>
      <c r="R7" s="14">
        <f t="shared" si="7"/>
        <v>1816.6666666666667</v>
      </c>
      <c r="S7" s="14">
        <f t="shared" si="7"/>
        <v>1816.6666666666667</v>
      </c>
      <c r="T7" s="14">
        <f t="shared" si="7"/>
        <v>1816.6666666666667</v>
      </c>
      <c r="U7" s="14">
        <f t="shared" si="8"/>
        <v>5450</v>
      </c>
      <c r="V7" s="14">
        <f t="shared" si="9"/>
        <v>21800</v>
      </c>
    </row>
    <row r="8" spans="1:22" ht="15.75" customHeight="1">
      <c r="A8" s="26" t="s">
        <v>14</v>
      </c>
      <c r="B8" s="14">
        <v>20000</v>
      </c>
      <c r="C8" s="15">
        <v>0.09</v>
      </c>
      <c r="D8" s="14">
        <f t="shared" si="0"/>
        <v>21800</v>
      </c>
      <c r="E8" s="16">
        <v>44805</v>
      </c>
      <c r="F8" s="14">
        <f t="shared" si="1"/>
        <v>1816.6666666666667</v>
      </c>
      <c r="G8" s="14">
        <f t="shared" si="1"/>
        <v>1816.6666666666667</v>
      </c>
      <c r="H8" s="14">
        <f t="shared" si="1"/>
        <v>1816.6666666666667</v>
      </c>
      <c r="I8" s="14">
        <f t="shared" si="2"/>
        <v>5450</v>
      </c>
      <c r="J8" s="14">
        <f t="shared" si="3"/>
        <v>1816.6666666666667</v>
      </c>
      <c r="K8" s="14">
        <f t="shared" si="3"/>
        <v>1816.6666666666667</v>
      </c>
      <c r="L8" s="14">
        <f t="shared" si="3"/>
        <v>1816.6666666666667</v>
      </c>
      <c r="M8" s="14">
        <f t="shared" si="4"/>
        <v>5450</v>
      </c>
      <c r="N8" s="14">
        <f t="shared" si="5"/>
        <v>1816.6666666666667</v>
      </c>
      <c r="O8" s="14">
        <f t="shared" si="5"/>
        <v>1816.6666666666667</v>
      </c>
      <c r="P8" s="14">
        <f>IF($E8&lt;=P$5, $D8/12, 0)</f>
        <v>1816.6666666666667</v>
      </c>
      <c r="Q8" s="14">
        <f t="shared" si="6"/>
        <v>5450</v>
      </c>
      <c r="R8" s="14">
        <f t="shared" si="7"/>
        <v>1816.6666666666667</v>
      </c>
      <c r="S8" s="14">
        <f t="shared" si="7"/>
        <v>1816.6666666666667</v>
      </c>
      <c r="T8" s="14">
        <f t="shared" si="7"/>
        <v>1816.6666666666667</v>
      </c>
      <c r="U8" s="14">
        <f t="shared" si="8"/>
        <v>5450</v>
      </c>
      <c r="V8" s="14">
        <f t="shared" si="9"/>
        <v>21800</v>
      </c>
    </row>
    <row r="9" spans="1:22" ht="15.75" customHeight="1">
      <c r="A9" s="26" t="s">
        <v>45</v>
      </c>
      <c r="B9" s="14">
        <v>20000</v>
      </c>
      <c r="C9" s="15">
        <v>0.09</v>
      </c>
      <c r="D9" s="14">
        <f t="shared" si="0"/>
        <v>21800</v>
      </c>
      <c r="E9" s="16">
        <v>45047</v>
      </c>
      <c r="F9" s="14"/>
      <c r="G9" s="14"/>
      <c r="H9" s="14"/>
      <c r="I9" s="14"/>
      <c r="J9" s="14"/>
      <c r="K9" s="14">
        <f t="shared" si="3"/>
        <v>1816.6666666666667</v>
      </c>
      <c r="L9" s="14">
        <f t="shared" si="3"/>
        <v>1816.6666666666667</v>
      </c>
      <c r="M9" s="14">
        <f t="shared" si="4"/>
        <v>3633.3333333333335</v>
      </c>
      <c r="N9" s="14">
        <f t="shared" si="5"/>
        <v>1816.6666666666667</v>
      </c>
      <c r="O9" s="14">
        <f t="shared" si="5"/>
        <v>1816.6666666666667</v>
      </c>
      <c r="P9" s="14">
        <f>IF($E9&lt;=P$5, $D9/12, 0)</f>
        <v>1816.6666666666667</v>
      </c>
      <c r="Q9" s="14">
        <f t="shared" si="6"/>
        <v>5450</v>
      </c>
      <c r="R9" s="14">
        <f t="shared" si="7"/>
        <v>1816.6666666666667</v>
      </c>
      <c r="S9" s="14">
        <f t="shared" si="7"/>
        <v>1816.6666666666667</v>
      </c>
      <c r="T9" s="14">
        <f t="shared" si="7"/>
        <v>1816.6666666666667</v>
      </c>
      <c r="U9" s="14">
        <f t="shared" si="8"/>
        <v>5450</v>
      </c>
      <c r="V9" s="14">
        <f t="shared" si="9"/>
        <v>14533.333333333334</v>
      </c>
    </row>
    <row r="10" spans="1:22" ht="15.75" customHeight="1">
      <c r="A10" s="26" t="s">
        <v>46</v>
      </c>
      <c r="B10" s="14">
        <v>20000</v>
      </c>
      <c r="C10" s="15">
        <v>0.09</v>
      </c>
      <c r="D10" s="14">
        <f t="shared" si="0"/>
        <v>21800</v>
      </c>
      <c r="E10" s="16">
        <v>45047</v>
      </c>
      <c r="F10" s="14"/>
      <c r="G10" s="14"/>
      <c r="H10" s="14"/>
      <c r="I10" s="14"/>
      <c r="J10" s="14"/>
      <c r="K10" s="14">
        <f t="shared" si="3"/>
        <v>1816.6666666666667</v>
      </c>
      <c r="L10" s="14">
        <f t="shared" si="3"/>
        <v>1816.6666666666667</v>
      </c>
      <c r="M10" s="14">
        <f t="shared" si="4"/>
        <v>3633.3333333333335</v>
      </c>
      <c r="N10" s="14">
        <f t="shared" si="5"/>
        <v>1816.6666666666667</v>
      </c>
      <c r="O10" s="14">
        <f t="shared" si="5"/>
        <v>1816.6666666666667</v>
      </c>
      <c r="P10" s="14">
        <f>IF($E10&lt;=P$5, $D10/12, 0)</f>
        <v>1816.6666666666667</v>
      </c>
      <c r="Q10" s="14">
        <f t="shared" si="6"/>
        <v>5450</v>
      </c>
      <c r="R10" s="14">
        <f t="shared" si="7"/>
        <v>1816.6666666666667</v>
      </c>
      <c r="S10" s="14">
        <f t="shared" si="7"/>
        <v>1816.6666666666667</v>
      </c>
      <c r="T10" s="14">
        <f t="shared" si="7"/>
        <v>1816.6666666666667</v>
      </c>
      <c r="U10" s="14">
        <f t="shared" si="8"/>
        <v>5450</v>
      </c>
      <c r="V10" s="14">
        <f t="shared" si="9"/>
        <v>14533.333333333334</v>
      </c>
    </row>
    <row r="11" spans="1:22" ht="15.75" customHeight="1">
      <c r="A11" s="26" t="s">
        <v>15</v>
      </c>
      <c r="B11" s="14">
        <v>20000</v>
      </c>
      <c r="C11" s="15">
        <v>0</v>
      </c>
      <c r="D11" s="14">
        <f t="shared" si="0"/>
        <v>20000</v>
      </c>
      <c r="E11" s="16">
        <v>44835</v>
      </c>
      <c r="F11" s="14">
        <f t="shared" si="1"/>
        <v>1666.6666666666667</v>
      </c>
      <c r="G11" s="14">
        <f t="shared" si="1"/>
        <v>1666.6666666666667</v>
      </c>
      <c r="H11" s="14">
        <f t="shared" si="1"/>
        <v>1666.6666666666667</v>
      </c>
      <c r="I11" s="14">
        <f t="shared" si="2"/>
        <v>5000</v>
      </c>
      <c r="J11" s="14">
        <f t="shared" si="3"/>
        <v>1666.6666666666667</v>
      </c>
      <c r="K11" s="14">
        <f t="shared" si="3"/>
        <v>1666.6666666666667</v>
      </c>
      <c r="L11" s="14">
        <f t="shared" si="3"/>
        <v>1666.6666666666667</v>
      </c>
      <c r="M11" s="14">
        <f t="shared" si="4"/>
        <v>5000</v>
      </c>
      <c r="N11" s="14">
        <f t="shared" si="5"/>
        <v>1666.6666666666667</v>
      </c>
      <c r="O11" s="14">
        <f t="shared" si="5"/>
        <v>1666.6666666666667</v>
      </c>
      <c r="P11" s="14">
        <f t="shared" si="5"/>
        <v>1666.6666666666667</v>
      </c>
      <c r="Q11" s="14">
        <f t="shared" si="6"/>
        <v>5000</v>
      </c>
      <c r="R11" s="14">
        <f t="shared" si="7"/>
        <v>1666.6666666666667</v>
      </c>
      <c r="S11" s="14">
        <f t="shared" si="7"/>
        <v>1666.6666666666667</v>
      </c>
      <c r="T11" s="14">
        <f t="shared" si="7"/>
        <v>1666.6666666666667</v>
      </c>
      <c r="U11" s="14">
        <f t="shared" si="8"/>
        <v>5000</v>
      </c>
      <c r="V11" s="14">
        <f t="shared" si="9"/>
        <v>20000</v>
      </c>
    </row>
    <row r="12" spans="1:22" ht="15.75" customHeight="1">
      <c r="A12" s="26" t="s">
        <v>16</v>
      </c>
      <c r="B12" s="14">
        <v>20000</v>
      </c>
      <c r="C12" s="15">
        <v>0</v>
      </c>
      <c r="D12" s="14">
        <f t="shared" si="0"/>
        <v>20000</v>
      </c>
      <c r="E12" s="16">
        <v>44986</v>
      </c>
      <c r="F12" s="14">
        <f t="shared" si="1"/>
        <v>0</v>
      </c>
      <c r="G12" s="14">
        <f t="shared" si="1"/>
        <v>0</v>
      </c>
      <c r="H12" s="14">
        <f t="shared" si="1"/>
        <v>1666.6666666666667</v>
      </c>
      <c r="I12" s="14">
        <f t="shared" si="2"/>
        <v>1666.6666666666667</v>
      </c>
      <c r="J12" s="14">
        <f t="shared" si="3"/>
        <v>1666.6666666666667</v>
      </c>
      <c r="K12" s="14">
        <f t="shared" si="3"/>
        <v>1666.6666666666667</v>
      </c>
      <c r="L12" s="14">
        <f t="shared" si="3"/>
        <v>1666.6666666666667</v>
      </c>
      <c r="M12" s="14">
        <f t="shared" si="4"/>
        <v>5000</v>
      </c>
      <c r="N12" s="14">
        <f t="shared" si="5"/>
        <v>1666.6666666666667</v>
      </c>
      <c r="O12" s="14">
        <f t="shared" si="5"/>
        <v>1666.6666666666667</v>
      </c>
      <c r="P12" s="14">
        <f t="shared" si="5"/>
        <v>1666.6666666666667</v>
      </c>
      <c r="Q12" s="14">
        <f t="shared" si="6"/>
        <v>5000</v>
      </c>
      <c r="R12" s="14">
        <f t="shared" si="7"/>
        <v>1666.6666666666667</v>
      </c>
      <c r="S12" s="14">
        <f t="shared" si="7"/>
        <v>1666.6666666666667</v>
      </c>
      <c r="T12" s="14">
        <f t="shared" si="7"/>
        <v>1666.6666666666667</v>
      </c>
      <c r="U12" s="14">
        <f t="shared" si="8"/>
        <v>5000</v>
      </c>
      <c r="V12" s="14">
        <f t="shared" si="9"/>
        <v>16666.666666666668</v>
      </c>
    </row>
    <row r="13" spans="1:22" ht="15.75" customHeight="1">
      <c r="A13" s="26" t="s">
        <v>47</v>
      </c>
      <c r="B13" s="14">
        <v>20000</v>
      </c>
      <c r="C13" s="15">
        <v>0</v>
      </c>
      <c r="D13" s="14">
        <f t="shared" ref="D13:D14" si="10">B13+(B13*C13)</f>
        <v>20000</v>
      </c>
      <c r="E13" s="16">
        <v>45047</v>
      </c>
      <c r="F13" s="14">
        <f t="shared" ref="F13:H14" si="11">IF($E13&lt;=F$5, $D13/12, 0)</f>
        <v>0</v>
      </c>
      <c r="G13" s="14">
        <f t="shared" si="11"/>
        <v>0</v>
      </c>
      <c r="H13" s="14">
        <f t="shared" si="11"/>
        <v>0</v>
      </c>
      <c r="I13" s="14">
        <f t="shared" si="2"/>
        <v>0</v>
      </c>
      <c r="J13" s="14">
        <f t="shared" ref="J13:L14" si="12">IF($E13&lt;=J$5, $D13/12, 0)</f>
        <v>0</v>
      </c>
      <c r="K13" s="14">
        <f t="shared" si="12"/>
        <v>1666.6666666666667</v>
      </c>
      <c r="L13" s="14">
        <f t="shared" si="12"/>
        <v>1666.6666666666667</v>
      </c>
      <c r="M13" s="14">
        <f t="shared" si="4"/>
        <v>3333.3333333333335</v>
      </c>
      <c r="N13" s="14">
        <f t="shared" ref="N13:P14" si="13">IF($E13&lt;=N$5, $D13/12, 0)</f>
        <v>1666.6666666666667</v>
      </c>
      <c r="O13" s="14">
        <f t="shared" si="13"/>
        <v>1666.6666666666667</v>
      </c>
      <c r="P13" s="14">
        <f t="shared" si="13"/>
        <v>1666.6666666666667</v>
      </c>
      <c r="Q13" s="14">
        <f t="shared" si="6"/>
        <v>5000</v>
      </c>
      <c r="R13" s="14">
        <f t="shared" ref="R13:T14" si="14">IF($E13&lt;=R$5, $D13/12, 0)</f>
        <v>1666.6666666666667</v>
      </c>
      <c r="S13" s="14">
        <f t="shared" si="14"/>
        <v>1666.6666666666667</v>
      </c>
      <c r="T13" s="14">
        <f t="shared" si="14"/>
        <v>1666.6666666666667</v>
      </c>
      <c r="U13" s="14">
        <f t="shared" si="8"/>
        <v>5000</v>
      </c>
      <c r="V13" s="14">
        <f t="shared" si="9"/>
        <v>13333.333333333334</v>
      </c>
    </row>
    <row r="14" spans="1:22" ht="15.75" customHeight="1">
      <c r="A14" s="26" t="s">
        <v>48</v>
      </c>
      <c r="B14" s="14">
        <v>30000</v>
      </c>
      <c r="C14" s="15">
        <v>0.02</v>
      </c>
      <c r="D14" s="14">
        <f t="shared" si="10"/>
        <v>30600</v>
      </c>
      <c r="E14" s="16">
        <v>45200</v>
      </c>
      <c r="F14" s="14">
        <f t="shared" si="11"/>
        <v>0</v>
      </c>
      <c r="G14" s="14">
        <f t="shared" si="11"/>
        <v>0</v>
      </c>
      <c r="H14" s="14">
        <f t="shared" si="11"/>
        <v>0</v>
      </c>
      <c r="I14" s="14">
        <f t="shared" si="2"/>
        <v>0</v>
      </c>
      <c r="J14" s="14">
        <f t="shared" si="12"/>
        <v>0</v>
      </c>
      <c r="K14" s="14">
        <f t="shared" si="12"/>
        <v>0</v>
      </c>
      <c r="L14" s="14">
        <f t="shared" si="12"/>
        <v>0</v>
      </c>
      <c r="M14" s="14">
        <f t="shared" si="4"/>
        <v>0</v>
      </c>
      <c r="N14" s="14">
        <f t="shared" si="13"/>
        <v>0</v>
      </c>
      <c r="O14" s="14">
        <f t="shared" si="13"/>
        <v>0</v>
      </c>
      <c r="P14" s="14">
        <f t="shared" si="13"/>
        <v>0</v>
      </c>
      <c r="Q14" s="14">
        <f t="shared" si="6"/>
        <v>0</v>
      </c>
      <c r="R14" s="14">
        <f t="shared" si="14"/>
        <v>2550</v>
      </c>
      <c r="S14" s="14">
        <f t="shared" si="14"/>
        <v>2550</v>
      </c>
      <c r="T14" s="14">
        <f t="shared" si="14"/>
        <v>2550</v>
      </c>
      <c r="U14" s="14">
        <f t="shared" si="8"/>
        <v>7650</v>
      </c>
      <c r="V14" s="14">
        <f t="shared" si="9"/>
        <v>7650</v>
      </c>
    </row>
    <row r="15" spans="1:22" ht="15.75" customHeight="1">
      <c r="A15" s="17" t="s">
        <v>49</v>
      </c>
      <c r="B15" s="18">
        <f>V16</f>
        <v>152116.66666666666</v>
      </c>
      <c r="C15" s="15"/>
      <c r="D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5.75" customHeight="1">
      <c r="A16" s="19" t="s">
        <v>18</v>
      </c>
      <c r="B16" s="14">
        <f>SUM(B6:B14)</f>
        <v>190000</v>
      </c>
      <c r="C16" s="20"/>
      <c r="D16" s="20"/>
      <c r="E16" s="20"/>
      <c r="F16" s="14">
        <f t="shared" ref="F16:V16" si="15">SUM(F6:F14)</f>
        <v>7116.666666666667</v>
      </c>
      <c r="G16" s="14">
        <f t="shared" si="15"/>
        <v>7116.666666666667</v>
      </c>
      <c r="H16" s="14">
        <f t="shared" si="15"/>
        <v>8783.3333333333339</v>
      </c>
      <c r="I16" s="14">
        <f t="shared" si="15"/>
        <v>23016.666666666668</v>
      </c>
      <c r="J16" s="14">
        <f t="shared" si="15"/>
        <v>8783.3333333333339</v>
      </c>
      <c r="K16" s="14">
        <f t="shared" si="15"/>
        <v>14083.333333333332</v>
      </c>
      <c r="L16" s="14">
        <f t="shared" si="15"/>
        <v>14083.333333333332</v>
      </c>
      <c r="M16" s="14">
        <f t="shared" si="15"/>
        <v>36950</v>
      </c>
      <c r="N16" s="14">
        <f t="shared" si="15"/>
        <v>14083.333333333332</v>
      </c>
      <c r="O16" s="14">
        <f t="shared" si="15"/>
        <v>14083.333333333332</v>
      </c>
      <c r="P16" s="14">
        <f t="shared" si="15"/>
        <v>14083.333333333332</v>
      </c>
      <c r="Q16" s="14">
        <f t="shared" si="15"/>
        <v>42250</v>
      </c>
      <c r="R16" s="14">
        <f t="shared" si="15"/>
        <v>16633.333333333332</v>
      </c>
      <c r="S16" s="14">
        <f t="shared" si="15"/>
        <v>16633.333333333332</v>
      </c>
      <c r="T16" s="14">
        <f t="shared" si="15"/>
        <v>16633.333333333332</v>
      </c>
      <c r="U16" s="14">
        <f t="shared" si="15"/>
        <v>49900</v>
      </c>
      <c r="V16" s="14">
        <f t="shared" si="15"/>
        <v>152116.66666666666</v>
      </c>
    </row>
    <row r="17" spans="1:22" ht="15.75" customHeight="1">
      <c r="A17" s="46" t="s">
        <v>19</v>
      </c>
      <c r="B17" s="47"/>
      <c r="C17" s="47"/>
      <c r="D17" s="47"/>
      <c r="E17" s="47"/>
      <c r="F17" s="47">
        <f t="shared" ref="F17:V17" si="16">COUNTIF(F6:F14,"&gt;0")</f>
        <v>4</v>
      </c>
      <c r="G17" s="47">
        <f t="shared" si="16"/>
        <v>4</v>
      </c>
      <c r="H17" s="47">
        <f t="shared" si="16"/>
        <v>5</v>
      </c>
      <c r="I17" s="47">
        <f t="shared" si="16"/>
        <v>5</v>
      </c>
      <c r="J17" s="47">
        <f t="shared" si="16"/>
        <v>5</v>
      </c>
      <c r="K17" s="47">
        <f t="shared" si="16"/>
        <v>8</v>
      </c>
      <c r="L17" s="47">
        <f t="shared" si="16"/>
        <v>8</v>
      </c>
      <c r="M17" s="47">
        <f t="shared" si="16"/>
        <v>8</v>
      </c>
      <c r="N17" s="47">
        <f t="shared" si="16"/>
        <v>8</v>
      </c>
      <c r="O17" s="47">
        <f t="shared" si="16"/>
        <v>8</v>
      </c>
      <c r="P17" s="47">
        <f t="shared" si="16"/>
        <v>8</v>
      </c>
      <c r="Q17" s="47">
        <f t="shared" si="16"/>
        <v>8</v>
      </c>
      <c r="R17" s="47">
        <f t="shared" si="16"/>
        <v>9</v>
      </c>
      <c r="S17" s="47">
        <f t="shared" si="16"/>
        <v>9</v>
      </c>
      <c r="T17" s="47">
        <f t="shared" si="16"/>
        <v>9</v>
      </c>
      <c r="U17" s="47">
        <f t="shared" si="16"/>
        <v>9</v>
      </c>
      <c r="V17" s="48">
        <f t="shared" si="16"/>
        <v>9</v>
      </c>
    </row>
    <row r="18" spans="1:22" ht="15.75" customHeight="1"/>
    <row r="19" spans="1:22" ht="15.75" customHeight="1"/>
    <row r="20" spans="1:22" ht="18.75" customHeight="1">
      <c r="A20" s="22" t="s">
        <v>20</v>
      </c>
    </row>
    <row r="21" spans="1:22" ht="15.75" customHeight="1">
      <c r="A21" s="27" t="s">
        <v>2</v>
      </c>
      <c r="B21" s="42" t="s">
        <v>21</v>
      </c>
      <c r="C21" s="49"/>
      <c r="D21" s="49"/>
      <c r="E21" s="43" t="s">
        <v>22</v>
      </c>
      <c r="F21" s="23">
        <v>44941</v>
      </c>
      <c r="G21" s="23">
        <v>44972</v>
      </c>
      <c r="H21" s="23">
        <v>45000</v>
      </c>
      <c r="I21" s="44" t="s">
        <v>40</v>
      </c>
      <c r="J21" s="23">
        <v>45031</v>
      </c>
      <c r="K21" s="23">
        <v>45061</v>
      </c>
      <c r="L21" s="23">
        <v>45092</v>
      </c>
      <c r="M21" s="44" t="s">
        <v>41</v>
      </c>
      <c r="N21" s="23">
        <v>45122</v>
      </c>
      <c r="O21" s="23">
        <v>45153</v>
      </c>
      <c r="P21" s="23">
        <v>45184</v>
      </c>
      <c r="Q21" s="44" t="s">
        <v>42</v>
      </c>
      <c r="R21" s="23">
        <v>45214</v>
      </c>
      <c r="S21" s="23">
        <v>45245</v>
      </c>
      <c r="T21" s="23">
        <v>45275</v>
      </c>
      <c r="U21" s="44" t="s">
        <v>43</v>
      </c>
      <c r="V21" s="45" t="s">
        <v>44</v>
      </c>
    </row>
    <row r="22" spans="1:22" ht="15.75" customHeight="1">
      <c r="A22" s="2" t="s">
        <v>23</v>
      </c>
      <c r="B22" s="14">
        <v>0</v>
      </c>
      <c r="E22" s="16">
        <v>44927</v>
      </c>
      <c r="F22" s="14">
        <f t="shared" ref="F22:H25" si="17">IF($E22&lt;=F$21, $B22/12, 0)</f>
        <v>0</v>
      </c>
      <c r="G22" s="14">
        <f t="shared" si="17"/>
        <v>0</v>
      </c>
      <c r="H22" s="14">
        <f t="shared" si="17"/>
        <v>0</v>
      </c>
      <c r="I22" s="14">
        <f t="shared" ref="I22:I25" si="18">SUM(F22:H22)</f>
        <v>0</v>
      </c>
      <c r="J22" s="14">
        <f t="shared" ref="J22:L25" si="19">IF($E22&lt;=J$21, $B22/12, 0)</f>
        <v>0</v>
      </c>
      <c r="K22" s="14">
        <f t="shared" si="19"/>
        <v>0</v>
      </c>
      <c r="L22" s="14">
        <f t="shared" si="19"/>
        <v>0</v>
      </c>
      <c r="M22" s="14">
        <f t="shared" ref="M22:M25" si="20">SUM(J22:L22)</f>
        <v>0</v>
      </c>
      <c r="N22" s="14">
        <f t="shared" ref="N22:P25" si="21">IF($E22&lt;=N$21, $B22/12, 0)</f>
        <v>0</v>
      </c>
      <c r="O22" s="14">
        <f t="shared" si="21"/>
        <v>0</v>
      </c>
      <c r="P22" s="14">
        <f t="shared" si="21"/>
        <v>0</v>
      </c>
      <c r="Q22" s="14">
        <f t="shared" ref="Q22:Q25" si="22">SUM(N22:P22)</f>
        <v>0</v>
      </c>
      <c r="R22" s="14">
        <f t="shared" ref="R22:T25" si="23">IF($E22&lt;=R$21, $B22/12, 0)</f>
        <v>0</v>
      </c>
      <c r="S22" s="14">
        <f t="shared" si="23"/>
        <v>0</v>
      </c>
      <c r="T22" s="14">
        <f t="shared" si="23"/>
        <v>0</v>
      </c>
      <c r="U22" s="14">
        <f t="shared" ref="U22:U25" si="24">SUM(R22:T22)</f>
        <v>0</v>
      </c>
      <c r="V22" s="14">
        <f t="shared" ref="V22:V25" si="25">I22+M22+Q22+U22</f>
        <v>0</v>
      </c>
    </row>
    <row r="23" spans="1:22" ht="15.75" customHeight="1">
      <c r="A23" s="2" t="s">
        <v>24</v>
      </c>
      <c r="B23" s="14">
        <v>3600</v>
      </c>
      <c r="E23" s="16">
        <v>44927</v>
      </c>
      <c r="F23" s="14">
        <f t="shared" si="17"/>
        <v>300</v>
      </c>
      <c r="G23" s="14">
        <f t="shared" si="17"/>
        <v>300</v>
      </c>
      <c r="H23" s="14">
        <f t="shared" si="17"/>
        <v>300</v>
      </c>
      <c r="I23" s="14">
        <f t="shared" si="18"/>
        <v>900</v>
      </c>
      <c r="J23" s="14">
        <f t="shared" si="19"/>
        <v>300</v>
      </c>
      <c r="K23" s="14">
        <f t="shared" si="19"/>
        <v>300</v>
      </c>
      <c r="L23" s="14">
        <f t="shared" si="19"/>
        <v>300</v>
      </c>
      <c r="M23" s="14">
        <f t="shared" si="20"/>
        <v>900</v>
      </c>
      <c r="N23" s="14">
        <f t="shared" si="21"/>
        <v>300</v>
      </c>
      <c r="O23" s="14">
        <f t="shared" si="21"/>
        <v>300</v>
      </c>
      <c r="P23" s="14">
        <f t="shared" si="21"/>
        <v>300</v>
      </c>
      <c r="Q23" s="14">
        <f t="shared" si="22"/>
        <v>900</v>
      </c>
      <c r="R23" s="14">
        <f t="shared" si="23"/>
        <v>300</v>
      </c>
      <c r="S23" s="14">
        <f t="shared" si="23"/>
        <v>300</v>
      </c>
      <c r="T23" s="14">
        <f t="shared" si="23"/>
        <v>300</v>
      </c>
      <c r="U23" s="14">
        <f t="shared" si="24"/>
        <v>900</v>
      </c>
      <c r="V23" s="14">
        <f t="shared" si="25"/>
        <v>3600</v>
      </c>
    </row>
    <row r="24" spans="1:22" ht="15.75" customHeight="1">
      <c r="A24" s="2" t="s">
        <v>25</v>
      </c>
      <c r="B24" s="14">
        <v>0</v>
      </c>
      <c r="E24" s="16">
        <v>43101</v>
      </c>
      <c r="F24" s="14">
        <f t="shared" si="17"/>
        <v>0</v>
      </c>
      <c r="G24" s="14">
        <f t="shared" si="17"/>
        <v>0</v>
      </c>
      <c r="H24" s="14">
        <f t="shared" si="17"/>
        <v>0</v>
      </c>
      <c r="I24" s="14">
        <f t="shared" si="18"/>
        <v>0</v>
      </c>
      <c r="J24" s="14">
        <f t="shared" si="19"/>
        <v>0</v>
      </c>
      <c r="K24" s="14">
        <f t="shared" si="19"/>
        <v>0</v>
      </c>
      <c r="L24" s="14">
        <f t="shared" si="19"/>
        <v>0</v>
      </c>
      <c r="M24" s="14">
        <f t="shared" si="20"/>
        <v>0</v>
      </c>
      <c r="N24" s="14">
        <f t="shared" si="21"/>
        <v>0</v>
      </c>
      <c r="O24" s="14">
        <f t="shared" si="21"/>
        <v>0</v>
      </c>
      <c r="P24" s="14">
        <f t="shared" si="21"/>
        <v>0</v>
      </c>
      <c r="Q24" s="14">
        <f t="shared" si="22"/>
        <v>0</v>
      </c>
      <c r="R24" s="14">
        <f t="shared" si="23"/>
        <v>0</v>
      </c>
      <c r="S24" s="14">
        <f t="shared" si="23"/>
        <v>0</v>
      </c>
      <c r="T24" s="14">
        <f t="shared" si="23"/>
        <v>0</v>
      </c>
      <c r="U24" s="14">
        <f t="shared" si="24"/>
        <v>0</v>
      </c>
      <c r="V24" s="14">
        <f t="shared" si="25"/>
        <v>0</v>
      </c>
    </row>
    <row r="25" spans="1:22" ht="15.75" customHeight="1">
      <c r="A25" s="2" t="s">
        <v>25</v>
      </c>
      <c r="B25" s="14">
        <v>0</v>
      </c>
      <c r="E25" s="16">
        <v>43101</v>
      </c>
      <c r="F25" s="14">
        <f t="shared" si="17"/>
        <v>0</v>
      </c>
      <c r="G25" s="14">
        <f t="shared" si="17"/>
        <v>0</v>
      </c>
      <c r="H25" s="14">
        <f t="shared" si="17"/>
        <v>0</v>
      </c>
      <c r="I25" s="14">
        <f t="shared" si="18"/>
        <v>0</v>
      </c>
      <c r="J25" s="14">
        <f t="shared" si="19"/>
        <v>0</v>
      </c>
      <c r="K25" s="14">
        <f t="shared" si="19"/>
        <v>0</v>
      </c>
      <c r="L25" s="14">
        <f t="shared" si="19"/>
        <v>0</v>
      </c>
      <c r="M25" s="14">
        <f t="shared" si="20"/>
        <v>0</v>
      </c>
      <c r="N25" s="14">
        <f t="shared" si="21"/>
        <v>0</v>
      </c>
      <c r="O25" s="14">
        <f t="shared" si="21"/>
        <v>0</v>
      </c>
      <c r="P25" s="14">
        <f t="shared" si="21"/>
        <v>0</v>
      </c>
      <c r="Q25" s="14">
        <f t="shared" si="22"/>
        <v>0</v>
      </c>
      <c r="R25" s="14">
        <f t="shared" si="23"/>
        <v>0</v>
      </c>
      <c r="S25" s="14">
        <f t="shared" si="23"/>
        <v>0</v>
      </c>
      <c r="T25" s="14">
        <f t="shared" si="23"/>
        <v>0</v>
      </c>
      <c r="U25" s="14">
        <f t="shared" si="24"/>
        <v>0</v>
      </c>
      <c r="V25" s="14">
        <f t="shared" si="25"/>
        <v>0</v>
      </c>
    </row>
    <row r="26" spans="1:22" ht="15.75" customHeight="1">
      <c r="A26" s="50" t="s">
        <v>18</v>
      </c>
      <c r="B26" s="14">
        <f>SUM(B22:B25)</f>
        <v>3600</v>
      </c>
      <c r="F26" s="14">
        <f t="shared" ref="F26:V26" si="26">SUM(F22:F23)</f>
        <v>300</v>
      </c>
      <c r="G26" s="14">
        <f t="shared" si="26"/>
        <v>300</v>
      </c>
      <c r="H26" s="14">
        <f t="shared" si="26"/>
        <v>300</v>
      </c>
      <c r="I26" s="14">
        <f t="shared" si="26"/>
        <v>900</v>
      </c>
      <c r="J26" s="14">
        <f t="shared" si="26"/>
        <v>300</v>
      </c>
      <c r="K26" s="14">
        <f t="shared" si="26"/>
        <v>300</v>
      </c>
      <c r="L26" s="14">
        <f t="shared" si="26"/>
        <v>300</v>
      </c>
      <c r="M26" s="14">
        <f t="shared" si="26"/>
        <v>900</v>
      </c>
      <c r="N26" s="14">
        <f t="shared" si="26"/>
        <v>300</v>
      </c>
      <c r="O26" s="14">
        <f t="shared" si="26"/>
        <v>300</v>
      </c>
      <c r="P26" s="14">
        <f t="shared" si="26"/>
        <v>300</v>
      </c>
      <c r="Q26" s="14">
        <f t="shared" si="26"/>
        <v>900</v>
      </c>
      <c r="R26" s="14">
        <f t="shared" si="26"/>
        <v>300</v>
      </c>
      <c r="S26" s="14">
        <f t="shared" si="26"/>
        <v>300</v>
      </c>
      <c r="T26" s="14">
        <f t="shared" si="26"/>
        <v>300</v>
      </c>
      <c r="U26" s="14">
        <f t="shared" si="26"/>
        <v>900</v>
      </c>
      <c r="V26" s="14">
        <f t="shared" si="26"/>
        <v>3600</v>
      </c>
    </row>
    <row r="27" spans="1:22" ht="15.75" customHeight="1"/>
    <row r="28" spans="1:22" ht="15.75" customHeight="1"/>
    <row r="29" spans="1:22" ht="18.75" customHeight="1">
      <c r="A29" s="22" t="s">
        <v>26</v>
      </c>
    </row>
    <row r="30" spans="1:22" ht="15.75" customHeight="1">
      <c r="A30" s="27" t="s">
        <v>2</v>
      </c>
      <c r="B30" s="42" t="s">
        <v>21</v>
      </c>
      <c r="C30" s="49"/>
      <c r="D30" s="49"/>
      <c r="E30" s="43" t="s">
        <v>22</v>
      </c>
      <c r="F30" s="23">
        <v>44941</v>
      </c>
      <c r="G30" s="23">
        <v>44972</v>
      </c>
      <c r="H30" s="23">
        <v>45000</v>
      </c>
      <c r="I30" s="44" t="s">
        <v>40</v>
      </c>
      <c r="J30" s="23">
        <v>45031</v>
      </c>
      <c r="K30" s="23">
        <v>45061</v>
      </c>
      <c r="L30" s="23">
        <v>45092</v>
      </c>
      <c r="M30" s="44" t="s">
        <v>41</v>
      </c>
      <c r="N30" s="23">
        <v>45122</v>
      </c>
      <c r="O30" s="23">
        <v>45153</v>
      </c>
      <c r="P30" s="23">
        <v>45184</v>
      </c>
      <c r="Q30" s="44" t="s">
        <v>42</v>
      </c>
      <c r="R30" s="23">
        <v>45214</v>
      </c>
      <c r="S30" s="23">
        <v>45245</v>
      </c>
      <c r="T30" s="23">
        <v>45275</v>
      </c>
      <c r="U30" s="44" t="s">
        <v>43</v>
      </c>
      <c r="V30" s="45" t="s">
        <v>44</v>
      </c>
    </row>
    <row r="31" spans="1:22" ht="15.75" customHeight="1">
      <c r="A31" s="2" t="s">
        <v>27</v>
      </c>
      <c r="B31" s="14">
        <v>5000</v>
      </c>
      <c r="E31" s="16">
        <v>44927</v>
      </c>
      <c r="F31" s="14">
        <f t="shared" ref="F31:H32" si="27">IF($E31&lt;=F$30, $B31/12, 0)</f>
        <v>416.66666666666669</v>
      </c>
      <c r="G31" s="14">
        <f t="shared" si="27"/>
        <v>416.66666666666669</v>
      </c>
      <c r="H31" s="14">
        <f t="shared" si="27"/>
        <v>416.66666666666669</v>
      </c>
      <c r="I31" s="14">
        <f t="shared" ref="I31:I34" si="28">SUM(F31:H31)</f>
        <v>1250</v>
      </c>
      <c r="J31" s="14">
        <f t="shared" ref="J31:L32" si="29">IF($E31&lt;=J$30, $B31/12, 0)</f>
        <v>416.66666666666669</v>
      </c>
      <c r="K31" s="14">
        <f t="shared" si="29"/>
        <v>416.66666666666669</v>
      </c>
      <c r="L31" s="14">
        <f t="shared" si="29"/>
        <v>416.66666666666669</v>
      </c>
      <c r="M31" s="14">
        <f t="shared" ref="M31:M34" si="30">SUM(J31:L31)</f>
        <v>1250</v>
      </c>
      <c r="N31" s="14">
        <f t="shared" ref="N31:P32" si="31">IF($E31&lt;=N$30, $B31/12, 0)</f>
        <v>416.66666666666669</v>
      </c>
      <c r="O31" s="14">
        <f t="shared" si="31"/>
        <v>416.66666666666669</v>
      </c>
      <c r="P31" s="14">
        <f t="shared" si="31"/>
        <v>416.66666666666669</v>
      </c>
      <c r="Q31" s="14">
        <f t="shared" ref="Q31:Q34" si="32">SUM(N31:P31)</f>
        <v>1250</v>
      </c>
      <c r="R31" s="14">
        <f t="shared" ref="R31:T32" si="33">IF($E31&lt;=R$30, $B31/12, 0)</f>
        <v>416.66666666666669</v>
      </c>
      <c r="S31" s="14">
        <f t="shared" si="33"/>
        <v>416.66666666666669</v>
      </c>
      <c r="T31" s="14">
        <f t="shared" si="33"/>
        <v>416.66666666666669</v>
      </c>
      <c r="U31" s="14">
        <f t="shared" ref="U31:U34" si="34">SUM(R31:T31)</f>
        <v>1250</v>
      </c>
      <c r="V31" s="14">
        <f t="shared" ref="V31:V34" si="35">I31+M31+Q31+U31</f>
        <v>5000</v>
      </c>
    </row>
    <row r="32" spans="1:22" ht="15.75" customHeight="1">
      <c r="A32" s="2" t="s">
        <v>28</v>
      </c>
      <c r="B32" s="14">
        <v>1800</v>
      </c>
      <c r="E32" s="16">
        <v>44927</v>
      </c>
      <c r="F32" s="14">
        <f t="shared" si="27"/>
        <v>150</v>
      </c>
      <c r="G32" s="14">
        <f t="shared" si="27"/>
        <v>150</v>
      </c>
      <c r="H32" s="14">
        <f t="shared" si="27"/>
        <v>150</v>
      </c>
      <c r="I32" s="14">
        <f t="shared" si="28"/>
        <v>450</v>
      </c>
      <c r="J32" s="14">
        <f t="shared" si="29"/>
        <v>150</v>
      </c>
      <c r="K32" s="14">
        <f t="shared" si="29"/>
        <v>150</v>
      </c>
      <c r="L32" s="14">
        <f t="shared" si="29"/>
        <v>150</v>
      </c>
      <c r="M32" s="14">
        <f t="shared" si="30"/>
        <v>450</v>
      </c>
      <c r="N32" s="14">
        <f t="shared" si="31"/>
        <v>150</v>
      </c>
      <c r="O32" s="14">
        <f t="shared" si="31"/>
        <v>150</v>
      </c>
      <c r="P32" s="14">
        <f t="shared" si="31"/>
        <v>150</v>
      </c>
      <c r="Q32" s="14">
        <f t="shared" si="32"/>
        <v>450</v>
      </c>
      <c r="R32" s="14">
        <f t="shared" si="33"/>
        <v>150</v>
      </c>
      <c r="S32" s="14">
        <f t="shared" si="33"/>
        <v>150</v>
      </c>
      <c r="T32" s="14">
        <f t="shared" si="33"/>
        <v>150</v>
      </c>
      <c r="U32" s="14">
        <f t="shared" si="34"/>
        <v>450</v>
      </c>
      <c r="V32" s="14">
        <f t="shared" si="35"/>
        <v>1800</v>
      </c>
    </row>
    <row r="33" spans="1:22" ht="15.75" customHeight="1">
      <c r="A33" s="2" t="s">
        <v>29</v>
      </c>
      <c r="B33" s="14">
        <v>2000</v>
      </c>
      <c r="E33" s="16">
        <v>44927</v>
      </c>
      <c r="F33" s="14">
        <f t="shared" ref="F33:H34" si="36">IF($E33&lt;=F$21, $B33/12, 0)</f>
        <v>166.66666666666666</v>
      </c>
      <c r="G33" s="14">
        <f t="shared" si="36"/>
        <v>166.66666666666666</v>
      </c>
      <c r="H33" s="14">
        <f t="shared" si="36"/>
        <v>166.66666666666666</v>
      </c>
      <c r="I33" s="14">
        <f t="shared" si="28"/>
        <v>500</v>
      </c>
      <c r="J33" s="14">
        <f t="shared" ref="J33:L34" si="37">IF($E33&lt;=J$21, $B33/12, 0)</f>
        <v>166.66666666666666</v>
      </c>
      <c r="K33" s="14">
        <f t="shared" si="37"/>
        <v>166.66666666666666</v>
      </c>
      <c r="L33" s="14">
        <f t="shared" si="37"/>
        <v>166.66666666666666</v>
      </c>
      <c r="M33" s="14">
        <f t="shared" si="30"/>
        <v>500</v>
      </c>
      <c r="N33" s="14">
        <f t="shared" ref="N33:P34" si="38">IF($E33&lt;=N$21, $B33/12, 0)</f>
        <v>166.66666666666666</v>
      </c>
      <c r="O33" s="14">
        <f t="shared" si="38"/>
        <v>166.66666666666666</v>
      </c>
      <c r="P33" s="14">
        <f t="shared" si="38"/>
        <v>166.66666666666666</v>
      </c>
      <c r="Q33" s="14">
        <f t="shared" si="32"/>
        <v>500</v>
      </c>
      <c r="R33" s="14">
        <f t="shared" ref="R33:T34" si="39">IF($E33&lt;=R$21, $B33/12, 0)</f>
        <v>166.66666666666666</v>
      </c>
      <c r="S33" s="14">
        <f t="shared" si="39"/>
        <v>166.66666666666666</v>
      </c>
      <c r="T33" s="14">
        <f t="shared" si="39"/>
        <v>166.66666666666666</v>
      </c>
      <c r="U33" s="14">
        <f t="shared" si="34"/>
        <v>500</v>
      </c>
      <c r="V33" s="14">
        <f t="shared" si="35"/>
        <v>2000</v>
      </c>
    </row>
    <row r="34" spans="1:22" ht="15.75" customHeight="1">
      <c r="A34" s="2" t="s">
        <v>25</v>
      </c>
      <c r="B34" s="14">
        <v>0</v>
      </c>
      <c r="E34" s="16">
        <v>44927</v>
      </c>
      <c r="F34" s="14">
        <f t="shared" si="36"/>
        <v>0</v>
      </c>
      <c r="G34" s="14">
        <f t="shared" si="36"/>
        <v>0</v>
      </c>
      <c r="H34" s="14">
        <f t="shared" si="36"/>
        <v>0</v>
      </c>
      <c r="I34" s="14">
        <f t="shared" si="28"/>
        <v>0</v>
      </c>
      <c r="J34" s="14">
        <f t="shared" si="37"/>
        <v>0</v>
      </c>
      <c r="K34" s="14">
        <f t="shared" si="37"/>
        <v>0</v>
      </c>
      <c r="L34" s="14">
        <f t="shared" si="37"/>
        <v>0</v>
      </c>
      <c r="M34" s="14">
        <f t="shared" si="30"/>
        <v>0</v>
      </c>
      <c r="N34" s="14">
        <f t="shared" si="38"/>
        <v>0</v>
      </c>
      <c r="O34" s="14">
        <f t="shared" si="38"/>
        <v>0</v>
      </c>
      <c r="P34" s="14">
        <f t="shared" si="38"/>
        <v>0</v>
      </c>
      <c r="Q34" s="14">
        <f t="shared" si="32"/>
        <v>0</v>
      </c>
      <c r="R34" s="14">
        <f t="shared" si="39"/>
        <v>0</v>
      </c>
      <c r="S34" s="14">
        <f t="shared" si="39"/>
        <v>0</v>
      </c>
      <c r="T34" s="14">
        <f t="shared" si="39"/>
        <v>0</v>
      </c>
      <c r="U34" s="14">
        <f t="shared" si="34"/>
        <v>0</v>
      </c>
      <c r="V34" s="14">
        <f t="shared" si="35"/>
        <v>0</v>
      </c>
    </row>
    <row r="35" spans="1:22" ht="15.75" customHeight="1">
      <c r="A35" s="50" t="s">
        <v>18</v>
      </c>
      <c r="B35" s="14">
        <f>SUM(B31:B34)</f>
        <v>8800</v>
      </c>
      <c r="F35" s="14">
        <f t="shared" ref="F35:V35" si="40">SUM(F31:F32)</f>
        <v>566.66666666666674</v>
      </c>
      <c r="G35" s="14">
        <f t="shared" si="40"/>
        <v>566.66666666666674</v>
      </c>
      <c r="H35" s="14">
        <f t="shared" si="40"/>
        <v>566.66666666666674</v>
      </c>
      <c r="I35" s="14">
        <f t="shared" si="40"/>
        <v>1700</v>
      </c>
      <c r="J35" s="14">
        <f t="shared" si="40"/>
        <v>566.66666666666674</v>
      </c>
      <c r="K35" s="14">
        <f t="shared" si="40"/>
        <v>566.66666666666674</v>
      </c>
      <c r="L35" s="14">
        <f t="shared" si="40"/>
        <v>566.66666666666674</v>
      </c>
      <c r="M35" s="14">
        <f t="shared" si="40"/>
        <v>1700</v>
      </c>
      <c r="N35" s="14">
        <f t="shared" si="40"/>
        <v>566.66666666666674</v>
      </c>
      <c r="O35" s="14">
        <f t="shared" si="40"/>
        <v>566.66666666666674</v>
      </c>
      <c r="P35" s="14">
        <f t="shared" si="40"/>
        <v>566.66666666666674</v>
      </c>
      <c r="Q35" s="14">
        <f t="shared" si="40"/>
        <v>1700</v>
      </c>
      <c r="R35" s="14">
        <f t="shared" si="40"/>
        <v>566.66666666666674</v>
      </c>
      <c r="S35" s="14">
        <f t="shared" si="40"/>
        <v>566.66666666666674</v>
      </c>
      <c r="T35" s="14">
        <f t="shared" si="40"/>
        <v>566.66666666666674</v>
      </c>
      <c r="U35" s="14">
        <f t="shared" si="40"/>
        <v>1700</v>
      </c>
      <c r="V35" s="14">
        <f t="shared" si="40"/>
        <v>6800</v>
      </c>
    </row>
    <row r="36" spans="1:22" ht="15.75" customHeight="1"/>
    <row r="37" spans="1:22" ht="15.75" customHeight="1"/>
    <row r="38" spans="1:22" ht="15.75" customHeight="1"/>
    <row r="39" spans="1:22" ht="18.75" customHeight="1">
      <c r="A39" s="22" t="s">
        <v>30</v>
      </c>
    </row>
    <row r="40" spans="1:22" ht="15.75" customHeight="1">
      <c r="A40" s="27" t="s">
        <v>2</v>
      </c>
      <c r="B40" s="42" t="s">
        <v>21</v>
      </c>
      <c r="C40" s="49"/>
      <c r="D40" s="49"/>
      <c r="E40" s="43" t="s">
        <v>22</v>
      </c>
      <c r="F40" s="23">
        <v>44941</v>
      </c>
      <c r="G40" s="23">
        <v>44972</v>
      </c>
      <c r="H40" s="23">
        <v>45000</v>
      </c>
      <c r="I40" s="44" t="s">
        <v>40</v>
      </c>
      <c r="J40" s="23">
        <v>45031</v>
      </c>
      <c r="K40" s="23">
        <v>45061</v>
      </c>
      <c r="L40" s="23">
        <v>45092</v>
      </c>
      <c r="M40" s="44" t="s">
        <v>41</v>
      </c>
      <c r="N40" s="23">
        <v>45122</v>
      </c>
      <c r="O40" s="23">
        <v>45153</v>
      </c>
      <c r="P40" s="23">
        <v>45184</v>
      </c>
      <c r="Q40" s="44" t="s">
        <v>42</v>
      </c>
      <c r="R40" s="23">
        <v>43388</v>
      </c>
      <c r="S40" s="23">
        <v>43419</v>
      </c>
      <c r="T40" s="23">
        <v>43449</v>
      </c>
      <c r="U40" s="44" t="s">
        <v>50</v>
      </c>
      <c r="V40" s="45" t="s">
        <v>51</v>
      </c>
    </row>
    <row r="41" spans="1:22" ht="15.75" customHeight="1">
      <c r="A41" s="2" t="s">
        <v>31</v>
      </c>
      <c r="B41" s="14">
        <v>18000</v>
      </c>
      <c r="E41" s="16">
        <v>45078</v>
      </c>
      <c r="F41" s="14">
        <f t="shared" ref="F41:H42" si="41">IF($E41&lt;=F$40, $B41/12, 0)</f>
        <v>0</v>
      </c>
      <c r="G41" s="14">
        <f t="shared" si="41"/>
        <v>0</v>
      </c>
      <c r="H41" s="14">
        <f t="shared" si="41"/>
        <v>0</v>
      </c>
      <c r="I41" s="14">
        <f t="shared" ref="I41:I43" si="42">SUM(F41:H41)</f>
        <v>0</v>
      </c>
      <c r="J41" s="14">
        <f t="shared" ref="J41:L42" si="43">IF($E41&lt;=J$40, $B41/12, 0)</f>
        <v>0</v>
      </c>
      <c r="K41" s="14">
        <f t="shared" si="43"/>
        <v>0</v>
      </c>
      <c r="L41" s="14">
        <f t="shared" si="43"/>
        <v>1500</v>
      </c>
      <c r="M41" s="14">
        <f t="shared" ref="M41:M43" si="44">SUM(J41:L41)</f>
        <v>1500</v>
      </c>
      <c r="N41" s="14">
        <f t="shared" ref="N41:P42" si="45">IF($E41&lt;=N$40, $B41/12, 0)</f>
        <v>1500</v>
      </c>
      <c r="O41" s="14">
        <f t="shared" si="45"/>
        <v>1500</v>
      </c>
      <c r="P41" s="14">
        <f t="shared" si="45"/>
        <v>1500</v>
      </c>
      <c r="Q41" s="14">
        <f t="shared" ref="Q41:Q43" si="46">SUM(N41:P41)</f>
        <v>4500</v>
      </c>
      <c r="R41" s="14">
        <f t="shared" ref="R41:T42" si="47">IF($E41&lt;=R$40, $B41/12, 0)</f>
        <v>0</v>
      </c>
      <c r="S41" s="14">
        <f t="shared" si="47"/>
        <v>0</v>
      </c>
      <c r="T41" s="14">
        <f t="shared" si="47"/>
        <v>0</v>
      </c>
      <c r="U41" s="14">
        <f t="shared" ref="U41:U43" si="48">SUM(R41:T41)</f>
        <v>0</v>
      </c>
      <c r="V41" s="14">
        <f t="shared" ref="V41:V43" si="49">I41+M41+Q41+U41</f>
        <v>6000</v>
      </c>
    </row>
    <row r="42" spans="1:22" ht="15.75" customHeight="1">
      <c r="A42" s="2" t="s">
        <v>25</v>
      </c>
      <c r="B42" s="14">
        <v>0</v>
      </c>
      <c r="F42" s="14">
        <f t="shared" si="41"/>
        <v>0</v>
      </c>
      <c r="G42" s="14">
        <f t="shared" si="41"/>
        <v>0</v>
      </c>
      <c r="H42" s="14">
        <f t="shared" si="41"/>
        <v>0</v>
      </c>
      <c r="I42" s="14">
        <f t="shared" si="42"/>
        <v>0</v>
      </c>
      <c r="J42" s="14">
        <f t="shared" si="43"/>
        <v>0</v>
      </c>
      <c r="K42" s="14">
        <f t="shared" si="43"/>
        <v>0</v>
      </c>
      <c r="L42" s="14">
        <f t="shared" si="43"/>
        <v>0</v>
      </c>
      <c r="M42" s="14">
        <f t="shared" si="44"/>
        <v>0</v>
      </c>
      <c r="N42" s="14">
        <f t="shared" si="45"/>
        <v>0</v>
      </c>
      <c r="O42" s="14">
        <f t="shared" si="45"/>
        <v>0</v>
      </c>
      <c r="P42" s="14">
        <f t="shared" si="45"/>
        <v>0</v>
      </c>
      <c r="Q42" s="14">
        <f t="shared" si="46"/>
        <v>0</v>
      </c>
      <c r="R42" s="14">
        <f t="shared" si="47"/>
        <v>0</v>
      </c>
      <c r="S42" s="14">
        <f t="shared" si="47"/>
        <v>0</v>
      </c>
      <c r="T42" s="14">
        <f t="shared" si="47"/>
        <v>0</v>
      </c>
      <c r="U42" s="14">
        <f t="shared" si="48"/>
        <v>0</v>
      </c>
      <c r="V42" s="14">
        <f t="shared" si="49"/>
        <v>0</v>
      </c>
    </row>
    <row r="43" spans="1:22" ht="15.75" customHeight="1">
      <c r="A43" s="50" t="s">
        <v>18</v>
      </c>
      <c r="B43" s="14">
        <f>SUM(B41:B42)</f>
        <v>18000</v>
      </c>
      <c r="F43" s="14">
        <f t="shared" ref="F43:H43" si="50">SUM(F41:F42)</f>
        <v>0</v>
      </c>
      <c r="G43" s="14">
        <f t="shared" si="50"/>
        <v>0</v>
      </c>
      <c r="H43" s="14">
        <f t="shared" si="50"/>
        <v>0</v>
      </c>
      <c r="I43" s="14">
        <f t="shared" si="42"/>
        <v>0</v>
      </c>
      <c r="J43" s="14">
        <f t="shared" ref="J43:L43" si="51">SUM(J41:J42)</f>
        <v>0</v>
      </c>
      <c r="K43" s="14">
        <f t="shared" si="51"/>
        <v>0</v>
      </c>
      <c r="L43" s="14">
        <f t="shared" si="51"/>
        <v>1500</v>
      </c>
      <c r="M43" s="14">
        <f t="shared" si="44"/>
        <v>1500</v>
      </c>
      <c r="N43" s="14">
        <f t="shared" ref="N43:P43" si="52">SUM(N41:N42)</f>
        <v>1500</v>
      </c>
      <c r="O43" s="14">
        <f t="shared" si="52"/>
        <v>1500</v>
      </c>
      <c r="P43" s="14">
        <f t="shared" si="52"/>
        <v>1500</v>
      </c>
      <c r="Q43" s="14">
        <f t="shared" si="46"/>
        <v>4500</v>
      </c>
      <c r="R43" s="14">
        <f t="shared" ref="R43:T43" si="53">SUM(R41:R42)</f>
        <v>0</v>
      </c>
      <c r="S43" s="14">
        <f t="shared" si="53"/>
        <v>0</v>
      </c>
      <c r="T43" s="14">
        <f t="shared" si="53"/>
        <v>0</v>
      </c>
      <c r="U43" s="14">
        <f t="shared" si="48"/>
        <v>0</v>
      </c>
      <c r="V43" s="14">
        <f t="shared" si="49"/>
        <v>6000</v>
      </c>
    </row>
    <row r="44" spans="1:22" ht="15.75" customHeight="1"/>
    <row r="45" spans="1:22" ht="18.75" customHeight="1">
      <c r="A45" s="22" t="s">
        <v>32</v>
      </c>
    </row>
    <row r="46" spans="1:22" ht="15.75" customHeight="1">
      <c r="A46" s="27" t="s">
        <v>2</v>
      </c>
      <c r="B46" s="42" t="s">
        <v>21</v>
      </c>
      <c r="C46" s="49"/>
      <c r="D46" s="49"/>
      <c r="E46" s="43" t="s">
        <v>22</v>
      </c>
      <c r="F46" s="23">
        <v>44941</v>
      </c>
      <c r="G46" s="23">
        <v>44972</v>
      </c>
      <c r="H46" s="23">
        <v>45000</v>
      </c>
      <c r="I46" s="44" t="s">
        <v>40</v>
      </c>
      <c r="J46" s="23">
        <v>45031</v>
      </c>
      <c r="K46" s="23">
        <v>45061</v>
      </c>
      <c r="L46" s="23">
        <v>45092</v>
      </c>
      <c r="M46" s="44" t="s">
        <v>41</v>
      </c>
      <c r="N46" s="23">
        <v>45122</v>
      </c>
      <c r="O46" s="23">
        <v>45153</v>
      </c>
      <c r="P46" s="23">
        <v>45184</v>
      </c>
      <c r="Q46" s="44" t="s">
        <v>42</v>
      </c>
      <c r="R46" s="23">
        <v>43388</v>
      </c>
      <c r="S46" s="23">
        <v>43419</v>
      </c>
      <c r="T46" s="23">
        <v>43449</v>
      </c>
      <c r="U46" s="44" t="s">
        <v>50</v>
      </c>
      <c r="V46" s="45" t="s">
        <v>51</v>
      </c>
    </row>
    <row r="47" spans="1:22" ht="15.75" customHeight="1">
      <c r="A47" s="2" t="s">
        <v>33</v>
      </c>
      <c r="B47" s="14">
        <f>B15+B26+B35+V43</f>
        <v>170516.66666666666</v>
      </c>
      <c r="F47" s="14">
        <f t="shared" ref="F47:H47" si="54">F16+F26+F35+F43</f>
        <v>7983.3333333333339</v>
      </c>
      <c r="G47" s="14">
        <f t="shared" si="54"/>
        <v>7983.3333333333339</v>
      </c>
      <c r="H47" s="14">
        <f t="shared" si="54"/>
        <v>9650</v>
      </c>
      <c r="I47" s="14">
        <f>SUM(F47:H47)</f>
        <v>25616.666666666668</v>
      </c>
      <c r="J47" s="14">
        <f t="shared" ref="J47:L47" si="55">J16+J26+J35+J43</f>
        <v>9650</v>
      </c>
      <c r="K47" s="14">
        <f t="shared" si="55"/>
        <v>14949.999999999998</v>
      </c>
      <c r="L47" s="14">
        <f t="shared" si="55"/>
        <v>16450</v>
      </c>
      <c r="M47" s="14">
        <f>SUM(J47:L47)</f>
        <v>41050</v>
      </c>
      <c r="N47" s="14">
        <f t="shared" ref="N47:P47" si="56">N16+N26+N35+N43</f>
        <v>16450</v>
      </c>
      <c r="O47" s="14">
        <f t="shared" si="56"/>
        <v>16450</v>
      </c>
      <c r="P47" s="14">
        <f t="shared" si="56"/>
        <v>16450</v>
      </c>
      <c r="Q47" s="14">
        <f>SUM(N47:P47)</f>
        <v>49350</v>
      </c>
      <c r="R47" s="14">
        <f t="shared" ref="R47:T47" si="57">R16+R26+R35+R43</f>
        <v>17500</v>
      </c>
      <c r="S47" s="14">
        <f t="shared" si="57"/>
        <v>17500</v>
      </c>
      <c r="T47" s="14">
        <f t="shared" si="57"/>
        <v>17500</v>
      </c>
      <c r="U47" s="14">
        <f>SUM(R47:T47)</f>
        <v>52500</v>
      </c>
      <c r="V47" s="14">
        <f>I47+M47+Q47+U47</f>
        <v>168516.66666666669</v>
      </c>
    </row>
    <row r="48" spans="1:22" ht="15.75" customHeight="1">
      <c r="B48" s="14"/>
    </row>
    <row r="49" spans="1:4" ht="15.75" customHeight="1">
      <c r="B49" s="14"/>
    </row>
    <row r="50" spans="1:4" ht="21" customHeight="1">
      <c r="A50" s="51" t="s">
        <v>34</v>
      </c>
      <c r="B50" s="52"/>
    </row>
    <row r="51" spans="1:4" ht="18.75" customHeight="1">
      <c r="A51" s="24" t="s">
        <v>35</v>
      </c>
      <c r="B51" s="21">
        <f>-(V47/12)</f>
        <v>-14043.055555555557</v>
      </c>
    </row>
    <row r="52" spans="1:4" ht="18.75" customHeight="1">
      <c r="A52" s="24" t="s">
        <v>52</v>
      </c>
      <c r="B52" s="21">
        <f xml:space="preserve"> 100000 - 'costs 2022'!B43</f>
        <v>66600</v>
      </c>
    </row>
    <row r="53" spans="1:4" ht="37.5" customHeight="1">
      <c r="A53" s="25" t="s">
        <v>37</v>
      </c>
      <c r="B53" s="58">
        <f>-(B52/B51)</f>
        <v>4.7425576105231926</v>
      </c>
    </row>
    <row r="54" spans="1:4" ht="15.75" customHeight="1"/>
    <row r="55" spans="1:4" ht="21" customHeight="1">
      <c r="A55" s="51" t="s">
        <v>53</v>
      </c>
      <c r="B55" s="52"/>
    </row>
    <row r="56" spans="1:4" ht="18.75" customHeight="1">
      <c r="A56" s="24" t="s">
        <v>35</v>
      </c>
      <c r="B56" s="21">
        <f>-(V47/12)</f>
        <v>-14043.055555555557</v>
      </c>
    </row>
    <row r="57" spans="1:4" ht="18.75" customHeight="1">
      <c r="A57" s="24" t="s">
        <v>52</v>
      </c>
      <c r="B57" s="21">
        <f xml:space="preserve"> 100000 - 'costs 2022'!B43</f>
        <v>66600</v>
      </c>
    </row>
    <row r="58" spans="1:4" ht="18.75" customHeight="1">
      <c r="A58" s="24" t="s">
        <v>54</v>
      </c>
      <c r="B58" s="21">
        <f>'revenue 2023'!M18</f>
        <v>26374.450613839999</v>
      </c>
    </row>
    <row r="59" spans="1:4" ht="18.75" customHeight="1">
      <c r="A59" s="24" t="s">
        <v>55</v>
      </c>
      <c r="B59" s="21">
        <f>B57+B58</f>
        <v>92974.450613840003</v>
      </c>
      <c r="C59" s="56">
        <f>B59-B47</f>
        <v>-77542.216052826654</v>
      </c>
      <c r="D59" s="57" t="s">
        <v>94</v>
      </c>
    </row>
    <row r="60" spans="1:4" ht="57" customHeight="1">
      <c r="A60" s="25" t="s">
        <v>56</v>
      </c>
      <c r="B60" s="58">
        <f>-(B59/B56)</f>
        <v>6.6206709961393333</v>
      </c>
    </row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7BC14-10AD-AA46-A7E8-1C0ABF95D1E4}">
  <dimension ref="A1:V993"/>
  <sheetViews>
    <sheetView topLeftCell="D1" workbookViewId="0">
      <selection activeCell="U5" activeCellId="5" sqref="A5:A46 B5:B46 I5:I46 M5:M46 Q5:Q46 U5:V46"/>
    </sheetView>
  </sheetViews>
  <sheetFormatPr baseColWidth="10" defaultColWidth="11.1640625" defaultRowHeight="16"/>
  <cols>
    <col min="1" max="1" width="41" style="2" customWidth="1"/>
    <col min="2" max="2" width="24.33203125" style="2" customWidth="1"/>
    <col min="3" max="3" width="18.6640625" style="2" customWidth="1"/>
    <col min="4" max="4" width="19.83203125" style="2" customWidth="1"/>
    <col min="5" max="5" width="21.5" style="2" customWidth="1"/>
    <col min="6" max="6" width="12.5" style="2" customWidth="1"/>
    <col min="7" max="7" width="12" style="2" customWidth="1"/>
    <col min="8" max="8" width="12.33203125" style="2" customWidth="1"/>
    <col min="9" max="9" width="13.1640625" style="2" customWidth="1"/>
    <col min="10" max="10" width="12.33203125" style="2" customWidth="1"/>
    <col min="11" max="11" width="12.1640625" style="2" customWidth="1"/>
    <col min="12" max="12" width="12.5" style="2" customWidth="1"/>
    <col min="13" max="13" width="12.6640625" style="2" customWidth="1"/>
    <col min="14" max="14" width="12.1640625" style="2" customWidth="1"/>
    <col min="15" max="15" width="12.33203125" style="2" customWidth="1"/>
    <col min="16" max="16" width="12" style="2" customWidth="1"/>
    <col min="17" max="17" width="13" style="2" customWidth="1"/>
    <col min="18" max="18" width="12.6640625" style="2" customWidth="1"/>
    <col min="19" max="19" width="12.33203125" style="2" customWidth="1"/>
    <col min="20" max="21" width="12.6640625" style="2" customWidth="1"/>
    <col min="22" max="22" width="14.1640625" style="2" customWidth="1"/>
    <col min="23" max="26" width="10.5" style="2" customWidth="1"/>
    <col min="27" max="16384" width="11.1640625" style="2"/>
  </cols>
  <sheetData>
    <row r="1" spans="1:22" ht="18.75" customHeight="1">
      <c r="A1" s="22" t="s">
        <v>57</v>
      </c>
    </row>
    <row r="2" spans="1:22" ht="18.75" customHeight="1"/>
    <row r="3" spans="1:22" ht="15.75" customHeight="1"/>
    <row r="4" spans="1:22" ht="18.75" customHeight="1">
      <c r="A4" s="22" t="s">
        <v>1</v>
      </c>
    </row>
    <row r="5" spans="1:22" ht="15.75" customHeight="1">
      <c r="A5" s="27" t="s">
        <v>2</v>
      </c>
      <c r="B5" s="42" t="s">
        <v>3</v>
      </c>
      <c r="C5" s="42" t="s">
        <v>4</v>
      </c>
      <c r="D5" s="42" t="s">
        <v>5</v>
      </c>
      <c r="E5" s="43" t="s">
        <v>39</v>
      </c>
      <c r="F5" s="23">
        <v>45306</v>
      </c>
      <c r="G5" s="23">
        <v>45337</v>
      </c>
      <c r="H5" s="23">
        <v>45366</v>
      </c>
      <c r="I5" s="44" t="s">
        <v>58</v>
      </c>
      <c r="J5" s="23">
        <v>45397</v>
      </c>
      <c r="K5" s="23">
        <v>45427</v>
      </c>
      <c r="L5" s="23">
        <v>45458</v>
      </c>
      <c r="M5" s="44" t="s">
        <v>59</v>
      </c>
      <c r="N5" s="23">
        <v>45488</v>
      </c>
      <c r="O5" s="23">
        <v>45519</v>
      </c>
      <c r="P5" s="23">
        <v>45550</v>
      </c>
      <c r="Q5" s="44" t="s">
        <v>60</v>
      </c>
      <c r="R5" s="23">
        <v>45580</v>
      </c>
      <c r="S5" s="23">
        <v>45611</v>
      </c>
      <c r="T5" s="23">
        <v>45641</v>
      </c>
      <c r="U5" s="44" t="s">
        <v>61</v>
      </c>
      <c r="V5" s="45" t="s">
        <v>62</v>
      </c>
    </row>
    <row r="6" spans="1:22" ht="15.75" customHeight="1">
      <c r="A6" s="26" t="s">
        <v>12</v>
      </c>
      <c r="B6" s="14">
        <v>20000</v>
      </c>
      <c r="C6" s="15">
        <v>0.09</v>
      </c>
      <c r="D6" s="14">
        <f t="shared" ref="D6:D14" si="0">B6+(B6*C6)</f>
        <v>21800</v>
      </c>
      <c r="E6" s="16">
        <v>44562</v>
      </c>
      <c r="F6" s="14">
        <f t="shared" ref="F6:H10" si="1">IF($E6&lt;=F$5, $D6/12, 0)</f>
        <v>1816.6666666666667</v>
      </c>
      <c r="G6" s="14">
        <f t="shared" si="1"/>
        <v>1816.6666666666667</v>
      </c>
      <c r="H6" s="14">
        <f t="shared" si="1"/>
        <v>1816.6666666666667</v>
      </c>
      <c r="I6" s="14">
        <f t="shared" ref="I6:I14" si="2">SUM(F6:H6)</f>
        <v>5450</v>
      </c>
      <c r="J6" s="14">
        <f t="shared" ref="J6:L10" si="3">IF($E6&lt;=J$5, $D6/12, 0)</f>
        <v>1816.6666666666667</v>
      </c>
      <c r="K6" s="14">
        <f t="shared" si="3"/>
        <v>1816.6666666666667</v>
      </c>
      <c r="L6" s="14">
        <f t="shared" si="3"/>
        <v>1816.6666666666667</v>
      </c>
      <c r="M6" s="14">
        <f t="shared" ref="M6:M14" si="4">SUM(J6:L6)</f>
        <v>5450</v>
      </c>
      <c r="N6" s="14">
        <f t="shared" ref="N6:P10" si="5">IF($E6&lt;=N$5, $D6/12, 0)</f>
        <v>1816.6666666666667</v>
      </c>
      <c r="O6" s="14">
        <f t="shared" si="5"/>
        <v>1816.6666666666667</v>
      </c>
      <c r="P6" s="14">
        <f t="shared" si="5"/>
        <v>1816.6666666666667</v>
      </c>
      <c r="Q6" s="14">
        <f t="shared" ref="Q6:Q14" si="6">SUM(N6:P6)</f>
        <v>5450</v>
      </c>
      <c r="R6" s="14">
        <f t="shared" ref="R6:T10" si="7">IF($E6&lt;=R$5, $D6/12, 0)</f>
        <v>1816.6666666666667</v>
      </c>
      <c r="S6" s="14">
        <f t="shared" si="7"/>
        <v>1816.6666666666667</v>
      </c>
      <c r="T6" s="14">
        <f t="shared" si="7"/>
        <v>1816.6666666666667</v>
      </c>
      <c r="U6" s="14">
        <f t="shared" ref="U6:U14" si="8">SUM(R6:T6)</f>
        <v>5450</v>
      </c>
      <c r="V6" s="14">
        <f t="shared" ref="V6:V14" si="9">I6+M6+Q6+U6</f>
        <v>21800</v>
      </c>
    </row>
    <row r="7" spans="1:22" ht="15.75" customHeight="1">
      <c r="A7" s="26" t="s">
        <v>13</v>
      </c>
      <c r="B7" s="14">
        <v>20000</v>
      </c>
      <c r="C7" s="15">
        <v>0.09</v>
      </c>
      <c r="D7" s="14">
        <f t="shared" si="0"/>
        <v>21800</v>
      </c>
      <c r="E7" s="16">
        <v>44805</v>
      </c>
      <c r="F7" s="14">
        <f t="shared" si="1"/>
        <v>1816.6666666666667</v>
      </c>
      <c r="G7" s="14">
        <f t="shared" si="1"/>
        <v>1816.6666666666667</v>
      </c>
      <c r="H7" s="14">
        <f t="shared" si="1"/>
        <v>1816.6666666666667</v>
      </c>
      <c r="I7" s="14">
        <f t="shared" si="2"/>
        <v>5450</v>
      </c>
      <c r="J7" s="14">
        <f t="shared" si="3"/>
        <v>1816.6666666666667</v>
      </c>
      <c r="K7" s="14">
        <f t="shared" si="3"/>
        <v>1816.6666666666667</v>
      </c>
      <c r="L7" s="14">
        <f t="shared" si="3"/>
        <v>1816.6666666666667</v>
      </c>
      <c r="M7" s="14">
        <f t="shared" si="4"/>
        <v>5450</v>
      </c>
      <c r="N7" s="14">
        <f t="shared" si="5"/>
        <v>1816.6666666666667</v>
      </c>
      <c r="O7" s="14">
        <f t="shared" si="5"/>
        <v>1816.6666666666667</v>
      </c>
      <c r="P7" s="14">
        <f t="shared" si="5"/>
        <v>1816.6666666666667</v>
      </c>
      <c r="Q7" s="14">
        <f t="shared" si="6"/>
        <v>5450</v>
      </c>
      <c r="R7" s="14">
        <f t="shared" si="7"/>
        <v>1816.6666666666667</v>
      </c>
      <c r="S7" s="14">
        <f t="shared" si="7"/>
        <v>1816.6666666666667</v>
      </c>
      <c r="T7" s="14">
        <f t="shared" si="7"/>
        <v>1816.6666666666667</v>
      </c>
      <c r="U7" s="14">
        <f t="shared" si="8"/>
        <v>5450</v>
      </c>
      <c r="V7" s="14">
        <f t="shared" si="9"/>
        <v>21800</v>
      </c>
    </row>
    <row r="8" spans="1:22" ht="15.75" customHeight="1">
      <c r="A8" s="26" t="s">
        <v>14</v>
      </c>
      <c r="B8" s="14">
        <v>20000</v>
      </c>
      <c r="C8" s="15">
        <v>0.09</v>
      </c>
      <c r="D8" s="14">
        <f t="shared" si="0"/>
        <v>21800</v>
      </c>
      <c r="E8" s="16">
        <v>44805</v>
      </c>
      <c r="F8" s="14">
        <f t="shared" si="1"/>
        <v>1816.6666666666667</v>
      </c>
      <c r="G8" s="14">
        <f t="shared" si="1"/>
        <v>1816.6666666666667</v>
      </c>
      <c r="H8" s="14">
        <f t="shared" si="1"/>
        <v>1816.6666666666667</v>
      </c>
      <c r="I8" s="14">
        <f t="shared" si="2"/>
        <v>5450</v>
      </c>
      <c r="J8" s="14">
        <f t="shared" si="3"/>
        <v>1816.6666666666667</v>
      </c>
      <c r="K8" s="14">
        <f t="shared" si="3"/>
        <v>1816.6666666666667</v>
      </c>
      <c r="L8" s="14">
        <f t="shared" si="3"/>
        <v>1816.6666666666667</v>
      </c>
      <c r="M8" s="14">
        <f t="shared" si="4"/>
        <v>5450</v>
      </c>
      <c r="N8" s="14">
        <f t="shared" si="5"/>
        <v>1816.6666666666667</v>
      </c>
      <c r="O8" s="14">
        <f t="shared" si="5"/>
        <v>1816.6666666666667</v>
      </c>
      <c r="P8" s="14">
        <f t="shared" si="5"/>
        <v>1816.6666666666667</v>
      </c>
      <c r="Q8" s="14">
        <f t="shared" si="6"/>
        <v>5450</v>
      </c>
      <c r="R8" s="14">
        <f t="shared" si="7"/>
        <v>1816.6666666666667</v>
      </c>
      <c r="S8" s="14">
        <f t="shared" si="7"/>
        <v>1816.6666666666667</v>
      </c>
      <c r="T8" s="14">
        <f t="shared" si="7"/>
        <v>1816.6666666666667</v>
      </c>
      <c r="U8" s="14">
        <f t="shared" si="8"/>
        <v>5450</v>
      </c>
      <c r="V8" s="14">
        <f t="shared" si="9"/>
        <v>21800</v>
      </c>
    </row>
    <row r="9" spans="1:22" ht="15.75" customHeight="1">
      <c r="A9" s="26" t="s">
        <v>45</v>
      </c>
      <c r="B9" s="14">
        <v>20000</v>
      </c>
      <c r="C9" s="15">
        <v>0.09</v>
      </c>
      <c r="D9" s="14">
        <f t="shared" si="0"/>
        <v>21800</v>
      </c>
      <c r="E9" s="16">
        <v>45047</v>
      </c>
      <c r="F9" s="14">
        <f t="shared" si="1"/>
        <v>1816.6666666666667</v>
      </c>
      <c r="G9" s="14">
        <f t="shared" si="1"/>
        <v>1816.6666666666667</v>
      </c>
      <c r="H9" s="14">
        <f t="shared" si="1"/>
        <v>1816.6666666666667</v>
      </c>
      <c r="I9" s="14">
        <f t="shared" si="2"/>
        <v>5450</v>
      </c>
      <c r="J9" s="14">
        <f t="shared" si="3"/>
        <v>1816.6666666666667</v>
      </c>
      <c r="K9" s="14">
        <f t="shared" si="3"/>
        <v>1816.6666666666667</v>
      </c>
      <c r="L9" s="14">
        <f t="shared" si="3"/>
        <v>1816.6666666666667</v>
      </c>
      <c r="M9" s="14">
        <f t="shared" si="4"/>
        <v>5450</v>
      </c>
      <c r="N9" s="14">
        <f t="shared" si="5"/>
        <v>1816.6666666666667</v>
      </c>
      <c r="O9" s="14">
        <f t="shared" si="5"/>
        <v>1816.6666666666667</v>
      </c>
      <c r="P9" s="14">
        <f t="shared" si="5"/>
        <v>1816.6666666666667</v>
      </c>
      <c r="Q9" s="14">
        <f t="shared" si="6"/>
        <v>5450</v>
      </c>
      <c r="R9" s="14">
        <f t="shared" si="7"/>
        <v>1816.6666666666667</v>
      </c>
      <c r="S9" s="14">
        <f t="shared" si="7"/>
        <v>1816.6666666666667</v>
      </c>
      <c r="T9" s="14">
        <f t="shared" si="7"/>
        <v>1816.6666666666667</v>
      </c>
      <c r="U9" s="14">
        <f t="shared" si="8"/>
        <v>5450</v>
      </c>
      <c r="V9" s="14">
        <f t="shared" si="9"/>
        <v>21800</v>
      </c>
    </row>
    <row r="10" spans="1:22" ht="15.75" customHeight="1">
      <c r="A10" s="26" t="s">
        <v>46</v>
      </c>
      <c r="B10" s="14">
        <v>20000</v>
      </c>
      <c r="C10" s="15">
        <v>0.09</v>
      </c>
      <c r="D10" s="14">
        <f t="shared" si="0"/>
        <v>21800</v>
      </c>
      <c r="E10" s="16">
        <v>45047</v>
      </c>
      <c r="F10" s="14">
        <f t="shared" si="1"/>
        <v>1816.6666666666667</v>
      </c>
      <c r="G10" s="14">
        <f t="shared" si="1"/>
        <v>1816.6666666666667</v>
      </c>
      <c r="H10" s="14">
        <f t="shared" si="1"/>
        <v>1816.6666666666667</v>
      </c>
      <c r="I10" s="14">
        <f t="shared" ref="I10:I11" si="10">SUM(F10:H10)</f>
        <v>5450</v>
      </c>
      <c r="J10" s="14">
        <f t="shared" si="3"/>
        <v>1816.6666666666667</v>
      </c>
      <c r="K10" s="14">
        <f t="shared" si="3"/>
        <v>1816.6666666666667</v>
      </c>
      <c r="L10" s="14">
        <f t="shared" si="3"/>
        <v>1816.6666666666667</v>
      </c>
      <c r="M10" s="14">
        <f t="shared" ref="M10:M11" si="11">SUM(J10:L10)</f>
        <v>5450</v>
      </c>
      <c r="N10" s="14">
        <f t="shared" si="5"/>
        <v>1816.6666666666667</v>
      </c>
      <c r="O10" s="14">
        <f t="shared" si="5"/>
        <v>1816.6666666666667</v>
      </c>
      <c r="P10" s="14">
        <f t="shared" si="5"/>
        <v>1816.6666666666667</v>
      </c>
      <c r="Q10" s="14">
        <f t="shared" ref="Q10:Q11" si="12">SUM(N10:P10)</f>
        <v>5450</v>
      </c>
      <c r="R10" s="14">
        <f t="shared" si="7"/>
        <v>1816.6666666666667</v>
      </c>
      <c r="S10" s="14">
        <f t="shared" si="7"/>
        <v>1816.6666666666667</v>
      </c>
      <c r="T10" s="14">
        <f t="shared" si="7"/>
        <v>1816.6666666666667</v>
      </c>
      <c r="U10" s="14">
        <f t="shared" ref="U10:U11" si="13">SUM(R10:T10)</f>
        <v>5450</v>
      </c>
      <c r="V10" s="14">
        <f t="shared" ref="V10:V11" si="14">I10+M10+Q10+U10</f>
        <v>21800</v>
      </c>
    </row>
    <row r="11" spans="1:22" ht="15.75" customHeight="1">
      <c r="A11" s="26" t="s">
        <v>15</v>
      </c>
      <c r="B11" s="14">
        <v>20000</v>
      </c>
      <c r="C11" s="15">
        <v>0</v>
      </c>
      <c r="D11" s="14">
        <f t="shared" si="0"/>
        <v>20000</v>
      </c>
      <c r="E11" s="16">
        <v>44835</v>
      </c>
      <c r="F11" s="14">
        <f t="shared" ref="F11:H14" si="15">IF($E11&lt;=F$5, $D11/12, 0)</f>
        <v>1666.6666666666667</v>
      </c>
      <c r="G11" s="14">
        <f t="shared" si="15"/>
        <v>1666.6666666666667</v>
      </c>
      <c r="H11" s="14">
        <f t="shared" si="15"/>
        <v>1666.6666666666667</v>
      </c>
      <c r="I11" s="14">
        <f t="shared" si="10"/>
        <v>5000</v>
      </c>
      <c r="J11" s="14">
        <f t="shared" ref="J11:L14" si="16">IF($E11&lt;=J$5, $D11/12, 0)</f>
        <v>1666.6666666666667</v>
      </c>
      <c r="K11" s="14">
        <f t="shared" si="16"/>
        <v>1666.6666666666667</v>
      </c>
      <c r="L11" s="14">
        <f t="shared" si="16"/>
        <v>1666.6666666666667</v>
      </c>
      <c r="M11" s="14">
        <f t="shared" si="11"/>
        <v>5000</v>
      </c>
      <c r="N11" s="14">
        <f t="shared" ref="N11:P14" si="17">IF($E11&lt;=N$5, $D11/12, 0)</f>
        <v>1666.6666666666667</v>
      </c>
      <c r="O11" s="14">
        <f t="shared" si="17"/>
        <v>1666.6666666666667</v>
      </c>
      <c r="P11" s="14">
        <f t="shared" si="17"/>
        <v>1666.6666666666667</v>
      </c>
      <c r="Q11" s="14">
        <f t="shared" si="12"/>
        <v>5000</v>
      </c>
      <c r="R11" s="14">
        <f t="shared" ref="R11:T14" si="18">IF($E11&lt;=R$5, $D11/12, 0)</f>
        <v>1666.6666666666667</v>
      </c>
      <c r="S11" s="14">
        <f t="shared" si="18"/>
        <v>1666.6666666666667</v>
      </c>
      <c r="T11" s="14">
        <f t="shared" si="18"/>
        <v>1666.6666666666667</v>
      </c>
      <c r="U11" s="14">
        <f t="shared" si="13"/>
        <v>5000</v>
      </c>
      <c r="V11" s="14">
        <f t="shared" si="14"/>
        <v>20000</v>
      </c>
    </row>
    <row r="12" spans="1:22" ht="15.75" customHeight="1">
      <c r="A12" s="26" t="s">
        <v>16</v>
      </c>
      <c r="B12" s="14">
        <v>20000</v>
      </c>
      <c r="C12" s="15">
        <v>0</v>
      </c>
      <c r="D12" s="14">
        <f t="shared" si="0"/>
        <v>20000</v>
      </c>
      <c r="E12" s="16">
        <v>44986</v>
      </c>
      <c r="F12" s="14">
        <f t="shared" si="15"/>
        <v>1666.6666666666667</v>
      </c>
      <c r="G12" s="14">
        <f t="shared" si="15"/>
        <v>1666.6666666666667</v>
      </c>
      <c r="H12" s="14">
        <f t="shared" si="15"/>
        <v>1666.6666666666667</v>
      </c>
      <c r="I12" s="14">
        <f t="shared" si="2"/>
        <v>5000</v>
      </c>
      <c r="J12" s="14">
        <f t="shared" si="16"/>
        <v>1666.6666666666667</v>
      </c>
      <c r="K12" s="14">
        <f t="shared" si="16"/>
        <v>1666.6666666666667</v>
      </c>
      <c r="L12" s="14">
        <f t="shared" si="16"/>
        <v>1666.6666666666667</v>
      </c>
      <c r="M12" s="14">
        <f t="shared" si="4"/>
        <v>5000</v>
      </c>
      <c r="N12" s="14">
        <f t="shared" si="17"/>
        <v>1666.6666666666667</v>
      </c>
      <c r="O12" s="14">
        <f t="shared" si="17"/>
        <v>1666.6666666666667</v>
      </c>
      <c r="P12" s="14">
        <f t="shared" si="17"/>
        <v>1666.6666666666667</v>
      </c>
      <c r="Q12" s="14">
        <f t="shared" si="6"/>
        <v>5000</v>
      </c>
      <c r="R12" s="14">
        <f t="shared" si="18"/>
        <v>1666.6666666666667</v>
      </c>
      <c r="S12" s="14">
        <f t="shared" si="18"/>
        <v>1666.6666666666667</v>
      </c>
      <c r="T12" s="14">
        <f t="shared" si="18"/>
        <v>1666.6666666666667</v>
      </c>
      <c r="U12" s="14">
        <f t="shared" si="8"/>
        <v>5000</v>
      </c>
      <c r="V12" s="14">
        <f t="shared" si="9"/>
        <v>20000</v>
      </c>
    </row>
    <row r="13" spans="1:22" ht="15.75" customHeight="1">
      <c r="A13" s="26" t="s">
        <v>47</v>
      </c>
      <c r="B13" s="14">
        <v>20000</v>
      </c>
      <c r="C13" s="15">
        <v>0</v>
      </c>
      <c r="D13" s="14">
        <f t="shared" si="0"/>
        <v>20000</v>
      </c>
      <c r="E13" s="16">
        <v>45047</v>
      </c>
      <c r="F13" s="14">
        <f t="shared" si="15"/>
        <v>1666.6666666666667</v>
      </c>
      <c r="G13" s="14">
        <f t="shared" si="15"/>
        <v>1666.6666666666667</v>
      </c>
      <c r="H13" s="14">
        <f t="shared" si="15"/>
        <v>1666.6666666666667</v>
      </c>
      <c r="I13" s="14">
        <f t="shared" si="2"/>
        <v>5000</v>
      </c>
      <c r="J13" s="14">
        <f t="shared" si="16"/>
        <v>1666.6666666666667</v>
      </c>
      <c r="K13" s="14">
        <f t="shared" si="16"/>
        <v>1666.6666666666667</v>
      </c>
      <c r="L13" s="14">
        <f t="shared" si="16"/>
        <v>1666.6666666666667</v>
      </c>
      <c r="M13" s="14">
        <f t="shared" si="4"/>
        <v>5000</v>
      </c>
      <c r="N13" s="14">
        <f t="shared" si="17"/>
        <v>1666.6666666666667</v>
      </c>
      <c r="O13" s="14">
        <f t="shared" si="17"/>
        <v>1666.6666666666667</v>
      </c>
      <c r="P13" s="14">
        <f t="shared" si="17"/>
        <v>1666.6666666666667</v>
      </c>
      <c r="Q13" s="14">
        <f t="shared" si="6"/>
        <v>5000</v>
      </c>
      <c r="R13" s="14">
        <f t="shared" si="18"/>
        <v>1666.6666666666667</v>
      </c>
      <c r="S13" s="14">
        <f t="shared" si="18"/>
        <v>1666.6666666666667</v>
      </c>
      <c r="T13" s="14">
        <f t="shared" si="18"/>
        <v>1666.6666666666667</v>
      </c>
      <c r="U13" s="14">
        <f t="shared" si="8"/>
        <v>5000</v>
      </c>
      <c r="V13" s="14">
        <f t="shared" si="9"/>
        <v>20000</v>
      </c>
    </row>
    <row r="14" spans="1:22" ht="15.75" customHeight="1">
      <c r="A14" s="26" t="s">
        <v>48</v>
      </c>
      <c r="B14" s="14">
        <v>30000</v>
      </c>
      <c r="C14" s="15">
        <v>0.02</v>
      </c>
      <c r="D14" s="14">
        <f t="shared" si="0"/>
        <v>30600</v>
      </c>
      <c r="E14" s="16">
        <v>45200</v>
      </c>
      <c r="F14" s="14">
        <f t="shared" si="15"/>
        <v>2550</v>
      </c>
      <c r="G14" s="14">
        <f t="shared" si="15"/>
        <v>2550</v>
      </c>
      <c r="H14" s="14">
        <f t="shared" si="15"/>
        <v>2550</v>
      </c>
      <c r="I14" s="14">
        <f t="shared" si="2"/>
        <v>7650</v>
      </c>
      <c r="J14" s="14">
        <f t="shared" si="16"/>
        <v>2550</v>
      </c>
      <c r="K14" s="14">
        <f t="shared" si="16"/>
        <v>2550</v>
      </c>
      <c r="L14" s="14">
        <f t="shared" si="16"/>
        <v>2550</v>
      </c>
      <c r="M14" s="14">
        <f t="shared" si="4"/>
        <v>7650</v>
      </c>
      <c r="N14" s="14">
        <f t="shared" si="17"/>
        <v>2550</v>
      </c>
      <c r="O14" s="14">
        <f t="shared" si="17"/>
        <v>2550</v>
      </c>
      <c r="P14" s="14">
        <f t="shared" si="17"/>
        <v>2550</v>
      </c>
      <c r="Q14" s="14">
        <f t="shared" si="6"/>
        <v>7650</v>
      </c>
      <c r="R14" s="14">
        <f t="shared" si="18"/>
        <v>2550</v>
      </c>
      <c r="S14" s="14">
        <f t="shared" si="18"/>
        <v>2550</v>
      </c>
      <c r="T14" s="14">
        <f t="shared" si="18"/>
        <v>2550</v>
      </c>
      <c r="U14" s="14">
        <f t="shared" si="8"/>
        <v>7650</v>
      </c>
      <c r="V14" s="14">
        <f t="shared" si="9"/>
        <v>30600</v>
      </c>
    </row>
    <row r="15" spans="1:22" ht="15.75" customHeight="1">
      <c r="A15" s="19" t="s">
        <v>18</v>
      </c>
      <c r="B15" s="14">
        <f>SUM(B6:B13)</f>
        <v>160000</v>
      </c>
      <c r="C15" s="20"/>
      <c r="D15" s="20"/>
      <c r="E15" s="20"/>
      <c r="F15" s="14">
        <f t="shared" ref="F15:V15" si="19">SUM(F6:F13)</f>
        <v>14083.333333333332</v>
      </c>
      <c r="G15" s="14">
        <f t="shared" si="19"/>
        <v>14083.333333333332</v>
      </c>
      <c r="H15" s="14">
        <f t="shared" si="19"/>
        <v>14083.333333333332</v>
      </c>
      <c r="I15" s="14">
        <f t="shared" si="19"/>
        <v>42250</v>
      </c>
      <c r="J15" s="14">
        <f t="shared" si="19"/>
        <v>14083.333333333332</v>
      </c>
      <c r="K15" s="14">
        <f t="shared" si="19"/>
        <v>14083.333333333332</v>
      </c>
      <c r="L15" s="14">
        <f t="shared" si="19"/>
        <v>14083.333333333332</v>
      </c>
      <c r="M15" s="14">
        <f t="shared" si="19"/>
        <v>42250</v>
      </c>
      <c r="N15" s="14">
        <f t="shared" si="19"/>
        <v>14083.333333333332</v>
      </c>
      <c r="O15" s="14">
        <f t="shared" si="19"/>
        <v>14083.333333333332</v>
      </c>
      <c r="P15" s="14">
        <f t="shared" si="19"/>
        <v>14083.333333333332</v>
      </c>
      <c r="Q15" s="14">
        <f t="shared" si="19"/>
        <v>42250</v>
      </c>
      <c r="R15" s="14">
        <f t="shared" si="19"/>
        <v>14083.333333333332</v>
      </c>
      <c r="S15" s="14">
        <f t="shared" si="19"/>
        <v>14083.333333333332</v>
      </c>
      <c r="T15" s="14">
        <f t="shared" si="19"/>
        <v>14083.333333333332</v>
      </c>
      <c r="U15" s="14">
        <f t="shared" si="19"/>
        <v>42250</v>
      </c>
      <c r="V15" s="14">
        <f t="shared" si="19"/>
        <v>169000</v>
      </c>
    </row>
    <row r="16" spans="1:22" ht="15.75" customHeight="1">
      <c r="A16" s="46" t="s">
        <v>19</v>
      </c>
      <c r="B16" s="47"/>
      <c r="C16" s="47"/>
      <c r="D16" s="47"/>
      <c r="E16" s="47"/>
      <c r="F16" s="47">
        <f>COUNTIF(F6:F14,"&gt;0")</f>
        <v>9</v>
      </c>
      <c r="G16" s="47">
        <f>COUNTIF(G6:G14,"&gt;0")</f>
        <v>9</v>
      </c>
      <c r="H16" s="47">
        <f t="shared" ref="H16:V16" si="20">COUNTIF(H6:H14,"&gt;0")</f>
        <v>9</v>
      </c>
      <c r="I16" s="47">
        <f t="shared" si="20"/>
        <v>9</v>
      </c>
      <c r="J16" s="47">
        <f t="shared" si="20"/>
        <v>9</v>
      </c>
      <c r="K16" s="47">
        <f t="shared" si="20"/>
        <v>9</v>
      </c>
      <c r="L16" s="47">
        <f t="shared" si="20"/>
        <v>9</v>
      </c>
      <c r="M16" s="47">
        <f t="shared" si="20"/>
        <v>9</v>
      </c>
      <c r="N16" s="47">
        <f t="shared" si="20"/>
        <v>9</v>
      </c>
      <c r="O16" s="47">
        <f t="shared" si="20"/>
        <v>9</v>
      </c>
      <c r="P16" s="47">
        <f t="shared" si="20"/>
        <v>9</v>
      </c>
      <c r="Q16" s="47">
        <f t="shared" si="20"/>
        <v>9</v>
      </c>
      <c r="R16" s="47">
        <f t="shared" si="20"/>
        <v>9</v>
      </c>
      <c r="S16" s="47">
        <f t="shared" si="20"/>
        <v>9</v>
      </c>
      <c r="T16" s="47">
        <f t="shared" si="20"/>
        <v>9</v>
      </c>
      <c r="U16" s="47">
        <f t="shared" si="20"/>
        <v>9</v>
      </c>
      <c r="V16" s="47">
        <f t="shared" si="20"/>
        <v>9</v>
      </c>
    </row>
    <row r="17" spans="1:22" ht="15.75" customHeight="1"/>
    <row r="18" spans="1:22" ht="15.75" customHeight="1"/>
    <row r="19" spans="1:22" ht="18.75" customHeight="1">
      <c r="A19" s="22" t="s">
        <v>20</v>
      </c>
    </row>
    <row r="20" spans="1:22" ht="15.75" customHeight="1">
      <c r="A20" s="27" t="s">
        <v>2</v>
      </c>
      <c r="B20" s="42" t="s">
        <v>21</v>
      </c>
      <c r="C20" s="49"/>
      <c r="D20" s="49"/>
      <c r="E20" s="43" t="s">
        <v>22</v>
      </c>
      <c r="F20" s="23">
        <v>45306</v>
      </c>
      <c r="G20" s="23">
        <v>45337</v>
      </c>
      <c r="H20" s="23">
        <v>45366</v>
      </c>
      <c r="I20" s="44" t="s">
        <v>58</v>
      </c>
      <c r="J20" s="23">
        <v>45397</v>
      </c>
      <c r="K20" s="23">
        <v>45427</v>
      </c>
      <c r="L20" s="23">
        <v>45458</v>
      </c>
      <c r="M20" s="44" t="s">
        <v>59</v>
      </c>
      <c r="N20" s="23">
        <v>45488</v>
      </c>
      <c r="O20" s="23">
        <v>45519</v>
      </c>
      <c r="P20" s="23">
        <v>45550</v>
      </c>
      <c r="Q20" s="44" t="s">
        <v>60</v>
      </c>
      <c r="R20" s="23">
        <v>45580</v>
      </c>
      <c r="S20" s="23">
        <v>45611</v>
      </c>
      <c r="T20" s="23">
        <v>45641</v>
      </c>
      <c r="U20" s="44" t="s">
        <v>61</v>
      </c>
      <c r="V20" s="45" t="s">
        <v>62</v>
      </c>
    </row>
    <row r="21" spans="1:22" ht="15.75" customHeight="1">
      <c r="A21" s="2" t="s">
        <v>23</v>
      </c>
      <c r="B21" s="14">
        <v>0</v>
      </c>
      <c r="E21" s="16">
        <v>45292</v>
      </c>
      <c r="F21" s="14">
        <f t="shared" ref="F21:H24" si="21">IF($E21&lt;=F$20, $B21/12, 0)</f>
        <v>0</v>
      </c>
      <c r="G21" s="14">
        <f t="shared" si="21"/>
        <v>0</v>
      </c>
      <c r="H21" s="14">
        <f t="shared" si="21"/>
        <v>0</v>
      </c>
      <c r="I21" s="14">
        <f t="shared" ref="I21:I24" si="22">SUM(F21:H21)</f>
        <v>0</v>
      </c>
      <c r="J21" s="14">
        <f t="shared" ref="J21:L24" si="23">IF($E21&lt;=J$20, $B21/12, 0)</f>
        <v>0</v>
      </c>
      <c r="K21" s="14">
        <f t="shared" si="23"/>
        <v>0</v>
      </c>
      <c r="L21" s="14">
        <f t="shared" si="23"/>
        <v>0</v>
      </c>
      <c r="M21" s="14">
        <f t="shared" ref="M21:M24" si="24">SUM(J21:L21)</f>
        <v>0</v>
      </c>
      <c r="N21" s="14">
        <f t="shared" ref="N21:P24" si="25">IF($E21&lt;=N$20, $B21/12, 0)</f>
        <v>0</v>
      </c>
      <c r="O21" s="14">
        <f t="shared" si="25"/>
        <v>0</v>
      </c>
      <c r="P21" s="14">
        <f t="shared" si="25"/>
        <v>0</v>
      </c>
      <c r="Q21" s="14">
        <f t="shared" ref="Q21:Q24" si="26">SUM(N21:P21)</f>
        <v>0</v>
      </c>
      <c r="R21" s="14">
        <f t="shared" ref="R21:T24" si="27">IF($E21&lt;=R$20, $B21/12, 0)</f>
        <v>0</v>
      </c>
      <c r="S21" s="14">
        <f t="shared" si="27"/>
        <v>0</v>
      </c>
      <c r="T21" s="14">
        <f t="shared" si="27"/>
        <v>0</v>
      </c>
      <c r="U21" s="14">
        <f t="shared" ref="U21:U24" si="28">SUM(R21:T21)</f>
        <v>0</v>
      </c>
      <c r="V21" s="14">
        <f t="shared" ref="V21:V24" si="29">I21+M21+Q21+U21</f>
        <v>0</v>
      </c>
    </row>
    <row r="22" spans="1:22" ht="15.75" customHeight="1">
      <c r="A22" s="2" t="s">
        <v>24</v>
      </c>
      <c r="B22" s="14">
        <v>3600</v>
      </c>
      <c r="E22" s="16">
        <v>45292</v>
      </c>
      <c r="F22" s="14">
        <f t="shared" si="21"/>
        <v>300</v>
      </c>
      <c r="G22" s="14">
        <f t="shared" si="21"/>
        <v>300</v>
      </c>
      <c r="H22" s="14">
        <f t="shared" si="21"/>
        <v>300</v>
      </c>
      <c r="I22" s="14">
        <f t="shared" si="22"/>
        <v>900</v>
      </c>
      <c r="J22" s="14">
        <f t="shared" si="23"/>
        <v>300</v>
      </c>
      <c r="K22" s="14">
        <f t="shared" si="23"/>
        <v>300</v>
      </c>
      <c r="L22" s="14">
        <f t="shared" si="23"/>
        <v>300</v>
      </c>
      <c r="M22" s="14">
        <f t="shared" si="24"/>
        <v>900</v>
      </c>
      <c r="N22" s="14">
        <f t="shared" si="25"/>
        <v>300</v>
      </c>
      <c r="O22" s="14">
        <f t="shared" si="25"/>
        <v>300</v>
      </c>
      <c r="P22" s="14">
        <f t="shared" si="25"/>
        <v>300</v>
      </c>
      <c r="Q22" s="14">
        <f t="shared" si="26"/>
        <v>900</v>
      </c>
      <c r="R22" s="14">
        <f t="shared" si="27"/>
        <v>300</v>
      </c>
      <c r="S22" s="14">
        <f t="shared" si="27"/>
        <v>300</v>
      </c>
      <c r="T22" s="14">
        <f t="shared" si="27"/>
        <v>300</v>
      </c>
      <c r="U22" s="14">
        <f t="shared" si="28"/>
        <v>900</v>
      </c>
      <c r="V22" s="14">
        <f t="shared" si="29"/>
        <v>3600</v>
      </c>
    </row>
    <row r="23" spans="1:22" ht="15.75" customHeight="1">
      <c r="A23" s="2" t="s">
        <v>25</v>
      </c>
      <c r="B23" s="14">
        <v>0</v>
      </c>
      <c r="E23" s="16">
        <v>43101</v>
      </c>
      <c r="F23" s="14">
        <f t="shared" si="21"/>
        <v>0</v>
      </c>
      <c r="G23" s="14">
        <f t="shared" si="21"/>
        <v>0</v>
      </c>
      <c r="H23" s="14">
        <f t="shared" si="21"/>
        <v>0</v>
      </c>
      <c r="I23" s="14">
        <f t="shared" si="22"/>
        <v>0</v>
      </c>
      <c r="J23" s="14">
        <f t="shared" si="23"/>
        <v>0</v>
      </c>
      <c r="K23" s="14">
        <f t="shared" si="23"/>
        <v>0</v>
      </c>
      <c r="L23" s="14">
        <f t="shared" si="23"/>
        <v>0</v>
      </c>
      <c r="M23" s="14">
        <f t="shared" si="24"/>
        <v>0</v>
      </c>
      <c r="N23" s="14">
        <f t="shared" si="25"/>
        <v>0</v>
      </c>
      <c r="O23" s="14">
        <f t="shared" si="25"/>
        <v>0</v>
      </c>
      <c r="P23" s="14">
        <f t="shared" si="25"/>
        <v>0</v>
      </c>
      <c r="Q23" s="14">
        <f t="shared" si="26"/>
        <v>0</v>
      </c>
      <c r="R23" s="14">
        <f t="shared" si="27"/>
        <v>0</v>
      </c>
      <c r="S23" s="14">
        <f t="shared" si="27"/>
        <v>0</v>
      </c>
      <c r="T23" s="14">
        <f t="shared" si="27"/>
        <v>0</v>
      </c>
      <c r="U23" s="14">
        <f t="shared" si="28"/>
        <v>0</v>
      </c>
      <c r="V23" s="14">
        <f t="shared" si="29"/>
        <v>0</v>
      </c>
    </row>
    <row r="24" spans="1:22" ht="15.75" customHeight="1">
      <c r="A24" s="2" t="s">
        <v>25</v>
      </c>
      <c r="B24" s="14">
        <v>0</v>
      </c>
      <c r="E24" s="16">
        <v>43101</v>
      </c>
      <c r="F24" s="14">
        <f t="shared" si="21"/>
        <v>0</v>
      </c>
      <c r="G24" s="14">
        <f t="shared" si="21"/>
        <v>0</v>
      </c>
      <c r="H24" s="14">
        <f t="shared" si="21"/>
        <v>0</v>
      </c>
      <c r="I24" s="14">
        <f t="shared" si="22"/>
        <v>0</v>
      </c>
      <c r="J24" s="14">
        <f t="shared" si="23"/>
        <v>0</v>
      </c>
      <c r="K24" s="14">
        <f t="shared" si="23"/>
        <v>0</v>
      </c>
      <c r="L24" s="14">
        <f t="shared" si="23"/>
        <v>0</v>
      </c>
      <c r="M24" s="14">
        <f t="shared" si="24"/>
        <v>0</v>
      </c>
      <c r="N24" s="14">
        <f t="shared" si="25"/>
        <v>0</v>
      </c>
      <c r="O24" s="14">
        <f t="shared" si="25"/>
        <v>0</v>
      </c>
      <c r="P24" s="14">
        <f t="shared" si="25"/>
        <v>0</v>
      </c>
      <c r="Q24" s="14">
        <f t="shared" si="26"/>
        <v>0</v>
      </c>
      <c r="R24" s="14">
        <f t="shared" si="27"/>
        <v>0</v>
      </c>
      <c r="S24" s="14">
        <f t="shared" si="27"/>
        <v>0</v>
      </c>
      <c r="T24" s="14">
        <f t="shared" si="27"/>
        <v>0</v>
      </c>
      <c r="U24" s="14">
        <f t="shared" si="28"/>
        <v>0</v>
      </c>
      <c r="V24" s="14">
        <f t="shared" si="29"/>
        <v>0</v>
      </c>
    </row>
    <row r="25" spans="1:22" ht="15.75" customHeight="1">
      <c r="A25" s="50" t="s">
        <v>18</v>
      </c>
      <c r="B25" s="14">
        <f>SUM(B21:B24)</f>
        <v>3600</v>
      </c>
      <c r="F25" s="14">
        <f t="shared" ref="F25:V25" si="30">SUM(F21:F22)</f>
        <v>300</v>
      </c>
      <c r="G25" s="14">
        <f t="shared" si="30"/>
        <v>300</v>
      </c>
      <c r="H25" s="14">
        <f t="shared" si="30"/>
        <v>300</v>
      </c>
      <c r="I25" s="14">
        <f t="shared" si="30"/>
        <v>900</v>
      </c>
      <c r="J25" s="14">
        <f t="shared" si="30"/>
        <v>300</v>
      </c>
      <c r="K25" s="14">
        <f t="shared" si="30"/>
        <v>300</v>
      </c>
      <c r="L25" s="14">
        <f t="shared" si="30"/>
        <v>300</v>
      </c>
      <c r="M25" s="14">
        <f t="shared" si="30"/>
        <v>900</v>
      </c>
      <c r="N25" s="14">
        <f t="shared" si="30"/>
        <v>300</v>
      </c>
      <c r="O25" s="14">
        <f t="shared" si="30"/>
        <v>300</v>
      </c>
      <c r="P25" s="14">
        <f t="shared" si="30"/>
        <v>300</v>
      </c>
      <c r="Q25" s="14">
        <f t="shared" si="30"/>
        <v>900</v>
      </c>
      <c r="R25" s="14">
        <f t="shared" si="30"/>
        <v>300</v>
      </c>
      <c r="S25" s="14">
        <f t="shared" si="30"/>
        <v>300</v>
      </c>
      <c r="T25" s="14">
        <f t="shared" si="30"/>
        <v>300</v>
      </c>
      <c r="U25" s="14">
        <f t="shared" si="30"/>
        <v>900</v>
      </c>
      <c r="V25" s="14">
        <f t="shared" si="30"/>
        <v>3600</v>
      </c>
    </row>
    <row r="26" spans="1:22" ht="15.75" customHeight="1"/>
    <row r="27" spans="1:22" ht="15.75" customHeight="1"/>
    <row r="28" spans="1:22" ht="18.75" customHeight="1">
      <c r="A28" s="22" t="s">
        <v>26</v>
      </c>
    </row>
    <row r="29" spans="1:22" ht="15.75" customHeight="1">
      <c r="A29" s="27" t="s">
        <v>2</v>
      </c>
      <c r="B29" s="42" t="s">
        <v>21</v>
      </c>
      <c r="C29" s="49"/>
      <c r="D29" s="49"/>
      <c r="E29" s="43" t="s">
        <v>22</v>
      </c>
      <c r="F29" s="23">
        <v>45306</v>
      </c>
      <c r="G29" s="23">
        <v>45337</v>
      </c>
      <c r="H29" s="23">
        <v>45366</v>
      </c>
      <c r="I29" s="44" t="s">
        <v>58</v>
      </c>
      <c r="J29" s="23">
        <v>45397</v>
      </c>
      <c r="K29" s="23">
        <v>45427</v>
      </c>
      <c r="L29" s="23">
        <v>45458</v>
      </c>
      <c r="M29" s="44" t="s">
        <v>59</v>
      </c>
      <c r="N29" s="23">
        <v>45488</v>
      </c>
      <c r="O29" s="23">
        <v>45519</v>
      </c>
      <c r="P29" s="23">
        <v>45550</v>
      </c>
      <c r="Q29" s="44" t="s">
        <v>60</v>
      </c>
      <c r="R29" s="23">
        <v>45580</v>
      </c>
      <c r="S29" s="23">
        <v>45611</v>
      </c>
      <c r="T29" s="23">
        <v>45641</v>
      </c>
      <c r="U29" s="44" t="s">
        <v>61</v>
      </c>
      <c r="V29" s="45" t="s">
        <v>62</v>
      </c>
    </row>
    <row r="30" spans="1:22" ht="15.75" customHeight="1">
      <c r="A30" s="2" t="s">
        <v>27</v>
      </c>
      <c r="B30" s="14">
        <v>15000</v>
      </c>
      <c r="E30" s="16">
        <v>45292</v>
      </c>
      <c r="F30" s="14">
        <f t="shared" ref="F30:H31" si="31">IF($E30&lt;=F$29, $B30/12, 0)</f>
        <v>1250</v>
      </c>
      <c r="G30" s="14">
        <f t="shared" si="31"/>
        <v>1250</v>
      </c>
      <c r="H30" s="14">
        <f t="shared" si="31"/>
        <v>1250</v>
      </c>
      <c r="I30" s="14">
        <f t="shared" ref="I30:I33" si="32">SUM(F30:H30)</f>
        <v>3750</v>
      </c>
      <c r="J30" s="14">
        <f t="shared" ref="J30:L31" si="33">IF($E30&lt;=J$29, $B30/12, 0)</f>
        <v>1250</v>
      </c>
      <c r="K30" s="14">
        <f t="shared" si="33"/>
        <v>1250</v>
      </c>
      <c r="L30" s="14">
        <f t="shared" si="33"/>
        <v>1250</v>
      </c>
      <c r="M30" s="14">
        <f t="shared" ref="M30:M33" si="34">SUM(J30:L30)</f>
        <v>3750</v>
      </c>
      <c r="N30" s="14">
        <f t="shared" ref="N30:P31" si="35">IF($E30&lt;=N$29, $B30/12, 0)</f>
        <v>1250</v>
      </c>
      <c r="O30" s="14">
        <f t="shared" si="35"/>
        <v>1250</v>
      </c>
      <c r="P30" s="14">
        <f t="shared" si="35"/>
        <v>1250</v>
      </c>
      <c r="Q30" s="14">
        <f t="shared" ref="Q30:Q33" si="36">SUM(N30:P30)</f>
        <v>3750</v>
      </c>
      <c r="R30" s="14">
        <f t="shared" ref="R30:T31" si="37">IF($E30&lt;=R$29, $B30/12, 0)</f>
        <v>1250</v>
      </c>
      <c r="S30" s="14">
        <f t="shared" si="37"/>
        <v>1250</v>
      </c>
      <c r="T30" s="14">
        <f t="shared" si="37"/>
        <v>1250</v>
      </c>
      <c r="U30" s="14">
        <f t="shared" ref="U30:U33" si="38">SUM(R30:T30)</f>
        <v>3750</v>
      </c>
      <c r="V30" s="14">
        <f t="shared" ref="V30:V33" si="39">I30+M30+Q30+U30</f>
        <v>15000</v>
      </c>
    </row>
    <row r="31" spans="1:22" ht="15.75" customHeight="1">
      <c r="A31" s="2" t="s">
        <v>28</v>
      </c>
      <c r="B31" s="14">
        <v>1800</v>
      </c>
      <c r="E31" s="16">
        <v>45292</v>
      </c>
      <c r="F31" s="14">
        <f t="shared" si="31"/>
        <v>150</v>
      </c>
      <c r="G31" s="14">
        <f t="shared" si="31"/>
        <v>150</v>
      </c>
      <c r="H31" s="14">
        <f t="shared" si="31"/>
        <v>150</v>
      </c>
      <c r="I31" s="14">
        <f t="shared" si="32"/>
        <v>450</v>
      </c>
      <c r="J31" s="14">
        <f t="shared" si="33"/>
        <v>150</v>
      </c>
      <c r="K31" s="14">
        <f t="shared" si="33"/>
        <v>150</v>
      </c>
      <c r="L31" s="14">
        <f t="shared" si="33"/>
        <v>150</v>
      </c>
      <c r="M31" s="14">
        <f t="shared" si="34"/>
        <v>450</v>
      </c>
      <c r="N31" s="14">
        <f t="shared" si="35"/>
        <v>150</v>
      </c>
      <c r="O31" s="14">
        <f t="shared" si="35"/>
        <v>150</v>
      </c>
      <c r="P31" s="14">
        <f t="shared" si="35"/>
        <v>150</v>
      </c>
      <c r="Q31" s="14">
        <f t="shared" si="36"/>
        <v>450</v>
      </c>
      <c r="R31" s="14">
        <f t="shared" si="37"/>
        <v>150</v>
      </c>
      <c r="S31" s="14">
        <f t="shared" si="37"/>
        <v>150</v>
      </c>
      <c r="T31" s="14">
        <f t="shared" si="37"/>
        <v>150</v>
      </c>
      <c r="U31" s="14">
        <f t="shared" si="38"/>
        <v>450</v>
      </c>
      <c r="V31" s="14">
        <f t="shared" si="39"/>
        <v>1800</v>
      </c>
    </row>
    <row r="32" spans="1:22" ht="15.75" customHeight="1">
      <c r="A32" s="2" t="s">
        <v>29</v>
      </c>
      <c r="B32" s="14">
        <v>2000</v>
      </c>
      <c r="E32" s="16">
        <v>45292</v>
      </c>
      <c r="F32" s="14">
        <f t="shared" ref="F32:H33" si="40">IF($E32&lt;=F$20, $B32/12, 0)</f>
        <v>166.66666666666666</v>
      </c>
      <c r="G32" s="14">
        <f t="shared" si="40"/>
        <v>166.66666666666666</v>
      </c>
      <c r="H32" s="14">
        <f t="shared" si="40"/>
        <v>166.66666666666666</v>
      </c>
      <c r="I32" s="14">
        <f t="shared" si="32"/>
        <v>500</v>
      </c>
      <c r="J32" s="14">
        <f t="shared" ref="J32:L33" si="41">IF($E32&lt;=J$20, $B32/12, 0)</f>
        <v>166.66666666666666</v>
      </c>
      <c r="K32" s="14">
        <f t="shared" si="41"/>
        <v>166.66666666666666</v>
      </c>
      <c r="L32" s="14">
        <f t="shared" si="41"/>
        <v>166.66666666666666</v>
      </c>
      <c r="M32" s="14">
        <f t="shared" si="34"/>
        <v>500</v>
      </c>
      <c r="N32" s="14">
        <f t="shared" ref="N32:P33" si="42">IF($E32&lt;=N$20, $B32/12, 0)</f>
        <v>166.66666666666666</v>
      </c>
      <c r="O32" s="14">
        <f t="shared" si="42"/>
        <v>166.66666666666666</v>
      </c>
      <c r="P32" s="14">
        <f t="shared" si="42"/>
        <v>166.66666666666666</v>
      </c>
      <c r="Q32" s="14">
        <f t="shared" si="36"/>
        <v>500</v>
      </c>
      <c r="R32" s="14">
        <f t="shared" ref="R32:T33" si="43">IF($E32&lt;=R$20, $B32/12, 0)</f>
        <v>166.66666666666666</v>
      </c>
      <c r="S32" s="14">
        <f t="shared" si="43"/>
        <v>166.66666666666666</v>
      </c>
      <c r="T32" s="14">
        <f t="shared" si="43"/>
        <v>166.66666666666666</v>
      </c>
      <c r="U32" s="14">
        <f t="shared" si="38"/>
        <v>500</v>
      </c>
      <c r="V32" s="14">
        <f t="shared" si="39"/>
        <v>2000</v>
      </c>
    </row>
    <row r="33" spans="1:22" ht="15.75" customHeight="1">
      <c r="A33" s="2" t="s">
        <v>25</v>
      </c>
      <c r="B33" s="14">
        <v>0</v>
      </c>
      <c r="E33" s="16">
        <v>45292</v>
      </c>
      <c r="F33" s="14">
        <f t="shared" si="40"/>
        <v>0</v>
      </c>
      <c r="G33" s="14">
        <f t="shared" si="40"/>
        <v>0</v>
      </c>
      <c r="H33" s="14">
        <f t="shared" si="40"/>
        <v>0</v>
      </c>
      <c r="I33" s="14">
        <f t="shared" si="32"/>
        <v>0</v>
      </c>
      <c r="J33" s="14">
        <f t="shared" si="41"/>
        <v>0</v>
      </c>
      <c r="K33" s="14">
        <f t="shared" si="41"/>
        <v>0</v>
      </c>
      <c r="L33" s="14">
        <f t="shared" si="41"/>
        <v>0</v>
      </c>
      <c r="M33" s="14">
        <f t="shared" si="34"/>
        <v>0</v>
      </c>
      <c r="N33" s="14">
        <f t="shared" si="42"/>
        <v>0</v>
      </c>
      <c r="O33" s="14">
        <f t="shared" si="42"/>
        <v>0</v>
      </c>
      <c r="P33" s="14">
        <f t="shared" si="42"/>
        <v>0</v>
      </c>
      <c r="Q33" s="14">
        <f t="shared" si="36"/>
        <v>0</v>
      </c>
      <c r="R33" s="14">
        <f t="shared" si="43"/>
        <v>0</v>
      </c>
      <c r="S33" s="14">
        <f t="shared" si="43"/>
        <v>0</v>
      </c>
      <c r="T33" s="14">
        <f t="shared" si="43"/>
        <v>0</v>
      </c>
      <c r="U33" s="14">
        <f t="shared" si="38"/>
        <v>0</v>
      </c>
      <c r="V33" s="14">
        <f t="shared" si="39"/>
        <v>0</v>
      </c>
    </row>
    <row r="34" spans="1:22" ht="15.75" customHeight="1">
      <c r="A34" s="50" t="s">
        <v>18</v>
      </c>
      <c r="B34" s="14">
        <f>SUM(B30:B33)</f>
        <v>18800</v>
      </c>
      <c r="F34" s="14">
        <f t="shared" ref="F34:V34" si="44">SUM(F30:F31)</f>
        <v>1400</v>
      </c>
      <c r="G34" s="14">
        <f t="shared" si="44"/>
        <v>1400</v>
      </c>
      <c r="H34" s="14">
        <f t="shared" si="44"/>
        <v>1400</v>
      </c>
      <c r="I34" s="14">
        <f t="shared" si="44"/>
        <v>4200</v>
      </c>
      <c r="J34" s="14">
        <f t="shared" si="44"/>
        <v>1400</v>
      </c>
      <c r="K34" s="14">
        <f t="shared" si="44"/>
        <v>1400</v>
      </c>
      <c r="L34" s="14">
        <f t="shared" si="44"/>
        <v>1400</v>
      </c>
      <c r="M34" s="14">
        <f t="shared" si="44"/>
        <v>4200</v>
      </c>
      <c r="N34" s="14">
        <f t="shared" si="44"/>
        <v>1400</v>
      </c>
      <c r="O34" s="14">
        <f t="shared" si="44"/>
        <v>1400</v>
      </c>
      <c r="P34" s="14">
        <f t="shared" si="44"/>
        <v>1400</v>
      </c>
      <c r="Q34" s="14">
        <f t="shared" si="44"/>
        <v>4200</v>
      </c>
      <c r="R34" s="14">
        <f t="shared" si="44"/>
        <v>1400</v>
      </c>
      <c r="S34" s="14">
        <f t="shared" si="44"/>
        <v>1400</v>
      </c>
      <c r="T34" s="14">
        <f t="shared" si="44"/>
        <v>1400</v>
      </c>
      <c r="U34" s="14">
        <f t="shared" si="44"/>
        <v>4200</v>
      </c>
      <c r="V34" s="14">
        <f t="shared" si="44"/>
        <v>16800</v>
      </c>
    </row>
    <row r="35" spans="1:22" ht="15.75" customHeight="1"/>
    <row r="36" spans="1:22" ht="15.75" customHeight="1"/>
    <row r="37" spans="1:22" ht="15.75" customHeight="1"/>
    <row r="38" spans="1:22" ht="18.75" customHeight="1">
      <c r="A38" s="22" t="s">
        <v>30</v>
      </c>
    </row>
    <row r="39" spans="1:22" ht="15.75" customHeight="1">
      <c r="A39" s="27" t="s">
        <v>2</v>
      </c>
      <c r="B39" s="42" t="s">
        <v>21</v>
      </c>
      <c r="C39" s="49"/>
      <c r="D39" s="49"/>
      <c r="E39" s="43" t="s">
        <v>22</v>
      </c>
      <c r="F39" s="23">
        <v>45306</v>
      </c>
      <c r="G39" s="23">
        <v>45337</v>
      </c>
      <c r="H39" s="23">
        <v>45366</v>
      </c>
      <c r="I39" s="44" t="s">
        <v>58</v>
      </c>
      <c r="J39" s="23">
        <v>45397</v>
      </c>
      <c r="K39" s="23">
        <v>45427</v>
      </c>
      <c r="L39" s="23">
        <v>45458</v>
      </c>
      <c r="M39" s="44" t="s">
        <v>59</v>
      </c>
      <c r="N39" s="23">
        <v>45488</v>
      </c>
      <c r="O39" s="23">
        <v>45519</v>
      </c>
      <c r="P39" s="23">
        <v>45550</v>
      </c>
      <c r="Q39" s="44" t="s">
        <v>60</v>
      </c>
      <c r="R39" s="23">
        <v>45580</v>
      </c>
      <c r="S39" s="23">
        <v>45611</v>
      </c>
      <c r="T39" s="23">
        <v>45641</v>
      </c>
      <c r="U39" s="44" t="s">
        <v>61</v>
      </c>
      <c r="V39" s="45" t="s">
        <v>62</v>
      </c>
    </row>
    <row r="40" spans="1:22" ht="15.75" customHeight="1">
      <c r="A40" s="2" t="s">
        <v>31</v>
      </c>
      <c r="B40" s="14">
        <v>18000</v>
      </c>
      <c r="E40" s="16">
        <v>45078</v>
      </c>
      <c r="F40" s="14">
        <f t="shared" ref="F40:H41" si="45">IF($E40&lt;=F$39, $B40/12, 0)</f>
        <v>1500</v>
      </c>
      <c r="G40" s="14">
        <f t="shared" si="45"/>
        <v>1500</v>
      </c>
      <c r="H40" s="14">
        <f t="shared" si="45"/>
        <v>1500</v>
      </c>
      <c r="I40" s="14">
        <f t="shared" ref="I40:I42" si="46">SUM(F40:H40)</f>
        <v>4500</v>
      </c>
      <c r="J40" s="14">
        <f t="shared" ref="J40:L41" si="47">IF($E40&lt;=J$39, $B40/12, 0)</f>
        <v>1500</v>
      </c>
      <c r="K40" s="14">
        <f t="shared" si="47"/>
        <v>1500</v>
      </c>
      <c r="L40" s="14">
        <f t="shared" si="47"/>
        <v>1500</v>
      </c>
      <c r="M40" s="14">
        <f t="shared" ref="M40:M42" si="48">SUM(J40:L40)</f>
        <v>4500</v>
      </c>
      <c r="N40" s="14">
        <f t="shared" ref="N40:P41" si="49">IF($E40&lt;=N$39, $B40/12, 0)</f>
        <v>1500</v>
      </c>
      <c r="O40" s="14">
        <f t="shared" si="49"/>
        <v>1500</v>
      </c>
      <c r="P40" s="14">
        <f t="shared" si="49"/>
        <v>1500</v>
      </c>
      <c r="Q40" s="14">
        <f t="shared" ref="Q40:Q42" si="50">SUM(N40:P40)</f>
        <v>4500</v>
      </c>
      <c r="R40" s="14">
        <f t="shared" ref="R40:T41" si="51">IF($E40&lt;=R$39, $B40/12, 0)</f>
        <v>1500</v>
      </c>
      <c r="S40" s="14">
        <f t="shared" si="51"/>
        <v>1500</v>
      </c>
      <c r="T40" s="14">
        <f t="shared" si="51"/>
        <v>1500</v>
      </c>
      <c r="U40" s="14">
        <f t="shared" ref="U40:U42" si="52">SUM(R40:T40)</f>
        <v>4500</v>
      </c>
      <c r="V40" s="14">
        <f t="shared" ref="V40:V42" si="53">I40+M40+Q40+U40</f>
        <v>18000</v>
      </c>
    </row>
    <row r="41" spans="1:22" ht="15.75" customHeight="1">
      <c r="A41" s="2" t="s">
        <v>25</v>
      </c>
      <c r="B41" s="14">
        <v>0</v>
      </c>
      <c r="F41" s="14">
        <f t="shared" si="45"/>
        <v>0</v>
      </c>
      <c r="G41" s="14">
        <f t="shared" si="45"/>
        <v>0</v>
      </c>
      <c r="H41" s="14">
        <f t="shared" si="45"/>
        <v>0</v>
      </c>
      <c r="I41" s="14">
        <f t="shared" si="46"/>
        <v>0</v>
      </c>
      <c r="J41" s="14">
        <f t="shared" si="47"/>
        <v>0</v>
      </c>
      <c r="K41" s="14">
        <f t="shared" si="47"/>
        <v>0</v>
      </c>
      <c r="L41" s="14">
        <f t="shared" si="47"/>
        <v>0</v>
      </c>
      <c r="M41" s="14">
        <f t="shared" si="48"/>
        <v>0</v>
      </c>
      <c r="N41" s="14">
        <f t="shared" si="49"/>
        <v>0</v>
      </c>
      <c r="O41" s="14">
        <f t="shared" si="49"/>
        <v>0</v>
      </c>
      <c r="P41" s="14">
        <f t="shared" si="49"/>
        <v>0</v>
      </c>
      <c r="Q41" s="14">
        <f t="shared" si="50"/>
        <v>0</v>
      </c>
      <c r="R41" s="14">
        <f t="shared" si="51"/>
        <v>0</v>
      </c>
      <c r="S41" s="14">
        <f t="shared" si="51"/>
        <v>0</v>
      </c>
      <c r="T41" s="14">
        <f t="shared" si="51"/>
        <v>0</v>
      </c>
      <c r="U41" s="14">
        <f t="shared" si="52"/>
        <v>0</v>
      </c>
      <c r="V41" s="14">
        <f t="shared" si="53"/>
        <v>0</v>
      </c>
    </row>
    <row r="42" spans="1:22" ht="15.75" customHeight="1">
      <c r="A42" s="50" t="s">
        <v>18</v>
      </c>
      <c r="B42" s="14">
        <f>SUM(B40:B41)</f>
        <v>18000</v>
      </c>
      <c r="F42" s="14">
        <f t="shared" ref="F42:H42" si="54">SUM(F40:F41)</f>
        <v>1500</v>
      </c>
      <c r="G42" s="14">
        <f t="shared" si="54"/>
        <v>1500</v>
      </c>
      <c r="H42" s="14">
        <f t="shared" si="54"/>
        <v>1500</v>
      </c>
      <c r="I42" s="14">
        <f t="shared" si="46"/>
        <v>4500</v>
      </c>
      <c r="J42" s="14">
        <f t="shared" ref="J42:L42" si="55">SUM(J40:J41)</f>
        <v>1500</v>
      </c>
      <c r="K42" s="14">
        <f t="shared" si="55"/>
        <v>1500</v>
      </c>
      <c r="L42" s="14">
        <f t="shared" si="55"/>
        <v>1500</v>
      </c>
      <c r="M42" s="14">
        <f t="shared" si="48"/>
        <v>4500</v>
      </c>
      <c r="N42" s="14">
        <f t="shared" ref="N42:P42" si="56">SUM(N40:N41)</f>
        <v>1500</v>
      </c>
      <c r="O42" s="14">
        <f t="shared" si="56"/>
        <v>1500</v>
      </c>
      <c r="P42" s="14">
        <f t="shared" si="56"/>
        <v>1500</v>
      </c>
      <c r="Q42" s="14">
        <f t="shared" si="50"/>
        <v>4500</v>
      </c>
      <c r="R42" s="14">
        <f t="shared" ref="R42:T42" si="57">SUM(R40:R41)</f>
        <v>1500</v>
      </c>
      <c r="S42" s="14">
        <f t="shared" si="57"/>
        <v>1500</v>
      </c>
      <c r="T42" s="14">
        <f t="shared" si="57"/>
        <v>1500</v>
      </c>
      <c r="U42" s="14">
        <f t="shared" si="52"/>
        <v>4500</v>
      </c>
      <c r="V42" s="14">
        <f t="shared" si="53"/>
        <v>18000</v>
      </c>
    </row>
    <row r="43" spans="1:22" ht="15.75" customHeight="1"/>
    <row r="44" spans="1:22" ht="18.75" customHeight="1">
      <c r="A44" s="22" t="s">
        <v>32</v>
      </c>
    </row>
    <row r="45" spans="1:22" ht="15.75" customHeight="1">
      <c r="A45" s="27" t="s">
        <v>2</v>
      </c>
      <c r="B45" s="42" t="s">
        <v>21</v>
      </c>
      <c r="C45" s="49"/>
      <c r="D45" s="49"/>
      <c r="E45" s="43" t="s">
        <v>22</v>
      </c>
      <c r="F45" s="23">
        <v>45306</v>
      </c>
      <c r="G45" s="23">
        <v>45337</v>
      </c>
      <c r="H45" s="23">
        <v>45366</v>
      </c>
      <c r="I45" s="44" t="s">
        <v>58</v>
      </c>
      <c r="J45" s="23">
        <v>45397</v>
      </c>
      <c r="K45" s="23">
        <v>45427</v>
      </c>
      <c r="L45" s="23">
        <v>45458</v>
      </c>
      <c r="M45" s="44" t="s">
        <v>59</v>
      </c>
      <c r="N45" s="23">
        <v>45488</v>
      </c>
      <c r="O45" s="23">
        <v>45519</v>
      </c>
      <c r="P45" s="23">
        <v>45550</v>
      </c>
      <c r="Q45" s="44" t="s">
        <v>60</v>
      </c>
      <c r="R45" s="23">
        <v>45580</v>
      </c>
      <c r="S45" s="23">
        <v>45611</v>
      </c>
      <c r="T45" s="23">
        <v>45641</v>
      </c>
      <c r="U45" s="44" t="s">
        <v>61</v>
      </c>
      <c r="V45" s="45" t="s">
        <v>62</v>
      </c>
    </row>
    <row r="46" spans="1:22" ht="15.75" customHeight="1">
      <c r="A46" s="2" t="s">
        <v>33</v>
      </c>
      <c r="B46" s="14">
        <f>V15+B25+B34+B42</f>
        <v>209400</v>
      </c>
      <c r="F46" s="14">
        <f t="shared" ref="F46:H46" si="58">F15+F25+F34+F42</f>
        <v>17283.333333333332</v>
      </c>
      <c r="G46" s="14">
        <f t="shared" si="58"/>
        <v>17283.333333333332</v>
      </c>
      <c r="H46" s="14">
        <f t="shared" si="58"/>
        <v>17283.333333333332</v>
      </c>
      <c r="I46" s="14">
        <f>SUM(F46:H46)</f>
        <v>51850</v>
      </c>
      <c r="J46" s="14">
        <f t="shared" ref="J46:L46" si="59">J15+J25+J34+J42</f>
        <v>17283.333333333332</v>
      </c>
      <c r="K46" s="14">
        <f t="shared" si="59"/>
        <v>17283.333333333332</v>
      </c>
      <c r="L46" s="14">
        <f t="shared" si="59"/>
        <v>17283.333333333332</v>
      </c>
      <c r="M46" s="14">
        <f>SUM(J46:L46)</f>
        <v>51850</v>
      </c>
      <c r="N46" s="14">
        <f t="shared" ref="N46:P46" si="60">N15+N25+N34+N42</f>
        <v>17283.333333333332</v>
      </c>
      <c r="O46" s="14">
        <f t="shared" si="60"/>
        <v>17283.333333333332</v>
      </c>
      <c r="P46" s="14">
        <f t="shared" si="60"/>
        <v>17283.333333333332</v>
      </c>
      <c r="Q46" s="14">
        <f>SUM(N46:P46)</f>
        <v>51850</v>
      </c>
      <c r="R46" s="14">
        <f t="shared" ref="R46:T46" si="61">R15+R25+R34+R42</f>
        <v>17283.333333333332</v>
      </c>
      <c r="S46" s="14">
        <f t="shared" si="61"/>
        <v>17283.333333333332</v>
      </c>
      <c r="T46" s="14">
        <f t="shared" si="61"/>
        <v>17283.333333333332</v>
      </c>
      <c r="U46" s="14">
        <f>SUM(R46:T46)</f>
        <v>51850</v>
      </c>
      <c r="V46" s="14">
        <f>I46+M46+Q46+U46</f>
        <v>207400</v>
      </c>
    </row>
    <row r="47" spans="1:22" ht="15.75" customHeight="1">
      <c r="B47" s="14"/>
    </row>
    <row r="48" spans="1:22" ht="15.75" customHeight="1">
      <c r="B48" s="14"/>
    </row>
    <row r="49" spans="1:4" ht="21" customHeight="1">
      <c r="A49" s="51" t="s">
        <v>34</v>
      </c>
      <c r="B49" s="52"/>
    </row>
    <row r="50" spans="1:4" ht="18.75" customHeight="1">
      <c r="A50" s="24" t="s">
        <v>35</v>
      </c>
      <c r="B50" s="21">
        <f>-(V46/12)</f>
        <v>-17283.333333333332</v>
      </c>
    </row>
    <row r="51" spans="1:4" ht="18.75" customHeight="1">
      <c r="A51" s="24" t="s">
        <v>52</v>
      </c>
      <c r="B51" s="21">
        <f>'costs 2023'!B59 - 'costs 2023'!B47</f>
        <v>-77542.216052826654</v>
      </c>
    </row>
    <row r="52" spans="1:4" ht="37.5" customHeight="1">
      <c r="A52" s="25" t="s">
        <v>37</v>
      </c>
      <c r="B52" s="58">
        <f>-(B51/B50)</f>
        <v>-4.4865313048887172</v>
      </c>
    </row>
    <row r="53" spans="1:4" ht="15.75" customHeight="1"/>
    <row r="54" spans="1:4" ht="21" customHeight="1">
      <c r="A54" s="51" t="s">
        <v>53</v>
      </c>
      <c r="B54" s="52"/>
    </row>
    <row r="55" spans="1:4" ht="18.75" customHeight="1">
      <c r="A55" s="24" t="s">
        <v>35</v>
      </c>
      <c r="B55" s="21">
        <f>-(V46/12)</f>
        <v>-17283.333333333332</v>
      </c>
    </row>
    <row r="56" spans="1:4" ht="18.75" customHeight="1">
      <c r="A56" s="24" t="s">
        <v>52</v>
      </c>
      <c r="B56" s="21">
        <f>'costs 2023'!B59 - 'costs 2023'!B47</f>
        <v>-77542.216052826654</v>
      </c>
    </row>
    <row r="57" spans="1:4" ht="18.75" customHeight="1">
      <c r="A57" s="24" t="s">
        <v>54</v>
      </c>
      <c r="B57" s="21">
        <f>'revenue 2024'!M18</f>
        <v>283912.19485939323</v>
      </c>
    </row>
    <row r="58" spans="1:4" ht="18.75" customHeight="1">
      <c r="A58" s="24" t="s">
        <v>55</v>
      </c>
      <c r="B58" s="21">
        <f>B56+B57</f>
        <v>206369.97880656656</v>
      </c>
      <c r="C58" s="56">
        <f>B58-B46</f>
        <v>-3030.0211934334366</v>
      </c>
      <c r="D58" s="57" t="s">
        <v>94</v>
      </c>
    </row>
    <row r="59" spans="1:4" ht="57" customHeight="1">
      <c r="A59" s="25" t="s">
        <v>56</v>
      </c>
      <c r="B59" s="58">
        <f>-(B58/B55)</f>
        <v>11.940403788229503</v>
      </c>
    </row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CEB1-0B48-7943-B409-FB61BD3E641A}">
  <dimension ref="A1:V996"/>
  <sheetViews>
    <sheetView topLeftCell="E1" workbookViewId="0">
      <selection activeCell="U5" activeCellId="4" sqref="A5:B47 I5:I47 M5:M47 Q5:Q47 U5:V47"/>
    </sheetView>
  </sheetViews>
  <sheetFormatPr baseColWidth="10" defaultColWidth="11.1640625" defaultRowHeight="16"/>
  <cols>
    <col min="1" max="1" width="32.1640625" style="2" customWidth="1"/>
    <col min="2" max="2" width="24.33203125" style="2" customWidth="1"/>
    <col min="3" max="3" width="18.6640625" style="2" customWidth="1"/>
    <col min="4" max="4" width="19.83203125" style="2" customWidth="1"/>
    <col min="5" max="5" width="21.5" style="2" customWidth="1"/>
    <col min="6" max="6" width="12.5" style="2" customWidth="1"/>
    <col min="7" max="7" width="12" style="2" customWidth="1"/>
    <col min="8" max="8" width="12.33203125" style="2" customWidth="1"/>
    <col min="9" max="9" width="13.1640625" style="2" customWidth="1"/>
    <col min="10" max="10" width="12.33203125" style="2" customWidth="1"/>
    <col min="11" max="11" width="12.1640625" style="2" customWidth="1"/>
    <col min="12" max="12" width="12.5" style="2" customWidth="1"/>
    <col min="13" max="13" width="12.6640625" style="2" customWidth="1"/>
    <col min="14" max="14" width="12.1640625" style="2" customWidth="1"/>
    <col min="15" max="15" width="12.33203125" style="2" customWidth="1"/>
    <col min="16" max="16" width="12" style="2" customWidth="1"/>
    <col min="17" max="17" width="13" style="2" customWidth="1"/>
    <col min="18" max="18" width="12.6640625" style="2" customWidth="1"/>
    <col min="19" max="19" width="12.33203125" style="2" customWidth="1"/>
    <col min="20" max="21" width="12.6640625" style="2" customWidth="1"/>
    <col min="22" max="22" width="14" style="2" customWidth="1"/>
    <col min="23" max="26" width="10.5" style="2" customWidth="1"/>
    <col min="27" max="16384" width="11.1640625" style="2"/>
  </cols>
  <sheetData>
    <row r="1" spans="1:22" ht="18.75" customHeight="1">
      <c r="A1" s="22" t="s">
        <v>63</v>
      </c>
    </row>
    <row r="2" spans="1:22" ht="18.75" customHeight="1"/>
    <row r="3" spans="1:22" ht="15.75" customHeight="1"/>
    <row r="4" spans="1:22" ht="18.75" customHeight="1">
      <c r="A4" s="22" t="s">
        <v>1</v>
      </c>
    </row>
    <row r="5" spans="1:22" ht="15.75" customHeight="1">
      <c r="A5" s="27" t="s">
        <v>2</v>
      </c>
      <c r="B5" s="42" t="s">
        <v>3</v>
      </c>
      <c r="C5" s="42" t="s">
        <v>4</v>
      </c>
      <c r="D5" s="42" t="s">
        <v>5</v>
      </c>
      <c r="E5" s="43" t="s">
        <v>39</v>
      </c>
      <c r="F5" s="23">
        <v>45672</v>
      </c>
      <c r="G5" s="23">
        <v>45703</v>
      </c>
      <c r="H5" s="23">
        <v>45731</v>
      </c>
      <c r="I5" s="44" t="s">
        <v>64</v>
      </c>
      <c r="J5" s="23">
        <v>45762</v>
      </c>
      <c r="K5" s="23">
        <v>45792</v>
      </c>
      <c r="L5" s="23">
        <v>45823</v>
      </c>
      <c r="M5" s="44" t="s">
        <v>65</v>
      </c>
      <c r="N5" s="23">
        <v>45853</v>
      </c>
      <c r="O5" s="23">
        <v>45884</v>
      </c>
      <c r="P5" s="23">
        <v>45915</v>
      </c>
      <c r="Q5" s="44" t="s">
        <v>66</v>
      </c>
      <c r="R5" s="23">
        <v>45945</v>
      </c>
      <c r="S5" s="23">
        <v>45976</v>
      </c>
      <c r="T5" s="23">
        <v>46006</v>
      </c>
      <c r="U5" s="44" t="s">
        <v>67</v>
      </c>
      <c r="V5" s="45" t="s">
        <v>68</v>
      </c>
    </row>
    <row r="6" spans="1:22" ht="15.75" customHeight="1">
      <c r="A6" s="26" t="s">
        <v>12</v>
      </c>
      <c r="B6" s="14">
        <v>20000</v>
      </c>
      <c r="C6" s="15">
        <v>0.09</v>
      </c>
      <c r="D6" s="14">
        <f t="shared" ref="D6:D14" si="0">B6+(B6*C6)</f>
        <v>21800</v>
      </c>
      <c r="E6" s="16">
        <v>44562</v>
      </c>
      <c r="F6" s="14">
        <f t="shared" ref="F6:H11" si="1">IF($E6&lt;=F$5, $D6/12, 0)</f>
        <v>1816.6666666666667</v>
      </c>
      <c r="G6" s="14">
        <f t="shared" si="1"/>
        <v>1816.6666666666667</v>
      </c>
      <c r="H6" s="14">
        <f t="shared" si="1"/>
        <v>1816.6666666666667</v>
      </c>
      <c r="I6" s="14">
        <f t="shared" ref="I6:I14" si="2">SUM(F6:H6)</f>
        <v>5450</v>
      </c>
      <c r="J6" s="14">
        <f t="shared" ref="J6:L11" si="3">IF($E6&lt;=J$5, $D6/12, 0)</f>
        <v>1816.6666666666667</v>
      </c>
      <c r="K6" s="14">
        <f t="shared" si="3"/>
        <v>1816.6666666666667</v>
      </c>
      <c r="L6" s="14">
        <f t="shared" si="3"/>
        <v>1816.6666666666667</v>
      </c>
      <c r="M6" s="14">
        <f t="shared" ref="M6:M14" si="4">SUM(J6:L6)</f>
        <v>5450</v>
      </c>
      <c r="N6" s="14">
        <f t="shared" ref="N6:P11" si="5">IF($E6&lt;=N$5, $D6/12, 0)</f>
        <v>1816.6666666666667</v>
      </c>
      <c r="O6" s="14">
        <f t="shared" si="5"/>
        <v>1816.6666666666667</v>
      </c>
      <c r="P6" s="14">
        <f t="shared" si="5"/>
        <v>1816.6666666666667</v>
      </c>
      <c r="Q6" s="14">
        <f t="shared" ref="Q6:Q14" si="6">SUM(N6:P6)</f>
        <v>5450</v>
      </c>
      <c r="R6" s="14">
        <f t="shared" ref="R6:T11" si="7">IF($E6&lt;=R$5, $D6/12, 0)</f>
        <v>1816.6666666666667</v>
      </c>
      <c r="S6" s="14">
        <f t="shared" si="7"/>
        <v>1816.6666666666667</v>
      </c>
      <c r="T6" s="14">
        <f t="shared" si="7"/>
        <v>1816.6666666666667</v>
      </c>
      <c r="U6" s="14">
        <f t="shared" ref="U6:U14" si="8">SUM(R6:T6)</f>
        <v>5450</v>
      </c>
      <c r="V6" s="14">
        <f t="shared" ref="V6:V14" si="9">I6+M6+Q6+U6</f>
        <v>21800</v>
      </c>
    </row>
    <row r="7" spans="1:22" ht="15.75" customHeight="1">
      <c r="A7" s="26" t="s">
        <v>13</v>
      </c>
      <c r="B7" s="14">
        <v>20000</v>
      </c>
      <c r="C7" s="15">
        <v>0.09</v>
      </c>
      <c r="D7" s="14">
        <f t="shared" si="0"/>
        <v>21800</v>
      </c>
      <c r="E7" s="16">
        <v>44805</v>
      </c>
      <c r="F7" s="14">
        <f t="shared" si="1"/>
        <v>1816.6666666666667</v>
      </c>
      <c r="G7" s="14">
        <f t="shared" si="1"/>
        <v>1816.6666666666667</v>
      </c>
      <c r="H7" s="14">
        <f t="shared" si="1"/>
        <v>1816.6666666666667</v>
      </c>
      <c r="I7" s="14">
        <f t="shared" si="2"/>
        <v>5450</v>
      </c>
      <c r="J7" s="14">
        <f t="shared" si="3"/>
        <v>1816.6666666666667</v>
      </c>
      <c r="K7" s="14">
        <f t="shared" si="3"/>
        <v>1816.6666666666667</v>
      </c>
      <c r="L7" s="14">
        <f t="shared" si="3"/>
        <v>1816.6666666666667</v>
      </c>
      <c r="M7" s="14">
        <f t="shared" si="4"/>
        <v>5450</v>
      </c>
      <c r="N7" s="14">
        <f t="shared" si="5"/>
        <v>1816.6666666666667</v>
      </c>
      <c r="O7" s="14">
        <f t="shared" si="5"/>
        <v>1816.6666666666667</v>
      </c>
      <c r="P7" s="14">
        <f t="shared" si="5"/>
        <v>1816.6666666666667</v>
      </c>
      <c r="Q7" s="14">
        <f t="shared" si="6"/>
        <v>5450</v>
      </c>
      <c r="R7" s="14">
        <f t="shared" si="7"/>
        <v>1816.6666666666667</v>
      </c>
      <c r="S7" s="14">
        <f t="shared" si="7"/>
        <v>1816.6666666666667</v>
      </c>
      <c r="T7" s="14">
        <f t="shared" si="7"/>
        <v>1816.6666666666667</v>
      </c>
      <c r="U7" s="14">
        <f t="shared" si="8"/>
        <v>5450</v>
      </c>
      <c r="V7" s="14">
        <f t="shared" si="9"/>
        <v>21800</v>
      </c>
    </row>
    <row r="8" spans="1:22" ht="15.75" customHeight="1">
      <c r="A8" s="26" t="s">
        <v>14</v>
      </c>
      <c r="B8" s="14">
        <v>20000</v>
      </c>
      <c r="C8" s="15">
        <v>0.09</v>
      </c>
      <c r="D8" s="14">
        <f t="shared" si="0"/>
        <v>21800</v>
      </c>
      <c r="E8" s="16">
        <v>44805</v>
      </c>
      <c r="F8" s="14">
        <f t="shared" si="1"/>
        <v>1816.6666666666667</v>
      </c>
      <c r="G8" s="14">
        <f t="shared" si="1"/>
        <v>1816.6666666666667</v>
      </c>
      <c r="H8" s="14">
        <f t="shared" si="1"/>
        <v>1816.6666666666667</v>
      </c>
      <c r="I8" s="14">
        <f t="shared" si="2"/>
        <v>5450</v>
      </c>
      <c r="J8" s="14">
        <f t="shared" si="3"/>
        <v>1816.6666666666667</v>
      </c>
      <c r="K8" s="14">
        <f t="shared" si="3"/>
        <v>1816.6666666666667</v>
      </c>
      <c r="L8" s="14">
        <f t="shared" si="3"/>
        <v>1816.6666666666667</v>
      </c>
      <c r="M8" s="14">
        <f t="shared" si="4"/>
        <v>5450</v>
      </c>
      <c r="N8" s="14">
        <f t="shared" si="5"/>
        <v>1816.6666666666667</v>
      </c>
      <c r="O8" s="14">
        <f t="shared" si="5"/>
        <v>1816.6666666666667</v>
      </c>
      <c r="P8" s="14">
        <f t="shared" si="5"/>
        <v>1816.6666666666667</v>
      </c>
      <c r="Q8" s="14">
        <f t="shared" si="6"/>
        <v>5450</v>
      </c>
      <c r="R8" s="14">
        <f t="shared" si="7"/>
        <v>1816.6666666666667</v>
      </c>
      <c r="S8" s="14">
        <f t="shared" si="7"/>
        <v>1816.6666666666667</v>
      </c>
      <c r="T8" s="14">
        <f t="shared" si="7"/>
        <v>1816.6666666666667</v>
      </c>
      <c r="U8" s="14">
        <f t="shared" si="8"/>
        <v>5450</v>
      </c>
      <c r="V8" s="14">
        <f t="shared" si="9"/>
        <v>21800</v>
      </c>
    </row>
    <row r="9" spans="1:22" ht="15.75" customHeight="1">
      <c r="A9" s="26" t="s">
        <v>45</v>
      </c>
      <c r="B9" s="14">
        <v>20000</v>
      </c>
      <c r="C9" s="15">
        <v>0.09</v>
      </c>
      <c r="D9" s="14">
        <f t="shared" si="0"/>
        <v>21800</v>
      </c>
      <c r="E9" s="16">
        <v>45047</v>
      </c>
      <c r="F9" s="14">
        <f t="shared" si="1"/>
        <v>1816.6666666666667</v>
      </c>
      <c r="G9" s="14">
        <f t="shared" si="1"/>
        <v>1816.6666666666667</v>
      </c>
      <c r="H9" s="14">
        <f t="shared" si="1"/>
        <v>1816.6666666666667</v>
      </c>
      <c r="I9" s="14">
        <f t="shared" si="2"/>
        <v>5450</v>
      </c>
      <c r="J9" s="14">
        <f t="shared" si="3"/>
        <v>1816.6666666666667</v>
      </c>
      <c r="K9" s="14">
        <f t="shared" si="3"/>
        <v>1816.6666666666667</v>
      </c>
      <c r="L9" s="14">
        <f t="shared" si="3"/>
        <v>1816.6666666666667</v>
      </c>
      <c r="M9" s="14">
        <f t="shared" si="4"/>
        <v>5450</v>
      </c>
      <c r="N9" s="14">
        <f t="shared" si="5"/>
        <v>1816.6666666666667</v>
      </c>
      <c r="O9" s="14">
        <f t="shared" si="5"/>
        <v>1816.6666666666667</v>
      </c>
      <c r="P9" s="14">
        <f t="shared" si="5"/>
        <v>1816.6666666666667</v>
      </c>
      <c r="Q9" s="14">
        <f t="shared" si="6"/>
        <v>5450</v>
      </c>
      <c r="R9" s="14">
        <f t="shared" si="7"/>
        <v>1816.6666666666667</v>
      </c>
      <c r="S9" s="14">
        <f t="shared" si="7"/>
        <v>1816.6666666666667</v>
      </c>
      <c r="T9" s="14">
        <f t="shared" si="7"/>
        <v>1816.6666666666667</v>
      </c>
      <c r="U9" s="14">
        <f t="shared" si="8"/>
        <v>5450</v>
      </c>
      <c r="V9" s="14">
        <f t="shared" si="9"/>
        <v>21800</v>
      </c>
    </row>
    <row r="10" spans="1:22" ht="15.75" customHeight="1">
      <c r="A10" s="26" t="s">
        <v>46</v>
      </c>
      <c r="B10" s="14">
        <v>20000</v>
      </c>
      <c r="C10" s="15">
        <v>0.09</v>
      </c>
      <c r="D10" s="14">
        <f t="shared" si="0"/>
        <v>21800</v>
      </c>
      <c r="E10" s="16">
        <v>45047</v>
      </c>
      <c r="F10" s="14">
        <f t="shared" si="1"/>
        <v>1816.6666666666667</v>
      </c>
      <c r="G10" s="14">
        <f t="shared" si="1"/>
        <v>1816.6666666666667</v>
      </c>
      <c r="H10" s="14">
        <f t="shared" si="1"/>
        <v>1816.6666666666667</v>
      </c>
      <c r="I10" s="14">
        <f t="shared" ref="I10:I11" si="10">SUM(F10:H10)</f>
        <v>5450</v>
      </c>
      <c r="J10" s="14">
        <f t="shared" si="3"/>
        <v>1816.6666666666667</v>
      </c>
      <c r="K10" s="14">
        <f t="shared" si="3"/>
        <v>1816.6666666666667</v>
      </c>
      <c r="L10" s="14">
        <f t="shared" si="3"/>
        <v>1816.6666666666667</v>
      </c>
      <c r="M10" s="14">
        <f t="shared" ref="M10:M11" si="11">SUM(J10:L10)</f>
        <v>5450</v>
      </c>
      <c r="N10" s="14">
        <f t="shared" si="5"/>
        <v>1816.6666666666667</v>
      </c>
      <c r="O10" s="14">
        <f t="shared" si="5"/>
        <v>1816.6666666666667</v>
      </c>
      <c r="P10" s="14">
        <f t="shared" si="5"/>
        <v>1816.6666666666667</v>
      </c>
      <c r="Q10" s="14">
        <f t="shared" ref="Q10:Q11" si="12">SUM(N10:P10)</f>
        <v>5450</v>
      </c>
      <c r="R10" s="14">
        <f t="shared" si="7"/>
        <v>1816.6666666666667</v>
      </c>
      <c r="S10" s="14">
        <f t="shared" si="7"/>
        <v>1816.6666666666667</v>
      </c>
      <c r="T10" s="14">
        <f t="shared" si="7"/>
        <v>1816.6666666666667</v>
      </c>
      <c r="U10" s="14">
        <f t="shared" ref="U10:U11" si="13">SUM(R10:T10)</f>
        <v>5450</v>
      </c>
      <c r="V10" s="14">
        <f t="shared" ref="V10:V11" si="14">I10+M10+Q10+U10</f>
        <v>21800</v>
      </c>
    </row>
    <row r="11" spans="1:22" ht="15.75" customHeight="1">
      <c r="A11" s="26" t="s">
        <v>15</v>
      </c>
      <c r="B11" s="14">
        <v>20000</v>
      </c>
      <c r="C11" s="15">
        <v>0</v>
      </c>
      <c r="D11" s="14">
        <f t="shared" si="0"/>
        <v>20000</v>
      </c>
      <c r="E11" s="16">
        <v>44835</v>
      </c>
      <c r="F11" s="14">
        <f t="shared" si="1"/>
        <v>1666.6666666666667</v>
      </c>
      <c r="G11" s="14">
        <f t="shared" si="1"/>
        <v>1666.6666666666667</v>
      </c>
      <c r="H11" s="14">
        <f t="shared" si="1"/>
        <v>1666.6666666666667</v>
      </c>
      <c r="I11" s="14">
        <f t="shared" si="10"/>
        <v>5000</v>
      </c>
      <c r="J11" s="14">
        <f t="shared" si="3"/>
        <v>1666.6666666666667</v>
      </c>
      <c r="K11" s="14">
        <f t="shared" si="3"/>
        <v>1666.6666666666667</v>
      </c>
      <c r="L11" s="14">
        <f t="shared" si="3"/>
        <v>1666.6666666666667</v>
      </c>
      <c r="M11" s="14">
        <f t="shared" si="11"/>
        <v>5000</v>
      </c>
      <c r="N11" s="14">
        <f t="shared" si="5"/>
        <v>1666.6666666666667</v>
      </c>
      <c r="O11" s="14">
        <f t="shared" si="5"/>
        <v>1666.6666666666667</v>
      </c>
      <c r="P11" s="14">
        <f t="shared" si="5"/>
        <v>1666.6666666666667</v>
      </c>
      <c r="Q11" s="14">
        <f t="shared" si="12"/>
        <v>5000</v>
      </c>
      <c r="R11" s="14">
        <f t="shared" si="7"/>
        <v>1666.6666666666667</v>
      </c>
      <c r="S11" s="14">
        <f t="shared" si="7"/>
        <v>1666.6666666666667</v>
      </c>
      <c r="T11" s="14">
        <f t="shared" si="7"/>
        <v>1666.6666666666667</v>
      </c>
      <c r="U11" s="14">
        <f t="shared" si="13"/>
        <v>5000</v>
      </c>
      <c r="V11" s="14">
        <f t="shared" si="14"/>
        <v>20000</v>
      </c>
    </row>
    <row r="12" spans="1:22" ht="15.75" customHeight="1">
      <c r="A12" s="26" t="s">
        <v>16</v>
      </c>
      <c r="B12" s="14">
        <v>20000</v>
      </c>
      <c r="C12" s="15">
        <v>0</v>
      </c>
      <c r="D12" s="14">
        <f t="shared" si="0"/>
        <v>20000</v>
      </c>
      <c r="E12" s="16">
        <v>44986</v>
      </c>
      <c r="F12" s="14">
        <f t="shared" ref="F12:H15" si="15">IF($E12&lt;=F$5, $D12/12, 0)</f>
        <v>1666.6666666666667</v>
      </c>
      <c r="G12" s="14">
        <f t="shared" si="15"/>
        <v>1666.6666666666667</v>
      </c>
      <c r="H12" s="14">
        <f t="shared" si="15"/>
        <v>1666.6666666666667</v>
      </c>
      <c r="I12" s="14">
        <f t="shared" si="2"/>
        <v>5000</v>
      </c>
      <c r="J12" s="14">
        <f t="shared" ref="J12:L15" si="16">IF($E12&lt;=J$5, $D12/12, 0)</f>
        <v>1666.6666666666667</v>
      </c>
      <c r="K12" s="14">
        <f t="shared" si="16"/>
        <v>1666.6666666666667</v>
      </c>
      <c r="L12" s="14">
        <f t="shared" si="16"/>
        <v>1666.6666666666667</v>
      </c>
      <c r="M12" s="14">
        <f t="shared" si="4"/>
        <v>5000</v>
      </c>
      <c r="N12" s="14">
        <f t="shared" ref="N12:P15" si="17">IF($E12&lt;=N$5, $D12/12, 0)</f>
        <v>1666.6666666666667</v>
      </c>
      <c r="O12" s="14">
        <f t="shared" si="17"/>
        <v>1666.6666666666667</v>
      </c>
      <c r="P12" s="14">
        <f t="shared" si="17"/>
        <v>1666.6666666666667</v>
      </c>
      <c r="Q12" s="14">
        <f t="shared" si="6"/>
        <v>5000</v>
      </c>
      <c r="R12" s="14">
        <f t="shared" ref="R12:T15" si="18">IF($E12&lt;=R$5, $D12/12, 0)</f>
        <v>1666.6666666666667</v>
      </c>
      <c r="S12" s="14">
        <f t="shared" si="18"/>
        <v>1666.6666666666667</v>
      </c>
      <c r="T12" s="14">
        <f t="shared" si="18"/>
        <v>1666.6666666666667</v>
      </c>
      <c r="U12" s="14">
        <f t="shared" si="8"/>
        <v>5000</v>
      </c>
      <c r="V12" s="14">
        <f t="shared" si="9"/>
        <v>20000</v>
      </c>
    </row>
    <row r="13" spans="1:22" ht="15.75" customHeight="1">
      <c r="A13" s="26" t="s">
        <v>47</v>
      </c>
      <c r="B13" s="14">
        <v>20000</v>
      </c>
      <c r="C13" s="15">
        <v>0</v>
      </c>
      <c r="D13" s="14">
        <f t="shared" si="0"/>
        <v>20000</v>
      </c>
      <c r="E13" s="16">
        <v>45047</v>
      </c>
      <c r="F13" s="14">
        <f t="shared" si="15"/>
        <v>1666.6666666666667</v>
      </c>
      <c r="G13" s="14">
        <f t="shared" si="15"/>
        <v>1666.6666666666667</v>
      </c>
      <c r="H13" s="14">
        <f t="shared" si="15"/>
        <v>1666.6666666666667</v>
      </c>
      <c r="I13" s="14">
        <f t="shared" si="2"/>
        <v>5000</v>
      </c>
      <c r="J13" s="14">
        <f t="shared" si="16"/>
        <v>1666.6666666666667</v>
      </c>
      <c r="K13" s="14">
        <f t="shared" si="16"/>
        <v>1666.6666666666667</v>
      </c>
      <c r="L13" s="14">
        <f t="shared" si="16"/>
        <v>1666.6666666666667</v>
      </c>
      <c r="M13" s="14">
        <f t="shared" si="4"/>
        <v>5000</v>
      </c>
      <c r="N13" s="14">
        <f t="shared" si="17"/>
        <v>1666.6666666666667</v>
      </c>
      <c r="O13" s="14">
        <f t="shared" si="17"/>
        <v>1666.6666666666667</v>
      </c>
      <c r="P13" s="14">
        <f t="shared" si="17"/>
        <v>1666.6666666666667</v>
      </c>
      <c r="Q13" s="14">
        <f t="shared" si="6"/>
        <v>5000</v>
      </c>
      <c r="R13" s="14">
        <f t="shared" si="18"/>
        <v>1666.6666666666667</v>
      </c>
      <c r="S13" s="14">
        <f t="shared" si="18"/>
        <v>1666.6666666666667</v>
      </c>
      <c r="T13" s="14">
        <f t="shared" si="18"/>
        <v>1666.6666666666667</v>
      </c>
      <c r="U13" s="14">
        <f t="shared" si="8"/>
        <v>5000</v>
      </c>
      <c r="V13" s="14">
        <f t="shared" si="9"/>
        <v>20000</v>
      </c>
    </row>
    <row r="14" spans="1:22" ht="15.75" customHeight="1">
      <c r="A14" s="26" t="s">
        <v>48</v>
      </c>
      <c r="B14" s="14">
        <v>30000</v>
      </c>
      <c r="C14" s="15">
        <v>0.02</v>
      </c>
      <c r="D14" s="14">
        <f t="shared" si="0"/>
        <v>30600</v>
      </c>
      <c r="E14" s="16">
        <v>45200</v>
      </c>
      <c r="F14" s="14">
        <f t="shared" si="15"/>
        <v>2550</v>
      </c>
      <c r="G14" s="14">
        <f t="shared" si="15"/>
        <v>2550</v>
      </c>
      <c r="H14" s="14">
        <f t="shared" si="15"/>
        <v>2550</v>
      </c>
      <c r="I14" s="14">
        <f t="shared" si="2"/>
        <v>7650</v>
      </c>
      <c r="J14" s="14">
        <f t="shared" si="16"/>
        <v>2550</v>
      </c>
      <c r="K14" s="14">
        <f t="shared" si="16"/>
        <v>2550</v>
      </c>
      <c r="L14" s="14">
        <f t="shared" si="16"/>
        <v>2550</v>
      </c>
      <c r="M14" s="14">
        <f t="shared" si="4"/>
        <v>7650</v>
      </c>
      <c r="N14" s="14">
        <f t="shared" si="17"/>
        <v>2550</v>
      </c>
      <c r="O14" s="14">
        <f t="shared" si="17"/>
        <v>2550</v>
      </c>
      <c r="P14" s="14">
        <f t="shared" si="17"/>
        <v>2550</v>
      </c>
      <c r="Q14" s="14">
        <f t="shared" si="6"/>
        <v>7650</v>
      </c>
      <c r="R14" s="14">
        <f t="shared" si="18"/>
        <v>2550</v>
      </c>
      <c r="S14" s="14">
        <f t="shared" si="18"/>
        <v>2550</v>
      </c>
      <c r="T14" s="14">
        <f t="shared" si="18"/>
        <v>2550</v>
      </c>
      <c r="U14" s="14">
        <f t="shared" si="8"/>
        <v>7650</v>
      </c>
      <c r="V14" s="14">
        <f t="shared" si="9"/>
        <v>30600</v>
      </c>
    </row>
    <row r="15" spans="1:22" ht="15.75" customHeight="1">
      <c r="A15" s="26" t="s">
        <v>69</v>
      </c>
      <c r="B15" s="14">
        <v>20000</v>
      </c>
      <c r="C15" s="15">
        <v>0.02</v>
      </c>
      <c r="D15" s="14">
        <f t="shared" ref="D15" si="19">B15+(B15*C15)</f>
        <v>20400</v>
      </c>
      <c r="E15" s="16">
        <v>45658</v>
      </c>
      <c r="F15" s="14">
        <f t="shared" si="15"/>
        <v>1700</v>
      </c>
      <c r="G15" s="14">
        <f t="shared" si="15"/>
        <v>1700</v>
      </c>
      <c r="H15" s="14">
        <f t="shared" si="15"/>
        <v>1700</v>
      </c>
      <c r="I15" s="14">
        <f t="shared" ref="I15" si="20">SUM(F15:H15)</f>
        <v>5100</v>
      </c>
      <c r="J15" s="14">
        <f t="shared" si="16"/>
        <v>1700</v>
      </c>
      <c r="K15" s="14">
        <f t="shared" si="16"/>
        <v>1700</v>
      </c>
      <c r="L15" s="14">
        <f t="shared" si="16"/>
        <v>1700</v>
      </c>
      <c r="M15" s="14">
        <f t="shared" ref="M15" si="21">SUM(J15:L15)</f>
        <v>5100</v>
      </c>
      <c r="N15" s="14">
        <f t="shared" si="17"/>
        <v>1700</v>
      </c>
      <c r="O15" s="14">
        <f t="shared" si="17"/>
        <v>1700</v>
      </c>
      <c r="P15" s="14">
        <f t="shared" si="17"/>
        <v>1700</v>
      </c>
      <c r="Q15" s="14">
        <f t="shared" ref="Q15" si="22">SUM(N15:P15)</f>
        <v>5100</v>
      </c>
      <c r="R15" s="14">
        <f t="shared" si="18"/>
        <v>1700</v>
      </c>
      <c r="S15" s="14">
        <f t="shared" si="18"/>
        <v>1700</v>
      </c>
      <c r="T15" s="14">
        <f t="shared" si="18"/>
        <v>1700</v>
      </c>
      <c r="U15" s="14">
        <f t="shared" ref="U15" si="23">SUM(R15:T15)</f>
        <v>5100</v>
      </c>
      <c r="V15" s="14">
        <f t="shared" ref="V15" si="24">I15+M15+Q15+U15</f>
        <v>20400</v>
      </c>
    </row>
    <row r="16" spans="1:22" ht="15.75" customHeight="1">
      <c r="A16" s="19" t="s">
        <v>18</v>
      </c>
      <c r="B16" s="14">
        <f>SUM(B6:B14)</f>
        <v>190000</v>
      </c>
      <c r="C16" s="20"/>
      <c r="D16" s="20"/>
      <c r="E16" s="20"/>
      <c r="F16" s="14">
        <f t="shared" ref="F16:V16" si="25">SUM(F6:F14)</f>
        <v>16633.333333333332</v>
      </c>
      <c r="G16" s="14">
        <f t="shared" si="25"/>
        <v>16633.333333333332</v>
      </c>
      <c r="H16" s="14">
        <f t="shared" si="25"/>
        <v>16633.333333333332</v>
      </c>
      <c r="I16" s="14">
        <f t="shared" si="25"/>
        <v>49900</v>
      </c>
      <c r="J16" s="14">
        <f t="shared" si="25"/>
        <v>16633.333333333332</v>
      </c>
      <c r="K16" s="14">
        <f t="shared" si="25"/>
        <v>16633.333333333332</v>
      </c>
      <c r="L16" s="14">
        <f t="shared" si="25"/>
        <v>16633.333333333332</v>
      </c>
      <c r="M16" s="14">
        <f t="shared" si="25"/>
        <v>49900</v>
      </c>
      <c r="N16" s="14">
        <f t="shared" si="25"/>
        <v>16633.333333333332</v>
      </c>
      <c r="O16" s="14">
        <f t="shared" si="25"/>
        <v>16633.333333333332</v>
      </c>
      <c r="P16" s="14">
        <f t="shared" si="25"/>
        <v>16633.333333333332</v>
      </c>
      <c r="Q16" s="14">
        <f t="shared" si="25"/>
        <v>49900</v>
      </c>
      <c r="R16" s="14">
        <f t="shared" si="25"/>
        <v>16633.333333333332</v>
      </c>
      <c r="S16" s="14">
        <f t="shared" si="25"/>
        <v>16633.333333333332</v>
      </c>
      <c r="T16" s="14">
        <f t="shared" si="25"/>
        <v>16633.333333333332</v>
      </c>
      <c r="U16" s="14">
        <f t="shared" si="25"/>
        <v>49900</v>
      </c>
      <c r="V16" s="14">
        <f t="shared" si="25"/>
        <v>199600</v>
      </c>
    </row>
    <row r="17" spans="1:22" ht="15.75" customHeight="1">
      <c r="A17" s="46" t="s">
        <v>19</v>
      </c>
      <c r="B17" s="47"/>
      <c r="C17" s="47"/>
      <c r="D17" s="47"/>
      <c r="E17" s="47"/>
      <c r="F17" s="47">
        <f>COUNTIF(F6:F15,"&gt;0")</f>
        <v>10</v>
      </c>
      <c r="G17" s="47">
        <f>COUNTIF(G6:G15,"&gt;0")</f>
        <v>10</v>
      </c>
      <c r="H17" s="47">
        <f t="shared" ref="H17:V17" si="26">COUNTIF(H6:H15,"&gt;0")</f>
        <v>10</v>
      </c>
      <c r="I17" s="47">
        <f t="shared" si="26"/>
        <v>10</v>
      </c>
      <c r="J17" s="47">
        <f t="shared" si="26"/>
        <v>10</v>
      </c>
      <c r="K17" s="47">
        <f t="shared" si="26"/>
        <v>10</v>
      </c>
      <c r="L17" s="47">
        <f t="shared" si="26"/>
        <v>10</v>
      </c>
      <c r="M17" s="47">
        <f t="shared" si="26"/>
        <v>10</v>
      </c>
      <c r="N17" s="47">
        <f t="shared" si="26"/>
        <v>10</v>
      </c>
      <c r="O17" s="47">
        <f t="shared" si="26"/>
        <v>10</v>
      </c>
      <c r="P17" s="47">
        <f t="shared" si="26"/>
        <v>10</v>
      </c>
      <c r="Q17" s="47">
        <f t="shared" si="26"/>
        <v>10</v>
      </c>
      <c r="R17" s="47">
        <f t="shared" si="26"/>
        <v>10</v>
      </c>
      <c r="S17" s="47">
        <f t="shared" si="26"/>
        <v>10</v>
      </c>
      <c r="T17" s="47">
        <f t="shared" si="26"/>
        <v>10</v>
      </c>
      <c r="U17" s="47">
        <f t="shared" si="26"/>
        <v>10</v>
      </c>
      <c r="V17" s="47">
        <f t="shared" si="26"/>
        <v>10</v>
      </c>
    </row>
    <row r="18" spans="1:22" ht="15.75" customHeight="1"/>
    <row r="19" spans="1:22" ht="15.75" customHeight="1"/>
    <row r="20" spans="1:22" ht="18.75" customHeight="1">
      <c r="A20" s="22" t="s">
        <v>20</v>
      </c>
    </row>
    <row r="21" spans="1:22" ht="15.75" customHeight="1">
      <c r="A21" s="27" t="s">
        <v>2</v>
      </c>
      <c r="B21" s="42" t="s">
        <v>21</v>
      </c>
      <c r="C21" s="49"/>
      <c r="D21" s="49"/>
      <c r="E21" s="43" t="s">
        <v>22</v>
      </c>
      <c r="F21" s="23">
        <v>45672</v>
      </c>
      <c r="G21" s="23">
        <v>45703</v>
      </c>
      <c r="H21" s="23">
        <v>45731</v>
      </c>
      <c r="I21" s="44" t="s">
        <v>64</v>
      </c>
      <c r="J21" s="23">
        <v>45762</v>
      </c>
      <c r="K21" s="23">
        <v>45792</v>
      </c>
      <c r="L21" s="23">
        <v>45823</v>
      </c>
      <c r="M21" s="44" t="s">
        <v>65</v>
      </c>
      <c r="N21" s="23">
        <v>45853</v>
      </c>
      <c r="O21" s="23">
        <v>45884</v>
      </c>
      <c r="P21" s="23">
        <v>45915</v>
      </c>
      <c r="Q21" s="44" t="s">
        <v>66</v>
      </c>
      <c r="R21" s="23">
        <v>45945</v>
      </c>
      <c r="S21" s="23">
        <v>45976</v>
      </c>
      <c r="T21" s="23">
        <v>46006</v>
      </c>
      <c r="U21" s="44" t="s">
        <v>67</v>
      </c>
      <c r="V21" s="45" t="s">
        <v>68</v>
      </c>
    </row>
    <row r="22" spans="1:22" ht="15.75" customHeight="1">
      <c r="A22" s="2" t="s">
        <v>23</v>
      </c>
      <c r="B22" s="14">
        <v>0</v>
      </c>
      <c r="E22" s="16">
        <v>45658</v>
      </c>
      <c r="F22" s="14">
        <f t="shared" ref="F22:H25" si="27">IF($E22&lt;=F$21, $B22/12, 0)</f>
        <v>0</v>
      </c>
      <c r="G22" s="14">
        <f t="shared" si="27"/>
        <v>0</v>
      </c>
      <c r="H22" s="14">
        <f t="shared" si="27"/>
        <v>0</v>
      </c>
      <c r="I22" s="14">
        <f t="shared" ref="I22:I25" si="28">SUM(F22:H22)</f>
        <v>0</v>
      </c>
      <c r="J22" s="14">
        <f t="shared" ref="J22:L25" si="29">IF($E22&lt;=J$21, $B22/12, 0)</f>
        <v>0</v>
      </c>
      <c r="K22" s="14">
        <f t="shared" si="29"/>
        <v>0</v>
      </c>
      <c r="L22" s="14">
        <f t="shared" si="29"/>
        <v>0</v>
      </c>
      <c r="M22" s="14">
        <f t="shared" ref="M22:M25" si="30">SUM(J22:L22)</f>
        <v>0</v>
      </c>
      <c r="N22" s="14">
        <f t="shared" ref="N22:P25" si="31">IF($E22&lt;=N$21, $B22/12, 0)</f>
        <v>0</v>
      </c>
      <c r="O22" s="14">
        <f t="shared" si="31"/>
        <v>0</v>
      </c>
      <c r="P22" s="14">
        <f t="shared" si="31"/>
        <v>0</v>
      </c>
      <c r="Q22" s="14">
        <f t="shared" ref="Q22:Q25" si="32">SUM(N22:P22)</f>
        <v>0</v>
      </c>
      <c r="R22" s="14">
        <f t="shared" ref="R22:T25" si="33">IF($E22&lt;=R$21, $B22/12, 0)</f>
        <v>0</v>
      </c>
      <c r="S22" s="14">
        <f t="shared" si="33"/>
        <v>0</v>
      </c>
      <c r="T22" s="14">
        <f t="shared" si="33"/>
        <v>0</v>
      </c>
      <c r="U22" s="14">
        <f t="shared" ref="U22:U25" si="34">SUM(R22:T22)</f>
        <v>0</v>
      </c>
      <c r="V22" s="14">
        <f t="shared" ref="V22:V25" si="35">I22+M22+Q22+U22</f>
        <v>0</v>
      </c>
    </row>
    <row r="23" spans="1:22" ht="15.75" customHeight="1">
      <c r="A23" s="2" t="s">
        <v>24</v>
      </c>
      <c r="B23" s="14">
        <v>3600</v>
      </c>
      <c r="E23" s="16">
        <v>45658</v>
      </c>
      <c r="F23" s="14">
        <f t="shared" si="27"/>
        <v>300</v>
      </c>
      <c r="G23" s="14">
        <f t="shared" si="27"/>
        <v>300</v>
      </c>
      <c r="H23" s="14">
        <f t="shared" si="27"/>
        <v>300</v>
      </c>
      <c r="I23" s="14">
        <f t="shared" si="28"/>
        <v>900</v>
      </c>
      <c r="J23" s="14">
        <f t="shared" si="29"/>
        <v>300</v>
      </c>
      <c r="K23" s="14">
        <f t="shared" si="29"/>
        <v>300</v>
      </c>
      <c r="L23" s="14">
        <f t="shared" si="29"/>
        <v>300</v>
      </c>
      <c r="M23" s="14">
        <f t="shared" si="30"/>
        <v>900</v>
      </c>
      <c r="N23" s="14">
        <f t="shared" si="31"/>
        <v>300</v>
      </c>
      <c r="O23" s="14">
        <f t="shared" si="31"/>
        <v>300</v>
      </c>
      <c r="P23" s="14">
        <f t="shared" si="31"/>
        <v>300</v>
      </c>
      <c r="Q23" s="14">
        <f t="shared" si="32"/>
        <v>900</v>
      </c>
      <c r="R23" s="14">
        <f t="shared" si="33"/>
        <v>300</v>
      </c>
      <c r="S23" s="14">
        <f t="shared" si="33"/>
        <v>300</v>
      </c>
      <c r="T23" s="14">
        <f t="shared" si="33"/>
        <v>300</v>
      </c>
      <c r="U23" s="14">
        <f t="shared" si="34"/>
        <v>900</v>
      </c>
      <c r="V23" s="14">
        <f t="shared" si="35"/>
        <v>3600</v>
      </c>
    </row>
    <row r="24" spans="1:22" ht="15.75" customHeight="1">
      <c r="A24" s="2" t="s">
        <v>25</v>
      </c>
      <c r="B24" s="14">
        <v>0</v>
      </c>
      <c r="E24" s="16">
        <v>43101</v>
      </c>
      <c r="F24" s="14">
        <f t="shared" si="27"/>
        <v>0</v>
      </c>
      <c r="G24" s="14">
        <f t="shared" si="27"/>
        <v>0</v>
      </c>
      <c r="H24" s="14">
        <f t="shared" si="27"/>
        <v>0</v>
      </c>
      <c r="I24" s="14">
        <f t="shared" si="28"/>
        <v>0</v>
      </c>
      <c r="J24" s="14">
        <f t="shared" si="29"/>
        <v>0</v>
      </c>
      <c r="K24" s="14">
        <f t="shared" si="29"/>
        <v>0</v>
      </c>
      <c r="L24" s="14">
        <f t="shared" si="29"/>
        <v>0</v>
      </c>
      <c r="M24" s="14">
        <f t="shared" si="30"/>
        <v>0</v>
      </c>
      <c r="N24" s="14">
        <f t="shared" si="31"/>
        <v>0</v>
      </c>
      <c r="O24" s="14">
        <f t="shared" si="31"/>
        <v>0</v>
      </c>
      <c r="P24" s="14">
        <f t="shared" si="31"/>
        <v>0</v>
      </c>
      <c r="Q24" s="14">
        <f t="shared" si="32"/>
        <v>0</v>
      </c>
      <c r="R24" s="14">
        <f t="shared" si="33"/>
        <v>0</v>
      </c>
      <c r="S24" s="14">
        <f t="shared" si="33"/>
        <v>0</v>
      </c>
      <c r="T24" s="14">
        <f t="shared" si="33"/>
        <v>0</v>
      </c>
      <c r="U24" s="14">
        <f t="shared" si="34"/>
        <v>0</v>
      </c>
      <c r="V24" s="14">
        <f t="shared" si="35"/>
        <v>0</v>
      </c>
    </row>
    <row r="25" spans="1:22" ht="15.75" customHeight="1">
      <c r="A25" s="2" t="s">
        <v>25</v>
      </c>
      <c r="B25" s="14">
        <v>0</v>
      </c>
      <c r="E25" s="16">
        <v>43101</v>
      </c>
      <c r="F25" s="14">
        <f t="shared" si="27"/>
        <v>0</v>
      </c>
      <c r="G25" s="14">
        <f t="shared" si="27"/>
        <v>0</v>
      </c>
      <c r="H25" s="14">
        <f t="shared" si="27"/>
        <v>0</v>
      </c>
      <c r="I25" s="14">
        <f t="shared" si="28"/>
        <v>0</v>
      </c>
      <c r="J25" s="14">
        <f t="shared" si="29"/>
        <v>0</v>
      </c>
      <c r="K25" s="14">
        <f t="shared" si="29"/>
        <v>0</v>
      </c>
      <c r="L25" s="14">
        <f t="shared" si="29"/>
        <v>0</v>
      </c>
      <c r="M25" s="14">
        <f t="shared" si="30"/>
        <v>0</v>
      </c>
      <c r="N25" s="14">
        <f t="shared" si="31"/>
        <v>0</v>
      </c>
      <c r="O25" s="14">
        <f t="shared" si="31"/>
        <v>0</v>
      </c>
      <c r="P25" s="14">
        <f t="shared" si="31"/>
        <v>0</v>
      </c>
      <c r="Q25" s="14">
        <f t="shared" si="32"/>
        <v>0</v>
      </c>
      <c r="R25" s="14">
        <f t="shared" si="33"/>
        <v>0</v>
      </c>
      <c r="S25" s="14">
        <f t="shared" si="33"/>
        <v>0</v>
      </c>
      <c r="T25" s="14">
        <f t="shared" si="33"/>
        <v>0</v>
      </c>
      <c r="U25" s="14">
        <f t="shared" si="34"/>
        <v>0</v>
      </c>
      <c r="V25" s="14">
        <f t="shared" si="35"/>
        <v>0</v>
      </c>
    </row>
    <row r="26" spans="1:22" ht="15.75" customHeight="1">
      <c r="A26" s="50" t="s">
        <v>18</v>
      </c>
      <c r="B26" s="14">
        <f>SUM(B22:B25)</f>
        <v>3600</v>
      </c>
      <c r="F26" s="14">
        <f t="shared" ref="F26:V26" si="36">SUM(F22:F23)</f>
        <v>300</v>
      </c>
      <c r="G26" s="14">
        <f t="shared" si="36"/>
        <v>300</v>
      </c>
      <c r="H26" s="14">
        <f t="shared" si="36"/>
        <v>300</v>
      </c>
      <c r="I26" s="14">
        <f t="shared" si="36"/>
        <v>900</v>
      </c>
      <c r="J26" s="14">
        <f t="shared" si="36"/>
        <v>300</v>
      </c>
      <c r="K26" s="14">
        <f t="shared" si="36"/>
        <v>300</v>
      </c>
      <c r="L26" s="14">
        <f t="shared" si="36"/>
        <v>300</v>
      </c>
      <c r="M26" s="14">
        <f t="shared" si="36"/>
        <v>900</v>
      </c>
      <c r="N26" s="14">
        <f t="shared" si="36"/>
        <v>300</v>
      </c>
      <c r="O26" s="14">
        <f t="shared" si="36"/>
        <v>300</v>
      </c>
      <c r="P26" s="14">
        <f t="shared" si="36"/>
        <v>300</v>
      </c>
      <c r="Q26" s="14">
        <f t="shared" si="36"/>
        <v>900</v>
      </c>
      <c r="R26" s="14">
        <f t="shared" si="36"/>
        <v>300</v>
      </c>
      <c r="S26" s="14">
        <f t="shared" si="36"/>
        <v>300</v>
      </c>
      <c r="T26" s="14">
        <f t="shared" si="36"/>
        <v>300</v>
      </c>
      <c r="U26" s="14">
        <f t="shared" si="36"/>
        <v>900</v>
      </c>
      <c r="V26" s="14">
        <f t="shared" si="36"/>
        <v>3600</v>
      </c>
    </row>
    <row r="27" spans="1:22" ht="15.75" customHeight="1"/>
    <row r="28" spans="1:22" ht="15.75" customHeight="1"/>
    <row r="29" spans="1:22" ht="18.75" customHeight="1">
      <c r="A29" s="22" t="s">
        <v>26</v>
      </c>
    </row>
    <row r="30" spans="1:22" ht="15.75" customHeight="1">
      <c r="A30" s="27" t="s">
        <v>2</v>
      </c>
      <c r="B30" s="42" t="s">
        <v>21</v>
      </c>
      <c r="C30" s="49"/>
      <c r="D30" s="49"/>
      <c r="E30" s="43" t="s">
        <v>22</v>
      </c>
      <c r="F30" s="23">
        <v>45672</v>
      </c>
      <c r="G30" s="23">
        <v>45703</v>
      </c>
      <c r="H30" s="23">
        <v>45731</v>
      </c>
      <c r="I30" s="44" t="s">
        <v>64</v>
      </c>
      <c r="J30" s="23">
        <v>45762</v>
      </c>
      <c r="K30" s="23">
        <v>45792</v>
      </c>
      <c r="L30" s="23">
        <v>45823</v>
      </c>
      <c r="M30" s="44" t="s">
        <v>65</v>
      </c>
      <c r="N30" s="23">
        <v>45853</v>
      </c>
      <c r="O30" s="23">
        <v>45884</v>
      </c>
      <c r="P30" s="23">
        <v>45915</v>
      </c>
      <c r="Q30" s="44" t="s">
        <v>66</v>
      </c>
      <c r="R30" s="23">
        <v>45945</v>
      </c>
      <c r="S30" s="23">
        <v>45976</v>
      </c>
      <c r="T30" s="23">
        <v>46006</v>
      </c>
      <c r="U30" s="44" t="s">
        <v>67</v>
      </c>
      <c r="V30" s="45" t="s">
        <v>68</v>
      </c>
    </row>
    <row r="31" spans="1:22" ht="15.75" customHeight="1">
      <c r="A31" s="2" t="s">
        <v>27</v>
      </c>
      <c r="B31" s="14">
        <v>30000</v>
      </c>
      <c r="E31" s="16">
        <v>45658</v>
      </c>
      <c r="F31" s="14">
        <f t="shared" ref="F31:H32" si="37">IF($E31&lt;=F$30, $B31/12, 0)</f>
        <v>2500</v>
      </c>
      <c r="G31" s="14">
        <f t="shared" si="37"/>
        <v>2500</v>
      </c>
      <c r="H31" s="14">
        <f t="shared" si="37"/>
        <v>2500</v>
      </c>
      <c r="I31" s="14">
        <f t="shared" ref="I31:I34" si="38">SUM(F31:H31)</f>
        <v>7500</v>
      </c>
      <c r="J31" s="14">
        <f t="shared" ref="J31:L32" si="39">IF($E31&lt;=J$30, $B31/12, 0)</f>
        <v>2500</v>
      </c>
      <c r="K31" s="14">
        <f t="shared" si="39"/>
        <v>2500</v>
      </c>
      <c r="L31" s="14">
        <f t="shared" si="39"/>
        <v>2500</v>
      </c>
      <c r="M31" s="14">
        <f t="shared" ref="M31:M34" si="40">SUM(J31:L31)</f>
        <v>7500</v>
      </c>
      <c r="N31" s="14">
        <f t="shared" ref="N31:P32" si="41">IF($E31&lt;=N$30, $B31/12, 0)</f>
        <v>2500</v>
      </c>
      <c r="O31" s="14">
        <f t="shared" si="41"/>
        <v>2500</v>
      </c>
      <c r="P31" s="14">
        <f t="shared" si="41"/>
        <v>2500</v>
      </c>
      <c r="Q31" s="14">
        <f t="shared" ref="Q31:Q34" si="42">SUM(N31:P31)</f>
        <v>7500</v>
      </c>
      <c r="R31" s="14">
        <f t="shared" ref="R31:T32" si="43">IF($E31&lt;=R$30, $B31/12, 0)</f>
        <v>2500</v>
      </c>
      <c r="S31" s="14">
        <f t="shared" si="43"/>
        <v>2500</v>
      </c>
      <c r="T31" s="14">
        <f t="shared" si="43"/>
        <v>2500</v>
      </c>
      <c r="U31" s="14">
        <f t="shared" ref="U31:U34" si="44">SUM(R31:T31)</f>
        <v>7500</v>
      </c>
      <c r="V31" s="14">
        <f t="shared" ref="V31:V34" si="45">I31+M31+Q31+U31</f>
        <v>30000</v>
      </c>
    </row>
    <row r="32" spans="1:22" ht="15.75" customHeight="1">
      <c r="A32" s="2" t="s">
        <v>28</v>
      </c>
      <c r="B32" s="14">
        <v>1800</v>
      </c>
      <c r="E32" s="16">
        <v>45658</v>
      </c>
      <c r="F32" s="14">
        <f t="shared" si="37"/>
        <v>150</v>
      </c>
      <c r="G32" s="14">
        <f t="shared" si="37"/>
        <v>150</v>
      </c>
      <c r="H32" s="14">
        <f t="shared" si="37"/>
        <v>150</v>
      </c>
      <c r="I32" s="14">
        <f t="shared" si="38"/>
        <v>450</v>
      </c>
      <c r="J32" s="14">
        <f t="shared" si="39"/>
        <v>150</v>
      </c>
      <c r="K32" s="14">
        <f t="shared" si="39"/>
        <v>150</v>
      </c>
      <c r="L32" s="14">
        <f t="shared" si="39"/>
        <v>150</v>
      </c>
      <c r="M32" s="14">
        <f t="shared" si="40"/>
        <v>450</v>
      </c>
      <c r="N32" s="14">
        <f t="shared" si="41"/>
        <v>150</v>
      </c>
      <c r="O32" s="14">
        <f t="shared" si="41"/>
        <v>150</v>
      </c>
      <c r="P32" s="14">
        <f t="shared" si="41"/>
        <v>150</v>
      </c>
      <c r="Q32" s="14">
        <f t="shared" si="42"/>
        <v>450</v>
      </c>
      <c r="R32" s="14">
        <f t="shared" si="43"/>
        <v>150</v>
      </c>
      <c r="S32" s="14">
        <f t="shared" si="43"/>
        <v>150</v>
      </c>
      <c r="T32" s="14">
        <f t="shared" si="43"/>
        <v>150</v>
      </c>
      <c r="U32" s="14">
        <f t="shared" si="44"/>
        <v>450</v>
      </c>
      <c r="V32" s="14">
        <f t="shared" si="45"/>
        <v>1800</v>
      </c>
    </row>
    <row r="33" spans="1:22" ht="15.75" customHeight="1">
      <c r="A33" s="2" t="s">
        <v>29</v>
      </c>
      <c r="B33" s="14">
        <v>2000</v>
      </c>
      <c r="E33" s="16">
        <v>45658</v>
      </c>
      <c r="F33" s="14">
        <f t="shared" ref="F33:H34" si="46">IF($E33&lt;=F$21, $B33/12, 0)</f>
        <v>166.66666666666666</v>
      </c>
      <c r="G33" s="14">
        <f t="shared" si="46"/>
        <v>166.66666666666666</v>
      </c>
      <c r="H33" s="14">
        <f t="shared" si="46"/>
        <v>166.66666666666666</v>
      </c>
      <c r="I33" s="14">
        <f t="shared" si="38"/>
        <v>500</v>
      </c>
      <c r="J33" s="14">
        <f t="shared" ref="J33:L34" si="47">IF($E33&lt;=J$21, $B33/12, 0)</f>
        <v>166.66666666666666</v>
      </c>
      <c r="K33" s="14">
        <f t="shared" si="47"/>
        <v>166.66666666666666</v>
      </c>
      <c r="L33" s="14">
        <f t="shared" si="47"/>
        <v>166.66666666666666</v>
      </c>
      <c r="M33" s="14">
        <f t="shared" si="40"/>
        <v>500</v>
      </c>
      <c r="N33" s="14">
        <f t="shared" ref="N33:P34" si="48">IF($E33&lt;=N$21, $B33/12, 0)</f>
        <v>166.66666666666666</v>
      </c>
      <c r="O33" s="14">
        <f t="shared" si="48"/>
        <v>166.66666666666666</v>
      </c>
      <c r="P33" s="14">
        <f t="shared" si="48"/>
        <v>166.66666666666666</v>
      </c>
      <c r="Q33" s="14">
        <f t="shared" si="42"/>
        <v>500</v>
      </c>
      <c r="R33" s="14">
        <f t="shared" ref="R33:T34" si="49">IF($E33&lt;=R$21, $B33/12, 0)</f>
        <v>166.66666666666666</v>
      </c>
      <c r="S33" s="14">
        <f t="shared" si="49"/>
        <v>166.66666666666666</v>
      </c>
      <c r="T33" s="14">
        <f t="shared" si="49"/>
        <v>166.66666666666666</v>
      </c>
      <c r="U33" s="14">
        <f t="shared" si="44"/>
        <v>500</v>
      </c>
      <c r="V33" s="14">
        <f t="shared" si="45"/>
        <v>2000</v>
      </c>
    </row>
    <row r="34" spans="1:22" ht="15.75" customHeight="1">
      <c r="A34" s="2" t="s">
        <v>25</v>
      </c>
      <c r="B34" s="14">
        <v>0</v>
      </c>
      <c r="E34" s="16">
        <v>45658</v>
      </c>
      <c r="F34" s="14">
        <f t="shared" si="46"/>
        <v>0</v>
      </c>
      <c r="G34" s="14">
        <f t="shared" si="46"/>
        <v>0</v>
      </c>
      <c r="H34" s="14">
        <f t="shared" si="46"/>
        <v>0</v>
      </c>
      <c r="I34" s="14">
        <f t="shared" si="38"/>
        <v>0</v>
      </c>
      <c r="J34" s="14">
        <f t="shared" si="47"/>
        <v>0</v>
      </c>
      <c r="K34" s="14">
        <f t="shared" si="47"/>
        <v>0</v>
      </c>
      <c r="L34" s="14">
        <f t="shared" si="47"/>
        <v>0</v>
      </c>
      <c r="M34" s="14">
        <f t="shared" si="40"/>
        <v>0</v>
      </c>
      <c r="N34" s="14">
        <f t="shared" si="48"/>
        <v>0</v>
      </c>
      <c r="O34" s="14">
        <f t="shared" si="48"/>
        <v>0</v>
      </c>
      <c r="P34" s="14">
        <f t="shared" si="48"/>
        <v>0</v>
      </c>
      <c r="Q34" s="14">
        <f t="shared" si="42"/>
        <v>0</v>
      </c>
      <c r="R34" s="14">
        <f t="shared" si="49"/>
        <v>0</v>
      </c>
      <c r="S34" s="14">
        <f t="shared" si="49"/>
        <v>0</v>
      </c>
      <c r="T34" s="14">
        <f t="shared" si="49"/>
        <v>0</v>
      </c>
      <c r="U34" s="14">
        <f t="shared" si="44"/>
        <v>0</v>
      </c>
      <c r="V34" s="14">
        <f t="shared" si="45"/>
        <v>0</v>
      </c>
    </row>
    <row r="35" spans="1:22" ht="15.75" customHeight="1">
      <c r="A35" s="50" t="s">
        <v>18</v>
      </c>
      <c r="B35" s="14">
        <f>SUM(B31:B34)</f>
        <v>33800</v>
      </c>
      <c r="F35" s="14">
        <f t="shared" ref="F35:V35" si="50">SUM(F31:F32)</f>
        <v>2650</v>
      </c>
      <c r="G35" s="14">
        <f t="shared" si="50"/>
        <v>2650</v>
      </c>
      <c r="H35" s="14">
        <f t="shared" si="50"/>
        <v>2650</v>
      </c>
      <c r="I35" s="14">
        <f t="shared" si="50"/>
        <v>7950</v>
      </c>
      <c r="J35" s="14">
        <f t="shared" si="50"/>
        <v>2650</v>
      </c>
      <c r="K35" s="14">
        <f t="shared" si="50"/>
        <v>2650</v>
      </c>
      <c r="L35" s="14">
        <f t="shared" si="50"/>
        <v>2650</v>
      </c>
      <c r="M35" s="14">
        <f t="shared" si="50"/>
        <v>7950</v>
      </c>
      <c r="N35" s="14">
        <f t="shared" si="50"/>
        <v>2650</v>
      </c>
      <c r="O35" s="14">
        <f t="shared" si="50"/>
        <v>2650</v>
      </c>
      <c r="P35" s="14">
        <f t="shared" si="50"/>
        <v>2650</v>
      </c>
      <c r="Q35" s="14">
        <f t="shared" si="50"/>
        <v>7950</v>
      </c>
      <c r="R35" s="14">
        <f t="shared" si="50"/>
        <v>2650</v>
      </c>
      <c r="S35" s="14">
        <f t="shared" si="50"/>
        <v>2650</v>
      </c>
      <c r="T35" s="14">
        <f t="shared" si="50"/>
        <v>2650</v>
      </c>
      <c r="U35" s="14">
        <f t="shared" si="50"/>
        <v>7950</v>
      </c>
      <c r="V35" s="14">
        <f t="shared" si="50"/>
        <v>31800</v>
      </c>
    </row>
    <row r="36" spans="1:22" ht="15.75" customHeight="1"/>
    <row r="37" spans="1:22" ht="15.75" customHeight="1"/>
    <row r="38" spans="1:22" ht="15.75" customHeight="1"/>
    <row r="39" spans="1:22" ht="18.75" customHeight="1">
      <c r="A39" s="22" t="s">
        <v>30</v>
      </c>
    </row>
    <row r="40" spans="1:22" ht="15.75" customHeight="1">
      <c r="A40" s="27" t="s">
        <v>2</v>
      </c>
      <c r="B40" s="42" t="s">
        <v>21</v>
      </c>
      <c r="C40" s="49"/>
      <c r="D40" s="49"/>
      <c r="E40" s="43" t="s">
        <v>22</v>
      </c>
      <c r="F40" s="23">
        <v>45672</v>
      </c>
      <c r="G40" s="23">
        <v>45703</v>
      </c>
      <c r="H40" s="23">
        <v>45731</v>
      </c>
      <c r="I40" s="44" t="s">
        <v>64</v>
      </c>
      <c r="J40" s="23">
        <v>45762</v>
      </c>
      <c r="K40" s="23">
        <v>45792</v>
      </c>
      <c r="L40" s="23">
        <v>45823</v>
      </c>
      <c r="M40" s="44" t="s">
        <v>65</v>
      </c>
      <c r="N40" s="23">
        <v>45853</v>
      </c>
      <c r="O40" s="23">
        <v>45884</v>
      </c>
      <c r="P40" s="23">
        <v>45915</v>
      </c>
      <c r="Q40" s="44" t="s">
        <v>66</v>
      </c>
      <c r="R40" s="23">
        <v>45945</v>
      </c>
      <c r="S40" s="23">
        <v>45976</v>
      </c>
      <c r="T40" s="23">
        <v>46006</v>
      </c>
      <c r="U40" s="44" t="s">
        <v>67</v>
      </c>
      <c r="V40" s="45" t="s">
        <v>68</v>
      </c>
    </row>
    <row r="41" spans="1:22" ht="15.75" customHeight="1">
      <c r="A41" s="2" t="s">
        <v>31</v>
      </c>
      <c r="B41" s="14">
        <v>36000</v>
      </c>
      <c r="E41" s="16">
        <v>45078</v>
      </c>
      <c r="F41" s="14">
        <f t="shared" ref="F41:H42" si="51">IF($E41&lt;=F$40, $B41/12, 0)</f>
        <v>3000</v>
      </c>
      <c r="G41" s="14">
        <f t="shared" si="51"/>
        <v>3000</v>
      </c>
      <c r="H41" s="14">
        <f t="shared" si="51"/>
        <v>3000</v>
      </c>
      <c r="I41" s="14">
        <f t="shared" ref="I41:I43" si="52">SUM(F41:H41)</f>
        <v>9000</v>
      </c>
      <c r="J41" s="14">
        <f t="shared" ref="J41:L42" si="53">IF($E41&lt;=J$40, $B41/12, 0)</f>
        <v>3000</v>
      </c>
      <c r="K41" s="14">
        <f t="shared" si="53"/>
        <v>3000</v>
      </c>
      <c r="L41" s="14">
        <f t="shared" si="53"/>
        <v>3000</v>
      </c>
      <c r="M41" s="14">
        <f t="shared" ref="M41:M43" si="54">SUM(J41:L41)</f>
        <v>9000</v>
      </c>
      <c r="N41" s="14">
        <f t="shared" ref="N41:P42" si="55">IF($E41&lt;=N$40, $B41/12, 0)</f>
        <v>3000</v>
      </c>
      <c r="O41" s="14">
        <f t="shared" si="55"/>
        <v>3000</v>
      </c>
      <c r="P41" s="14">
        <f t="shared" si="55"/>
        <v>3000</v>
      </c>
      <c r="Q41" s="14">
        <f t="shared" ref="Q41:Q43" si="56">SUM(N41:P41)</f>
        <v>9000</v>
      </c>
      <c r="R41" s="14">
        <f t="shared" ref="R41:T42" si="57">IF($E41&lt;=R$40, $B41/12, 0)</f>
        <v>3000</v>
      </c>
      <c r="S41" s="14">
        <f t="shared" si="57"/>
        <v>3000</v>
      </c>
      <c r="T41" s="14">
        <f t="shared" si="57"/>
        <v>3000</v>
      </c>
      <c r="U41" s="14">
        <f t="shared" ref="U41:U43" si="58">SUM(R41:T41)</f>
        <v>9000</v>
      </c>
      <c r="V41" s="14">
        <f t="shared" ref="V41:V43" si="59">I41+M41+Q41+U41</f>
        <v>36000</v>
      </c>
    </row>
    <row r="42" spans="1:22" ht="15.75" customHeight="1">
      <c r="A42" s="2" t="s">
        <v>25</v>
      </c>
      <c r="B42" s="14">
        <v>0</v>
      </c>
      <c r="F42" s="14">
        <f t="shared" si="51"/>
        <v>0</v>
      </c>
      <c r="G42" s="14">
        <f t="shared" si="51"/>
        <v>0</v>
      </c>
      <c r="H42" s="14">
        <f t="shared" si="51"/>
        <v>0</v>
      </c>
      <c r="I42" s="14">
        <f t="shared" si="52"/>
        <v>0</v>
      </c>
      <c r="J42" s="14">
        <f t="shared" si="53"/>
        <v>0</v>
      </c>
      <c r="K42" s="14">
        <f t="shared" si="53"/>
        <v>0</v>
      </c>
      <c r="L42" s="14">
        <f t="shared" si="53"/>
        <v>0</v>
      </c>
      <c r="M42" s="14">
        <f t="shared" si="54"/>
        <v>0</v>
      </c>
      <c r="N42" s="14">
        <f t="shared" si="55"/>
        <v>0</v>
      </c>
      <c r="O42" s="14">
        <f t="shared" si="55"/>
        <v>0</v>
      </c>
      <c r="P42" s="14">
        <f t="shared" si="55"/>
        <v>0</v>
      </c>
      <c r="Q42" s="14">
        <f t="shared" si="56"/>
        <v>0</v>
      </c>
      <c r="R42" s="14">
        <f t="shared" si="57"/>
        <v>0</v>
      </c>
      <c r="S42" s="14">
        <f t="shared" si="57"/>
        <v>0</v>
      </c>
      <c r="T42" s="14">
        <f t="shared" si="57"/>
        <v>0</v>
      </c>
      <c r="U42" s="14">
        <f t="shared" si="58"/>
        <v>0</v>
      </c>
      <c r="V42" s="14">
        <f t="shared" si="59"/>
        <v>0</v>
      </c>
    </row>
    <row r="43" spans="1:22" ht="15.75" customHeight="1">
      <c r="A43" s="50" t="s">
        <v>18</v>
      </c>
      <c r="B43" s="14">
        <f>SUM(B41:B42)</f>
        <v>36000</v>
      </c>
      <c r="F43" s="14">
        <f t="shared" ref="F43:H43" si="60">SUM(F41:F42)</f>
        <v>3000</v>
      </c>
      <c r="G43" s="14">
        <f t="shared" si="60"/>
        <v>3000</v>
      </c>
      <c r="H43" s="14">
        <f t="shared" si="60"/>
        <v>3000</v>
      </c>
      <c r="I43" s="14">
        <f t="shared" si="52"/>
        <v>9000</v>
      </c>
      <c r="J43" s="14">
        <f t="shared" ref="J43:L43" si="61">SUM(J41:J42)</f>
        <v>3000</v>
      </c>
      <c r="K43" s="14">
        <f t="shared" si="61"/>
        <v>3000</v>
      </c>
      <c r="L43" s="14">
        <f t="shared" si="61"/>
        <v>3000</v>
      </c>
      <c r="M43" s="14">
        <f t="shared" si="54"/>
        <v>9000</v>
      </c>
      <c r="N43" s="14">
        <f t="shared" ref="N43:P43" si="62">SUM(N41:N42)</f>
        <v>3000</v>
      </c>
      <c r="O43" s="14">
        <f t="shared" si="62"/>
        <v>3000</v>
      </c>
      <c r="P43" s="14">
        <f t="shared" si="62"/>
        <v>3000</v>
      </c>
      <c r="Q43" s="14">
        <f t="shared" si="56"/>
        <v>9000</v>
      </c>
      <c r="R43" s="14">
        <f t="shared" ref="R43:T43" si="63">SUM(R41:R42)</f>
        <v>3000</v>
      </c>
      <c r="S43" s="14">
        <f t="shared" si="63"/>
        <v>3000</v>
      </c>
      <c r="T43" s="14">
        <f t="shared" si="63"/>
        <v>3000</v>
      </c>
      <c r="U43" s="14">
        <f t="shared" si="58"/>
        <v>9000</v>
      </c>
      <c r="V43" s="14">
        <f t="shared" si="59"/>
        <v>36000</v>
      </c>
    </row>
    <row r="44" spans="1:22" ht="15.75" customHeight="1"/>
    <row r="45" spans="1:22" ht="18.75" customHeight="1">
      <c r="A45" s="22" t="s">
        <v>32</v>
      </c>
    </row>
    <row r="46" spans="1:22" ht="15.75" customHeight="1">
      <c r="A46" s="27" t="s">
        <v>2</v>
      </c>
      <c r="B46" s="42" t="s">
        <v>21</v>
      </c>
      <c r="C46" s="49"/>
      <c r="D46" s="49"/>
      <c r="E46" s="43" t="s">
        <v>22</v>
      </c>
      <c r="F46" s="23">
        <v>45672</v>
      </c>
      <c r="G46" s="23">
        <v>45703</v>
      </c>
      <c r="H46" s="23">
        <v>45731</v>
      </c>
      <c r="I46" s="44" t="s">
        <v>64</v>
      </c>
      <c r="J46" s="23">
        <v>45762</v>
      </c>
      <c r="K46" s="23">
        <v>45792</v>
      </c>
      <c r="L46" s="23">
        <v>45823</v>
      </c>
      <c r="M46" s="44" t="s">
        <v>65</v>
      </c>
      <c r="N46" s="23">
        <v>45853</v>
      </c>
      <c r="O46" s="23">
        <v>45884</v>
      </c>
      <c r="P46" s="23">
        <v>45915</v>
      </c>
      <c r="Q46" s="44" t="s">
        <v>66</v>
      </c>
      <c r="R46" s="23">
        <v>45945</v>
      </c>
      <c r="S46" s="23">
        <v>45976</v>
      </c>
      <c r="T46" s="23">
        <v>46006</v>
      </c>
      <c r="U46" s="44" t="s">
        <v>67</v>
      </c>
      <c r="V46" s="45" t="s">
        <v>68</v>
      </c>
    </row>
    <row r="47" spans="1:22" ht="15.75" customHeight="1">
      <c r="A47" s="2" t="s">
        <v>33</v>
      </c>
      <c r="B47" s="14">
        <f>B16+B26+B35+B43</f>
        <v>263400</v>
      </c>
      <c r="F47" s="14">
        <f t="shared" ref="F47:H47" si="64">F16+F26+F35+F43</f>
        <v>22583.333333333332</v>
      </c>
      <c r="G47" s="14">
        <f t="shared" si="64"/>
        <v>22583.333333333332</v>
      </c>
      <c r="H47" s="14">
        <f t="shared" si="64"/>
        <v>22583.333333333332</v>
      </c>
      <c r="I47" s="14">
        <f>SUM(F47:H47)</f>
        <v>67750</v>
      </c>
      <c r="J47" s="14">
        <f t="shared" ref="J47:L47" si="65">J16+J26+J35+J43</f>
        <v>22583.333333333332</v>
      </c>
      <c r="K47" s="14">
        <f t="shared" si="65"/>
        <v>22583.333333333332</v>
      </c>
      <c r="L47" s="14">
        <f t="shared" si="65"/>
        <v>22583.333333333332</v>
      </c>
      <c r="M47" s="14">
        <f>SUM(J47:L47)</f>
        <v>67750</v>
      </c>
      <c r="N47" s="14">
        <f t="shared" ref="N47:P47" si="66">N16+N26+N35+N43</f>
        <v>22583.333333333332</v>
      </c>
      <c r="O47" s="14">
        <f t="shared" si="66"/>
        <v>22583.333333333332</v>
      </c>
      <c r="P47" s="14">
        <f t="shared" si="66"/>
        <v>22583.333333333332</v>
      </c>
      <c r="Q47" s="14">
        <f>SUM(N47:P47)</f>
        <v>67750</v>
      </c>
      <c r="R47" s="14">
        <f t="shared" ref="R47:T47" si="67">R16+R26+R35+R43</f>
        <v>22583.333333333332</v>
      </c>
      <c r="S47" s="14">
        <f t="shared" si="67"/>
        <v>22583.333333333332</v>
      </c>
      <c r="T47" s="14">
        <f t="shared" si="67"/>
        <v>22583.333333333332</v>
      </c>
      <c r="U47" s="14">
        <f>SUM(R47:T47)</f>
        <v>67750</v>
      </c>
      <c r="V47" s="14">
        <f>I47+M47+Q47+U47</f>
        <v>271000</v>
      </c>
    </row>
    <row r="48" spans="1:22" ht="15.75" customHeight="1">
      <c r="B48" s="14"/>
    </row>
    <row r="49" spans="1:4" ht="15.75" customHeight="1">
      <c r="B49" s="14"/>
    </row>
    <row r="50" spans="1:4" ht="21" customHeight="1">
      <c r="A50" s="51" t="s">
        <v>34</v>
      </c>
      <c r="B50" s="52"/>
    </row>
    <row r="51" spans="1:4" ht="18.75" customHeight="1">
      <c r="A51" s="24" t="s">
        <v>35</v>
      </c>
      <c r="B51" s="21">
        <f>-(V47/12)</f>
        <v>-22583.333333333332</v>
      </c>
    </row>
    <row r="52" spans="1:4" ht="18.75" customHeight="1">
      <c r="A52" s="24" t="s">
        <v>52</v>
      </c>
      <c r="B52" s="21">
        <f>'costs 2024'!B58 - 'costs 2024'!B46</f>
        <v>-3030.0211934334366</v>
      </c>
    </row>
    <row r="53" spans="1:4" ht="37.5" customHeight="1">
      <c r="A53" s="25" t="s">
        <v>37</v>
      </c>
      <c r="B53" s="58">
        <f>-(B52/B51)</f>
        <v>-0.13417068015203409</v>
      </c>
    </row>
    <row r="54" spans="1:4" ht="15.75" customHeight="1"/>
    <row r="55" spans="1:4" ht="21" customHeight="1">
      <c r="A55" s="51" t="s">
        <v>53</v>
      </c>
      <c r="B55" s="52"/>
    </row>
    <row r="56" spans="1:4" ht="18.75" customHeight="1">
      <c r="A56" s="24" t="s">
        <v>35</v>
      </c>
      <c r="B56" s="21">
        <f>-(V47/12)</f>
        <v>-22583.333333333332</v>
      </c>
    </row>
    <row r="57" spans="1:4" ht="18.75" customHeight="1">
      <c r="A57" s="24" t="s">
        <v>52</v>
      </c>
      <c r="B57" s="21">
        <f>'costs 2024'!B58-'costs 2024'!B46</f>
        <v>-3030.0211934334366</v>
      </c>
    </row>
    <row r="58" spans="1:4" ht="18.75" customHeight="1">
      <c r="A58" s="24" t="s">
        <v>54</v>
      </c>
      <c r="B58" s="21">
        <f>'revenue 2025'!M18</f>
        <v>1978486.4378692673</v>
      </c>
    </row>
    <row r="59" spans="1:4" ht="18.75" customHeight="1">
      <c r="A59" s="24" t="s">
        <v>55</v>
      </c>
      <c r="B59" s="21">
        <f>B57+B58</f>
        <v>1975456.416675834</v>
      </c>
      <c r="C59" s="56">
        <f>B59-B47</f>
        <v>1712056.416675834</v>
      </c>
      <c r="D59" s="57" t="s">
        <v>94</v>
      </c>
    </row>
    <row r="60" spans="1:4" ht="57" customHeight="1">
      <c r="A60" s="25" t="s">
        <v>56</v>
      </c>
      <c r="B60" s="58">
        <f>-(B59/B56)</f>
        <v>87.474084871254647</v>
      </c>
    </row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D1C9-326D-AD47-9930-1B4E72F71B29}">
  <dimension ref="A1:M20"/>
  <sheetViews>
    <sheetView topLeftCell="A6" workbookViewId="0">
      <selection activeCell="H12" sqref="H12"/>
    </sheetView>
  </sheetViews>
  <sheetFormatPr baseColWidth="10" defaultColWidth="10.83203125" defaultRowHeight="16"/>
  <cols>
    <col min="1" max="1" width="45.5" style="2" customWidth="1"/>
    <col min="2" max="16384" width="10.83203125" style="2"/>
  </cols>
  <sheetData>
    <row r="1" spans="1:13">
      <c r="A1" s="12" t="s">
        <v>70</v>
      </c>
      <c r="B1" s="1"/>
    </row>
    <row r="2" spans="1:13">
      <c r="A2" s="3" t="s">
        <v>71</v>
      </c>
      <c r="B2" s="4">
        <v>0.1</v>
      </c>
    </row>
    <row r="3" spans="1:13">
      <c r="A3" s="3" t="s">
        <v>72</v>
      </c>
      <c r="B3" s="5">
        <v>10</v>
      </c>
    </row>
    <row r="4" spans="1:13">
      <c r="A4" s="3" t="s">
        <v>73</v>
      </c>
      <c r="B4" s="5">
        <v>50</v>
      </c>
    </row>
    <row r="5" spans="1:13">
      <c r="A5" s="3" t="s">
        <v>74</v>
      </c>
      <c r="B5" s="5">
        <v>2</v>
      </c>
    </row>
    <row r="6" spans="1:13">
      <c r="A6" s="3" t="s">
        <v>75</v>
      </c>
      <c r="B6" s="5">
        <f>0.9*B3+0.1*B4 + B5</f>
        <v>16</v>
      </c>
    </row>
    <row r="8" spans="1:13">
      <c r="A8" s="6" t="s">
        <v>76</v>
      </c>
      <c r="B8" s="13">
        <v>44941</v>
      </c>
      <c r="C8" s="13">
        <v>44972</v>
      </c>
      <c r="D8" s="13">
        <v>45000</v>
      </c>
      <c r="E8" s="13">
        <v>45031</v>
      </c>
      <c r="F8" s="13">
        <v>45061</v>
      </c>
      <c r="G8" s="13">
        <v>45092</v>
      </c>
      <c r="H8" s="13">
        <v>45122</v>
      </c>
      <c r="I8" s="13">
        <v>45153</v>
      </c>
      <c r="J8" s="13">
        <v>45184</v>
      </c>
      <c r="K8" s="13">
        <v>45214</v>
      </c>
      <c r="L8" s="13">
        <v>45245</v>
      </c>
      <c r="M8" s="13">
        <v>45275</v>
      </c>
    </row>
    <row r="9" spans="1:13">
      <c r="A9" s="7" t="s">
        <v>77</v>
      </c>
      <c r="B9" s="8"/>
      <c r="C9" s="8"/>
      <c r="D9" s="8"/>
      <c r="E9" s="8"/>
      <c r="F9" s="8"/>
      <c r="G9" s="8"/>
      <c r="H9" s="8">
        <v>10</v>
      </c>
      <c r="I9" s="8">
        <v>9.5</v>
      </c>
      <c r="J9" s="8">
        <v>9</v>
      </c>
      <c r="K9" s="8">
        <v>8.5</v>
      </c>
      <c r="L9" s="8">
        <v>8</v>
      </c>
      <c r="M9" s="8">
        <v>7.5</v>
      </c>
    </row>
    <row r="10" spans="1:13">
      <c r="A10" s="7" t="s">
        <v>78</v>
      </c>
      <c r="B10" s="8"/>
      <c r="C10" s="8"/>
      <c r="D10" s="8"/>
      <c r="E10" s="8"/>
      <c r="F10" s="8"/>
      <c r="G10" s="8"/>
      <c r="H10" s="8">
        <v>140</v>
      </c>
      <c r="I10" s="8">
        <f>H10*1.2</f>
        <v>168</v>
      </c>
      <c r="J10" s="8">
        <f>I10*1.2</f>
        <v>201.6</v>
      </c>
      <c r="K10" s="8">
        <f>J10*1.2</f>
        <v>241.92</v>
      </c>
      <c r="L10" s="8">
        <f>K10*1.2</f>
        <v>290.30399999999997</v>
      </c>
      <c r="M10" s="8">
        <f>L10*1.2</f>
        <v>348.36479999999995</v>
      </c>
    </row>
    <row r="11" spans="1:13">
      <c r="A11" s="3" t="s">
        <v>79</v>
      </c>
      <c r="B11" s="9"/>
      <c r="C11" s="9"/>
      <c r="D11" s="9"/>
      <c r="E11" s="9"/>
      <c r="F11" s="9"/>
      <c r="G11" s="9"/>
      <c r="H11" s="9">
        <f t="shared" ref="H11:M11" si="0">(H14/H10)*100</f>
        <v>50</v>
      </c>
      <c r="I11" s="9">
        <f t="shared" si="0"/>
        <v>45.833333333333329</v>
      </c>
      <c r="J11" s="9">
        <f t="shared" si="0"/>
        <v>42.013888888888893</v>
      </c>
      <c r="K11" s="9">
        <f t="shared" si="0"/>
        <v>38.512731481481481</v>
      </c>
      <c r="L11" s="9">
        <f t="shared" si="0"/>
        <v>35.303337191358025</v>
      </c>
      <c r="M11" s="9">
        <f t="shared" si="0"/>
        <v>32.36139242541153</v>
      </c>
    </row>
    <row r="12" spans="1:13">
      <c r="A12" s="7" t="s">
        <v>80</v>
      </c>
      <c r="B12" s="7"/>
      <c r="C12" s="10"/>
      <c r="D12" s="10"/>
      <c r="E12" s="10"/>
      <c r="F12" s="10"/>
      <c r="G12" s="10"/>
      <c r="H12" s="10">
        <f t="shared" ref="H12:M12" si="1">-1*G15*(H9/100)</f>
        <v>0</v>
      </c>
      <c r="I12" s="10">
        <f t="shared" si="1"/>
        <v>-6.65</v>
      </c>
      <c r="J12" s="10">
        <f t="shared" si="1"/>
        <v>-12.631499999999999</v>
      </c>
      <c r="K12" s="10">
        <f t="shared" si="1"/>
        <v>-18.620822500000003</v>
      </c>
      <c r="L12" s="10">
        <f t="shared" si="1"/>
        <v>-24.499934199999998</v>
      </c>
      <c r="M12" s="10">
        <f t="shared" si="1"/>
        <v>-30.214279934999997</v>
      </c>
    </row>
    <row r="13" spans="1:13">
      <c r="A13" s="7" t="s">
        <v>81</v>
      </c>
      <c r="B13" s="10"/>
      <c r="C13" s="10"/>
      <c r="D13" s="10"/>
      <c r="E13" s="10"/>
      <c r="F13" s="10"/>
      <c r="G13" s="10"/>
      <c r="H13" s="10">
        <f t="shared" ref="H13:M13" si="2">SUM($B12:H12)</f>
        <v>0</v>
      </c>
      <c r="I13" s="10">
        <f t="shared" si="2"/>
        <v>-6.65</v>
      </c>
      <c r="J13" s="10">
        <f t="shared" si="2"/>
        <v>-19.281500000000001</v>
      </c>
      <c r="K13" s="10">
        <f t="shared" si="2"/>
        <v>-37.902322500000004</v>
      </c>
      <c r="L13" s="10">
        <f t="shared" si="2"/>
        <v>-62.402256700000002</v>
      </c>
      <c r="M13" s="10">
        <f t="shared" si="2"/>
        <v>-92.616536635000003</v>
      </c>
    </row>
    <row r="14" spans="1:13">
      <c r="A14" s="7" t="s">
        <v>82</v>
      </c>
      <c r="B14" s="7"/>
      <c r="C14" s="10"/>
      <c r="D14" s="10"/>
      <c r="E14" s="10"/>
      <c r="F14" s="10"/>
      <c r="G14" s="10"/>
      <c r="H14" s="10">
        <v>70</v>
      </c>
      <c r="I14" s="10">
        <f>H14+(H14*$B2)</f>
        <v>77</v>
      </c>
      <c r="J14" s="10">
        <f>I14+(I14*$B2)</f>
        <v>84.7</v>
      </c>
      <c r="K14" s="10">
        <f>J14+(J14*$B2)</f>
        <v>93.17</v>
      </c>
      <c r="L14" s="10">
        <f>K14+(K14*$B2)</f>
        <v>102.48699999999999</v>
      </c>
      <c r="M14" s="10">
        <f>L14+(L14*$B2)</f>
        <v>112.73569999999999</v>
      </c>
    </row>
    <row r="15" spans="1:13">
      <c r="A15" s="7" t="s">
        <v>83</v>
      </c>
      <c r="B15" s="10"/>
      <c r="C15" s="10"/>
      <c r="D15" s="10"/>
      <c r="E15" s="10"/>
      <c r="F15" s="10"/>
      <c r="G15" s="10"/>
      <c r="H15" s="10">
        <f t="shared" ref="H15:M15" si="3">SUM($B14:H14)+H12</f>
        <v>70</v>
      </c>
      <c r="I15" s="10">
        <f t="shared" si="3"/>
        <v>140.35</v>
      </c>
      <c r="J15" s="10">
        <f t="shared" si="3"/>
        <v>219.0685</v>
      </c>
      <c r="K15" s="10">
        <f t="shared" si="3"/>
        <v>306.24917749999997</v>
      </c>
      <c r="L15" s="10">
        <f t="shared" si="3"/>
        <v>402.85706579999999</v>
      </c>
      <c r="M15" s="10">
        <f t="shared" si="3"/>
        <v>509.87842006499994</v>
      </c>
    </row>
    <row r="16" spans="1:13">
      <c r="A16" s="3" t="s">
        <v>84</v>
      </c>
      <c r="B16" s="5"/>
      <c r="C16" s="5"/>
      <c r="D16" s="5"/>
      <c r="E16" s="5"/>
      <c r="F16" s="5"/>
      <c r="G16" s="5"/>
      <c r="H16" s="5">
        <f t="shared" ref="H16:M16" si="4">H15*$B6</f>
        <v>1120</v>
      </c>
      <c r="I16" s="5">
        <f t="shared" si="4"/>
        <v>2245.6</v>
      </c>
      <c r="J16" s="5">
        <f t="shared" si="4"/>
        <v>3505.096</v>
      </c>
      <c r="K16" s="5">
        <f t="shared" si="4"/>
        <v>4899.9868399999996</v>
      </c>
      <c r="L16" s="5">
        <f t="shared" si="4"/>
        <v>6445.7130527999998</v>
      </c>
      <c r="M16" s="5">
        <f t="shared" si="4"/>
        <v>8158.0547210399991</v>
      </c>
    </row>
    <row r="17" spans="1:13">
      <c r="A17" s="7" t="s">
        <v>85</v>
      </c>
      <c r="B17" s="7"/>
      <c r="C17" s="11"/>
      <c r="D17" s="11"/>
      <c r="E17" s="11"/>
      <c r="F17" s="11"/>
      <c r="G17" s="11"/>
      <c r="H17" s="11"/>
      <c r="I17" s="11">
        <f t="shared" ref="I17:M17" si="5">(I16-H16)/H16</f>
        <v>1.0049999999999999</v>
      </c>
      <c r="J17" s="11">
        <f t="shared" si="5"/>
        <v>0.56087281795511224</v>
      </c>
      <c r="K17" s="11">
        <f t="shared" si="5"/>
        <v>0.39796080906200559</v>
      </c>
      <c r="L17" s="11">
        <f t="shared" si="5"/>
        <v>0.31545517636533088</v>
      </c>
      <c r="M17" s="11">
        <f t="shared" si="5"/>
        <v>0.26565589473396783</v>
      </c>
    </row>
    <row r="18" spans="1:13">
      <c r="A18" s="3" t="s">
        <v>86</v>
      </c>
      <c r="B18" s="5"/>
      <c r="C18" s="5"/>
      <c r="D18" s="5"/>
      <c r="E18" s="5"/>
      <c r="F18" s="5"/>
      <c r="G18" s="5"/>
      <c r="H18" s="5"/>
      <c r="I18" s="5">
        <f t="shared" ref="I18:M18" si="6">SUM($B16:I16)</f>
        <v>3365.6</v>
      </c>
      <c r="J18" s="5">
        <f t="shared" si="6"/>
        <v>6870.6959999999999</v>
      </c>
      <c r="K18" s="5">
        <f t="shared" si="6"/>
        <v>11770.682839999999</v>
      </c>
      <c r="L18" s="5">
        <f t="shared" si="6"/>
        <v>18216.395892799999</v>
      </c>
      <c r="M18" s="5">
        <f t="shared" si="6"/>
        <v>26374.450613839999</v>
      </c>
    </row>
    <row r="19" spans="1:13">
      <c r="A19" s="7" t="s">
        <v>87</v>
      </c>
      <c r="B19" s="10"/>
      <c r="C19" s="10"/>
      <c r="D19" s="10"/>
      <c r="E19" s="10"/>
      <c r="F19" s="10"/>
      <c r="G19" s="10"/>
      <c r="H19" s="59">
        <f t="shared" ref="H19:M19" si="7">100/H9</f>
        <v>10</v>
      </c>
      <c r="I19" s="59">
        <f t="shared" si="7"/>
        <v>10.526315789473685</v>
      </c>
      <c r="J19" s="59">
        <f t="shared" si="7"/>
        <v>11.111111111111111</v>
      </c>
      <c r="K19" s="59">
        <f t="shared" si="7"/>
        <v>11.764705882352942</v>
      </c>
      <c r="L19" s="59">
        <f t="shared" si="7"/>
        <v>12.5</v>
      </c>
      <c r="M19" s="59">
        <f t="shared" si="7"/>
        <v>13.333333333333334</v>
      </c>
    </row>
    <row r="20" spans="1:13">
      <c r="A20" s="3" t="s">
        <v>88</v>
      </c>
      <c r="B20" s="5"/>
      <c r="C20" s="5"/>
      <c r="D20" s="5"/>
      <c r="E20" s="5"/>
      <c r="F20" s="5"/>
      <c r="G20" s="5"/>
      <c r="H20" s="59">
        <f t="shared" ref="H20:M20" si="8">$B6*H19</f>
        <v>160</v>
      </c>
      <c r="I20" s="59">
        <f t="shared" si="8"/>
        <v>168.42105263157896</v>
      </c>
      <c r="J20" s="59">
        <f t="shared" si="8"/>
        <v>177.77777777777777</v>
      </c>
      <c r="K20" s="59">
        <f t="shared" si="8"/>
        <v>188.23529411764707</v>
      </c>
      <c r="L20" s="59">
        <f t="shared" si="8"/>
        <v>200</v>
      </c>
      <c r="M20" s="59">
        <f t="shared" si="8"/>
        <v>213.33333333333334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F612-2C02-FD43-A63A-A6ADC1F6F7B0}">
  <dimension ref="A1:M20"/>
  <sheetViews>
    <sheetView topLeftCell="A6" workbookViewId="0">
      <selection activeCell="L28" sqref="L28"/>
    </sheetView>
  </sheetViews>
  <sheetFormatPr baseColWidth="10" defaultColWidth="11" defaultRowHeight="16"/>
  <cols>
    <col min="1" max="1" width="40.5" customWidth="1"/>
    <col min="2" max="2" width="11" bestFit="1" customWidth="1"/>
    <col min="3" max="3" width="13.6640625" customWidth="1"/>
    <col min="4" max="4" width="11.83203125" customWidth="1"/>
    <col min="5" max="5" width="11.5" bestFit="1" customWidth="1"/>
    <col min="6" max="6" width="13.1640625" customWidth="1"/>
    <col min="7" max="7" width="12.5" bestFit="1" customWidth="1"/>
    <col min="8" max="8" width="13.83203125" customWidth="1"/>
    <col min="9" max="9" width="14" bestFit="1" customWidth="1"/>
    <col min="10" max="10" width="15.33203125" customWidth="1"/>
    <col min="11" max="11" width="15" bestFit="1" customWidth="1"/>
    <col min="12" max="12" width="15.6640625" customWidth="1"/>
    <col min="13" max="13" width="16" bestFit="1" customWidth="1"/>
  </cols>
  <sheetData>
    <row r="1" spans="1:13">
      <c r="A1" s="12" t="s">
        <v>89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 t="s">
        <v>71</v>
      </c>
      <c r="B2" s="4">
        <v>0.15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 t="s">
        <v>72</v>
      </c>
      <c r="B3" s="5">
        <v>10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 t="s">
        <v>73</v>
      </c>
      <c r="B4" s="5">
        <v>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 t="s">
        <v>74</v>
      </c>
      <c r="B5" s="5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3" t="s">
        <v>75</v>
      </c>
      <c r="B6" s="5">
        <f>0.9*B3+0.1*B4+B5</f>
        <v>16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7" t="s">
        <v>76</v>
      </c>
      <c r="B8" s="28">
        <v>45306</v>
      </c>
      <c r="C8" s="29">
        <v>45337</v>
      </c>
      <c r="D8" s="29">
        <v>45366</v>
      </c>
      <c r="E8" s="29">
        <v>45397</v>
      </c>
      <c r="F8" s="29">
        <v>45427</v>
      </c>
      <c r="G8" s="29">
        <v>45458</v>
      </c>
      <c r="H8" s="29">
        <v>45488</v>
      </c>
      <c r="I8" s="29">
        <v>45519</v>
      </c>
      <c r="J8" s="29">
        <v>45550</v>
      </c>
      <c r="K8" s="29">
        <v>45580</v>
      </c>
      <c r="L8" s="29">
        <v>45611</v>
      </c>
      <c r="M8" s="30">
        <v>45641</v>
      </c>
    </row>
    <row r="9" spans="1:13">
      <c r="A9" s="31" t="s">
        <v>77</v>
      </c>
      <c r="B9" s="32">
        <v>7</v>
      </c>
      <c r="C9" s="32">
        <v>6.5</v>
      </c>
      <c r="D9" s="32">
        <v>5.5</v>
      </c>
      <c r="E9" s="32">
        <v>5</v>
      </c>
      <c r="F9" s="32">
        <v>5</v>
      </c>
      <c r="G9" s="32">
        <v>5</v>
      </c>
      <c r="H9" s="32">
        <v>5</v>
      </c>
      <c r="I9" s="32">
        <v>5</v>
      </c>
      <c r="J9" s="32">
        <v>5</v>
      </c>
      <c r="K9" s="32">
        <v>5</v>
      </c>
      <c r="L9" s="32">
        <v>5</v>
      </c>
      <c r="M9" s="32">
        <v>5</v>
      </c>
    </row>
    <row r="10" spans="1:13">
      <c r="A10" s="26" t="s">
        <v>78</v>
      </c>
      <c r="B10" s="33">
        <f>'revenue 2023'!M10*1.2</f>
        <v>418.03775999999993</v>
      </c>
      <c r="C10" s="33">
        <f t="shared" ref="C10:M10" si="0">B10*1.2</f>
        <v>501.64531199999988</v>
      </c>
      <c r="D10" s="33">
        <f t="shared" si="0"/>
        <v>601.97437439999987</v>
      </c>
      <c r="E10" s="33">
        <f t="shared" si="0"/>
        <v>722.36924927999985</v>
      </c>
      <c r="F10" s="33">
        <f t="shared" si="0"/>
        <v>866.84309913599975</v>
      </c>
      <c r="G10" s="33">
        <f t="shared" si="0"/>
        <v>1040.2117189631997</v>
      </c>
      <c r="H10" s="33">
        <f t="shared" si="0"/>
        <v>1248.2540627558396</v>
      </c>
      <c r="I10" s="33">
        <f t="shared" si="0"/>
        <v>1497.9048753070076</v>
      </c>
      <c r="J10" s="33">
        <f t="shared" si="0"/>
        <v>1797.485850368409</v>
      </c>
      <c r="K10" s="33">
        <f t="shared" si="0"/>
        <v>2156.9830204420909</v>
      </c>
      <c r="L10" s="33">
        <f t="shared" si="0"/>
        <v>2588.3796245305089</v>
      </c>
      <c r="M10" s="34">
        <f t="shared" si="0"/>
        <v>3106.0555494366104</v>
      </c>
    </row>
    <row r="11" spans="1:13">
      <c r="A11" s="35" t="s">
        <v>79</v>
      </c>
      <c r="B11" s="36">
        <f t="shared" ref="B11:M11" si="1">(B14/B10)*100</f>
        <v>31.013001074352715</v>
      </c>
      <c r="C11" s="36">
        <f t="shared" si="1"/>
        <v>29.720792696254687</v>
      </c>
      <c r="D11" s="36">
        <f t="shared" si="1"/>
        <v>28.482426333910738</v>
      </c>
      <c r="E11" s="36">
        <f t="shared" si="1"/>
        <v>27.295658569997794</v>
      </c>
      <c r="F11" s="36">
        <f t="shared" si="1"/>
        <v>26.158339462914554</v>
      </c>
      <c r="G11" s="36">
        <f t="shared" si="1"/>
        <v>25.068408651959778</v>
      </c>
      <c r="H11" s="36">
        <f t="shared" si="1"/>
        <v>24.023891624794786</v>
      </c>
      <c r="I11" s="36">
        <f t="shared" si="1"/>
        <v>23.022896140428337</v>
      </c>
      <c r="J11" s="36">
        <f t="shared" si="1"/>
        <v>22.063608801243824</v>
      </c>
      <c r="K11" s="36">
        <f t="shared" si="1"/>
        <v>21.144291767858665</v>
      </c>
      <c r="L11" s="36">
        <f t="shared" si="1"/>
        <v>20.263279610864558</v>
      </c>
      <c r="M11" s="36">
        <f t="shared" si="1"/>
        <v>19.418976293745203</v>
      </c>
    </row>
    <row r="12" spans="1:13">
      <c r="A12" s="26" t="s">
        <v>80</v>
      </c>
      <c r="B12" s="2">
        <v>0</v>
      </c>
      <c r="C12" s="37">
        <f t="shared" ref="C12:M12" si="2">-1*B15*(C9/100)</f>
        <v>-8.4269935749999991</v>
      </c>
      <c r="D12" s="37">
        <f t="shared" si="2"/>
        <v>-14.867161357124999</v>
      </c>
      <c r="E12" s="37">
        <f t="shared" si="2"/>
        <v>-21.766438231518748</v>
      </c>
      <c r="F12" s="37">
        <f t="shared" si="2"/>
        <v>-31.28024658270531</v>
      </c>
      <c r="G12" s="37">
        <f t="shared" si="2"/>
        <v>-42.142144189288175</v>
      </c>
      <c r="H12" s="37">
        <f t="shared" si="2"/>
        <v>-54.637275536722541</v>
      </c>
      <c r="I12" s="37">
        <f t="shared" si="2"/>
        <v>-69.006479131278866</v>
      </c>
      <c r="J12" s="37">
        <f t="shared" si="2"/>
        <v>-85.531073137768317</v>
      </c>
      <c r="K12" s="37">
        <f t="shared" si="2"/>
        <v>-104.53435575159365</v>
      </c>
      <c r="L12" s="37">
        <f t="shared" si="2"/>
        <v>-126.38813078217473</v>
      </c>
      <c r="M12" s="38">
        <f t="shared" si="2"/>
        <v>-151.51997206610881</v>
      </c>
    </row>
    <row r="13" spans="1:13">
      <c r="A13" s="26" t="s">
        <v>81</v>
      </c>
      <c r="B13" s="37">
        <f t="shared" ref="B13:M13" si="3">SUM($B12:B12)</f>
        <v>0</v>
      </c>
      <c r="C13" s="37">
        <f t="shared" si="3"/>
        <v>-8.4269935749999991</v>
      </c>
      <c r="D13" s="37">
        <f t="shared" si="3"/>
        <v>-23.294154932124997</v>
      </c>
      <c r="E13" s="37">
        <f t="shared" si="3"/>
        <v>-45.060593163643745</v>
      </c>
      <c r="F13" s="37">
        <f t="shared" si="3"/>
        <v>-76.340839746349047</v>
      </c>
      <c r="G13" s="37">
        <f t="shared" si="3"/>
        <v>-118.48298393563722</v>
      </c>
      <c r="H13" s="37">
        <f t="shared" si="3"/>
        <v>-173.12025947235975</v>
      </c>
      <c r="I13" s="37">
        <f t="shared" si="3"/>
        <v>-242.12673860363861</v>
      </c>
      <c r="J13" s="37">
        <f t="shared" si="3"/>
        <v>-327.65781174140693</v>
      </c>
      <c r="K13" s="37">
        <f t="shared" si="3"/>
        <v>-432.19216749300057</v>
      </c>
      <c r="L13" s="37">
        <f t="shared" si="3"/>
        <v>-558.58029827517532</v>
      </c>
      <c r="M13" s="38">
        <f t="shared" si="3"/>
        <v>-710.10027034128416</v>
      </c>
    </row>
    <row r="14" spans="1:13">
      <c r="A14" s="26" t="s">
        <v>82</v>
      </c>
      <c r="B14" s="37">
        <f>'revenue 2023'!M14*1.15</f>
        <v>129.64605499999999</v>
      </c>
      <c r="C14" s="37">
        <f t="shared" ref="C14:M14" si="4">B14+(B14*$B2)</f>
        <v>149.09296325</v>
      </c>
      <c r="D14" s="37">
        <f t="shared" si="4"/>
        <v>171.45690773749999</v>
      </c>
      <c r="E14" s="37">
        <f t="shared" si="4"/>
        <v>197.175443898125</v>
      </c>
      <c r="F14" s="37">
        <f t="shared" si="4"/>
        <v>226.75176048284374</v>
      </c>
      <c r="G14" s="37">
        <f t="shared" si="4"/>
        <v>260.76452455527027</v>
      </c>
      <c r="H14" s="37">
        <f t="shared" si="4"/>
        <v>299.87920323856082</v>
      </c>
      <c r="I14" s="37">
        <f t="shared" si="4"/>
        <v>344.86108372434495</v>
      </c>
      <c r="J14" s="37">
        <f t="shared" si="4"/>
        <v>396.5902462829967</v>
      </c>
      <c r="K14" s="37">
        <f t="shared" si="4"/>
        <v>456.07878322544622</v>
      </c>
      <c r="L14" s="37">
        <f t="shared" si="4"/>
        <v>524.49060070926316</v>
      </c>
      <c r="M14" s="38">
        <f t="shared" si="4"/>
        <v>603.16419081565266</v>
      </c>
    </row>
    <row r="15" spans="1:13">
      <c r="A15" s="26" t="s">
        <v>83</v>
      </c>
      <c r="B15" s="37">
        <f>SUM($B14:B14)+B13</f>
        <v>129.64605499999999</v>
      </c>
      <c r="C15" s="37">
        <f t="shared" ref="C15:M15" si="5">SUM($B14:C14)+C12</f>
        <v>270.31202467499998</v>
      </c>
      <c r="D15" s="37">
        <f t="shared" si="5"/>
        <v>435.32876463037496</v>
      </c>
      <c r="E15" s="37">
        <f t="shared" si="5"/>
        <v>625.60493165410617</v>
      </c>
      <c r="F15" s="37">
        <f t="shared" si="5"/>
        <v>842.84288378576343</v>
      </c>
      <c r="G15" s="37">
        <f t="shared" si="5"/>
        <v>1092.7455107344508</v>
      </c>
      <c r="H15" s="37">
        <f t="shared" si="5"/>
        <v>1380.1295826255773</v>
      </c>
      <c r="I15" s="37">
        <f t="shared" si="5"/>
        <v>1710.6214627553661</v>
      </c>
      <c r="J15" s="37">
        <f t="shared" si="5"/>
        <v>2090.687115031873</v>
      </c>
      <c r="K15" s="37">
        <f t="shared" si="5"/>
        <v>2527.7626156434944</v>
      </c>
      <c r="L15" s="37">
        <f t="shared" si="5"/>
        <v>3030.3994413221762</v>
      </c>
      <c r="M15" s="37">
        <f t="shared" si="5"/>
        <v>3608.4317908538947</v>
      </c>
    </row>
    <row r="16" spans="1:13">
      <c r="A16" s="35" t="s">
        <v>84</v>
      </c>
      <c r="B16" s="5">
        <f t="shared" ref="B16:M16" si="6">B15*$B6</f>
        <v>2074.3368799999998</v>
      </c>
      <c r="C16" s="5">
        <f t="shared" si="6"/>
        <v>4324.9923947999996</v>
      </c>
      <c r="D16" s="5">
        <f t="shared" si="6"/>
        <v>6965.2602340859994</v>
      </c>
      <c r="E16" s="5">
        <f t="shared" si="6"/>
        <v>10009.678906465699</v>
      </c>
      <c r="F16" s="5">
        <f t="shared" si="6"/>
        <v>13485.486140572215</v>
      </c>
      <c r="G16" s="5">
        <f t="shared" si="6"/>
        <v>17483.928171751213</v>
      </c>
      <c r="H16" s="5">
        <f t="shared" si="6"/>
        <v>22082.073322009237</v>
      </c>
      <c r="I16" s="5">
        <f t="shared" si="6"/>
        <v>27369.943404085858</v>
      </c>
      <c r="J16" s="5">
        <f t="shared" si="6"/>
        <v>33450.993840509967</v>
      </c>
      <c r="K16" s="5">
        <f t="shared" si="6"/>
        <v>40444.201850295911</v>
      </c>
      <c r="L16" s="5">
        <f t="shared" si="6"/>
        <v>48486.39106115482</v>
      </c>
      <c r="M16" s="5">
        <f t="shared" si="6"/>
        <v>57734.908653662314</v>
      </c>
    </row>
    <row r="17" spans="1:13">
      <c r="A17" s="26" t="s">
        <v>85</v>
      </c>
      <c r="B17" s="2"/>
      <c r="C17" s="39">
        <f t="shared" ref="C17:M17" si="7">(C16-B16)/B16</f>
        <v>1.085</v>
      </c>
      <c r="D17" s="39">
        <f t="shared" si="7"/>
        <v>0.61046762589928061</v>
      </c>
      <c r="E17" s="39">
        <f t="shared" si="7"/>
        <v>0.43708613462583662</v>
      </c>
      <c r="F17" s="39">
        <f t="shared" si="7"/>
        <v>0.34724462858257493</v>
      </c>
      <c r="G17" s="39">
        <f t="shared" si="7"/>
        <v>0.2964996581880241</v>
      </c>
      <c r="H17" s="39">
        <f t="shared" si="7"/>
        <v>0.26299268134075543</v>
      </c>
      <c r="I17" s="39">
        <f t="shared" si="7"/>
        <v>0.23946438384507093</v>
      </c>
      <c r="J17" s="39">
        <f t="shared" si="7"/>
        <v>0.22217986886725949</v>
      </c>
      <c r="K17" s="39">
        <f t="shared" si="7"/>
        <v>0.20905830311436063</v>
      </c>
      <c r="L17" s="39">
        <f t="shared" si="7"/>
        <v>0.19884653035377106</v>
      </c>
      <c r="M17" s="40">
        <f t="shared" si="7"/>
        <v>0.19074460668443116</v>
      </c>
    </row>
    <row r="18" spans="1:13">
      <c r="A18" s="35" t="s">
        <v>86</v>
      </c>
      <c r="B18" s="5">
        <f>B16</f>
        <v>2074.3368799999998</v>
      </c>
      <c r="C18" s="5">
        <f t="shared" ref="C18:M18" si="8">SUM($B16:C16)</f>
        <v>6399.3292747999994</v>
      </c>
      <c r="D18" s="5">
        <f t="shared" si="8"/>
        <v>13364.589508885998</v>
      </c>
      <c r="E18" s="5">
        <f t="shared" si="8"/>
        <v>23374.268415351697</v>
      </c>
      <c r="F18" s="5">
        <f t="shared" si="8"/>
        <v>36859.754555923908</v>
      </c>
      <c r="G18" s="5">
        <f t="shared" si="8"/>
        <v>54343.682727675121</v>
      </c>
      <c r="H18" s="5">
        <f t="shared" si="8"/>
        <v>76425.756049684365</v>
      </c>
      <c r="I18" s="5">
        <f t="shared" si="8"/>
        <v>103795.69945377023</v>
      </c>
      <c r="J18" s="5">
        <f t="shared" si="8"/>
        <v>137246.69329428021</v>
      </c>
      <c r="K18" s="5">
        <f t="shared" si="8"/>
        <v>177690.89514457612</v>
      </c>
      <c r="L18" s="5">
        <f t="shared" si="8"/>
        <v>226177.28620573092</v>
      </c>
      <c r="M18" s="5">
        <f t="shared" si="8"/>
        <v>283912.19485939323</v>
      </c>
    </row>
    <row r="19" spans="1:13">
      <c r="A19" s="26" t="s">
        <v>87</v>
      </c>
      <c r="B19" s="59">
        <f t="shared" ref="B19:M19" si="9">100/B9</f>
        <v>14.285714285714286</v>
      </c>
      <c r="C19" s="59">
        <f t="shared" si="9"/>
        <v>15.384615384615385</v>
      </c>
      <c r="D19" s="59">
        <f t="shared" si="9"/>
        <v>18.181818181818183</v>
      </c>
      <c r="E19" s="59">
        <f t="shared" si="9"/>
        <v>20</v>
      </c>
      <c r="F19" s="59">
        <f t="shared" si="9"/>
        <v>20</v>
      </c>
      <c r="G19" s="59">
        <f t="shared" si="9"/>
        <v>20</v>
      </c>
      <c r="H19" s="59">
        <f t="shared" si="9"/>
        <v>20</v>
      </c>
      <c r="I19" s="59">
        <f t="shared" si="9"/>
        <v>20</v>
      </c>
      <c r="J19" s="59">
        <f t="shared" si="9"/>
        <v>20</v>
      </c>
      <c r="K19" s="59">
        <f t="shared" si="9"/>
        <v>20</v>
      </c>
      <c r="L19" s="59">
        <f t="shared" si="9"/>
        <v>20</v>
      </c>
      <c r="M19" s="59">
        <f t="shared" si="9"/>
        <v>20</v>
      </c>
    </row>
    <row r="20" spans="1:13">
      <c r="A20" s="41" t="s">
        <v>88</v>
      </c>
      <c r="B20" s="59">
        <f t="shared" ref="B20:M20" si="10">$B6*B19</f>
        <v>228.57142857142858</v>
      </c>
      <c r="C20" s="59">
        <f t="shared" si="10"/>
        <v>246.15384615384616</v>
      </c>
      <c r="D20" s="59">
        <f t="shared" si="10"/>
        <v>290.90909090909093</v>
      </c>
      <c r="E20" s="59">
        <f t="shared" si="10"/>
        <v>320</v>
      </c>
      <c r="F20" s="59">
        <f t="shared" si="10"/>
        <v>320</v>
      </c>
      <c r="G20" s="59">
        <f t="shared" si="10"/>
        <v>320</v>
      </c>
      <c r="H20" s="59">
        <f t="shared" si="10"/>
        <v>320</v>
      </c>
      <c r="I20" s="59">
        <f t="shared" si="10"/>
        <v>320</v>
      </c>
      <c r="J20" s="59">
        <f t="shared" si="10"/>
        <v>320</v>
      </c>
      <c r="K20" s="59">
        <f t="shared" si="10"/>
        <v>320</v>
      </c>
      <c r="L20" s="59">
        <f t="shared" si="10"/>
        <v>320</v>
      </c>
      <c r="M20" s="59">
        <f t="shared" si="10"/>
        <v>320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725B-FCEC-DC4E-B028-1CED8387012B}">
  <dimension ref="A1:M20"/>
  <sheetViews>
    <sheetView tabSelected="1" workbookViewId="0">
      <selection activeCell="A30" sqref="A30"/>
    </sheetView>
  </sheetViews>
  <sheetFormatPr baseColWidth="10" defaultColWidth="11" defaultRowHeight="16"/>
  <cols>
    <col min="1" max="1" width="42.5" customWidth="1"/>
    <col min="2" max="2" width="16.33203125" customWidth="1"/>
    <col min="3" max="4" width="13.33203125" customWidth="1"/>
    <col min="5" max="5" width="12.5" customWidth="1"/>
    <col min="6" max="6" width="14" customWidth="1"/>
    <col min="7" max="7" width="13.6640625" customWidth="1"/>
    <col min="8" max="8" width="12.5" customWidth="1"/>
    <col min="9" max="10" width="12.33203125" customWidth="1"/>
    <col min="11" max="11" width="14.5" customWidth="1"/>
    <col min="12" max="12" width="14" customWidth="1"/>
    <col min="13" max="13" width="14.5" customWidth="1"/>
  </cols>
  <sheetData>
    <row r="1" spans="1:13">
      <c r="A1" s="12" t="s">
        <v>90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 t="s">
        <v>71</v>
      </c>
      <c r="B2" s="4">
        <v>0.2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 t="s">
        <v>72</v>
      </c>
      <c r="B3" s="5">
        <v>10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 t="s">
        <v>73</v>
      </c>
      <c r="B4" s="5">
        <v>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 t="s">
        <v>74</v>
      </c>
      <c r="B5" s="5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3" t="s">
        <v>75</v>
      </c>
      <c r="B6" s="5">
        <f>0.9*B3+0.1*B4+B5</f>
        <v>16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7" t="s">
        <v>76</v>
      </c>
      <c r="B8" s="28">
        <v>45672</v>
      </c>
      <c r="C8" s="29">
        <v>45703</v>
      </c>
      <c r="D8" s="29">
        <v>45731</v>
      </c>
      <c r="E8" s="29">
        <v>45762</v>
      </c>
      <c r="F8" s="29">
        <v>45792</v>
      </c>
      <c r="G8" s="29">
        <v>45823</v>
      </c>
      <c r="H8" s="29">
        <v>45853</v>
      </c>
      <c r="I8" s="29">
        <v>45884</v>
      </c>
      <c r="J8" s="29">
        <v>45915</v>
      </c>
      <c r="K8" s="29">
        <v>45945</v>
      </c>
      <c r="L8" s="29">
        <v>45976</v>
      </c>
      <c r="M8" s="30">
        <v>46006</v>
      </c>
    </row>
    <row r="9" spans="1:13">
      <c r="A9" s="31" t="s">
        <v>77</v>
      </c>
      <c r="B9" s="32">
        <v>5</v>
      </c>
      <c r="C9" s="32">
        <v>5</v>
      </c>
      <c r="D9" s="32">
        <v>5</v>
      </c>
      <c r="E9" s="32">
        <v>5</v>
      </c>
      <c r="F9" s="32">
        <v>5</v>
      </c>
      <c r="G9" s="32">
        <v>5</v>
      </c>
      <c r="H9" s="32">
        <v>5</v>
      </c>
      <c r="I9" s="32">
        <v>5</v>
      </c>
      <c r="J9" s="32">
        <v>5</v>
      </c>
      <c r="K9" s="32">
        <v>5</v>
      </c>
      <c r="L9" s="32">
        <v>5</v>
      </c>
      <c r="M9" s="32">
        <v>5</v>
      </c>
    </row>
    <row r="10" spans="1:13">
      <c r="A10" s="26" t="s">
        <v>78</v>
      </c>
      <c r="B10" s="33">
        <f>'revenue 2024'!M10*1.2</f>
        <v>3727.2666593239323</v>
      </c>
      <c r="C10" s="33">
        <f t="shared" ref="C10:M10" si="0">B10*1.2</f>
        <v>4472.7199911887183</v>
      </c>
      <c r="D10" s="33">
        <f t="shared" si="0"/>
        <v>5367.2639894264621</v>
      </c>
      <c r="E10" s="33">
        <f t="shared" si="0"/>
        <v>6440.7167873117542</v>
      </c>
      <c r="F10" s="33">
        <f t="shared" si="0"/>
        <v>7728.8601447741048</v>
      </c>
      <c r="G10" s="33">
        <f t="shared" si="0"/>
        <v>9274.6321737289254</v>
      </c>
      <c r="H10" s="33">
        <f t="shared" si="0"/>
        <v>11129.55860847471</v>
      </c>
      <c r="I10" s="33">
        <f t="shared" si="0"/>
        <v>13355.470330169652</v>
      </c>
      <c r="J10" s="33">
        <f t="shared" si="0"/>
        <v>16026.564396203581</v>
      </c>
      <c r="K10" s="33">
        <f t="shared" si="0"/>
        <v>19231.877275444298</v>
      </c>
      <c r="L10" s="33">
        <f t="shared" si="0"/>
        <v>23078.252730533157</v>
      </c>
      <c r="M10" s="34">
        <f t="shared" si="0"/>
        <v>27693.903276639787</v>
      </c>
    </row>
    <row r="11" spans="1:13">
      <c r="A11" s="35" t="s">
        <v>79</v>
      </c>
      <c r="B11" s="36">
        <f t="shared" ref="B11:M11" si="1">(B14/B10)*100</f>
        <v>19.418976293745203</v>
      </c>
      <c r="C11" s="36">
        <f t="shared" si="1"/>
        <v>19.418976293745203</v>
      </c>
      <c r="D11" s="36">
        <f t="shared" si="1"/>
        <v>19.418976293745203</v>
      </c>
      <c r="E11" s="36">
        <f t="shared" si="1"/>
        <v>19.418976293745203</v>
      </c>
      <c r="F11" s="36">
        <f t="shared" si="1"/>
        <v>19.418976293745203</v>
      </c>
      <c r="G11" s="36">
        <f t="shared" si="1"/>
        <v>19.418976293745203</v>
      </c>
      <c r="H11" s="36">
        <f t="shared" si="1"/>
        <v>19.418976293745203</v>
      </c>
      <c r="I11" s="36">
        <f t="shared" si="1"/>
        <v>19.418976293745203</v>
      </c>
      <c r="J11" s="36">
        <f t="shared" si="1"/>
        <v>19.418976293745207</v>
      </c>
      <c r="K11" s="36">
        <f t="shared" si="1"/>
        <v>19.418976293745203</v>
      </c>
      <c r="L11" s="36">
        <f t="shared" si="1"/>
        <v>19.418976293745207</v>
      </c>
      <c r="M11" s="36">
        <f t="shared" si="1"/>
        <v>19.418976293745207</v>
      </c>
    </row>
    <row r="12" spans="1:13">
      <c r="A12" s="26" t="s">
        <v>80</v>
      </c>
      <c r="B12" s="2">
        <v>0</v>
      </c>
      <c r="C12" s="37">
        <f t="shared" ref="C12:M12" si="2">-1*B15*(C9/100)</f>
        <v>-36.189851448939159</v>
      </c>
      <c r="D12" s="37">
        <f t="shared" si="2"/>
        <v>-77.8081806152192</v>
      </c>
      <c r="E12" s="37">
        <f t="shared" si="2"/>
        <v>-127.84065024337758</v>
      </c>
      <c r="F12" s="37">
        <f t="shared" si="2"/>
        <v>-187.87509006573652</v>
      </c>
      <c r="G12" s="37">
        <f t="shared" si="2"/>
        <v>-259.91664403913882</v>
      </c>
      <c r="H12" s="37">
        <f t="shared" si="2"/>
        <v>-346.36649749789296</v>
      </c>
      <c r="I12" s="37">
        <f t="shared" si="2"/>
        <v>-450.10632221386442</v>
      </c>
      <c r="J12" s="37">
        <f t="shared" si="2"/>
        <v>-574.59411184475687</v>
      </c>
      <c r="K12" s="37">
        <f t="shared" si="2"/>
        <v>-723.97945940324144</v>
      </c>
      <c r="L12" s="37">
        <f t="shared" si="2"/>
        <v>-903.24187647335202</v>
      </c>
      <c r="M12" s="38">
        <f t="shared" si="2"/>
        <v>-1118.3567769574886</v>
      </c>
    </row>
    <row r="13" spans="1:13">
      <c r="A13" s="26" t="s">
        <v>81</v>
      </c>
      <c r="B13" s="37">
        <f t="shared" ref="B13:M13" si="3">SUM($B12:B12)</f>
        <v>0</v>
      </c>
      <c r="C13" s="37">
        <f t="shared" si="3"/>
        <v>-36.189851448939159</v>
      </c>
      <c r="D13" s="37">
        <f t="shared" si="3"/>
        <v>-113.99803206415837</v>
      </c>
      <c r="E13" s="37">
        <f t="shared" si="3"/>
        <v>-241.83868230753595</v>
      </c>
      <c r="F13" s="37">
        <f t="shared" si="3"/>
        <v>-429.71377237327249</v>
      </c>
      <c r="G13" s="37">
        <f t="shared" si="3"/>
        <v>-689.63041641241125</v>
      </c>
      <c r="H13" s="37">
        <f t="shared" si="3"/>
        <v>-1035.9969139103041</v>
      </c>
      <c r="I13" s="37">
        <f t="shared" si="3"/>
        <v>-1486.1032361241685</v>
      </c>
      <c r="J13" s="37">
        <f t="shared" si="3"/>
        <v>-2060.6973479689254</v>
      </c>
      <c r="K13" s="37">
        <f t="shared" si="3"/>
        <v>-2784.6768073721669</v>
      </c>
      <c r="L13" s="37">
        <f t="shared" si="3"/>
        <v>-3687.9186838455189</v>
      </c>
      <c r="M13" s="38">
        <f t="shared" si="3"/>
        <v>-4806.2754608030073</v>
      </c>
    </row>
    <row r="14" spans="1:13">
      <c r="A14" s="26" t="s">
        <v>82</v>
      </c>
      <c r="B14" s="37">
        <f>'revenue 2024'!M14 * 1.2</f>
        <v>723.79702897878315</v>
      </c>
      <c r="C14" s="37">
        <f t="shared" ref="C14:M14" si="4">B14+(B14*$B2)</f>
        <v>868.55643477453975</v>
      </c>
      <c r="D14" s="37">
        <f t="shared" si="4"/>
        <v>1042.2677217294477</v>
      </c>
      <c r="E14" s="37">
        <f t="shared" si="4"/>
        <v>1250.7212660753371</v>
      </c>
      <c r="F14" s="37">
        <f t="shared" si="4"/>
        <v>1500.8655192904046</v>
      </c>
      <c r="G14" s="37">
        <f t="shared" si="4"/>
        <v>1801.0386231484854</v>
      </c>
      <c r="H14" s="37">
        <f t="shared" si="4"/>
        <v>2161.2463477781826</v>
      </c>
      <c r="I14" s="37">
        <f t="shared" si="4"/>
        <v>2593.4956173338192</v>
      </c>
      <c r="J14" s="37">
        <f t="shared" si="4"/>
        <v>3112.1947408005831</v>
      </c>
      <c r="K14" s="37">
        <f t="shared" si="4"/>
        <v>3734.6336889606996</v>
      </c>
      <c r="L14" s="37">
        <f t="shared" si="4"/>
        <v>4481.5604267528397</v>
      </c>
      <c r="M14" s="38">
        <f t="shared" si="4"/>
        <v>5377.8725121034076</v>
      </c>
    </row>
    <row r="15" spans="1:13">
      <c r="A15" s="26" t="s">
        <v>83</v>
      </c>
      <c r="B15" s="37">
        <f>SUM($B14:B14)+B13</f>
        <v>723.79702897878315</v>
      </c>
      <c r="C15" s="37">
        <f t="shared" ref="C15:M15" si="5">SUM($B14:C14)+C12</f>
        <v>1556.1636123043838</v>
      </c>
      <c r="D15" s="37">
        <f t="shared" si="5"/>
        <v>2556.8130048675516</v>
      </c>
      <c r="E15" s="37">
        <f t="shared" si="5"/>
        <v>3757.5018013147301</v>
      </c>
      <c r="F15" s="37">
        <f t="shared" si="5"/>
        <v>5198.3328807827756</v>
      </c>
      <c r="G15" s="37">
        <f t="shared" si="5"/>
        <v>6927.3299499578588</v>
      </c>
      <c r="H15" s="37">
        <f t="shared" si="5"/>
        <v>9002.1264442772881</v>
      </c>
      <c r="I15" s="37">
        <f t="shared" si="5"/>
        <v>11491.882236895137</v>
      </c>
      <c r="J15" s="37">
        <f t="shared" si="5"/>
        <v>14479.589188064827</v>
      </c>
      <c r="K15" s="37">
        <f t="shared" si="5"/>
        <v>18064.83752946704</v>
      </c>
      <c r="L15" s="37">
        <f t="shared" si="5"/>
        <v>22367.135539149771</v>
      </c>
      <c r="M15" s="37">
        <f t="shared" si="5"/>
        <v>27529.893150769043</v>
      </c>
    </row>
    <row r="16" spans="1:13">
      <c r="A16" s="35" t="s">
        <v>84</v>
      </c>
      <c r="B16" s="5">
        <f t="shared" ref="B16:M16" si="6">B15*$B6</f>
        <v>11580.75246366053</v>
      </c>
      <c r="C16" s="5">
        <f t="shared" si="6"/>
        <v>24898.617796870141</v>
      </c>
      <c r="D16" s="5">
        <f t="shared" si="6"/>
        <v>40909.008077880826</v>
      </c>
      <c r="E16" s="5">
        <f t="shared" si="6"/>
        <v>60120.028821035681</v>
      </c>
      <c r="F16" s="5">
        <f t="shared" si="6"/>
        <v>83173.32609252441</v>
      </c>
      <c r="G16" s="5">
        <f t="shared" si="6"/>
        <v>110837.27919932574</v>
      </c>
      <c r="H16" s="5">
        <f t="shared" si="6"/>
        <v>144034.02310843661</v>
      </c>
      <c r="I16" s="5">
        <f t="shared" si="6"/>
        <v>183870.11579032219</v>
      </c>
      <c r="J16" s="5">
        <f t="shared" si="6"/>
        <v>231673.42700903723</v>
      </c>
      <c r="K16" s="5">
        <f t="shared" si="6"/>
        <v>289037.40047147265</v>
      </c>
      <c r="L16" s="5">
        <f t="shared" si="6"/>
        <v>357874.16862639633</v>
      </c>
      <c r="M16" s="5">
        <f t="shared" si="6"/>
        <v>440478.29041230469</v>
      </c>
    </row>
    <row r="17" spans="1:13">
      <c r="A17" s="26" t="s">
        <v>85</v>
      </c>
      <c r="B17" s="2"/>
      <c r="C17" s="39">
        <f t="shared" ref="C17:M17" si="7">(C16-B16)/B16</f>
        <v>1.1500000000000001</v>
      </c>
      <c r="D17" s="39">
        <f t="shared" si="7"/>
        <v>0.64302325581395348</v>
      </c>
      <c r="E17" s="39">
        <f t="shared" si="7"/>
        <v>0.46960368011323406</v>
      </c>
      <c r="F17" s="39">
        <f t="shared" si="7"/>
        <v>0.38345452794298235</v>
      </c>
      <c r="G17" s="39">
        <f t="shared" si="7"/>
        <v>0.33260606983574459</v>
      </c>
      <c r="H17" s="39">
        <f t="shared" si="7"/>
        <v>0.29950883086376606</v>
      </c>
      <c r="I17" s="39">
        <f t="shared" si="7"/>
        <v>0.27657418589144606</v>
      </c>
      <c r="J17" s="39">
        <f t="shared" si="7"/>
        <v>0.25998412527910703</v>
      </c>
      <c r="K17" s="39">
        <f t="shared" si="7"/>
        <v>0.24760704843459555</v>
      </c>
      <c r="L17" s="39">
        <f t="shared" si="7"/>
        <v>0.23815868826192865</v>
      </c>
      <c r="M17" s="40">
        <f t="shared" si="7"/>
        <v>0.23081889956730334</v>
      </c>
    </row>
    <row r="18" spans="1:13">
      <c r="A18" s="35" t="s">
        <v>86</v>
      </c>
      <c r="B18" s="5">
        <f>B16</f>
        <v>11580.75246366053</v>
      </c>
      <c r="C18" s="5">
        <f t="shared" ref="C18:M18" si="8">SUM($B16:C16)</f>
        <v>36479.370260530675</v>
      </c>
      <c r="D18" s="5">
        <f t="shared" si="8"/>
        <v>77388.378338411509</v>
      </c>
      <c r="E18" s="5">
        <f t="shared" si="8"/>
        <v>137508.4071594472</v>
      </c>
      <c r="F18" s="5">
        <f t="shared" si="8"/>
        <v>220681.7332519716</v>
      </c>
      <c r="G18" s="5">
        <f t="shared" si="8"/>
        <v>331519.01245129737</v>
      </c>
      <c r="H18" s="5">
        <f t="shared" si="8"/>
        <v>475553.03555973398</v>
      </c>
      <c r="I18" s="5">
        <f t="shared" si="8"/>
        <v>659423.15135005617</v>
      </c>
      <c r="J18" s="5">
        <f t="shared" si="8"/>
        <v>891096.5783590934</v>
      </c>
      <c r="K18" s="5">
        <f t="shared" si="8"/>
        <v>1180133.9788305662</v>
      </c>
      <c r="L18" s="5">
        <f t="shared" si="8"/>
        <v>1538008.1474569626</v>
      </c>
      <c r="M18" s="5">
        <f t="shared" si="8"/>
        <v>1978486.4378692673</v>
      </c>
    </row>
    <row r="19" spans="1:13">
      <c r="A19" s="26" t="s">
        <v>87</v>
      </c>
      <c r="B19" s="59">
        <f t="shared" ref="B19:M19" si="9">100/B9</f>
        <v>20</v>
      </c>
      <c r="C19" s="59">
        <f t="shared" si="9"/>
        <v>20</v>
      </c>
      <c r="D19" s="59">
        <f t="shared" si="9"/>
        <v>20</v>
      </c>
      <c r="E19" s="59">
        <f t="shared" si="9"/>
        <v>20</v>
      </c>
      <c r="F19" s="59">
        <f t="shared" si="9"/>
        <v>20</v>
      </c>
      <c r="G19" s="59">
        <f t="shared" si="9"/>
        <v>20</v>
      </c>
      <c r="H19" s="59">
        <f t="shared" si="9"/>
        <v>20</v>
      </c>
      <c r="I19" s="59">
        <f t="shared" si="9"/>
        <v>20</v>
      </c>
      <c r="J19" s="59">
        <f t="shared" si="9"/>
        <v>20</v>
      </c>
      <c r="K19" s="59">
        <f t="shared" si="9"/>
        <v>20</v>
      </c>
      <c r="L19" s="59">
        <f t="shared" si="9"/>
        <v>20</v>
      </c>
      <c r="M19" s="59">
        <f t="shared" si="9"/>
        <v>20</v>
      </c>
    </row>
    <row r="20" spans="1:13">
      <c r="A20" s="41" t="s">
        <v>88</v>
      </c>
      <c r="B20" s="59">
        <f t="shared" ref="B20:M20" si="10">$B6*B19</f>
        <v>320</v>
      </c>
      <c r="C20" s="59">
        <f t="shared" si="10"/>
        <v>320</v>
      </c>
      <c r="D20" s="59">
        <f t="shared" si="10"/>
        <v>320</v>
      </c>
      <c r="E20" s="59">
        <f t="shared" si="10"/>
        <v>320</v>
      </c>
      <c r="F20" s="59">
        <f t="shared" si="10"/>
        <v>320</v>
      </c>
      <c r="G20" s="59">
        <f t="shared" si="10"/>
        <v>320</v>
      </c>
      <c r="H20" s="59">
        <f t="shared" si="10"/>
        <v>320</v>
      </c>
      <c r="I20" s="59">
        <f t="shared" si="10"/>
        <v>320</v>
      </c>
      <c r="J20" s="59">
        <f t="shared" si="10"/>
        <v>320</v>
      </c>
      <c r="K20" s="59">
        <f t="shared" si="10"/>
        <v>320</v>
      </c>
      <c r="L20" s="59">
        <f t="shared" si="10"/>
        <v>320</v>
      </c>
      <c r="M20" s="59">
        <f t="shared" si="10"/>
        <v>320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AED3-D487-45FF-91AB-899A28D8D6B9}">
  <dimension ref="A1:I161"/>
  <sheetViews>
    <sheetView topLeftCell="A126" workbookViewId="0">
      <selection activeCell="O136" sqref="O136"/>
    </sheetView>
  </sheetViews>
  <sheetFormatPr baseColWidth="10" defaultColWidth="8.83203125" defaultRowHeight="16"/>
  <cols>
    <col min="1" max="1" width="26.83203125" style="2" customWidth="1"/>
    <col min="2" max="2" width="15.6640625" style="2" customWidth="1"/>
    <col min="3" max="3" width="12.33203125" style="2" customWidth="1"/>
    <col min="4" max="4" width="16.6640625" style="2" customWidth="1"/>
    <col min="5" max="5" width="12.83203125" style="2" customWidth="1"/>
    <col min="6" max="6" width="13.6640625" style="2" customWidth="1"/>
    <col min="7" max="7" width="14.5" style="2" customWidth="1"/>
    <col min="8" max="8" width="12.83203125" style="2" customWidth="1"/>
    <col min="9" max="9" width="13.33203125" style="2" customWidth="1"/>
    <col min="10" max="16384" width="8.83203125" style="2"/>
  </cols>
  <sheetData>
    <row r="1" spans="1:9">
      <c r="A1" s="15">
        <f>IRR(C5:G5)</f>
        <v>1.3395446832227274</v>
      </c>
      <c r="B1" s="15"/>
      <c r="C1" s="15"/>
      <c r="D1" s="2" t="s">
        <v>91</v>
      </c>
      <c r="E1" s="2" t="s">
        <v>92</v>
      </c>
      <c r="F1" s="53">
        <f>NPV(I1,C5,D5,E5,F5,G5)</f>
        <v>1240324.4337283229</v>
      </c>
      <c r="H1" s="2" t="s">
        <v>93</v>
      </c>
      <c r="I1" s="15">
        <v>0.05</v>
      </c>
    </row>
    <row r="3" spans="1:9">
      <c r="C3" s="2" t="s">
        <v>11</v>
      </c>
      <c r="D3" s="2" t="s">
        <v>44</v>
      </c>
      <c r="E3" s="55" t="s">
        <v>62</v>
      </c>
      <c r="F3" s="55" t="s">
        <v>68</v>
      </c>
    </row>
    <row r="5" spans="1:9">
      <c r="C5" s="54">
        <v>-100000</v>
      </c>
      <c r="D5" s="54">
        <f>'costs 2023'!C59</f>
        <v>-77542.216052826654</v>
      </c>
      <c r="E5" s="54">
        <f>'costs 2024'!C58</f>
        <v>-3030.0211934334366</v>
      </c>
      <c r="F5" s="54">
        <f>'costs 2025'!C59</f>
        <v>1712056.416675834</v>
      </c>
      <c r="G5" s="54"/>
    </row>
    <row r="6" spans="1:9">
      <c r="A6" s="2" t="s">
        <v>95</v>
      </c>
    </row>
    <row r="8" spans="1:9">
      <c r="A8" s="60"/>
      <c r="B8" s="61" t="s">
        <v>11</v>
      </c>
      <c r="C8" s="61" t="s">
        <v>44</v>
      </c>
      <c r="D8" s="61" t="s">
        <v>62</v>
      </c>
      <c r="E8" s="61" t="s">
        <v>68</v>
      </c>
    </row>
    <row r="9" spans="1:9">
      <c r="A9" s="60" t="s">
        <v>34</v>
      </c>
      <c r="B9" s="60"/>
      <c r="C9" s="60"/>
      <c r="D9" s="60"/>
      <c r="E9" s="60"/>
    </row>
    <row r="10" spans="1:9">
      <c r="A10" s="60" t="s">
        <v>35</v>
      </c>
      <c r="B10" s="62">
        <v>-8350</v>
      </c>
      <c r="C10" s="62">
        <v>-14043.055555555557</v>
      </c>
      <c r="D10" s="62">
        <v>-17283.333333333332</v>
      </c>
      <c r="E10" s="62">
        <v>-22583.333333333332</v>
      </c>
    </row>
    <row r="11" spans="1:9">
      <c r="A11" s="60" t="s">
        <v>52</v>
      </c>
      <c r="B11" s="62">
        <v>100000</v>
      </c>
      <c r="C11" s="62">
        <v>66600</v>
      </c>
      <c r="D11" s="62">
        <v>-77542.216052826654</v>
      </c>
      <c r="E11" s="62">
        <v>-3030.0211934334366</v>
      </c>
    </row>
    <row r="12" spans="1:9">
      <c r="A12" s="60" t="s">
        <v>96</v>
      </c>
      <c r="B12" s="63">
        <v>11.976047904191617</v>
      </c>
      <c r="C12" s="63">
        <v>4.7425576105231926</v>
      </c>
      <c r="D12" s="63">
        <v>-4.4865313048887172</v>
      </c>
      <c r="E12" s="63">
        <v>-0.13417068015203409</v>
      </c>
    </row>
    <row r="13" spans="1:9">
      <c r="A13" s="60"/>
      <c r="B13" s="60"/>
      <c r="C13" s="63"/>
      <c r="D13" s="63"/>
      <c r="E13" s="63"/>
    </row>
    <row r="14" spans="1:9">
      <c r="A14" s="60" t="s">
        <v>53</v>
      </c>
      <c r="B14" s="60"/>
      <c r="C14" s="60"/>
      <c r="D14" s="60"/>
      <c r="E14" s="60"/>
    </row>
    <row r="15" spans="1:9">
      <c r="A15" s="60" t="s">
        <v>35</v>
      </c>
      <c r="B15" s="60"/>
      <c r="C15" s="62">
        <v>-14043.055555555557</v>
      </c>
      <c r="D15" s="62">
        <v>-17283.333333333332</v>
      </c>
      <c r="E15" s="62">
        <v>-22583.333333333332</v>
      </c>
    </row>
    <row r="16" spans="1:9">
      <c r="A16" s="60" t="s">
        <v>52</v>
      </c>
      <c r="B16" s="60"/>
      <c r="C16" s="62">
        <v>66600</v>
      </c>
      <c r="D16" s="62">
        <v>-77542.216052826654</v>
      </c>
      <c r="E16" s="62">
        <v>-3030.0211934334366</v>
      </c>
    </row>
    <row r="17" spans="1:9">
      <c r="A17" s="60" t="s">
        <v>54</v>
      </c>
      <c r="B17" s="60"/>
      <c r="C17" s="62">
        <v>26374.450613839999</v>
      </c>
      <c r="D17" s="62">
        <v>283912.19485939323</v>
      </c>
      <c r="E17" s="62">
        <v>1978486.4378692673</v>
      </c>
    </row>
    <row r="18" spans="1:9">
      <c r="A18" s="60" t="s">
        <v>55</v>
      </c>
      <c r="B18" s="60"/>
      <c r="C18" s="62">
        <v>92974.450613840003</v>
      </c>
      <c r="D18" s="62">
        <v>206369.97880656656</v>
      </c>
      <c r="E18" s="62">
        <v>1975456.416675834</v>
      </c>
    </row>
    <row r="19" spans="1:9">
      <c r="A19" s="60" t="s">
        <v>97</v>
      </c>
      <c r="B19" s="60"/>
      <c r="C19" s="63">
        <v>6.6206709961393333</v>
      </c>
      <c r="D19" s="63">
        <v>11.940403788229503</v>
      </c>
      <c r="E19" s="63">
        <v>87.474084871254647</v>
      </c>
    </row>
    <row r="24" spans="1:9">
      <c r="A24" s="27" t="s">
        <v>2</v>
      </c>
      <c r="B24" s="42" t="s">
        <v>3</v>
      </c>
      <c r="C24" s="42" t="s">
        <v>4</v>
      </c>
      <c r="D24" s="42" t="s">
        <v>5</v>
      </c>
      <c r="E24" s="44" t="s">
        <v>7</v>
      </c>
      <c r="F24" s="44" t="s">
        <v>8</v>
      </c>
      <c r="G24" s="44" t="s">
        <v>9</v>
      </c>
      <c r="H24" s="44" t="s">
        <v>10</v>
      </c>
      <c r="I24" s="45" t="s">
        <v>11</v>
      </c>
    </row>
    <row r="25" spans="1:9">
      <c r="A25" s="26" t="s">
        <v>12</v>
      </c>
      <c r="B25" s="14">
        <v>20000</v>
      </c>
      <c r="C25" s="15">
        <v>0.09</v>
      </c>
      <c r="D25" s="14">
        <v>21800</v>
      </c>
      <c r="E25" s="14">
        <v>0</v>
      </c>
      <c r="F25" s="14">
        <v>0</v>
      </c>
      <c r="G25" s="14">
        <v>1816.6666666666667</v>
      </c>
      <c r="H25" s="14">
        <v>5450</v>
      </c>
      <c r="I25" s="14">
        <v>7266.666666666667</v>
      </c>
    </row>
    <row r="26" spans="1:9">
      <c r="A26" s="26" t="s">
        <v>13</v>
      </c>
      <c r="B26" s="14">
        <v>20000</v>
      </c>
      <c r="C26" s="15">
        <v>0.09</v>
      </c>
      <c r="D26" s="14">
        <v>21800</v>
      </c>
      <c r="E26" s="14">
        <v>0</v>
      </c>
      <c r="F26" s="14">
        <v>0</v>
      </c>
      <c r="G26" s="14">
        <v>1816.6666666666667</v>
      </c>
      <c r="H26" s="14">
        <v>5450</v>
      </c>
      <c r="I26" s="14">
        <v>7266.666666666667</v>
      </c>
    </row>
    <row r="27" spans="1:9">
      <c r="A27" s="26" t="s">
        <v>14</v>
      </c>
      <c r="B27" s="14">
        <v>20000</v>
      </c>
      <c r="C27" s="15">
        <v>0.09</v>
      </c>
      <c r="D27" s="14">
        <v>21800</v>
      </c>
      <c r="E27" s="14">
        <v>0</v>
      </c>
      <c r="F27" s="14">
        <v>0</v>
      </c>
      <c r="G27" s="14">
        <v>1816.6666666666667</v>
      </c>
      <c r="H27" s="14">
        <v>5450</v>
      </c>
      <c r="I27" s="14">
        <v>7266.666666666667</v>
      </c>
    </row>
    <row r="28" spans="1:9">
      <c r="A28" s="26" t="s">
        <v>15</v>
      </c>
      <c r="B28" s="14">
        <v>20000</v>
      </c>
      <c r="C28" s="15">
        <v>0</v>
      </c>
      <c r="D28" s="14">
        <v>20000</v>
      </c>
      <c r="E28" s="14">
        <v>0</v>
      </c>
      <c r="F28" s="14">
        <v>0</v>
      </c>
      <c r="G28" s="14">
        <v>0</v>
      </c>
      <c r="H28" s="14">
        <v>5000</v>
      </c>
      <c r="I28" s="14">
        <v>5000</v>
      </c>
    </row>
    <row r="29" spans="1:9">
      <c r="A29" s="26" t="s">
        <v>16</v>
      </c>
      <c r="B29" s="14">
        <v>20000</v>
      </c>
      <c r="C29" s="15">
        <v>0</v>
      </c>
      <c r="D29" s="14">
        <v>20000</v>
      </c>
      <c r="E29" s="14">
        <v>0</v>
      </c>
      <c r="F29" s="14">
        <v>0</v>
      </c>
      <c r="G29" s="14">
        <v>0</v>
      </c>
      <c r="H29" s="14">
        <v>5000</v>
      </c>
      <c r="I29" s="14">
        <v>5000</v>
      </c>
    </row>
    <row r="30" spans="1:9">
      <c r="A30" s="19" t="s">
        <v>18</v>
      </c>
      <c r="B30" s="14">
        <v>100000</v>
      </c>
      <c r="C30" s="20"/>
      <c r="D30" s="20"/>
      <c r="E30" s="14">
        <v>0</v>
      </c>
      <c r="F30" s="14">
        <v>0</v>
      </c>
      <c r="G30" s="14">
        <v>5450</v>
      </c>
      <c r="H30" s="14">
        <v>26350</v>
      </c>
      <c r="I30" s="14">
        <v>31800</v>
      </c>
    </row>
    <row r="31" spans="1:9">
      <c r="A31" s="46" t="s">
        <v>19</v>
      </c>
      <c r="B31" s="47"/>
      <c r="C31" s="47"/>
      <c r="D31" s="47"/>
      <c r="E31" s="47">
        <v>0</v>
      </c>
      <c r="F31" s="47">
        <v>0</v>
      </c>
      <c r="G31" s="47">
        <v>3</v>
      </c>
      <c r="H31" s="47">
        <v>5</v>
      </c>
      <c r="I31" s="48">
        <v>5</v>
      </c>
    </row>
    <row r="33" spans="1:9">
      <c r="A33" s="22" t="s">
        <v>20</v>
      </c>
    </row>
    <row r="34" spans="1:9">
      <c r="A34" s="27" t="s">
        <v>2</v>
      </c>
      <c r="B34" s="42" t="s">
        <v>21</v>
      </c>
      <c r="C34" s="49"/>
      <c r="D34" s="49"/>
      <c r="E34" s="44" t="s">
        <v>7</v>
      </c>
      <c r="F34" s="44" t="s">
        <v>8</v>
      </c>
      <c r="G34" s="44" t="s">
        <v>9</v>
      </c>
      <c r="H34" s="44" t="s">
        <v>10</v>
      </c>
      <c r="I34" s="45" t="s">
        <v>11</v>
      </c>
    </row>
    <row r="35" spans="1:9">
      <c r="A35" s="2" t="s">
        <v>23</v>
      </c>
      <c r="B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</row>
    <row r="36" spans="1:9">
      <c r="A36" s="2" t="s">
        <v>24</v>
      </c>
      <c r="B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</row>
    <row r="37" spans="1:9">
      <c r="A37" s="50" t="s">
        <v>18</v>
      </c>
      <c r="B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</row>
    <row r="39" spans="1:9">
      <c r="A39" s="22" t="s">
        <v>26</v>
      </c>
    </row>
    <row r="40" spans="1:9">
      <c r="A40" s="27" t="s">
        <v>2</v>
      </c>
      <c r="B40" s="42" t="s">
        <v>21</v>
      </c>
      <c r="C40" s="49"/>
      <c r="D40" s="49"/>
      <c r="E40" s="44" t="s">
        <v>7</v>
      </c>
      <c r="F40" s="44" t="s">
        <v>8</v>
      </c>
      <c r="G40" s="44" t="s">
        <v>9</v>
      </c>
      <c r="H40" s="44" t="s">
        <v>10</v>
      </c>
      <c r="I40" s="45" t="s">
        <v>11</v>
      </c>
    </row>
    <row r="41" spans="1:9">
      <c r="A41" s="2" t="s">
        <v>27</v>
      </c>
      <c r="B41" s="14">
        <v>1000</v>
      </c>
      <c r="E41" s="14">
        <v>0</v>
      </c>
      <c r="F41" s="14">
        <v>0</v>
      </c>
      <c r="G41" s="14">
        <v>0</v>
      </c>
      <c r="H41" s="14">
        <v>1000</v>
      </c>
      <c r="I41" s="14">
        <v>1000</v>
      </c>
    </row>
    <row r="42" spans="1:9">
      <c r="A42" s="2" t="s">
        <v>28</v>
      </c>
      <c r="B42" s="14">
        <v>600</v>
      </c>
      <c r="E42" s="14">
        <v>0</v>
      </c>
      <c r="F42" s="14">
        <v>0</v>
      </c>
      <c r="G42" s="14">
        <v>0</v>
      </c>
      <c r="H42" s="14">
        <v>600</v>
      </c>
      <c r="I42" s="14">
        <v>600</v>
      </c>
    </row>
    <row r="43" spans="1:9">
      <c r="A43" s="2" t="s">
        <v>29</v>
      </c>
      <c r="B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</row>
    <row r="44" spans="1:9">
      <c r="A44" s="50" t="s">
        <v>18</v>
      </c>
      <c r="B44" s="14">
        <v>1600</v>
      </c>
      <c r="E44" s="14">
        <v>0</v>
      </c>
      <c r="F44" s="14">
        <v>0</v>
      </c>
      <c r="G44" s="14">
        <v>0</v>
      </c>
      <c r="H44" s="14">
        <v>1600</v>
      </c>
      <c r="I44" s="14">
        <v>1600</v>
      </c>
    </row>
    <row r="46" spans="1:9">
      <c r="A46" s="22" t="s">
        <v>30</v>
      </c>
    </row>
    <row r="47" spans="1:9">
      <c r="A47" s="27" t="s">
        <v>2</v>
      </c>
      <c r="B47" s="42" t="s">
        <v>21</v>
      </c>
      <c r="C47" s="49"/>
      <c r="D47" s="49"/>
      <c r="E47" s="44" t="s">
        <v>7</v>
      </c>
      <c r="F47" s="44" t="s">
        <v>8</v>
      </c>
      <c r="G47" s="44" t="s">
        <v>9</v>
      </c>
      <c r="H47" s="44" t="s">
        <v>10</v>
      </c>
      <c r="I47" s="45" t="s">
        <v>11</v>
      </c>
    </row>
    <row r="48" spans="1:9">
      <c r="A48" s="2" t="s">
        <v>31</v>
      </c>
      <c r="B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</row>
    <row r="49" spans="1:9">
      <c r="A49" s="50" t="s">
        <v>18</v>
      </c>
      <c r="B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</row>
    <row r="51" spans="1:9">
      <c r="A51" s="22" t="s">
        <v>32</v>
      </c>
    </row>
    <row r="52" spans="1:9">
      <c r="A52" s="27" t="s">
        <v>2</v>
      </c>
      <c r="B52" s="42" t="s">
        <v>21</v>
      </c>
      <c r="C52" s="49"/>
      <c r="D52" s="49"/>
      <c r="E52" s="44" t="s">
        <v>7</v>
      </c>
      <c r="F52" s="44" t="s">
        <v>8</v>
      </c>
      <c r="G52" s="44" t="s">
        <v>9</v>
      </c>
      <c r="H52" s="44" t="s">
        <v>10</v>
      </c>
      <c r="I52" s="45" t="s">
        <v>11</v>
      </c>
    </row>
    <row r="53" spans="1:9">
      <c r="A53" s="2" t="s">
        <v>33</v>
      </c>
      <c r="B53" s="14">
        <v>33400</v>
      </c>
      <c r="E53" s="14">
        <v>0</v>
      </c>
      <c r="F53" s="14">
        <v>0</v>
      </c>
      <c r="G53" s="14">
        <v>5450</v>
      </c>
      <c r="H53" s="14">
        <v>27950.000000000004</v>
      </c>
      <c r="I53" s="14">
        <v>33400</v>
      </c>
    </row>
    <row r="56" spans="1:9">
      <c r="A56" s="27" t="s">
        <v>2</v>
      </c>
      <c r="B56" s="42" t="s">
        <v>3</v>
      </c>
      <c r="C56" s="44" t="s">
        <v>40</v>
      </c>
      <c r="D56" s="44" t="s">
        <v>41</v>
      </c>
      <c r="E56" s="44" t="s">
        <v>42</v>
      </c>
      <c r="F56" s="44" t="s">
        <v>43</v>
      </c>
      <c r="G56" s="45" t="s">
        <v>44</v>
      </c>
    </row>
    <row r="57" spans="1:9">
      <c r="A57" s="26" t="s">
        <v>12</v>
      </c>
      <c r="B57" s="14">
        <v>20000</v>
      </c>
      <c r="C57" s="14">
        <v>5450</v>
      </c>
      <c r="D57" s="14">
        <v>5450</v>
      </c>
      <c r="E57" s="14">
        <v>5450</v>
      </c>
      <c r="F57" s="14">
        <v>5450</v>
      </c>
      <c r="G57" s="14">
        <v>21800</v>
      </c>
    </row>
    <row r="58" spans="1:9">
      <c r="A58" s="26" t="s">
        <v>13</v>
      </c>
      <c r="B58" s="14">
        <v>20000</v>
      </c>
      <c r="C58" s="14">
        <v>5450</v>
      </c>
      <c r="D58" s="14">
        <v>5450</v>
      </c>
      <c r="E58" s="14">
        <v>5450</v>
      </c>
      <c r="F58" s="14">
        <v>5450</v>
      </c>
      <c r="G58" s="14">
        <v>21800</v>
      </c>
    </row>
    <row r="59" spans="1:9">
      <c r="A59" s="26" t="s">
        <v>14</v>
      </c>
      <c r="B59" s="14">
        <v>20000</v>
      </c>
      <c r="C59" s="14">
        <v>5450</v>
      </c>
      <c r="D59" s="14">
        <v>5450</v>
      </c>
      <c r="E59" s="14">
        <v>5450</v>
      </c>
      <c r="F59" s="14">
        <v>5450</v>
      </c>
      <c r="G59" s="14">
        <v>21800</v>
      </c>
    </row>
    <row r="60" spans="1:9">
      <c r="A60" s="26" t="s">
        <v>45</v>
      </c>
      <c r="B60" s="14">
        <v>20000</v>
      </c>
      <c r="C60" s="14"/>
      <c r="D60" s="14">
        <v>3633.3333333333335</v>
      </c>
      <c r="E60" s="14">
        <v>5450</v>
      </c>
      <c r="F60" s="14">
        <v>5450</v>
      </c>
      <c r="G60" s="14">
        <v>14533.333333333334</v>
      </c>
    </row>
    <row r="61" spans="1:9">
      <c r="A61" s="26" t="s">
        <v>46</v>
      </c>
      <c r="B61" s="14">
        <v>20000</v>
      </c>
      <c r="C61" s="14"/>
      <c r="D61" s="14">
        <v>3633.3333333333335</v>
      </c>
      <c r="E61" s="14">
        <v>5450</v>
      </c>
      <c r="F61" s="14">
        <v>5450</v>
      </c>
      <c r="G61" s="14">
        <v>14533.333333333334</v>
      </c>
    </row>
    <row r="62" spans="1:9">
      <c r="A62" s="26" t="s">
        <v>15</v>
      </c>
      <c r="B62" s="14">
        <v>20000</v>
      </c>
      <c r="C62" s="14">
        <v>5000</v>
      </c>
      <c r="D62" s="14">
        <v>5000</v>
      </c>
      <c r="E62" s="14">
        <v>5000</v>
      </c>
      <c r="F62" s="14">
        <v>5000</v>
      </c>
      <c r="G62" s="14">
        <v>20000</v>
      </c>
    </row>
    <row r="63" spans="1:9">
      <c r="A63" s="26" t="s">
        <v>16</v>
      </c>
      <c r="B63" s="14">
        <v>20000</v>
      </c>
      <c r="C63" s="14">
        <v>1666.6666666666667</v>
      </c>
      <c r="D63" s="14">
        <v>5000</v>
      </c>
      <c r="E63" s="14">
        <v>5000</v>
      </c>
      <c r="F63" s="14">
        <v>5000</v>
      </c>
      <c r="G63" s="14">
        <v>16666.666666666668</v>
      </c>
    </row>
    <row r="64" spans="1:9">
      <c r="A64" s="26" t="s">
        <v>47</v>
      </c>
      <c r="B64" s="14">
        <v>20000</v>
      </c>
      <c r="C64" s="14">
        <v>0</v>
      </c>
      <c r="D64" s="14">
        <v>3333.3333333333335</v>
      </c>
      <c r="E64" s="14">
        <v>5000</v>
      </c>
      <c r="F64" s="14">
        <v>5000</v>
      </c>
      <c r="G64" s="14">
        <v>13333.333333333334</v>
      </c>
    </row>
    <row r="65" spans="1:7">
      <c r="A65" s="26" t="s">
        <v>48</v>
      </c>
      <c r="B65" s="14">
        <v>30000</v>
      </c>
      <c r="C65" s="14">
        <v>0</v>
      </c>
      <c r="D65" s="14">
        <v>0</v>
      </c>
      <c r="E65" s="14">
        <v>0</v>
      </c>
      <c r="F65" s="14">
        <v>7650</v>
      </c>
      <c r="G65" s="14">
        <v>7650</v>
      </c>
    </row>
    <row r="66" spans="1:7">
      <c r="A66" s="19" t="s">
        <v>18</v>
      </c>
      <c r="B66" s="14">
        <v>190000</v>
      </c>
      <c r="C66" s="14">
        <v>23016.666666666668</v>
      </c>
      <c r="D66" s="14">
        <v>36950</v>
      </c>
      <c r="E66" s="14">
        <v>42250</v>
      </c>
      <c r="F66" s="14">
        <v>49900</v>
      </c>
      <c r="G66" s="14">
        <v>152116.66666666666</v>
      </c>
    </row>
    <row r="67" spans="1:7">
      <c r="A67" s="46" t="s">
        <v>19</v>
      </c>
      <c r="B67" s="47"/>
      <c r="C67" s="47">
        <v>5</v>
      </c>
      <c r="D67" s="47">
        <v>8</v>
      </c>
      <c r="E67" s="47">
        <v>8</v>
      </c>
      <c r="F67" s="47">
        <v>9</v>
      </c>
      <c r="G67" s="48">
        <v>9</v>
      </c>
    </row>
    <row r="69" spans="1:7">
      <c r="A69" s="22" t="s">
        <v>20</v>
      </c>
    </row>
    <row r="70" spans="1:7">
      <c r="A70" s="27" t="s">
        <v>2</v>
      </c>
      <c r="B70" s="42" t="s">
        <v>21</v>
      </c>
      <c r="C70" s="44" t="s">
        <v>40</v>
      </c>
      <c r="D70" s="44" t="s">
        <v>41</v>
      </c>
      <c r="E70" s="44" t="s">
        <v>42</v>
      </c>
      <c r="F70" s="44" t="s">
        <v>43</v>
      </c>
      <c r="G70" s="45" t="s">
        <v>44</v>
      </c>
    </row>
    <row r="71" spans="1:7">
      <c r="A71" s="2" t="s">
        <v>23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</row>
    <row r="72" spans="1:7">
      <c r="A72" s="2" t="s">
        <v>24</v>
      </c>
      <c r="B72" s="14">
        <v>3600</v>
      </c>
      <c r="C72" s="14">
        <v>900</v>
      </c>
      <c r="D72" s="14">
        <v>900</v>
      </c>
      <c r="E72" s="14">
        <v>900</v>
      </c>
      <c r="F72" s="14">
        <v>900</v>
      </c>
      <c r="G72" s="14">
        <v>3600</v>
      </c>
    </row>
    <row r="73" spans="1:7">
      <c r="A73" s="50" t="s">
        <v>18</v>
      </c>
      <c r="B73" s="14">
        <v>3600</v>
      </c>
      <c r="C73" s="14">
        <v>900</v>
      </c>
      <c r="D73" s="14">
        <v>900</v>
      </c>
      <c r="E73" s="14">
        <v>900</v>
      </c>
      <c r="F73" s="14">
        <v>900</v>
      </c>
      <c r="G73" s="14">
        <v>3600</v>
      </c>
    </row>
    <row r="75" spans="1:7">
      <c r="A75" s="22" t="s">
        <v>26</v>
      </c>
    </row>
    <row r="76" spans="1:7">
      <c r="A76" s="27" t="s">
        <v>2</v>
      </c>
      <c r="B76" s="42" t="s">
        <v>21</v>
      </c>
      <c r="C76" s="44" t="s">
        <v>40</v>
      </c>
      <c r="D76" s="44" t="s">
        <v>41</v>
      </c>
      <c r="E76" s="44" t="s">
        <v>42</v>
      </c>
      <c r="F76" s="44" t="s">
        <v>43</v>
      </c>
      <c r="G76" s="45" t="s">
        <v>44</v>
      </c>
    </row>
    <row r="77" spans="1:7">
      <c r="A77" s="2" t="s">
        <v>27</v>
      </c>
      <c r="B77" s="14">
        <v>5000</v>
      </c>
      <c r="C77" s="14">
        <v>1250</v>
      </c>
      <c r="D77" s="14">
        <v>1250</v>
      </c>
      <c r="E77" s="14">
        <v>1250</v>
      </c>
      <c r="F77" s="14">
        <v>1250</v>
      </c>
      <c r="G77" s="14">
        <v>5000</v>
      </c>
    </row>
    <row r="78" spans="1:7">
      <c r="A78" s="2" t="s">
        <v>28</v>
      </c>
      <c r="B78" s="14">
        <v>1800</v>
      </c>
      <c r="C78" s="14">
        <v>450</v>
      </c>
      <c r="D78" s="14">
        <v>450</v>
      </c>
      <c r="E78" s="14">
        <v>450</v>
      </c>
      <c r="F78" s="14">
        <v>450</v>
      </c>
      <c r="G78" s="14">
        <v>1800</v>
      </c>
    </row>
    <row r="79" spans="1:7">
      <c r="A79" s="2" t="s">
        <v>29</v>
      </c>
      <c r="B79" s="14">
        <v>2000</v>
      </c>
      <c r="C79" s="14">
        <v>500</v>
      </c>
      <c r="D79" s="14">
        <v>500</v>
      </c>
      <c r="E79" s="14">
        <v>500</v>
      </c>
      <c r="F79" s="14">
        <v>500</v>
      </c>
      <c r="G79" s="14">
        <v>2000</v>
      </c>
    </row>
    <row r="80" spans="1:7">
      <c r="A80" s="50" t="s">
        <v>18</v>
      </c>
      <c r="B80" s="14">
        <v>8800</v>
      </c>
      <c r="C80" s="14">
        <v>1700</v>
      </c>
      <c r="D80" s="14">
        <v>1700</v>
      </c>
      <c r="E80" s="14">
        <v>1700</v>
      </c>
      <c r="F80" s="14">
        <v>1700</v>
      </c>
      <c r="G80" s="14">
        <v>6800</v>
      </c>
    </row>
    <row r="82" spans="1:7">
      <c r="A82" s="22" t="s">
        <v>30</v>
      </c>
    </row>
    <row r="83" spans="1:7">
      <c r="A83" s="27" t="s">
        <v>2</v>
      </c>
      <c r="B83" s="42" t="s">
        <v>21</v>
      </c>
      <c r="C83" s="44" t="s">
        <v>40</v>
      </c>
      <c r="D83" s="44" t="s">
        <v>41</v>
      </c>
      <c r="E83" s="44" t="s">
        <v>42</v>
      </c>
      <c r="F83" s="44" t="s">
        <v>50</v>
      </c>
      <c r="G83" s="45" t="s">
        <v>51</v>
      </c>
    </row>
    <row r="84" spans="1:7">
      <c r="A84" s="2" t="s">
        <v>31</v>
      </c>
      <c r="B84" s="14">
        <v>18000</v>
      </c>
      <c r="C84" s="14">
        <v>0</v>
      </c>
      <c r="D84" s="14">
        <v>1500</v>
      </c>
      <c r="E84" s="14">
        <v>4500</v>
      </c>
      <c r="F84" s="14">
        <v>0</v>
      </c>
      <c r="G84" s="14">
        <v>6000</v>
      </c>
    </row>
    <row r="85" spans="1:7">
      <c r="A85" s="50" t="s">
        <v>18</v>
      </c>
      <c r="B85" s="14">
        <v>18000</v>
      </c>
      <c r="C85" s="14">
        <v>0</v>
      </c>
      <c r="D85" s="14">
        <v>1500</v>
      </c>
      <c r="E85" s="14">
        <v>4500</v>
      </c>
      <c r="F85" s="14">
        <v>0</v>
      </c>
      <c r="G85" s="14">
        <v>6000</v>
      </c>
    </row>
    <row r="87" spans="1:7">
      <c r="A87" s="22" t="s">
        <v>32</v>
      </c>
    </row>
    <row r="88" spans="1:7">
      <c r="A88" s="27" t="s">
        <v>2</v>
      </c>
      <c r="B88" s="42" t="s">
        <v>21</v>
      </c>
      <c r="C88" s="44" t="s">
        <v>40</v>
      </c>
      <c r="D88" s="44" t="s">
        <v>41</v>
      </c>
      <c r="E88" s="44" t="s">
        <v>42</v>
      </c>
      <c r="F88" s="44" t="s">
        <v>50</v>
      </c>
      <c r="G88" s="45" t="s">
        <v>51</v>
      </c>
    </row>
    <row r="89" spans="1:7">
      <c r="A89" s="2" t="s">
        <v>33</v>
      </c>
      <c r="B89" s="14">
        <v>170516.66666666666</v>
      </c>
      <c r="C89" s="14">
        <v>25616.666666666668</v>
      </c>
      <c r="D89" s="14">
        <v>41050</v>
      </c>
      <c r="E89" s="14">
        <v>49350</v>
      </c>
      <c r="F89" s="14">
        <v>52500</v>
      </c>
      <c r="G89" s="14">
        <v>168516.66666666669</v>
      </c>
    </row>
    <row r="91" spans="1:7">
      <c r="A91" s="27" t="s">
        <v>2</v>
      </c>
      <c r="B91" s="42" t="s">
        <v>3</v>
      </c>
      <c r="C91" s="44" t="s">
        <v>58</v>
      </c>
      <c r="D91" s="44" t="s">
        <v>59</v>
      </c>
      <c r="E91" s="44" t="s">
        <v>60</v>
      </c>
      <c r="F91" s="44" t="s">
        <v>61</v>
      </c>
      <c r="G91" s="45" t="s">
        <v>62</v>
      </c>
    </row>
    <row r="92" spans="1:7">
      <c r="A92" s="26" t="s">
        <v>12</v>
      </c>
      <c r="B92" s="14">
        <v>20000</v>
      </c>
      <c r="C92" s="14">
        <v>5450</v>
      </c>
      <c r="D92" s="14">
        <v>5450</v>
      </c>
      <c r="E92" s="14">
        <v>5450</v>
      </c>
      <c r="F92" s="14">
        <v>5450</v>
      </c>
      <c r="G92" s="14">
        <v>21800</v>
      </c>
    </row>
    <row r="93" spans="1:7">
      <c r="A93" s="26" t="s">
        <v>13</v>
      </c>
      <c r="B93" s="14">
        <v>20000</v>
      </c>
      <c r="C93" s="14">
        <v>5450</v>
      </c>
      <c r="D93" s="14">
        <v>5450</v>
      </c>
      <c r="E93" s="14">
        <v>5450</v>
      </c>
      <c r="F93" s="14">
        <v>5450</v>
      </c>
      <c r="G93" s="14">
        <v>21800</v>
      </c>
    </row>
    <row r="94" spans="1:7">
      <c r="A94" s="26" t="s">
        <v>14</v>
      </c>
      <c r="B94" s="14">
        <v>20000</v>
      </c>
      <c r="C94" s="14">
        <v>5450</v>
      </c>
      <c r="D94" s="14">
        <v>5450</v>
      </c>
      <c r="E94" s="14">
        <v>5450</v>
      </c>
      <c r="F94" s="14">
        <v>5450</v>
      </c>
      <c r="G94" s="14">
        <v>21800</v>
      </c>
    </row>
    <row r="95" spans="1:7">
      <c r="A95" s="26" t="s">
        <v>45</v>
      </c>
      <c r="B95" s="14">
        <v>20000</v>
      </c>
      <c r="C95" s="14">
        <v>5450</v>
      </c>
      <c r="D95" s="14">
        <v>5450</v>
      </c>
      <c r="E95" s="14">
        <v>5450</v>
      </c>
      <c r="F95" s="14">
        <v>5450</v>
      </c>
      <c r="G95" s="14">
        <v>21800</v>
      </c>
    </row>
    <row r="96" spans="1:7">
      <c r="A96" s="26" t="s">
        <v>46</v>
      </c>
      <c r="B96" s="14">
        <v>20000</v>
      </c>
      <c r="C96" s="14">
        <v>5450</v>
      </c>
      <c r="D96" s="14">
        <v>5450</v>
      </c>
      <c r="E96" s="14">
        <v>5450</v>
      </c>
      <c r="F96" s="14">
        <v>5450</v>
      </c>
      <c r="G96" s="14">
        <v>21800</v>
      </c>
    </row>
    <row r="97" spans="1:7">
      <c r="A97" s="26" t="s">
        <v>15</v>
      </c>
      <c r="B97" s="14">
        <v>20000</v>
      </c>
      <c r="C97" s="14">
        <v>5000</v>
      </c>
      <c r="D97" s="14">
        <v>5000</v>
      </c>
      <c r="E97" s="14">
        <v>5000</v>
      </c>
      <c r="F97" s="14">
        <v>5000</v>
      </c>
      <c r="G97" s="14">
        <v>20000</v>
      </c>
    </row>
    <row r="98" spans="1:7">
      <c r="A98" s="26" t="s">
        <v>16</v>
      </c>
      <c r="B98" s="14">
        <v>20000</v>
      </c>
      <c r="C98" s="14">
        <v>5000</v>
      </c>
      <c r="D98" s="14">
        <v>5000</v>
      </c>
      <c r="E98" s="14">
        <v>5000</v>
      </c>
      <c r="F98" s="14">
        <v>5000</v>
      </c>
      <c r="G98" s="14">
        <v>20000</v>
      </c>
    </row>
    <row r="99" spans="1:7">
      <c r="A99" s="26" t="s">
        <v>47</v>
      </c>
      <c r="B99" s="14">
        <v>20000</v>
      </c>
      <c r="C99" s="14">
        <v>5000</v>
      </c>
      <c r="D99" s="14">
        <v>5000</v>
      </c>
      <c r="E99" s="14">
        <v>5000</v>
      </c>
      <c r="F99" s="14">
        <v>5000</v>
      </c>
      <c r="G99" s="14">
        <v>20000</v>
      </c>
    </row>
    <row r="100" spans="1:7">
      <c r="A100" s="26" t="s">
        <v>48</v>
      </c>
      <c r="B100" s="14">
        <v>30000</v>
      </c>
      <c r="C100" s="14">
        <v>7650</v>
      </c>
      <c r="D100" s="14">
        <v>7650</v>
      </c>
      <c r="E100" s="14">
        <v>7650</v>
      </c>
      <c r="F100" s="14">
        <v>7650</v>
      </c>
      <c r="G100" s="14">
        <v>30600</v>
      </c>
    </row>
    <row r="101" spans="1:7">
      <c r="A101" s="19" t="s">
        <v>18</v>
      </c>
      <c r="B101" s="14">
        <v>160000</v>
      </c>
      <c r="C101" s="14">
        <v>42250</v>
      </c>
      <c r="D101" s="14">
        <v>42250</v>
      </c>
      <c r="E101" s="14">
        <v>42250</v>
      </c>
      <c r="F101" s="14">
        <v>42250</v>
      </c>
      <c r="G101" s="14">
        <v>169000</v>
      </c>
    </row>
    <row r="102" spans="1:7">
      <c r="A102" s="46" t="s">
        <v>19</v>
      </c>
      <c r="B102" s="47"/>
      <c r="C102" s="47">
        <v>9</v>
      </c>
      <c r="D102" s="47">
        <v>9</v>
      </c>
      <c r="E102" s="47">
        <v>9</v>
      </c>
      <c r="F102" s="47">
        <v>9</v>
      </c>
      <c r="G102" s="47">
        <v>9</v>
      </c>
    </row>
    <row r="104" spans="1:7">
      <c r="A104" s="22" t="s">
        <v>20</v>
      </c>
    </row>
    <row r="105" spans="1:7">
      <c r="A105" s="27" t="s">
        <v>2</v>
      </c>
      <c r="B105" s="42" t="s">
        <v>21</v>
      </c>
      <c r="C105" s="44" t="s">
        <v>58</v>
      </c>
      <c r="D105" s="44" t="s">
        <v>59</v>
      </c>
      <c r="E105" s="44" t="s">
        <v>60</v>
      </c>
      <c r="F105" s="44" t="s">
        <v>61</v>
      </c>
      <c r="G105" s="45" t="s">
        <v>62</v>
      </c>
    </row>
    <row r="106" spans="1:7">
      <c r="A106" s="2" t="s">
        <v>23</v>
      </c>
      <c r="B106" s="14">
        <v>0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</row>
    <row r="107" spans="1:7">
      <c r="A107" s="2" t="s">
        <v>24</v>
      </c>
      <c r="B107" s="14">
        <v>3600</v>
      </c>
      <c r="C107" s="14">
        <v>900</v>
      </c>
      <c r="D107" s="14">
        <v>900</v>
      </c>
      <c r="E107" s="14">
        <v>900</v>
      </c>
      <c r="F107" s="14">
        <v>900</v>
      </c>
      <c r="G107" s="14">
        <v>3600</v>
      </c>
    </row>
    <row r="108" spans="1:7">
      <c r="A108" s="50" t="s">
        <v>18</v>
      </c>
      <c r="B108" s="14">
        <v>3600</v>
      </c>
      <c r="C108" s="14">
        <v>900</v>
      </c>
      <c r="D108" s="14">
        <v>900</v>
      </c>
      <c r="E108" s="14">
        <v>900</v>
      </c>
      <c r="F108" s="14">
        <v>900</v>
      </c>
      <c r="G108" s="14">
        <v>3600</v>
      </c>
    </row>
    <row r="110" spans="1:7">
      <c r="A110" s="22" t="s">
        <v>26</v>
      </c>
    </row>
    <row r="111" spans="1:7">
      <c r="A111" s="27" t="s">
        <v>2</v>
      </c>
      <c r="B111" s="42" t="s">
        <v>21</v>
      </c>
      <c r="C111" s="44" t="s">
        <v>58</v>
      </c>
      <c r="D111" s="44" t="s">
        <v>59</v>
      </c>
      <c r="E111" s="44" t="s">
        <v>60</v>
      </c>
      <c r="F111" s="44" t="s">
        <v>61</v>
      </c>
      <c r="G111" s="45" t="s">
        <v>62</v>
      </c>
    </row>
    <row r="112" spans="1:7">
      <c r="A112" s="2" t="s">
        <v>27</v>
      </c>
      <c r="B112" s="14">
        <v>15000</v>
      </c>
      <c r="C112" s="14">
        <v>3750</v>
      </c>
      <c r="D112" s="14">
        <v>3750</v>
      </c>
      <c r="E112" s="14">
        <v>3750</v>
      </c>
      <c r="F112" s="14">
        <v>3750</v>
      </c>
      <c r="G112" s="14">
        <v>15000</v>
      </c>
    </row>
    <row r="113" spans="1:7">
      <c r="A113" s="2" t="s">
        <v>28</v>
      </c>
      <c r="B113" s="14">
        <v>1800</v>
      </c>
      <c r="C113" s="14">
        <v>450</v>
      </c>
      <c r="D113" s="14">
        <v>450</v>
      </c>
      <c r="E113" s="14">
        <v>450</v>
      </c>
      <c r="F113" s="14">
        <v>450</v>
      </c>
      <c r="G113" s="14">
        <v>1800</v>
      </c>
    </row>
    <row r="114" spans="1:7">
      <c r="A114" s="2" t="s">
        <v>29</v>
      </c>
      <c r="B114" s="14">
        <v>2000</v>
      </c>
      <c r="C114" s="14">
        <v>500</v>
      </c>
      <c r="D114" s="14">
        <v>500</v>
      </c>
      <c r="E114" s="14">
        <v>500</v>
      </c>
      <c r="F114" s="14">
        <v>500</v>
      </c>
      <c r="G114" s="14">
        <v>2000</v>
      </c>
    </row>
    <row r="115" spans="1:7">
      <c r="A115" s="50" t="s">
        <v>18</v>
      </c>
      <c r="B115" s="14">
        <v>18800</v>
      </c>
      <c r="C115" s="14">
        <v>4200</v>
      </c>
      <c r="D115" s="14">
        <v>4200</v>
      </c>
      <c r="E115" s="14">
        <v>4200</v>
      </c>
      <c r="F115" s="14">
        <v>4200</v>
      </c>
      <c r="G115" s="14">
        <v>16800</v>
      </c>
    </row>
    <row r="117" spans="1:7">
      <c r="A117" s="22" t="s">
        <v>30</v>
      </c>
    </row>
    <row r="118" spans="1:7">
      <c r="A118" s="27" t="s">
        <v>2</v>
      </c>
      <c r="B118" s="42" t="s">
        <v>21</v>
      </c>
      <c r="C118" s="44" t="s">
        <v>58</v>
      </c>
      <c r="D118" s="44" t="s">
        <v>59</v>
      </c>
      <c r="E118" s="44" t="s">
        <v>60</v>
      </c>
      <c r="F118" s="44" t="s">
        <v>61</v>
      </c>
      <c r="G118" s="45" t="s">
        <v>62</v>
      </c>
    </row>
    <row r="119" spans="1:7">
      <c r="A119" s="2" t="s">
        <v>25</v>
      </c>
      <c r="B119" s="14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</row>
    <row r="120" spans="1:7">
      <c r="A120" s="50" t="s">
        <v>18</v>
      </c>
      <c r="B120" s="14">
        <v>18000</v>
      </c>
      <c r="C120" s="14">
        <v>4500</v>
      </c>
      <c r="D120" s="14">
        <v>4500</v>
      </c>
      <c r="E120" s="14">
        <v>4500</v>
      </c>
      <c r="F120" s="14">
        <v>4500</v>
      </c>
      <c r="G120" s="14">
        <v>18000</v>
      </c>
    </row>
    <row r="122" spans="1:7">
      <c r="A122" s="22" t="s">
        <v>32</v>
      </c>
    </row>
    <row r="123" spans="1:7">
      <c r="A123" s="27" t="s">
        <v>2</v>
      </c>
      <c r="B123" s="42" t="s">
        <v>21</v>
      </c>
      <c r="C123" s="44" t="s">
        <v>58</v>
      </c>
      <c r="D123" s="44" t="s">
        <v>59</v>
      </c>
      <c r="E123" s="44" t="s">
        <v>60</v>
      </c>
      <c r="F123" s="44" t="s">
        <v>61</v>
      </c>
      <c r="G123" s="45" t="s">
        <v>62</v>
      </c>
    </row>
    <row r="124" spans="1:7">
      <c r="A124" s="2" t="s">
        <v>33</v>
      </c>
      <c r="B124" s="14">
        <v>209400</v>
      </c>
      <c r="C124" s="14">
        <v>51850</v>
      </c>
      <c r="D124" s="14">
        <v>51850</v>
      </c>
      <c r="E124" s="14">
        <v>51850</v>
      </c>
      <c r="F124" s="14">
        <v>51850</v>
      </c>
      <c r="G124" s="14">
        <v>207400</v>
      </c>
    </row>
    <row r="127" spans="1:7">
      <c r="A127" s="27" t="s">
        <v>2</v>
      </c>
      <c r="B127" s="42" t="s">
        <v>3</v>
      </c>
      <c r="C127" s="44" t="s">
        <v>64</v>
      </c>
      <c r="D127" s="44" t="s">
        <v>65</v>
      </c>
      <c r="E127" s="44" t="s">
        <v>66</v>
      </c>
      <c r="F127" s="44" t="s">
        <v>67</v>
      </c>
      <c r="G127" s="45" t="s">
        <v>68</v>
      </c>
    </row>
    <row r="128" spans="1:7">
      <c r="A128" s="26" t="s">
        <v>12</v>
      </c>
      <c r="B128" s="14">
        <v>20000</v>
      </c>
      <c r="C128" s="14">
        <v>5450</v>
      </c>
      <c r="D128" s="14">
        <v>5450</v>
      </c>
      <c r="E128" s="14">
        <v>5450</v>
      </c>
      <c r="F128" s="14">
        <v>5450</v>
      </c>
      <c r="G128" s="14">
        <v>21800</v>
      </c>
    </row>
    <row r="129" spans="1:7">
      <c r="A129" s="26" t="s">
        <v>13</v>
      </c>
      <c r="B129" s="14">
        <v>20000</v>
      </c>
      <c r="C129" s="14">
        <v>5450</v>
      </c>
      <c r="D129" s="14">
        <v>5450</v>
      </c>
      <c r="E129" s="14">
        <v>5450</v>
      </c>
      <c r="F129" s="14">
        <v>5450</v>
      </c>
      <c r="G129" s="14">
        <v>21800</v>
      </c>
    </row>
    <row r="130" spans="1:7">
      <c r="A130" s="26" t="s">
        <v>14</v>
      </c>
      <c r="B130" s="14">
        <v>20000</v>
      </c>
      <c r="C130" s="14">
        <v>5450</v>
      </c>
      <c r="D130" s="14">
        <v>5450</v>
      </c>
      <c r="E130" s="14">
        <v>5450</v>
      </c>
      <c r="F130" s="14">
        <v>5450</v>
      </c>
      <c r="G130" s="14">
        <v>21800</v>
      </c>
    </row>
    <row r="131" spans="1:7">
      <c r="A131" s="26" t="s">
        <v>45</v>
      </c>
      <c r="B131" s="14">
        <v>20000</v>
      </c>
      <c r="C131" s="14">
        <v>5450</v>
      </c>
      <c r="D131" s="14">
        <v>5450</v>
      </c>
      <c r="E131" s="14">
        <v>5450</v>
      </c>
      <c r="F131" s="14">
        <v>5450</v>
      </c>
      <c r="G131" s="14">
        <v>21800</v>
      </c>
    </row>
    <row r="132" spans="1:7">
      <c r="A132" s="26" t="s">
        <v>46</v>
      </c>
      <c r="B132" s="14">
        <v>20000</v>
      </c>
      <c r="C132" s="14">
        <v>5450</v>
      </c>
      <c r="D132" s="14">
        <v>5450</v>
      </c>
      <c r="E132" s="14">
        <v>5450</v>
      </c>
      <c r="F132" s="14">
        <v>5450</v>
      </c>
      <c r="G132" s="14">
        <v>21800</v>
      </c>
    </row>
    <row r="133" spans="1:7">
      <c r="A133" s="26" t="s">
        <v>15</v>
      </c>
      <c r="B133" s="14">
        <v>20000</v>
      </c>
      <c r="C133" s="14">
        <v>5000</v>
      </c>
      <c r="D133" s="14">
        <v>5000</v>
      </c>
      <c r="E133" s="14">
        <v>5000</v>
      </c>
      <c r="F133" s="14">
        <v>5000</v>
      </c>
      <c r="G133" s="14">
        <v>20000</v>
      </c>
    </row>
    <row r="134" spans="1:7">
      <c r="A134" s="26" t="s">
        <v>16</v>
      </c>
      <c r="B134" s="14">
        <v>20000</v>
      </c>
      <c r="C134" s="14">
        <v>5000</v>
      </c>
      <c r="D134" s="14">
        <v>5000</v>
      </c>
      <c r="E134" s="14">
        <v>5000</v>
      </c>
      <c r="F134" s="14">
        <v>5000</v>
      </c>
      <c r="G134" s="14">
        <v>20000</v>
      </c>
    </row>
    <row r="135" spans="1:7">
      <c r="A135" s="26" t="s">
        <v>47</v>
      </c>
      <c r="B135" s="14">
        <v>20000</v>
      </c>
      <c r="C135" s="14">
        <v>5000</v>
      </c>
      <c r="D135" s="14">
        <v>5000</v>
      </c>
      <c r="E135" s="14">
        <v>5000</v>
      </c>
      <c r="F135" s="14">
        <v>5000</v>
      </c>
      <c r="G135" s="14">
        <v>20000</v>
      </c>
    </row>
    <row r="136" spans="1:7">
      <c r="A136" s="26" t="s">
        <v>48</v>
      </c>
      <c r="B136" s="14">
        <v>30000</v>
      </c>
      <c r="C136" s="14">
        <v>7650</v>
      </c>
      <c r="D136" s="14">
        <v>7650</v>
      </c>
      <c r="E136" s="14">
        <v>7650</v>
      </c>
      <c r="F136" s="14">
        <v>7650</v>
      </c>
      <c r="G136" s="14">
        <v>30600</v>
      </c>
    </row>
    <row r="137" spans="1:7">
      <c r="A137" s="26" t="s">
        <v>69</v>
      </c>
      <c r="B137" s="14">
        <v>20000</v>
      </c>
      <c r="C137" s="14">
        <v>5100</v>
      </c>
      <c r="D137" s="14">
        <v>5100</v>
      </c>
      <c r="E137" s="14">
        <v>5100</v>
      </c>
      <c r="F137" s="14">
        <v>5100</v>
      </c>
      <c r="G137" s="14">
        <v>20400</v>
      </c>
    </row>
    <row r="138" spans="1:7">
      <c r="A138" s="19" t="s">
        <v>18</v>
      </c>
      <c r="B138" s="14">
        <v>190000</v>
      </c>
      <c r="C138" s="14">
        <v>49900</v>
      </c>
      <c r="D138" s="14">
        <v>49900</v>
      </c>
      <c r="E138" s="14">
        <v>49900</v>
      </c>
      <c r="F138" s="14">
        <v>49900</v>
      </c>
      <c r="G138" s="14">
        <v>199600</v>
      </c>
    </row>
    <row r="139" spans="1:7">
      <c r="A139" s="46" t="s">
        <v>19</v>
      </c>
      <c r="B139" s="47"/>
      <c r="C139" s="47">
        <v>10</v>
      </c>
      <c r="D139" s="47">
        <v>10</v>
      </c>
      <c r="E139" s="47">
        <v>10</v>
      </c>
      <c r="F139" s="47">
        <v>10</v>
      </c>
      <c r="G139" s="47">
        <v>10</v>
      </c>
    </row>
    <row r="141" spans="1:7">
      <c r="A141" s="22" t="s">
        <v>20</v>
      </c>
    </row>
    <row r="142" spans="1:7">
      <c r="A142" s="27" t="s">
        <v>2</v>
      </c>
      <c r="B142" s="42" t="s">
        <v>21</v>
      </c>
      <c r="C142" s="44" t="s">
        <v>64</v>
      </c>
      <c r="D142" s="44" t="s">
        <v>65</v>
      </c>
      <c r="E142" s="44" t="s">
        <v>66</v>
      </c>
      <c r="F142" s="44" t="s">
        <v>67</v>
      </c>
      <c r="G142" s="45" t="s">
        <v>68</v>
      </c>
    </row>
    <row r="143" spans="1:7">
      <c r="A143" s="2" t="s">
        <v>23</v>
      </c>
      <c r="B143" s="14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</row>
    <row r="144" spans="1:7">
      <c r="A144" s="2" t="s">
        <v>24</v>
      </c>
      <c r="B144" s="14">
        <v>3600</v>
      </c>
      <c r="C144" s="14">
        <v>900</v>
      </c>
      <c r="D144" s="14">
        <v>900</v>
      </c>
      <c r="E144" s="14">
        <v>900</v>
      </c>
      <c r="F144" s="14">
        <v>900</v>
      </c>
      <c r="G144" s="14">
        <v>3600</v>
      </c>
    </row>
    <row r="145" spans="1:7">
      <c r="A145" s="50" t="s">
        <v>18</v>
      </c>
      <c r="B145" s="14">
        <v>3600</v>
      </c>
      <c r="C145" s="14">
        <v>900</v>
      </c>
      <c r="D145" s="14">
        <v>900</v>
      </c>
      <c r="E145" s="14">
        <v>900</v>
      </c>
      <c r="F145" s="14">
        <v>900</v>
      </c>
      <c r="G145" s="14">
        <v>3600</v>
      </c>
    </row>
    <row r="147" spans="1:7">
      <c r="A147" s="22" t="s">
        <v>26</v>
      </c>
    </row>
    <row r="148" spans="1:7">
      <c r="A148" s="27" t="s">
        <v>2</v>
      </c>
      <c r="B148" s="42" t="s">
        <v>21</v>
      </c>
      <c r="C148" s="44" t="s">
        <v>64</v>
      </c>
      <c r="D148" s="44" t="s">
        <v>65</v>
      </c>
      <c r="E148" s="44" t="s">
        <v>66</v>
      </c>
      <c r="F148" s="44" t="s">
        <v>67</v>
      </c>
      <c r="G148" s="45" t="s">
        <v>68</v>
      </c>
    </row>
    <row r="149" spans="1:7">
      <c r="A149" s="2" t="s">
        <v>27</v>
      </c>
      <c r="B149" s="14">
        <v>30000</v>
      </c>
      <c r="C149" s="14">
        <v>7500</v>
      </c>
      <c r="D149" s="14">
        <v>7500</v>
      </c>
      <c r="E149" s="14">
        <v>7500</v>
      </c>
      <c r="F149" s="14">
        <v>7500</v>
      </c>
      <c r="G149" s="14">
        <v>30000</v>
      </c>
    </row>
    <row r="150" spans="1:7">
      <c r="A150" s="2" t="s">
        <v>28</v>
      </c>
      <c r="B150" s="14">
        <v>1800</v>
      </c>
      <c r="C150" s="14">
        <v>450</v>
      </c>
      <c r="D150" s="14">
        <v>450</v>
      </c>
      <c r="E150" s="14">
        <v>450</v>
      </c>
      <c r="F150" s="14">
        <v>450</v>
      </c>
      <c r="G150" s="14">
        <v>1800</v>
      </c>
    </row>
    <row r="151" spans="1:7">
      <c r="A151" s="2" t="s">
        <v>29</v>
      </c>
      <c r="B151" s="14">
        <v>2000</v>
      </c>
      <c r="C151" s="14">
        <v>500</v>
      </c>
      <c r="D151" s="14">
        <v>500</v>
      </c>
      <c r="E151" s="14">
        <v>500</v>
      </c>
      <c r="F151" s="14">
        <v>500</v>
      </c>
      <c r="G151" s="14">
        <v>2000</v>
      </c>
    </row>
    <row r="152" spans="1:7">
      <c r="A152" s="50" t="s">
        <v>18</v>
      </c>
      <c r="B152" s="14">
        <v>33800</v>
      </c>
      <c r="C152" s="14">
        <v>7950</v>
      </c>
      <c r="D152" s="14">
        <v>7950</v>
      </c>
      <c r="E152" s="14">
        <v>7950</v>
      </c>
      <c r="F152" s="14">
        <v>7950</v>
      </c>
      <c r="G152" s="14">
        <v>31800</v>
      </c>
    </row>
    <row r="154" spans="1:7">
      <c r="A154" s="22" t="s">
        <v>30</v>
      </c>
    </row>
    <row r="155" spans="1:7">
      <c r="A155" s="27" t="s">
        <v>2</v>
      </c>
      <c r="B155" s="42" t="s">
        <v>21</v>
      </c>
      <c r="C155" s="44" t="s">
        <v>64</v>
      </c>
      <c r="D155" s="44" t="s">
        <v>65</v>
      </c>
      <c r="E155" s="44" t="s">
        <v>66</v>
      </c>
      <c r="F155" s="44" t="s">
        <v>67</v>
      </c>
      <c r="G155" s="45" t="s">
        <v>68</v>
      </c>
    </row>
    <row r="156" spans="1:7">
      <c r="A156" s="2" t="s">
        <v>31</v>
      </c>
      <c r="B156" s="14">
        <v>36000</v>
      </c>
      <c r="C156" s="14">
        <v>9000</v>
      </c>
      <c r="D156" s="14">
        <v>9000</v>
      </c>
      <c r="E156" s="14">
        <v>9000</v>
      </c>
      <c r="F156" s="14">
        <v>9000</v>
      </c>
      <c r="G156" s="14">
        <v>36000</v>
      </c>
    </row>
    <row r="157" spans="1:7">
      <c r="A157" s="50" t="s">
        <v>18</v>
      </c>
      <c r="B157" s="14">
        <v>36000</v>
      </c>
      <c r="C157" s="14">
        <v>9000</v>
      </c>
      <c r="D157" s="14">
        <v>9000</v>
      </c>
      <c r="E157" s="14">
        <v>9000</v>
      </c>
      <c r="F157" s="14">
        <v>9000</v>
      </c>
      <c r="G157" s="14">
        <v>36000</v>
      </c>
    </row>
    <row r="159" spans="1:7">
      <c r="A159" s="22" t="s">
        <v>32</v>
      </c>
    </row>
    <row r="160" spans="1:7">
      <c r="A160" s="27" t="s">
        <v>2</v>
      </c>
      <c r="B160" s="42" t="s">
        <v>21</v>
      </c>
      <c r="C160" s="44" t="s">
        <v>64</v>
      </c>
      <c r="D160" s="44" t="s">
        <v>65</v>
      </c>
      <c r="E160" s="44" t="s">
        <v>66</v>
      </c>
      <c r="F160" s="44" t="s">
        <v>67</v>
      </c>
      <c r="G160" s="45" t="s">
        <v>68</v>
      </c>
    </row>
    <row r="161" spans="1:7">
      <c r="A161" s="2" t="s">
        <v>33</v>
      </c>
      <c r="B161" s="14">
        <v>263400</v>
      </c>
      <c r="C161" s="14">
        <v>67750</v>
      </c>
      <c r="D161" s="14">
        <v>67750</v>
      </c>
      <c r="E161" s="14">
        <v>67750</v>
      </c>
      <c r="F161" s="14">
        <v>67750</v>
      </c>
      <c r="G161" s="14">
        <v>271000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D041749453DA4F80C28CBAE59B8514" ma:contentTypeVersion="8" ma:contentTypeDescription="Create a new document." ma:contentTypeScope="" ma:versionID="52edb68fe2a9f8108e4d2a43726fb15b">
  <xsd:schema xmlns:xsd="http://www.w3.org/2001/XMLSchema" xmlns:xs="http://www.w3.org/2001/XMLSchema" xmlns:p="http://schemas.microsoft.com/office/2006/metadata/properties" xmlns:ns2="90813bc3-6587-4889-9516-df4e7b5cd74f" targetNamespace="http://schemas.microsoft.com/office/2006/metadata/properties" ma:root="true" ma:fieldsID="3071356fb8c42846b13e4607834861d5" ns2:_="">
    <xsd:import namespace="90813bc3-6587-4889-9516-df4e7b5cd7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813bc3-6587-4889-9516-df4e7b5cd7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CADFD0-3CA4-49D0-BB4F-3261B0C65109}">
  <ds:schemaRefs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90813bc3-6587-4889-9516-df4e7b5cd74f"/>
    <ds:schemaRef ds:uri="http://purl.org/dc/terms/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99D86E4-21EE-4C6B-BA1F-1E771C4AC3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813bc3-6587-4889-9516-df4e7b5cd7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528B22-D495-494F-92F9-9C11DA9198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costs 2022</vt:lpstr>
      <vt:lpstr>costs 2023</vt:lpstr>
      <vt:lpstr>costs 2024</vt:lpstr>
      <vt:lpstr>costs 2025</vt:lpstr>
      <vt:lpstr>revenue 2023</vt:lpstr>
      <vt:lpstr>revenue 2024</vt:lpstr>
      <vt:lpstr>revenue 2025</vt:lpstr>
      <vt:lpstr>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Shubhabrata Roy</cp:lastModifiedBy>
  <cp:revision/>
  <dcterms:created xsi:type="dcterms:W3CDTF">2022-06-26T21:31:15Z</dcterms:created>
  <dcterms:modified xsi:type="dcterms:W3CDTF">2022-07-04T11:51:54Z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0x0101001BD041749453DA4F80C28CBAE59B8514</vt:lpwstr>
  </property>
</Properties>
</file>