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67 papers = 35+25+7" sheetId="1" r:id="rId4"/>
    <sheet state="visible" name="35 papers to produce Figure 1" sheetId="2" r:id="rId5"/>
    <sheet state="visible" name="Annotated papers" sheetId="3" r:id="rId6"/>
    <sheet state="visible" name="Quantifying differences in Tabl" sheetId="4" r:id="rId7"/>
    <sheet state="visible" name="Column explanations for Quantif" sheetId="5" r:id="rId8"/>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not a proper value
	-a belz
----
not a proper value
	-a belz
----
if no abstract in bib, just override
	-a belz</t>
      </text>
    </comment>
  </commentList>
</comments>
</file>

<file path=xl/comments2.xml><?xml version="1.0" encoding="utf-8"?>
<comments xmlns:r="http://schemas.openxmlformats.org/officeDocument/2006/relationships" xmlns="http://schemas.openxmlformats.org/spreadsheetml/2006/main">
  <authors>
    <author/>
  </authors>
  <commentList>
    <comment authorId="0" ref="I1">
      <text>
        <t xml:space="preserve">LREC doesn't distinguish between long/short
	-Anastasia Shimorina</t>
      </text>
    </comment>
  </commentList>
</comments>
</file>

<file path=xl/comments3.xml><?xml version="1.0" encoding="utf-8"?>
<comments xmlns:r="http://schemas.openxmlformats.org/officeDocument/2006/relationships" xmlns="http://schemas.openxmlformats.org/spreadsheetml/2006/main">
  <authors>
    <author/>
  </authors>
  <commentList>
    <comment authorId="0" ref="I344">
      <text>
        <t xml:space="preserve">not a proper value
	-a belz</t>
      </text>
    </comment>
    <comment authorId="0" ref="I3">
      <text>
        <t xml:space="preserve">this are not proper values
	-a belz</t>
      </text>
    </comment>
    <comment authorId="0" ref="E345">
      <text>
        <t xml:space="preserve">where explicit original score is missing, reverse computing it
	-a belz</t>
      </text>
    </comment>
    <comment authorId="0" ref="G543">
      <text>
        <t xml:space="preserve">removed ~ and (~) from this column for Wang et al / Moore and Rayson
	-a belz</t>
      </text>
    </comment>
  </commentList>
</comments>
</file>

<file path=xl/sharedStrings.xml><?xml version="1.0" encoding="utf-8"?>
<sst xmlns="http://schemas.openxmlformats.org/spreadsheetml/2006/main" count="3472" uniqueCount="442">
  <si>
    <t>bibtex</t>
  </si>
  <si>
    <t>Authors</t>
  </si>
  <si>
    <t>Title</t>
  </si>
  <si>
    <t>Venue</t>
  </si>
  <si>
    <t>Year</t>
  </si>
  <si>
    <t>Abbr venue</t>
  </si>
  <si>
    <t>Abstract</t>
  </si>
  <si>
    <t xml:space="preserve">@inproceedings{schwartz-2010-reproducible,
    title = "Reproducible Results in Parsing-Based Machine Translation: The {JHU} Shared Task Submission",
    author = "Schwartz, Lane",
    booktitle = "Proceedings of the Joint Fifth Workshop on Statistical Machine Translation and {M}etrics{MATR}",
    month = jul,
    year = "2010",
    address = "Uppsala, Sweden",
    publisher = "Association for Computational Linguistics",
    url = "https://www.aclweb.org/anthology/W10-1726",
    pages = "177--182",
    abstract = "We  present  the  Johns  Hopkins  University submission to the 2010 WMT shared translation  task.   We  describe  processing steps  using  open  data  and  open  source software used in our submission, and provide  the  scripts  and  configurations  re-quired to train, tune, and test our machine translation system."
}
</t>
  </si>
  <si>
    <t>WS</t>
  </si>
  <si>
    <t xml:space="preserve">@inproceedings{fokkens-etal-2013-offspring,
    title = "Offspring from Reproduction Problems: What Replication Failure Teaches Us",
    author = "Fokkens, Antske  and
      van Erp, Marieke  and
      Postma, Marten  and
      Pedersen, Ted  and
      Vossen, Piek  and
      Freire, Nuno",
    booktitle = "Proceedings of the 51st Annual Meeting of the Association for Computational Linguistics (Volume 1: Long Papers)",
    month = aug,
    year = "2013",
    address = "Sofia, Bulgaria",
    publisher = "Association for Computational Linguistics",
    url = "https://www.aclweb.org/anthology/P13-1166",
    pages = "1691--1701",
    abstract = "Repeating experiments is an important instrument in the scientific toolbox to validate previous work and build upon existing  work.   We  present  two  concrete  use cases involving key techniques in the NLP domain for which we show that reproducing results is still difficult.  We show that the deviation that can be found in reproduction  efforts  leads  to  questions  about how  our  results  should  be  interpreted. Moreover,  investigating  these  deviations provides new insights and a deeper understanding of the examined techniques.  We identify five aspects that can influence the outcomes of experiments that are typically not addressed in research papers.  Our use cases show that these aspects may change the  answer  to  research  questions  leading us  to  conclude  that  more  care  should  betaken in interpreting our results and more research  involving  systematic  testing  of methods is required in our field."
}
</t>
  </si>
  <si>
    <t>ACL</t>
  </si>
  <si>
    <t xml:space="preserve">@inproceedings{neveol-etal-2016-replicability,
    title = "Replicability of Research in Biomedical Natural Language Processing: a pilot evaluation for a coding task",
    author = "N{\'e}v{\'e}ol, Aur{\'e}lie  and
      Cohen, Kevin  and
      Grouin, Cyril  and
      Robert, Aude",
    booktitle = "Proceedings of the Seventh International Workshop on Health Text Mining and Information Analysis",
    month = nov,
    year = "2016",
    address = "Auxtin, TX",
    publisher = "Association for Computational Linguistics",
    url = "https://www.aclweb.org/anthology/W16-6110",
    doi = "10.18653/v1/W16-6110",
    pages = "78--84",
    abstract = "The  scientific  community  is  facing  raising concerns about the reproducibility of research in many fields.  To address this issue in Natural Language Processing, the CLEF eHealth 2016  lab  offered  a  replication  track  together with the Clinical Information Extraction task. Herein, we report detailed results of the replication experiments carried out with the three systems submitted to the track.  While all results were ultimately replicated, we found that the systems were poorly rated by analysts on documentation  aspects  such  as  ”ease  of  understanding system requirements” (33%) and” provision of information while system is running” (33%).  As a result, simple steps could be taken by system authors to increase the ease of replicability of their work, thereby increasing the ease of reusing the systems.  Our experiments  aim  to  raise  the  awareness  of  the community towards the challenges of replication and community sharing of NLP systems."
}
</t>
  </si>
  <si>
    <r>
      <rPr>
        <rFont val="Arial"/>
        <color theme="1"/>
      </rPr>
      <t>@inproceedings{fares-etal-2017-word,
    title = "Word vectors, reuse, and replicability: Towards a community repository of large-text resources",
    author = "Fares, Murhaf  and
      Kutuzov, Andrey  and
      Oepen, Stephan  and
      Velldal, Erik",
    booktitle = "Proceedings of the 21st Nordic Conference on Computational Linguistics",
    month = may,
    year = "2017",
    address = "Gothenburg, Sweden",
    publisher = "Association for Computational Linguistics",
    url = "</t>
    </r>
    <r>
      <rPr>
        <rFont val="Arial"/>
        <color rgb="FF000000"/>
      </rPr>
      <t>https://www.aclweb.org/anthology/W17-0237</t>
    </r>
    <r>
      <rPr>
        <rFont val="Arial"/>
        <color theme="1"/>
      </rPr>
      <t xml:space="preserve">",
    pages = "271--276",
    abstract = "This paper describes an emerging shared repository of large-text resources for creating word vectors, including pre-processed corpora and pre-trained vectors for a range of frameworks and configurations.   This will facilitate reuse, rapid experimentation, and replicability of results."
}
</t>
    </r>
  </si>
  <si>
    <t xml:space="preserve">@inproceedings{dakota-kubler-2017-towards,
    title = "Towards Replicability in Parsing",
    author = {Dakota, Daniel  and
      K{\"u}bler, Sandra},
    booktitle = "Proceedings of the International Conference Recent Advances in Natural Language Processing, {RANLP} 2017",
    month = sep,
    year = "2017",
    address = "Varna, Bulgaria",
    publisher = "INCOMA Ltd.",
    url = "https://doi.org/10.26615/978-954-452-049-6_026",
    doi = "10.26615/978-954-452-049-6_026",
    pages = "185--194",
    abstract = "We investigate parsing replicability across 7  languages  (and  8  treebanks),  showing that choices concerning the use of grammatical functions in parsing or evaluation and the influence of the rare word threshold,  as  well  as  choices  in  test  sentences and  evaluation  script  options  have  considerable and often unexpected effects on parsing  accuracies.   All  of  those  choices need  to  be  carefully  documented  if  we want to ensure replicability."
}
</t>
  </si>
  <si>
    <t xml:space="preserve">@article{dror-etal-2017-replicability,
    title = "Replicability Analysis for Natural Language Processing: Testing Significance with Multiple Datasets",
    author = "Dror, Rotem  and
      Baumer, Gili  and
      Bogomolov, Marina  and
      Reichart, Roi",
    journal = "Transactions of the Association for Computational Linguistics",
    volume = "5",
    year = "2017",
    url = "https://www.aclweb.org/anthology/Q17-1033",
    doi = "10.1162/tacl_a_00074",
    pages = "471--486",
    abstract = "With the ever growing amount of textual data from a large variety of languages, domains, and genres, it has become standard to evaluate NLP algorithms on multiple datasets in order to ensure a consistent performance across heterogeneous setups. However, such multiple comparisons pose significant challenges to traditional statistical analysis methods in NLP and can lead to erroneous conclusions. In this paper we propose a Replicability Analysis framework for a statistically sound analysis of multiple comparisons between algorithms for NLP tasks. We discuss the theoretical advantages of this framework over the current, statistically unjustified, practice in the NLP literature, and demonstrate its empirical value across four applications: multi-domain dependency parsing, multilingual POS tagging, cross-domain sentiment classification and word similarity prediction."
}
</t>
  </si>
  <si>
    <t>TACL</t>
  </si>
  <si>
    <t xml:space="preserve">@inproceedings{marrese-taylor-matsuo-2017-replication,
    title = "Replication issues in syntax-based aspect extraction for opinion mining",
    author = "Marrese-Taylor, Edison  and
      Matsuo, Yutaka",
    booktitle = "Proceedings of the Student Research Workshop at the 15th Conference of the {E}uropean Chapter of the Association for Computational Linguistics",
    month = apr,
    year = "2017",
    address = "Valencia, Spain",
    publisher = "Association for Computational Linguistics",
    url = "https://www.aclweb.org/anthology/E17-4003",
    pages = "23--32",
    abstract = "Reproducing experiments is an important instrument to validate previous work and build upon existing approaches. It has been tackled numerous times in different areas of science. In this paper, we introduce an empirical replicability study of three well-known algorithms for syntactic centric aspect-based opinion mining. We show that reproducing results continues to be a difficult endeavor, mainly due to the lack of details regarding preprocessing and parameter setting, as well as due to the absence of available implementations that clarify these details. We consider these are important threats to validity of the research on the field, specifically when compared to other problems in NLP where public datasets and code availability are critical validity components. We conclude by encouraging code-based research, which we think has a key role in helping researchers to understand the meaning of the state-of-the-art better and to generate continuous advances."
}
</t>
  </si>
  <si>
    <t>EACL</t>
  </si>
  <si>
    <t xml:space="preserve">@inproceedings{horsmann-zesch-2017-lstms,
    title = "Do {LSTM}s really work so well for {P}o{S} tagging? {--} A replication study",
    author = "Horsmann, Tobias  and
      Zesch, Torsten",
    booktitle = "Proceedings of the 2017 Conference on Empirical Methods in Natural Language Processing",
    month = sep,
    year = "2017",
    address = "Copenhagen, Denmark",
    publisher = "Association for Computational Linguistics",
    url = "https://www.aclweb.org/anthology/D17-1076",
    doi = "10.18653/v1/D17-1076",
    pages = "727--736",
    abstract = "A recent study by Plank et al. (2016) found that  LSTM-based  PoS  taggers  considerably improve over the current state-of-the-art when evaluated on the corpora of the Universal Dependencies project that use a coarse-grained tagset.   We  replicate  this study  using  a  fresh  collection  of  27  corpora  of  21  languages  that  are  annotated with fine-grained tagsets of varying size. Our replication confirms the result in general, and we additionally find that the advantage of LSTMs is even bigger for larger tagsets.   However,  we  also  find  that  for the very large tagsets of morphologically rich  languages,  hand-crafted  morphological  lexicons  are  still  necessary  to  reach state-of-the-art performance."
}
</t>
  </si>
  <si>
    <t>EMNLP</t>
  </si>
  <si>
    <t xml:space="preserve">@inproceedings{morey-etal-2017-much,
    title = "How much progress have we made on {RST} discourse parsing? A replication study of recent results on the {RST}-{DT}",
    author = "Morey, Mathieu  and
      Muller, Philippe  and
      Asher, Nicholas",
    booktitle = "Proceedings of the 2017 Conference on Empirical Methods in Natural Language Processing",
    month = sep,
    year = "2017",
    address = "Copenhagen, Denmark",
    publisher = "Association for Computational Linguistics",
    url = "https://www.aclweb.org/anthology/D17-1136",
    doi = "10.18653/v1/D17-1136",
    pages = "1319--1324",
    abstract = "This article evaluates purported progress over the past years in RST discourse parsing. Several studies report a relative error reduction of 24 to 51% on all metrics that authors attribute to the introduction of distributed representations of discourse units. We replicate the standard evaluation of 9 parsers, 5 of which use distributed representations, from 8 studies published between 2013 and 2017, using their predictions on the test set of the RST-DT. Our main finding is that most recently reported increases in RST discourse parser performance are an artefact of differences in implementations of the evaluation procedure. We evaluate all these parsers with the standard Parseval procedure to provide a more accurate picture of the actual RST discourse parsers performance in standard evaluation settings. Under this more stringent procedure, the gains attributable to distributed representations represent at most a 16% relative error reduction on fully-labelled structures."
}
</t>
  </si>
  <si>
    <r>
      <rPr>
        <rFont val="Arial"/>
        <color theme="1"/>
      </rPr>
      <t>@inproceedings{htut-etal-2018-grammar,
    title = "Grammar Induction with Neural Language Models: An Unusual Replication",
    author = "Htut, Phu Mon  and
      Cho, Kyunghyun  and
      Bowman, Samuel",
    booktitle = "Proceedings of the 2018 {EMNLP} Workshop {B}lackbox{NLP}: Analyzing and Interpreting Neural Networks for {NLP}",
    month = nov,
    year = "2018",
    address = "Brussels, Belgium",
    publisher = "Association for Computational Linguistics",
    url = "</t>
    </r>
    <r>
      <rPr>
        <rFont val="Arial"/>
        <color rgb="FF000000"/>
      </rPr>
      <t>https://www.aclweb.org/anthology/W18-5452</t>
    </r>
    <r>
      <rPr>
        <rFont val="Arial"/>
        <color theme="1"/>
      </rPr>
      <t xml:space="preserve">",
    doi = "10.18653/v1/W18-5452",
    pages = "371--373",
    abstract = "Grammar induction is the task of learning syntactic structure without the expert-labeled treebanks (Charniak and Carroll, 1992; Klein and Manning, 2002). Recent work on latent tree learning offers a new family of approaches to this problem by inducing syntactic structure using the supervision from a downstream NLP task (Yogatama et al., 2017; Maillard et al., 2017; Choi et al., 2018). In a recent paper published at ICLR, Shen et al. (2018) introduce such a model and report near state-of-the-art results on the target task of language modeling, and the first strong latent tree learning result on constituency parsing. During the analysis of this model, we discover issues that make the original results hard to trust, including tuning and even training on what is effectively the test set. Here, we analyze the model under different configurations to understand what it learns and to identify the conditions under which it succeeds. We find that this model represents the first empirical success for neural network latent tree learning, and that neural language modeling warrants further study as a setting for grammar induction."
}
</t>
    </r>
  </si>
  <si>
    <t xml:space="preserve">@article{crane-2018-questionable,
    title = "Questionable Answers in Question Answering Research: Reproducibility and Variability of Published Results",
    author = "Crane, Matt",
    journal = "Transactions of the Association for Computational Linguistics",
    volume = "6",
    year = "2018",
    url = "https://www.aclweb.org/anthology/Q18-1018",
    doi = "10.1162/tacl_a_00018",
    pages = "241--252",
   abstract = "Based on theoretical reasoning it has been suggested that the reliability of findings published in the scientific literature decreases with the popularity of a research field” (Pfeiffer and Hoffmann, 2009). As we know, deep learning is very popular and the ability to reproduce results is an important part of science. There is growing concern within the deep learning community about the reproducibility of results that are presented. In this paper we present a number of controllable, yet unreported, effects that can substantially change the effectiveness of a sample model, and thusly the reproducibility of those results. Through these environmental effects we show that the commonly held belief that distribution of source code is all that is needed for reproducibility is not enough. Source code without a reproducible environment does not mean anything at all. In addition the range of results produced from these effects can be larger than the majority of incremental improvement reported."
}
</t>
  </si>
  <si>
    <t xml:space="preserve">@inproceedings{branco-2018-depleting,
    title = "We Are Depleting Our Research Subject as We Are Investigating It: In Language Technology, more Replication and Diversity Are Needed",
    author = "Branco, Ant{\'o}nio",
    booktitle = "Proceedings of the Eleventh International Conference on Language Resources and Evaluation ({LREC} 2018)",
    month = may,
    year = "2018",
    address = "Miyazaki, Japan",
    publisher = "European Language Resources Association (ELRA)",
    url = "https://www.aclweb.org/anthology/L18-1022",
    abstract = "In this paper, we present an analysis indicating that, in language technology, as we are investigating natural language we are contributing to deplete it in the sense that we are contributing to reduce the diversity of languages.  To address this circumstance, we propose that more replication and reproduction and more language diversity need to be taken into account in our research activities."
}
</t>
  </si>
  <si>
    <t>LREC</t>
  </si>
  <si>
    <t xml:space="preserve">@inproceedings{cohen-etal-2018-three,
    title = "Three Dimensions of Reproducibility in Natural Language Processing",
    author = "Cohen, K. Bretonnel  and
      Xia, Jingbo  and
      Zweigenbaum, Pierre  and
      Callahan, Tiffany  and
      Hargraves, Orin  and
      Goss, Foster  and
      Ide, Nancy  and
      N{\'e}v{\'e}ol, Aur{\'e}lie  and
      Grouin, Cyril  and
      Hunter, Lawrence E.",
    booktitle = "Proceedings of the Eleventh International Conference on Language Resources and Evaluation ({LREC} 2018)",
    month = may,
    year = "2018",
    address = "Miyazaki, Japan",
    publisher = "European Language Resources Association (ELRA)",
    url = "https://www.aclweb.org/anthology/L18-1025",
   abstract = "Despite  considerable  recent  attention  to  problems  with  reproducibility  of  scientific  research,  there  is  a  striking  lack  of  agreement about the definition of the term.  That is a problem, because the lack of a consensus definition makes it difficult to compare studies of reproducibility, and thus to have even a broad overview of the state of the issue in natural language processing.  This paper proposes anontology of reproducibility in that field. Its goal is to enhance both future research and communication about the topic, and retrospective meta-analyses. We show that three dimensions of reproducibility, corresponding to three kinds of claims in natural language processing papers, can account for a variety of types of research reports. These dimensions are reproducibility of aconclusion, of a finding, and ofavalue. Three biomedical natural language processing papers by the authors of this paper are analyzed with respect to these dimensions."
}
</t>
  </si>
  <si>
    <r>
      <rPr>
        <rFont val="Arial"/>
        <color theme="1"/>
      </rPr>
      <t>@inproceedings{gartner-etal-2018-preserving,
    title = "Preserving Workflow Reproducibility: The {R}e{P}lay-{DH} Client as a Tool for Process Documentation",
    author = {G{\"a}rtner, Markus  and
      Hahn, Uli  and
      Hermann, Sibylle},
    booktitle = "Proceedings of the Eleventh International Conference on Language Resources and Evaluation ({LREC} 2018)",
    month = may,
    year = "2018",
    address = "Miyazaki, Japan",
    publisher = "European Language Resources Association (ELRA)",
    url = "</t>
    </r>
    <r>
      <rPr>
        <rFont val="Arial"/>
        <color rgb="FF000000"/>
      </rPr>
      <t>https://www.aclweb.org/anthology/L18-1089</t>
    </r>
    <r>
      <rPr>
        <rFont val="Arial"/>
        <color theme="1"/>
      </rPr>
      <t xml:space="preserve">",
   abstract = "In  this  paper  we  present  a  software  tool  for  elicitation  and  management  of  process  metadata.   It  follows  our  previously  published design idea of an assistant for researchers that aims at minimizing the additional effort required for producing a sustainable workflow documentation.   With  the  ever-growing  number  of  linguistic  resources  available,  it  also  becomes  increasingly  important  to  provide proper  documentation  to  make  them  comparable  and  to  allow  meaningful  evaluations  for  specific  use  cases.   The  often  prevailing practice  of  post  hoc  documentation  of  resource  generation  or  research  processes  bears  the  risk  of  information  loss.   Not  only  does detailed documentation of a process aid in achieving reproducibility, it also increases usefulness of the documented work for others asa cornerstone of good scientific practice.  Time pressure together with the lack of simple documentation methods leads to workflow documentation in practice being an arduous and often neglected task. Our tool ensures a clean documentation for common workflows innatural language processing and digital humanities. Additionally, it can easily be integrated into existing institutional infrastructures.",
}
</t>
    </r>
  </si>
  <si>
    <r>
      <rPr>
        <rFont val="Arial"/>
        <color theme="1"/>
      </rPr>
      <t>@inproceedings{horsmann-zesch-2018-deeptc,
    title = "{D}eep{TC} {--} An Extension of {DKP}ro Text Classification for Fostering Reproducibility of Deep Learning Experiments",
    author = "Horsmann, Tobias  and
      Zesch, Torsten",
    booktitle = "Proceedings of the Eleventh International Conference on Language Resources and Evaluation ({LREC} 2018)",
    month = may,
    year = "2018",
    address = "Miyazaki, Japan",
    publisher = "European Language Resources Association (ELRA)",
    url = "</t>
    </r>
    <r>
      <rPr>
        <rFont val="Arial"/>
        <color rgb="FF000000"/>
      </rPr>
      <t>https://www.aclweb.org/anthology/L18-1403</t>
    </r>
    <r>
      <rPr>
        <rFont val="Arial"/>
        <color theme="1"/>
      </rPr>
      <t xml:space="preserve">",
    abstract = "We present a deep learning extension for the multi-purpose text classification framework DKPro Text Classification (DKPro TC). DKProTC is a flexible framework for creating easily shareable and reproducible end-to-end NLP experiments involving machine learning. We provide an overview of the current state of DKPro TC, which does not allow integration of deep learning, and discuss the necessary conceptual extensions.  These extensions are based on an analysis of common deep learning setups found in the literature to support all common text classification setups, i.e. single outcome, multi outcome, and sequence classification problems.  Additionally to providing an end-to-end shareable environment for deep learning experiments, we provide convenience features that take care of repetitive steps, such as pre-processing, data vectorization and pruning of embeddings.  By moving a large part of this boilerplate code into DKPro TC, the actual deep learning framework code improves in readability and lowers the amount of redundant source code considerably.  As proof-of-concept, we integrate Keras, DyNet, and DeepLearning4J.",
}
</t>
    </r>
  </si>
  <si>
    <t xml:space="preserve">@article{wieling-etal-2018-squib,
    title = "{S}quib: Reproducibility in Computational Linguistics: Are We Willing to Share?",
    author = "Wieling, Martijn  and
      Rawee, Josine  and
      van Noord, Gertjan",
    journal = "Computational Linguistics",
    volume = "44",
    number = "4",
    month = dec,
    year = "2018",
    url = "https://www.aclweb.org/anthology/J18-4003",
    doi = "10.1162/coli_a_00330",
    pages = "641--649",
}
</t>
  </si>
  <si>
    <t>CL</t>
  </si>
  <si>
    <t>This study focuses on an essential precondition for reproducibility in computational linguistics: the willingness of authors to share relevant source code and data. Ten years after Ted Pedersen’s influential “Last Words” contribution in Computational Linguistics, we investigate to what extent researchers in computational linguistics are willing and able to share their data and code. We surveyed all 395 full papers presented at the 2011 and 2016 ACL Annual Meetings, and identified whether links to data and code were provided. If working links were not provided, authors were requested to provide this information. Although data were often available, code was shared less often. When working links to code or data were not provided in the paper, authors provided the code in about one third of cases. For a selection of ten papers, we attempted to reproduce the results using the provided data and code. We were able to reproduce the results approximately for six papers. For only a single paper did we obtain the exact same results. Our findings show that even though the situation appears to have improved comparing 2016 to 2011, empiricism in computational linguistics still largely remains a matter of faith. Nevertheless, we are somewhat optimistic about the future. Ensuring reproducibility is not only important for the field as a whole, but also seems worthwhile for individual researchers: The median citation count for studies with working links to the source code is higher.</t>
  </si>
  <si>
    <r>
      <rPr>
        <rFont val="Arial"/>
        <color theme="1"/>
      </rPr>
      <t>@inproceedings{htut-etal-2018-grammar-induction,
    title = "Grammar Induction with Neural Language Models: An Unusual Replication",
    author = "Htut, Phu Mon  and
      Cho, Kyunghyun  and
      Bowman, Samuel",
    booktitle = "Proceedings of the 2018 Conference on Empirical Methods in Natural Language Processing",
    month = oct # "-" # nov,
    year = "2018",
    address = "Brussels, Belgium",
    publisher = "Association for Computational Linguistics",
    url = "</t>
    </r>
    <r>
      <rPr>
        <rFont val="Arial"/>
        <color rgb="FF000000"/>
      </rPr>
      <t>https://www.aclweb.org/anthology/D18-1544</t>
    </r>
    <r>
      <rPr>
        <rFont val="Arial"/>
        <color theme="1"/>
      </rPr>
      <t xml:space="preserve">",
    doi = "10.18653/v1/D18-1544",
    pages = "4998--5003",
}
</t>
    </r>
  </si>
  <si>
    <t>A substantial thread of recent work on latent
tree learning has attempted to develop neural
network models with parse-valued latent variables and train them on non-parsing tasks, in
the hope of having them discover interpretable
tree structure. In a recent paper, Shen et al.
(2018) introduce such a model and report nearstate-of-the-art results on the target task of language modeling, and the first strong latent tree
learning result on constituency parsing. In an
attempt to reproduce these results, we discover
issues that make the original results hard to
trust, including tuning and even training on
what is effectively the test set. Here, we attempt to reproduce these results in a fair experiment and to extend them to two new datasets.
We find that the results of this work are robust:
All variants of the model under study outperform all latent tree learning baselines, and perform competitively with symbolic grammar
induction systems. We find that this model
represents the first empirical success for latent tree learning, and that neural network language modeling warrants further study as a
setting for grammar induction.</t>
  </si>
  <si>
    <t xml:space="preserve">@inproceedings{moore-rayson-2018-bringing,
    title = "Bringing replication and reproduction together with generalisability in {NLP}: Three reproduction studies for Target Dependent Sentiment Analysis",
    author = "Moore, Andrew  and
      Rayson, Paul",
    booktitle = "Proceedings of the 27th International Conference on Computational Linguistics",
    month = aug,
    year = "2018",
    address = "Santa Fe, New Mexico, USA",
    publisher = "Association for Computational Linguistics",
    url = "https://www.aclweb.org/anthology/C18-1097",
    pages = "1132--1144",
}
</t>
  </si>
  <si>
    <t>COLING</t>
  </si>
  <si>
    <t>Lack of repeatability and generalisability are two significant threats to continuing scientific development in Natural Language Processing. Language models and learning methods are so complex that scientific conference papers no longer contain enough space for the technical depth required
for replication or reproduction. Taking Target Dependent Sentiment Analysis as a case study, we
show how recent work in the field has not consistently released code, or described settings for
learning methods in enough detail, and lacks comparability and generalisability in train, test or
validation data. To investigate generalisability and to enable state of the art comparative evaluations, we carry out the first reproduction studies of three groups of complementary methods and
perform the first large-scale mass evaluation on six different English datasets. Reflecting on our
experiences, we recommend that future replication or reproduction experiments should always
consider a variety of datasets alongside documenting and releasing their methods and published
code in order to minimise the barriers to both repeatability and generalisability. We have released our code with a model zoo on GitHub with Jupyter Notebooks to aid understanding and full documentation, and we recommend that others do the same with their papers at submission time through an anonymised GitHub account.</t>
  </si>
  <si>
    <t xml:space="preserve">@inproceedings{pierrejean-tanguy-2018-etude,
    title = "Etude de la reproductibilit{\'e} des word embeddings : rep{\'e}rage des zones stables et instables dans le lexique (Reproducibility of word embeddings : identifying stable and unstable zones in the semantic space)",
    author = "Pierrejean, B{\'e}n{\'e}dicte  and
      Tanguy, Ludovic",
    booktitle = "Actes de la Conf{\'e}rence TALN. Volume 1 - Articles longs, articles courts de TALN",
    month = "5",
    year = "2018",
    address = "Rennes, France",
    publisher = "ATALA",
    url = "https://www.aclweb.org/anthology/2018.jeptalnrecital-long.3",
    pages = "33--46",
    language = "French",
}
</t>
  </si>
  <si>
    <t>Distributional semantic models trained using neural networks techniques yield different modelseven when using the same parameters. We describe a series of experiments where we examine theinstability of word embeddings both from a global and local perspective for several models trainedwith the same parameters. We measured the global variation for models trained on three differentcorpora. This variation is estimated to about 17% for the 25 nearest neighbours of a target word. Wealso identified and described local zones of stability and instability in the semantic space.</t>
  </si>
  <si>
    <t xml:space="preserve">@inproceedings{van-miltenburg-etal-2019-task,
    title = "On task effects in {NLG} corpus elicitation: a replication study using mixed effects modeling",
    author = "van Miltenburg, Emiel  and
      van de Kerkhof, Merel  and
      Koolen, Ruud  and
      Goudbeek, Martijn  and
      Krahmer, Emiel",
    booktitle = "Proceedings of the 12th International Conference on Natural Language Generation",
    month = oct # "{--}" # nov,
    year = "2019",
    address = "Tokyo, Japan",
    publisher = "Association for Computational Linguistics",
    url = "https://www.aclweb.org/anthology/W19-8649",
    doi = "10.18653/v1/W19-8649",
    pages = "403--408",
}
</t>
  </si>
  <si>
    <t>INLG</t>
  </si>
  <si>
    <t>Task effects in NLG corpus elicitation recentlystarted to receive more attention, but are usu-ally  not  modeled  statistically.   We  present  acontrolled replication of the study by Van Mil-tenburg et al. (2018b), contrasting spoken withwritten descriptions.   We collected additionalwritten Dutch descriptions to supplement thespoken data from the DIDEC corpus, and an-alyzed  the  descriptions  using  mixed  effectsmodeling to account for variation between par-ticipants and items.  Our results show that theeffects of modality largely disappear in a con-trolled setting</t>
  </si>
  <si>
    <t xml:space="preserve">@inproceedings{fortuna-etal-2019-stop,
    title = "Stop {P}ropag{H}ate at {S}em{E}val-2019 Tasks 5 and 6: Are abusive language classification results reproducible?",
    author = "Fortuna, Paula  and
      Soler-Company, Juan  and
      Nunes, S{\'e}rgio",
    booktitle = "Proceedings of the 13th International Workshop on Semantic Evaluation",
    month = jun,
    year = "2019",
    address = "Minneapolis, Minnesota, USA",
    publisher = "Association for Computational Linguistics",
    url = "https://www.aclweb.org/anthology/S19-2131",
    doi = "10.18653/v1/S19-2131",
    pages = "745--752",
}
</t>
  </si>
  <si>
    <t>This paper summarizes the participation of Stop PropagHate team at SemEval 2019. Our approach is based on replicating one of the most relevant works on the literature, using word embeddings and LSTM. After circumventing some of the problems of the original code, we found poor results when applying it to the HatEval contest (F1=0.45). We think this is due mainly to inconsistencies in the data of this contest. Finally, for the OffensEval the classifier performed well (F1=0.74), proving to have a better performance for offense detection than for hate speech.</t>
  </si>
  <si>
    <t xml:space="preserve">@inproceedings{mieskes-etal-2019-community,
    title = "Community Perspective on Replicability in Natural Language Processing",
    author = {Mieskes, Margot  and
      Fort, Kar{\"e}n  and
      N{\'e}v{\'e}ol, Aur{\'e}lie  and
      Grouin, Cyril  and
      Cohen, Kevin},
    booktitle = "Proceedings of the International Conference on Recent Advances in Natural Language Processing (RANLP 2019)",
    month = sep,
    year = "2019",
    address = "Varna, Bulgaria",
    publisher = "INCOMA Ltd.",
    url = "https://www.aclweb.org/anthology/R19-1089",
    doi = "10.26615/978-954-452-056-4_089",
    pages = "768--775",
}
</t>
  </si>
  <si>
    <t>With recent efforts in drawing attention to the task of replicating and/or reproducing results, for example in the context of COLING 2018 and various LREC workshops, the question arises how the NLP community views the topic of replicability in general. Using a survey, in which we involve members of the NLP community, we investigate how our community perceives this topic, its relevance and options for improvement. Based on over two hundred participants, the survey results confirm earlier observations, that successful reproducibility requires more than having access to code and data. Additionally, the results show that the topic has to be tackled from the authors’, reviewers’ and community’s side.</t>
  </si>
  <si>
    <r>
      <rPr>
        <rFont val="Arial"/>
        <color theme="1"/>
      </rPr>
      <t>@inproceedings{wu-etal-2019-errudite,
    title = "{E}rrudite: Scalable, Reproducible, and Testable Error Analysis",
    author = "Wu, Tongshuang  and
      Ribeiro, Marco Tulio  and
      Heer, Jeffrey  and
      Weld, Daniel",
    booktitle = "Proceedings of the 57th Annual Meeting of the Association for Computational Linguistics",
    month = jul,
    year = "2019",
    address = "Florence, Italy",
    publisher = "Association for Computational Linguistics",
    url = "</t>
    </r>
    <r>
      <rPr>
        <rFont val="Arial"/>
        <color rgb="FF000000"/>
      </rPr>
      <t>https://www.aclweb.org/anthology/P19-1073</t>
    </r>
    <r>
      <rPr>
        <rFont val="Arial"/>
        <color theme="1"/>
      </rPr>
      <t xml:space="preserve">",
    doi = "10.18653/v1/P19-1073",
    pages = "747--763",
}
</t>
    </r>
  </si>
  <si>
    <t>Though error analysis is crucial to understanding and improving NLP models, the common practice of manual, subjective categorization of a small sample of errors can yield biased and incomplete conclusions. This paper codifies model and task agnostic principles for informative error analysis, and presents Errudite, an interactive tool for better supporting this process. First, error groups should be precisely defined for reproducibility; Errudite supports this with an expressive domain-specific language. Second, to avoid spurious conclusions, a large set of instances should be analyzed, including both positive and negative examples; Errudite enables systematic grouping of relevant instances with filtering queries. Third, hypotheses about the cause of errors should be explicitly tested; Errudite supports this via automated counterfactual rewriting. We validate our approach with a user study, finding that Errudite (1) enables users to perform high quality and reproducible error analyses with less effort, (2) reveals substantial ambiguities in prior published error analyses practices, and (3) enhances the error analysis experience by allowing users to test and revise prior beliefs.</t>
  </si>
  <si>
    <r>
      <rPr>
        <rFont val="Arial"/>
        <color theme="1"/>
      </rPr>
      <t>@article{zhang-duh-2020-reproducible,
    title = "Reproducible and Efficient Benchmarks for Hyperparameter Optimization of Neural Machine Translation Systems",
    author = "Zhang, Xuan  and
      Duh, Kevin",
    journal = "Transactions of the Association for Computational Linguistics",
    volume = "8",
    year = "2020",
    url = "</t>
    </r>
    <r>
      <rPr>
        <rFont val="Arial"/>
        <color rgb="FF000000"/>
      </rPr>
      <t>https://www.aclweb.org/anthology/2020.tacl-1.26</t>
    </r>
    <r>
      <rPr>
        <rFont val="Arial"/>
        <color theme="1"/>
      </rPr>
      <t xml:space="preserve">",
    doi = "10.1162/tacl_a_00322",
    pages = "393--408",
}
</t>
    </r>
  </si>
  <si>
    <t>Hyperparameter selection is a crucial part of
building neural machine translation (NMT)
systems across both academia and industry.
Fine-grained adjustments to a model’s architecture or training recipe can mean the difference between a positive and negative research
result or between a state-of-the-art and underperforming system. While recent literature has
proposed methods for automatic hyperparameter optimization (HPO), there has been limited
work on applying these methods to neural
machine translation (NMT), due in part to the
high costs associated with experiments that
train large numbers of model variants. To
facilitate research in this space, we introduce
a lookup-based approach that uses a library
of pre-trained models for fast, low cost HPO
experimentation. Our contributions include (1)
the release of a large collection of trained NMT
models covering a wide range of hyperparameters, (2) the proposal of targeted metrics for
evaluating HPO methods on NMT, and (3) a
reproducible benchmark of several HPO methods against our model library, including novel
graph-based and multiobjective methods.</t>
  </si>
  <si>
    <r>
      <rPr>
        <rFont val="Arial"/>
        <color theme="1"/>
      </rPr>
      <t>@inproceedings{born-etal-2020-dataset,
    title = "Dataset Reproducibility and {IR} Methods in Timeline Summarization",
    author = "Born, Leo  and
      Bacher, Maximilian  and
      Markert, Katja",
    booktitle = "Proceedings of The 12th Language Resources and Evaluation Conference",
    month = may,
    year = "2020",
    address = "Marseille, France",
    publisher = "European Language Resources Association",
    url = "</t>
    </r>
    <r>
      <rPr>
        <rFont val="Arial"/>
        <color rgb="FF000000"/>
      </rPr>
      <t>https://www.aclweb.org/anthology/2020.lrec-1.218</t>
    </r>
    <r>
      <rPr>
        <rFont val="Arial"/>
        <color theme="1"/>
      </rPr>
      <t xml:space="preserve">",
    pages = "1763--1771",
    language = "English",
    ISBN = "979-10-95546-34-4",
}
</t>
    </r>
  </si>
  <si>
    <t>Timeline summarization (TLS) generates a dated overview of real-world events based on event-specific corpora. The two standard datasets for this task were collected using Google searches for news reports on given events. Not only is this IR method not reproducible at different search times, it also uses components (such as document popularity) that are not always available for any large news corpus. It is unclear how TLS algorithms fare when provided with event corpora collected with varying IR methods. We therefore construct event-specific corpora from a large static background corpus, the newsroom dataset, using differing, relatively simple IR methods based on raw text alone. We show that the choice of IR method plays a crucial role in the performance of various TLS algorithms. A weak TLS algorithm can even match a stronger one by employing a stronger IR method in the data collection phase. Furthermore, the results of TLS systems are often highly sensitive to additional sentence filtering. We consequently advocate for integrating IR into the development of TLS systems and having a common static background corpus for evaluation of TLS systems.</t>
  </si>
  <si>
    <t xml:space="preserve">@inproceedings{antonio-rodrigues-etal-2020-reproduction,
    title = "Reproduction and Revival of the Argument Reasoning Comprehension Task",
    author = "Ant{\'o}nio Rodrigues, Jo{\~a}o  and
      Branco, Ruben  and
      Silva, Jo{\~a}o  and
      Branco, Ant{\'o}nio",
    booktitle = "Proceedings of The 12th Language Resources and Evaluation Conference",
    month = may,
    year = "2020",
    address = "Marseille, France",
    publisher = "European Language Resources Association",
    url = "https://www.aclweb.org/anthology/2020.lrec-1.622",
    pages = "5055--5064",
    language = "English",
    ISBN = "979-10-95546-34-4",
}
</t>
  </si>
  <si>
    <t>Reproduction of scientific findings is essential for scientific development across all scientific disciplines and reproducing results of previous works is a basic requirement for validating the hypothesis and conclusions put forward by them. This paper reports on the scientific reproduction of several systems addressing the Argument Reasoning Comprehension Task of SemEval2018. Given a recent publication that pointed out spurious statistical cues in the data set used in the shared task, and that produced a revised version of it, we also evaluated the reproduced systems with this new data set. The exercise reported here shows that, in general, the reproduction of these systems is successful with scores in line with those reported in SemEval2018. However, the performance scores are worst than those, and even below the random baseline, when the reproduced systems are run over the revised data set expunged from data artifacts. This demonstrates that this task is actually a much harder challenge than what could have been perceived from the inflated, close to human-level performance scores obtained with the data set used in SemEval2018. This calls for a revival of this task as there is much room for improvement until systems may come close to the upper bound provided by human performance.</t>
  </si>
  <si>
    <t xml:space="preserve">@inproceedings{branco-etal-2020-shared,
    title = "A Shared Task of a New, Collaborative Type to Foster Reproducibility: A First Exercise in the Area of Language Science and Technology with {REPROLANG}2020",
    author = "Branco, Ant{\'o}nio  and
      Calzolari, Nicoletta  and
      Vossen, Piek  and
      Van Noord, Gertjan  and
      van Uytvanck, Dieter  and
      Silva, Jo{\~a}o  and
      Gomes, Lu{\'\i}s  and
      Moreira, Andr{\'e}  and
      Elbers, Willem",
    booktitle = "Proceedings of The 12th Language Resources and Evaluation Conference",
    month = may,
    year = "2020",
    address = "Marseille, France",
    publisher = "European Language Resources Association",
    url = "https://www.aclweb.org/anthology/2020.lrec-1.680",
    pages = "5539--5545",
    language = "English",
    ISBN = "979-10-95546-34-4",
    abstract = "In this paper, we introduce a new type of shared task — which is collaborative rather than competitive — designed to support and foster the reproduction of research results. We also describe the first event running such a novel challenge, present the results obtained, discuss the lessons learned and ponder on future undertakings.",
}
</t>
  </si>
  <si>
    <t xml:space="preserve">@inproceedings{garneau-etal-2020-robust,
    title = "A Robust Self-Learning Method for Fully Unsupervised Cross-Lingual Mappings of Word Embeddings: Making the Method Robustly Reproducible as Well",
    author = "Garneau, Nicolas  and
      Godbout, Mathieu  and
      Beauchemin, David  and
      Durand, Audrey  and
      Lamontagne, Luc",
    booktitle = "Proceedings of The 12th Language Resources and Evaluation Conference",
    month = may,
    year = "2020",
    address = "Marseille, France",
    publisher = "European Language Resources Association",
    url = "https://www.aclweb.org/anthology/2020.lrec-1.681",
    pages = "5546--5554",
    language = "English",
    ISBN = "979-10-95546-34-4",
}
</t>
  </si>
  <si>
    <t>In this paper, we reproduce the experiments of Artetxe et al. (2018b) regarding the robust self-learning method for fully unsupervised cross-lingual mappings of word embeddings. We show that the reproduction of their method is indeed feasible with some minor assumptions. We further investigate the robustness of their model by introducing four new languages that are less similar to English than the ones proposed by the original paper. In order to assess the stability of their model, we also conduct a grid search over sensible hyperparameters. We then propose key recommendations that apply to any research project in order to deliver fully reproducible research.</t>
  </si>
  <si>
    <t xml:space="preserve">@inproceedings{khoe-2020-reproducing,
    title = "Reproducing a Morphosyntactic Tagger with a Meta-{B}i{LSTM} Model over Context Sensitive Token Encodings",
    author = "Khoe, Yung Han",
    booktitle = "Proceedings of The 12th Language Resources and Evaluation Conference",
    month = may,
    year = "2020",
    address = "Marseille, France",
    publisher = "European Language Resources Association",
    url = "https://www.aclweb.org/anthology/2020.lrec-1.683",
    pages = "5563--5568",
    language = "English",
    ISBN = "979-10-95546-34-4",
}
</t>
  </si>
  <si>
    <t>Reproducibility is generally regarded as being a requirement for any form of experimental science. Even so, reproduction of research results is only recently beginning to be practiced and acknowledged. In the context of the REPROLANG 2020 shared task, we contribute to this trend by reproducing the work reported on by Bohnet et al. (2018) on morphosyntactic tagging. Their meta-BiLSTM model achieved state-of-the-art results across a wide range of languages. This was done by integrating sentence-level and single-word context through synchronized training by a meta-model. Our reproduction only partially confirms the main results of the paper in terms of outperforming earlier models. The results of our reproductions improve on earlier models on the morphological tagging task, but not on the part-of-speech tagging task. Furthermore, even where we improve on earlier models, we fail to match the F1-scores reported for the meta-BiLSTM model. Because we chose not to contact the original authors for our reproduction study, the uncertainty about the degree of parallelism that was achieved between the original study and our reproduction limits the value of our findings as an assessment of the reliability of the original results. At the same time, however, it underscores the relevance of our reproduction effort in regard to the reproducibility and interpretability of those findings. The discrepancies between our findings and the original results demonstrate that there is room for improvement in many aspects of reporting regarding the reproducibility of the experiments. In addition, we suggest that different reporting choices could improve the interpretability of the results.</t>
  </si>
  <si>
    <t xml:space="preserve">@inproceedings{rim-etal-2020-reproducing,
    title = "Reproducing Neural Ensemble Classifier for Semantic Relation Extraction in{S}cientific Papers",
    author = "Rim, Kyeongmin  and
      Tu, Jingxuan  and
      Lynch, Kelley  and
      Pustejovsky, James",
    booktitle = "Proceedings of The 12th Language Resources and Evaluation Conference",
    month = may,
    year = "2020",
    address = "Marseille, France",
    publisher = "European Language Resources Association",
    url = "https://www.aclweb.org/anthology/2020.lrec-1.684",
    pages = "5569--5578",
    language = "English",
    ISBN = "979-10-95546-34-4",
}
</t>
  </si>
  <si>
    <t>Within the natural language processing (NLP) community, shared tasks play an important role. They define a common goal and allowthe the comparison of different methods on the same data. SemEval-2018 Task 7 involves the identification and classification of relationsin abstracts from computational linguistics (CL) publications. In this paper we describe an attempt to reproduce the methods and resultsfrom the top performing system at for SemEval-2018 Task 7. We describe challenges we encountered in the process, report on the resultsof our system, and discuss the ways that our attempt at reproduction can inform best practices.</t>
  </si>
  <si>
    <r>
      <rPr>
        <rFont val="Arial"/>
        <color theme="1"/>
      </rPr>
      <t>@inproceedings{abdellatif-elgammal-2020-ulmfit,
    title = "{ULMF}i{T} replication",
    author = "Abdellatif, Mohamed  and
      Elgammal, Ahmed",
    booktitle = "Proceedings of The 12th Language Resources and Evaluation Conference",
    month = may,
    year = "2020",
    address = "Marseille, France",
    publisher = "European Language Resources Association",
    url = "</t>
    </r>
    <r>
      <rPr>
        <rFont val="Arial"/>
        <color rgb="FF000000"/>
      </rPr>
      <t>https://www.aclweb.org/anthology/2020.lrec-1.685</t>
    </r>
    <r>
      <rPr>
        <rFont val="Arial"/>
        <color theme="1"/>
      </rPr>
      <t xml:space="preserve">",
    pages = "5579--5587",
    language = "English",
    ISBN = "979-10-95546-34-4",
}
</t>
    </r>
  </si>
  <si>
    <t>In this paper, we reproduce some of the experiments of text classification by fine tuning pre-trained language model on the six English data-sets described in Howard and Ruder (2018) (verification).   Then we investigate applicability of the model as is (pre-trained onEnglish) by conducting additional experiments on three other non-English data-sets that are not in the original paper (extension).  For the verification experiments, we didn’t generate the exact same numbers as the original paper, however, the replication results are in the same range as compared to the baselines reported for comparison purposes. We attribute this to the limitation in computational resources which forced us to run on smaller batch sizes and for fewer number of epochs. Otherwise, we followed in the footsteps of the author to the best of our abilities (e.g. the libraries, tutorials, hyper-parameters and transfer learning methodology). We report implementation details as well as lessons learned in the appendices</t>
  </si>
  <si>
    <t xml:space="preserve">@inproceedings{bestgen-2020-reproducing,
    title = "Reproducing Monolingual, Multilingual and Cross-Lingual {CEFR} Predictions",
    author = "Bestgen, Yves",
    booktitle = "Proceedings of The 12th Language Resources and Evaluation Conference",
    month = may,
    year = "2020",
    address = "Marseille, France",
    publisher = "European Language Resources Association",
    url = "https://www.aclweb.org/anthology/2020.lrec-1.687",
    pages = "5595--5602",
    language = "English",
    ISBN = "979-10-95546-34-4",
}
</t>
  </si>
  <si>
    <t>This study aims to reproduce the research of Vajjala and Rama (2018) which showed that it is possible to predict the quality of a textwritten by learners of a given language by means of a model built on the basis of texts written by learners of another language.  Theseauthors also pointed out that POStag and dependency n-grams were significantly more effective than text length and global linguisticindices frequently used for this kind of task. The analyses performed show that some important points of their code did not correspond tothe explanations given in the paper. These analyses confirm the possibility to use syntactic n-gram features in cross-lingual experimentsto categorize texts according to their CEFR level (Common European Framework of Reference for Languages).  However, text lengthand  some  classical  indexes  of  readability  are  much  more  effective  in  the  monolingual  and  the  multilingual  experiments  than  whatVajjala and Rama concluded and are even the best performing features when the cross-lingual task is seen as a regression problem.This study emphasized the importance for reproducibility of setting explicitly the reading order of the instances when using a K-foldCV procedure and, more generally, the need to properly randomize these instances before.  It also evaluates a two-step procedure todetermine the degree of statistical significance of the differences observed in a K-fold cross-validation schema and argues against theuse of a Bonferroni-type correction in this context.</t>
  </si>
  <si>
    <t xml:space="preserve">@inproceedings{huber-coltekin-2020-reproduction,
    title = "Reproduction and Replication: A Case Study with Automatic Essay Scoring",
    author = {Huber, Eva  and
      {\c{C}}{\"o}ltekin, {\c{C}}a{\u{g}}r{\i}},
    booktitle = "Proceedings of The 12th Language Resources and Evaluation Conference",
    month = may,
    year = "2020",
    address = "Marseille, France",
    publisher = "European Language Resources Association",
    url = "https://www.aclweb.org/anthology/2020.lrec-1.688",
    pages = "5603--5613",
    language = "English",
    ISBN = "979-10-95546-34-4",
}
</t>
  </si>
  <si>
    <t>As in many experimental sciences, reproducibility of experiments has gained ever more attention in the NLP community. This paper presents our reproduction efforts of an earlier study of automatic essay scoring (AES) for determining the proficiency of second language learners in a multilingual setting. We present three sets of experiments with different objectives. First, as prescribed by the LREC 2020 REPROLANG shared task, we rerun the original AES system using the code published by the original authors on the same dataset. Second, we repeat the same experiments on the same data with a different implementation. And third, we test the original system on a different dataset and a different language. Most of our findings are in line with the findings of the original paper. Nevertheless, there are some discrepancies between our results and the results presented in the original paper. We report and discuss these differences in detail. We further go into some points related to confirmation of research findings through reproduction, including the choice of the dataset, reporting and accounting for variability, use of appropriate evaluation metrics, and making code and data available. We also discuss the varying uses and differences between the terms reproduction and replication, and we argue that reproduction, the confirmation of conclusions through independent experiments in varied settings is more valuable than exact replication of the published values.</t>
  </si>
  <si>
    <t>@inproceedings{ballier-etal-2020-learnability,
    title = "The Learnability of the Annotated Input in {NMT} Replicating (Vanmassenhove and Way, 2018) with {O}pen{NMT}",
    author = "Ballier, Nicolas  and
      Amari, Nabil  and
      Merat, Laure  and
      Yun{\`e}s, Jean-Baptiste",
    booktitle = "Proceedings of The 12th Language Resources and Evaluation Conference",
    month = may,
    year = "2020",
    address = "Marseille, France",
    publisher = "European Language Resources Association",
    url = "https://www.aclweb.org/anthology/2020.lrec-1.691",
    pages = "5631--5640",
    abstract = "In this paper, we reproduce some of the experiments related to neural network training for Machine Translation as reported in (Vanmassenhove and Way, 2018). They annotated a sample from the EN-FR and EN-DE Europarl aligned corpora with syntactic and semantic annotations to train neural networks with the Nematus Neural Machine Translation (NMT) toolkit. Following the original publication, we obtained lower BLEU scores than the authors of the original paper, but on a more limited set of annotations. In the second half of the paper, we try to analyze the difference in the results obtained and suggest some methods to improve the results. We discuss the Byte Pair Encoding (BPE) used in the pre-processing phase and suggest feature ablation in relation to the granularity of syntactic and semantic annotations. The learnability of the annotated input is discussed in relation to existing resources for the target languages. We also discuss the feature representation likely to have been adopted for combining features.",
    language = "English",
    ISBN = "979-10-95546-34-4",
}</t>
  </si>
  <si>
    <t>In this paper, we reproduce some of the experiments related to neural network training for Machine Translation as reported in (Vanmassenhove and Way, 2018). They annotated a sample from the EN-FR and EN-DE Europarl aligned corpora with syntactic and semantic annotations to train neural networks with the Nematus Neural Machine Translation (NMT) toolkit. Following the original publication, we obtained lower BLEU scores than the authors of the original paper, but on a more limited set of annotations. In the second half of the paper, we try to analyze the difference in the results obtained and suggest some methods to improve the results. We discuss the Byte Pair Encoding (BPE) used in the pre-processing phase and suggest feature ablation in relation to the granularity of syntactic and semantic annotations. The learnability of the annotated input is discussed in relation to existing resources for the target languages. We also discuss the feature representation likely to have been adopted for combining features.</t>
  </si>
  <si>
    <t xml:space="preserve">@inproceedings{millour-etal-2020-repliquer,
    title = "R{\'e}pliquer et {\'e}tendre pour l{'}alsacien {``}{\'E}tiquetage en parties du discours de langues peu dot{\'e}es par sp{\'e}cialisation des plongements lexicaux{''} (Replicating and extending for {A}lsatian : {``}{POS} tagging for low-resource languages by adapting word embeddings{''})",
    author = {Millour, Alice  and
      Fort, Kar{\"e}n  and
      Magistry, Pierre},
    booktitle = "Actes de la 6e conf{\'e}rence conjointe Journ{\'e}es d'{\'E}tudes sur la Parole (JEP, 33e {\'e}dition), Traitement Automatique des Langues Naturelles (TALN, 27e {\'e}dition), Rencontre des {\'E}tudiants Chercheurs en Informatique pour le Traitement Automatique des Langues (R{\'E}CITAL, 22e {\'e}dition). 2e atelier {\'E}thique et TRaitemeNt Automatique des Langues (ETeRNAL)",
    month = "6",
    year = "2020",
    address = "Nancy, France",
    publisher = "ATALA et AFCP",
    url = "https://www.aclweb.org/anthology/2020.jeptalnrecital-eternal.4",
    pages = "29--37",
    language = "French",
}
</t>
  </si>
  <si>
    <t>We present here the results of our efforts in replicating and extending for Alsatian an experiment concerning the POS tagging of low-resourced languages by adapting word embeddings (Magistry et al., 2018). This work was performed in close collaboration with the authors of the original article. This rich interaction allowed us to identify the missing elements in the presentation of the experiment, to add them and to extend the experiment to robustness to variation.</t>
  </si>
  <si>
    <t>@inproceedings{arhiliuc-etal-2020-language,
    title = "Language Proficiency Scoring",
    author = "Arhiliuc, Cristina  and
      Mitrovi{\'c}, Jelena  and
      Granitzer, Michael",
    booktitle = "Proceedings of The 12th Language Resources and Evaluation Conference",
    month = may,
    year = "2020",
    address = "Marseille, France",
    publisher = "European Language Resources Association",
    url = "https://www.aclweb.org/anthology/2020.lrec-1.690",
    pages = "5624--5630",
    abstract = "The Common European Framework of Reference (CEFR) provides generic guidelines for the evaluation of language proficiency. Nevertheless, for automated proficiency classification systems, different approaches for different languages are proposed. Our paper evaluates and extends the results of an approach to Automatic Essay Scoring proposed as a part of the REPROLANG 2020 challenge. We provide a comparison between our results and the ones from the published paper and we include a new corpus for the English language for further experiments. Our results are lower than the expected ones when using the same approach and the system does not scale well with the added English corpus.",
    language = "English",
    ISBN = "979-10-95546-34-4",
}</t>
  </si>
  <si>
    <t xml:space="preserve">@article{acm2020artifact,
  title={Artifact Review and Badging},
  version = {1.1},
  date = {August 24, 2020},
  author={Association for Computing Machinery},
  year={2020}
  url = {https://www.acm.org/publications/policies/artifact-review-and-badging-current}
}
</t>
  </si>
  <si>
    <t>@article{OLORISADE20171,
title = "Reproducibility of studies on text mining for citation screening in systematic reviews: Evaluation and checklist",
journal = "Journal of Biomedical Informatics",
volume = "73",
pages = "1 - 13",
year = "2017",
issn = "1532-0464",
doi = "https://doi.org/10.1016/j.jbi.2017.07.010",
url = "http://www.sciencedirect.com/science/article/pii/S1532046417301661",
author = "Babatunde Kazeem Olorisade and Pearl Brereton and Peter Andras",
keywords = "Citation screening, Systematic review, Reproducibility, Text mining, Reproducible research",
abstract = "Context
Independent validation of published scientific results through study replication is a pre-condition for accepting the validity of such results. In computation research, full replication is often unrealistic for independent results validation, therefore, study reproduction has been justified as the minimum acceptable standard to evaluate the validity of scientific claims. The application of text mining techniques to citation screening in the context of systematic literature reviews is a relatively young and growing computational field with high relevance for software engineering, medical research and other fields. However, there is little work so far on reproduction studies in the field.
Objective
In this paper, we investigate the reproducibility of studies in this area based on information contained in published articles and we propose reporting guidelines that could improve reproducibility.
Methods
The study was approached in two ways. Initially we attempted to reproduce results from six studies, which were based on the same raw dataset. Then, based on this experience, we identified steps considered essential to successful reproduction of text mining experiments and characterized them to measure how reproducible is a study given the information provided on these steps. 33 articles were systematically assessed for reproducibility using this approach.
Results
Our work revealed that it is currently difficult if not impossible to independently reproduce the results published in any of the studies investigated. The lack of information about the datasets used limits reproducibility of about 80% of the studies assessed. Also, information about the machine learning algorithms is inadequate in about 27% of the papers. On the plus side, the third party software tools used are mostly free and available.
Conclusions
The reproducibility potential of most of the studies can be significantly improved if more attention is paid to information provided on the datasets used, how they were partitioned and utilized, and how any randomization was controlled. We introduce a checklist of information that needs to be provided in order to ensure that a published study can be reproduced."
}</t>
  </si>
  <si>
    <t>With  recent  efforts  in  drawing  attention to the task of replicating and/or reproducing results, for example in the context of COLING 2018 and various LREC work-shops,  the  question  arises  how  the  NLPcommunity views the topic of replicability  in  general.   Using  a  survey,  in  which we involve members of the NLP community,  we  investigate  how  our  community perceives this topic, its relevance and options for improvement.   Based on over two hundred participants, the survey results confirm earlier observations, that successful reproducibility requires more than having access to code and data.  Additionally, the  results  show  that  the  topic  has  to  be tackled from the authors’, reviewers’ and community’s side.</t>
  </si>
  <si>
    <t>@inproceedings{branco2012reliability,
  title={Reliability and meta-reliability of language resources: Ready to initiate the integrity debate},
  author={Branco, Ant\'onio},
  year={2012}
}</t>
  </si>
  <si>
    <t>Proceedings of the twelfth workshop on treebanks and linguistic theories</t>
  </si>
  <si>
    <t>@inproceedings{caines-buttery-2020-reprolang,
    title = "{REPROLANG} 2020: Automatic Proficiency Scoring of {C}zech, {E}nglish, {G}erman, {I}talian, and {S}panish Learner Essays",
    author = "Caines, Andrew  and
      Buttery, Paula",
    booktitle = "Proceedings of The 12th Language Resources and Evaluation Conference",
    month = may,
    year = "2020",
    address = "Marseille, France",
    publisher = "European Language Resources Association",
    url = "https://www.aclweb.org/anthology/2020.lrec-1.689",
    pages = "5614--5623",
    abstract = "We report on our attempts to reproduce the work described in Vajjala {\&amp;} Rama 2018, {`}Experiments with universal CEFR classification{'}, as part of REPROLANG 2020: this involves featured-based and neural approaches to essay scoring in Czech, German and Italian. Our results are broadly in line with those from the original paper, with some differences due to the stochastic nature of machine learning and programming language used. We correct an error in the reported metrics, introduce new baselines, apply the experiments to English and Spanish corpora, and generate adversarial data to test classifier robustness. We conclude that feature-based approaches perform better than neural network classifiers for text datasets of this size, though neural network modifications do bring performance closer to the best feature-based models.",
    language = "English",
    ISBN = "979-10-95546-34-4",
}</t>
  </si>
  <si>
    <t>@inproceedings{cohen2016reproducibility,
  title={Reproducibility in natural language processing: a case study of two R libraries for mining PubMed/MEDLINE},
  author={Cohen, K Bretonnel and Xia, Jingbo and Roeder, Christophe and Hunter, Lawrence E},
  booktitle={4REAL Workshop},
  volume={2016},
  number={W23},
  pages={6},
  year={2016},
  organization={NIH Public Access}
}</t>
  </si>
  <si>
    <t xml:space="preserve">There is currently a crisis in science related to highly publicized failures to reproduce large numbers of published studies. The current work proposes, by way of case studies, a methodology for moving the study of reproducibility in computational work to a full stage beyond that of earlier work. Specifically, it presents a case study in attempting to reproduce the reports of two R libraries for doing text mining of the PubMed/MEDLINE repository of scientific publications. The main findings are that a rational paradigm for reproduction of natural language processing papers can be established; the advertised functionality was difficult, but not impossible, to reproduce; and reproducibility studies can produce additional insights into the functioning of the published system. Additionally, the work on reproducibility lead to the production of novel user-centered documentation that has been accessed 260 times since its publication—an average of once a day per library.
</t>
  </si>
  <si>
    <t xml:space="preserve">@inproceedings{cohen2018three,
    title = "Three Dimensions of Reproducibility in Natural Language Processing",
    author = "Cohen, K. Bretonnel  and
      Xia, Jingbo  and
      Zweigenbaum, Pierre  and
      Callahan, Tiffany  and
      Hargraves, Orin  and
      Goss, Foster  and
      Ide, Nancy  and
      N{\'e}v{\'e}ol, Aur{\'e}lie  and
      Grouin, Cyril  and
      Hunter, Lawrence E.",
    booktitle = "Proceedings of the Eleventh International Conference on Language Resources and Evaluation ({LREC} 2018)",
    month = may,
    year = "2018",
    address = "Miyazaki, Japan",
    publisher = "European Language Resources Association (ELRA)",
    url = "https://www.aclweb.org/anthology/L18-1025",
}
</t>
  </si>
  <si>
    <t>@inproceedings{cooper-shardlow-2020-combinmt,
    title = "{C}ombi{NMT}: An Exploration into Neural Text Simplification Models",
    author = "Cooper, Michael  and
      Shardlow, Matthew",
    booktitle = "Proceedings of The 12th Language Resources and Evaluation Conference",
    month = may,
    year = "2020",
    address = "Marseille, France",
    publisher = "European Language Resources Association",
    url = "https://www.aclweb.org/anthology/2020.lrec-1.686",
    pages = "5588--5594",
    abstract = "This work presents a replication study of Exploring Neural Text Simplification Models (Nisioi et al., 2017). We were able to successfully replicate and extend the methods presented in the original paper. Alongside the replication results, we present our improvements dubbed CombiNMT. By using an updated implementation of OpenNMT, and incorporating the Newsela corpus alongside the original Wikipedia dataset (Hwang et al., 2016), as well as refining both datasets to select high quality training examples. Our work present two new systems, CombiNMT995, which is a result of matched sentences with a cosine similarity of 0.995 or less, and CombiNMT98, which, similarly, runs on a cosine similarity of 0.98 or less. By extending the human evaluation presented within the original paper, increasing both the number of annotators and the number of sentences annotated, with the intention of increasing the quality of the results, CombiNMT998 shows significant improvement over any of the Neural Text Simplification (NTS) systems from the original paper in terms of both the number of changes and the percentage of correct changes made.",
    language = "English",
    ISBN = "979-10-95546-34-4",
}</t>
  </si>
  <si>
    <t xml:space="preserve">@inproceedings{dalle2012reproducibility,
  title={On reproducibility and traceability of simulations},
  author={Dalle, Olivier},
  booktitle={Proceedings of the 2012 winter simulation conference (WSC)},
  pages={1--12},
  year={2012},
  organization={IEEE}
}
</t>
  </si>
  <si>
    <t>@inproceedings{dodge-etal-2019-show,
    title = "Show Your Work: Improved Reporting of Experimental Results",
    author = "Dodge, Jesse  and
      Gururangan, Suchin  and
      Card, Dallas  and
      Schwartz, Roy  and
      Smith, Noah A.",
    booktitle = "Proceedings of the 2019 Conference on Empirical Methods in Natural Language Processing and the 9th International Joint Conference on Natural Language Processing (EMNLP-IJCNLP)",
    month = nov,
    year = "2019",
    address = "Hong Kong, China",
    publisher = "Association for Computational Linguistics",
    url = "https://www.aclweb.org/anthology/D19-1224",
    doi = "10.18653/v1/D19-1224",
    pages = "2185--2194",
    abstract = "Research in natural language processing proceeds, in part, by demonstrating that new models achieve superior performance (e.g., accuracy) on held-out test data, compared to previous results. In this paper, we demonstrate that test-set performance scores alone are insufficient for drawing accurate conclusions about which model performs best. We argue for reporting additional details, especially performance on validation data obtained during model development. We present a novel technique for doing so: expected validation performance of the best-found model as a function of computation budget (i.e., the number of hyperparameter search trials or the overall training time). Using our approach, we find multiple recent model comparisons where authors would have reached a different conclusion if they had used more (or less) computation. Our approach also allows us to estimate the amount of computation required to obtain a given accuracy; applying it to several recently published results yields massive variation across papers, from hours to weeks. We conclude with a set of best practices for reporting experimental results which allow for robust future comparisons, and provide code to allow researchers to use our technique.",
}</t>
  </si>
  <si>
    <t xml:space="preserve">@article{drummond2009replicability,
  title={Replicability is not reproducibility: nor is it good science},
  author={Drummond, Chris},
  year={2009},
  note={Presented at 4th Workshop on Evaluation Methods for Machine Learning held at ICML'09}
}
</t>
  </si>
  <si>
    <t>4th Workshop on Evaluation Methods for Machine Learning held at ICML'09</t>
  </si>
  <si>
    <t>At various machine learning conferences, at various times, there have been discussions arising from the inability to replicate the experimental results published in a paper. There seems to be a wide spread view that we need to do something to address this problem, as it is essential to the advancement of our field. The most compelling argument would seem to be that reproducibility of ex-perimental results is the hallmark of science. Therefore, given that most of us regard machine learning as a scientific discipline, being able to replicate experiments is paramount. I want to challenge this view by separating the notion of reproducibility, a generally desirable property, from replicability, its poor cousin. I claim there are important differences between the two. Reproducibility requires changes; replicability avoids them. Although reproducibility is desirable, I contend that the impoverished version, replicability, is one not worth having.</t>
  </si>
  <si>
    <t>@inproceedings{gorman-bedrick-2019-need,
    title = "We Need to Talk about Standard Splits",
    author = "Gorman, Kyle  and
      Bedrick, Steven",
    booktitle = "Proceedings of the 57th Annual Meeting of the Association for Computational Linguistics",
    month = jul,
    year = "2019",
    address = "Florence, Italy",
    publisher = "Association for Computational Linguistics",
    url = "https://www.aclweb.org/anthology/P19-1267",
    doi = "10.18653/v1/P19-1267",
    pages = "2786--2791",
    abstract = "It is standard practice in speech {\&amp;} language technology to rank systems according to their performance on a test set held out for evaluation. However, few researchers apply statistical tests to determine whether differences in performance are likely to arise by chance, and few examine the stability of system ranking across multiple training-testing splits. We conduct replication and reproduction experiments with nine part-of-speech taggers published between 2000 and 2018, each of which claimed state-of-the-art performance on a widely-used {``}standard split{''}. While we replicate results on the standard split, we fail to reliably reproduce some rankings when we repeat this analysis with randomly generated training-testing splits. We argue that randomly generated splits should be used in system evaluation.",
}</t>
  </si>
  <si>
    <t xml:space="preserve">
@article{louridas2012note,
  title={A note on rigour and replicability},
  author={Louridas, Panos and Gousios, Georgios},
  journal={ACM SIGSOFT Software Engineering Notes},
  volume={37},
  number={5},
  pages={1--4},
  year={2012},
  publisher={ACM New York, NY, USA}
}
</t>
  </si>
  <si>
    <t>@inproceedings{Gundersen2018StateOT,
title={State of the Art: Reproducibility in Artificial Intelligence},
author={Odd Erik Gundersen and Sigbj{\o}rn Kjensmo},
booktitle={AAAI},
year={2018},
url={https://aaai.org/ocs/index.php/AAAI/AAAI18/paper/view/17248/15864}
}</t>
  </si>
  <si>
    <t>AAAI</t>
  </si>
  <si>
    <t>Background: Research results in artificial intelligence (AI)are criticized for not being reproducible.
Objective: To quan-tify the state of reproducibility of empirical AI research us-ing six reproducibility metrics measuring three different de-grees of reproducibility.
Hypotheses: 1) AI research is notdocumented well enough to reproduce the reported results. 2)Documentation practices have improved over time.
Method:The literature is reviewed and a set of variables that should bedocumented to enable reproducibility are grouped into threefactors: Experiment, Data and Method. The metrics describehow well the factors have been documented for a paper. A to-tal of 400 research papers from the conference series IJCAIand AAAI have been surveyed using the metrics.
Findings: None of the papers document all of the variables. The metricsshow that between 20% and 30% of the variables for each fac-tor are documented. One of the metrics show statistically sig-nificant increase over time while the others show no change.Interpretation:The reproducibility scores decrease with in-creased documentation requirements. Improvement over timeis found.
Conclusion: Both hypotheses are supported.</t>
  </si>
  <si>
    <t>@article{pedersen2008empiricism,
  title={Empiricism is not a matter of faith},
  author={Pedersen, Ted},
  journal={Computational Linguistics},
  volume={34},
  number={3},
  pages={465--470},
  year={2008},
  publisher={MIT Press}
}</t>
  </si>
  <si>
    <t>@article{pineau2020checklist,
  title={The Machine Learning Reproducibility Checklist v2.0},
  author={Pineau, Joelle},
  booktitle = {Unpublished manuscript},
  url = {https://www.cs.mcgill.ca/~jpineau/ReproducibilityChecklist.pdf},
  year={2020}
}</t>
  </si>
  <si>
    <t>n/a</t>
  </si>
  <si>
    <r>
      <rPr>
        <rFont val="Arial"/>
        <color theme="1"/>
      </rPr>
      <t>@article{Pineau:2019,
  author = {Pineau, Joelle and Sinha, Koustuv and Fried, Genevieve and Ke, Rosemary Nan and Larochelle, Hugo},
  title = {{ICLR Reproducibility Challenge 2019}},
  journal = {ReScience C},
  year = {2019},
  month = may,
  volume = {5},
  number = {2},
  pages = {{\#5}},
  doi = {10.5281/zenodo.3158244},
  url = {</t>
    </r>
    <r>
      <rPr>
        <rFont val="Arial"/>
        <color rgb="FF000000"/>
      </rPr>
      <t>https://zenodo.org/record/3158244/files/article.pdf</t>
    </r>
    <r>
      <rPr>
        <rFont val="Arial"/>
        <color theme="1"/>
      </rPr>
      <t xml:space="preserve">},
  review_url = {https://github.com/ReScience/submissions/issues/5},
  type = {Editorial},
  keywords = {machine learning, ICLR, reproducibility challenge}
}
</t>
    </r>
  </si>
  <si>
    <t>Welcome to this special issue of the ReScience C journal, which presents results of the2019 ICLR Reproducibility Challenge(2nd edition). One of the challenges in machinelearning research is to ensure that published results are sound and reliable.Reproducibil-ity, that is obtaining similar results as presented in a paper, using the same code anddata (when available), is a necessary step to verify research findings. Reproducibility isalso an important step to promote open and accessible research, thereby allowing thescientific community to quickly integrate new findings and convert ideas to practice.Reproducibility also promotes use of robust experimentation workflows, which can po-tentially reduce unintentional errors</t>
  </si>
  <si>
    <t xml:space="preserve">@article{pineau2020improving,
  title={Improving Reproducibility in Machine Learning Research (A Report from the NeurIPS 2019 Reproducibility Program)},
  author={Pineau, Joelle and Vincent-Lamarre, Philippe and Sinha, Koustuv and Larivi{\`e}re, Vincent and Beygelzimer, Alina and d'Alch{\'e}-Buc, Florence and Fox, Emily and Larochelle, Hugo},
  journal={arXiv preprint arXiv:2003.12206},
  year={2020}
}
</t>
  </si>
  <si>
    <t xml:space="preserve">One of the challenges in machine learning research is to ensure that presented and published results are sound and reliable. Reproducibility, that is obtaining similar results as presented in a paper or talk, using the same code and data (when available), is a necessary step to verify the reliability of research findings. Reproducibility is also an important step to promote open and accessible research, thereby allowing the scientific community to quickly integrate new findings and convert ideas to practice. Reproducibility also promotes the use of robust experimental workflows, which potentially reduce unintentional errors. In 2019, the Neural Information Processing Systems (NeurIPS) conference, the premier international conference for research in machine learning, introduced a reproducibility program, designed to improve the standards across the community for how we conduct, communicate, and evaluate machine learning research. The program contained three components: a code submission policy, a community-wide reproducibility challenge, and the inclusion of the Machine Learning Reproducibility checklist as part of the paper submission process. In this paper, we describe each of these components, how it was deployed, as well as what we were able to learn from this initiative. </t>
  </si>
  <si>
    <t xml:space="preserve">@article{plesser2018reproducibility,
  title={Reproducibility vs. replicability: a brief history of a confused terminology},
  author={Plesser, Hans E},
  journal={Frontiers in neuroinformatics},
  volume={11},
  pages={76},
  year={2018},
  publisher={Frontiers},
  url = {https://www.frontiersin.org/articles/10.3389/fninf.2017.00076/full}
}
</t>
  </si>
  <si>
    <t>@inproceedings{plucinski-etal-2020-closer,
    title = "A Closer Look on Unsupervised Cross-lingual Word Embeddings Mapping",
    author = "Pluci{\'n}ski, Kamil  and
      Lango, Mateusz  and
      Zimniewicz, Micha{\l}",
    booktitle = "Proceedings of The 12th Language Resources and Evaluation Conference",
    month = may,
    year = "2020",
    address = "Marseille, France",
    publisher = "European Language Resources Association",
    url = "https://www.aclweb.org/anthology/2020.lrec-1.682",
    pages = "5555--5562",
    abstract = "In this work, we study the unsupervised cross-lingual word embeddings mapping method presented by Artetxe et al. (2018). First, wesuccessfully reproduced the experiments performed in the original work, finding only minor differences. Furthermore, we verified themethod{'}s robustness on different embedding representations and new language pairs, particularly these involving Slavic languages likePolish or Czech. We also performed an experimental analysis of the impact of the method{'}s parameters on the final result. Finally, welooked for an alternative way of initialization, which directly relies on the isometric assumption. Our work confirms the results presentedearlier, at the same time pointing at interesting problems occurring while using the method with different types of embeddings or onless-common language pairs.",
    language = "English",
    ISBN = "979-10-95546-34-4",
}</t>
  </si>
  <si>
    <t>@inproceedings{raff2019step,
  title={A Step Toward Quantifying Independently Reproducible Machine Learning Research},
  author={Raff, Edward},
  booktitle={Advances in Neural Information Processing Systems},
  pages={5485--5495},
  year={2019},
  comment={yes improvement from author involvement}
}</t>
  </si>
  <si>
    <t>What makes a paper independently reproducible? Debates on reproducibility cen-ter around intuition or assumptions but lack empirical results. Our field focuseson releasing code, which is important, but is not sufficient for determining repro-ducibility. We take the first step toward a quantifiable answer by manually attempt-ing to implement 255 papers published from 1984 until 2017, recording featuresof each paper, and performing statistical analysis of the results.  For each paper,we did not look at the authors code, if released, in order to prevent bias towarddiscrepancies between code and paper</t>
  </si>
  <si>
    <t xml:space="preserve">@article{rougier2017sustainable,
  title={Sustainable computational science: the ReScience initiative},
  author={Rougier, Nicolas P and Hinsen, Konrad and Alexandre, Fr{\'e}d{\'e}ric and Arildsen, Thomas and Barba, Lorena A and Benureau, Fabien CY and Brown, C Titus and De Buyl, Pierre and Caglayan, Ozan and Davison, Andrew P and others},
  journal={PeerJ Computer Science},
  volume={3},
  pages={e142},
  year={2017},
  publisher={PeerJ Inc.}
}
</t>
  </si>
  <si>
    <t xml:space="preserve">@article{schloss2018identifying,
  title={Identifying and overcoming threats to reproducibility, replicability, robustness, and generalizability in microbiome research},
  author={Schloss, Patrick D},
  journal={MBio},
  volume={9},
  number={3},
  year={2018},
  publisher={Am Soc Microbiol}
}
</t>
  </si>
  <si>
    <t>The “reproducibility crisis” in science affects microbiology as much as any other area of inquiry, and microbiologists have long struggled to make their research reproducible. We need to respect that ensuring that our methods and results are sufficiently transparent is difficult. This difficulty is compounded in interdisciplinary fields such as microbiome research. There are many reasons why a researcher is unable to reproduce a previous result, and even if a result is reproducible, it may not be correct. Furthermore, failures to reproduce previous results have much to teach us about the scientific process and microbial life itself. This Perspective delineates a framework for identifying and overcoming threats to reproducibility, replicability, robustness, and generalizability of microbiome research. Instead of seeing signs of a crisis in others’ work, we need to appreciate the technical and social difficulties that limit reproducibility in the work of others as well as our own.</t>
  </si>
  <si>
    <r>
      <rPr>
        <rFont val="Arial"/>
        <color theme="1"/>
      </rPr>
      <t>@article{Sinha:2020,
  author = {Sinha, Koustuv and Pineau, Joelle and Forde, Jessica and Ke, Rosemary Nan and Larochelle, Hugo},
  title = {NeurIPS 2019 Reproducibility Challenge},
  journal = {ReScience C},
  year = {2020},
  month = may,
  volume = {6},
  number = {2},
  pages = {{\#11}},
  doi = {10.5281/zenodo.3818627},
  url = {</t>
    </r>
    <r>
      <rPr>
        <rFont val="Arial"/>
        <color rgb="FF000000"/>
      </rPr>
      <t>https://zenodo.org/record/3818627/files/article.pdf</t>
    </r>
    <r>
      <rPr>
        <rFont val="Arial"/>
        <color theme="1"/>
      </rPr>
      <t xml:space="preserve">},
  keywords = {machine learning, neurips, reproducibility challenge}
}
</t>
    </r>
  </si>
  <si>
    <t>One of the challenges in machine learning research is to ensure that the presented and published results are sound and reliable. Reproducibility, which is obtaining similar results as presented in a paper or talk, using the same code and data (when available),is a necessary step to verify the reliability of research findings. Reproducibility is also an important step to promote open and accessible research, thereby allowing the scientific community to quickly integrate new findings and convert ideas to practice. Reproducibility also promotes the use of robust experimental workflows, which potentially reduce unintentional errors. In 2019, the Neural Information Processing Systems conference, the premier international conference for research in machine learning, introduced a reproducibility program [1], designed to improve the standards across the community for how we conduct, communicate, and evaluate machine learning research.One of the components in the program consisted of a community-wide reproducibility challenge on the accepted papers. In this special issue of the ReScience C Journal, we present the top peer-reviewed submissions of the challenge, namely 2019 NeurIPS Reproducibility Challenge</t>
  </si>
  <si>
    <t xml:space="preserve">@misc{van2013reusable,
  title={Reusable research? a case study in named entity recognition},
  author={Van Erp, Marieke and Van der Meij, Lourens},
  year={2013},
  publisher={CLTL},
  abstract={Named Entity Recognition (NER) is a crucial piece of knowl-edge acquisition infrastructure for the Semantic Web. Thus, being ableto  build-upon  and  reuse  state-of-the  art  approaches  in  this  domain  isessential for continued progress. In this paper, we present results in at-tempting to reproduce the algorithms presented by Freire et al. in ESWC2012 [1]. Based on this result, we come to the conclusion that even if ex-periments  are  described  in  detail  it  is  still  very  difficult  to  reproducethe experiments and pinpoint the particular difficulties in this use case.Finally, we evaluate our attempts as well as those of [1] on the namedentity recognition task.}
}
</t>
  </si>
  <si>
    <t>Technical Report</t>
  </si>
  <si>
    <t>@article{klein2019many,
  title={Many Labs 4: Failure to replicate mortality salience effect with and without original author involvement},
  author={Klein, Richard A and Cook, Corey L and Ebersole, Charles R and Vitiello, Christine and Nosek, Brian A and Chartier, Christopher R and Christopherson, Cody D and Clay, Samuel and Collisson, Brian and Crawford, Jarret and others},
  year={2019},
  journal={PsyArXiv}, 
  comment={no improvement from author involvement}
}</t>
  </si>
  <si>
    <t>@article{open2015estimating,
  title={Estimating the reproducibility of psychological science},
  author={{Open Science Collaboration}},
  journal={Science},
  volume={349},
  number={6251},
  year={2015},
  publisher={American Association for the Advancement of Science}
}</t>
  </si>
  <si>
    <t xml:space="preserve">@misc{mcnutt2014reproducibility,
  title={Reproducibility},
  series={Editorial},
  journal={Science},
  volume={343},
  issue ={6168},
  pages={229},
  author={McNutt, Marcia},
  year={2014},
  publisher={American Association for the Advancement of Science}
}
</t>
  </si>
  <si>
    <t>@article{baker2016reproducibility,
  title={Reproducibility crisis},
  author={Baker, Monya},
  journal={Nature},
  volume={533},
  number={26},
  pages={353--66},
  year={2016}
}</t>
  </si>
  <si>
    <t xml:space="preserve">@article{jcgm2012international,
  title={International vocabulary of metrology-basic and general concepts and associated terms (VIM)},
  author={JCGM},
  year={2012}
  url = {https://www.bipm.org/utils/common/documents/jcgm/JCGM_200_2012.pdf}
}
</t>
  </si>
  <si>
    <t xml:space="preserve">@article{schwab2000making,
  title={Making scientific computations reproducible},
  author={Schwab, Matthias and Karrenbach, N and Claerbout, Jon},
  journal={Computing in Science \&amp; Engineering},
  volume={2},
  number={6},
  pages={61--67},
  year={2000},
  publisher={IEEE}
}
</t>
  </si>
  <si>
    <t>To organize computational scientifi_x000c_c research and hence to conveniently transfer our technology, we impose a simple _x000c_ling discipline on the authors in our laboratory. A document's make_x000c_le includes laboratory-wide standard rules that o_x000b_er
readers these four standard commands: make burn removes the document's result
_x000c_gures, make build recomputes them, make view displays the _x000c_gures, and make
clean removes any intermediate _x000c_les. Although we developed these standards to
aid readers we discovered that authors are often the principal bene_x000c_ciaries.</t>
  </si>
  <si>
    <t xml:space="preserve">@incollection{claerbout1992electronic,
  title={Electronic documents give reproducible research a new meaning},
  author={Claerbout, Jon F and Karrenbach, Martin},
  booktitle={SEG Technical Program Expanded Abstracts 1992},
  pages={601--604},
  year={1992},
  publisher={Society of Exploration Geophysicists}
}
</t>
  </si>
  <si>
    <r>
      <rPr>
        <rFont val="Arial"/>
        <color theme="1"/>
      </rPr>
      <t>@inproceedings{fares-etal-2017-word,
    title = "Word vectors, reuse, and replicability: Towards a community repository of large-text resources",
    author = "Fares, Murhaf  and
      Kutuzov, Andrey  and
      Oepen, Stephan  and
      Velldal, Erik",
    booktitle = "Proceedings of the 21st Nordic Conference on Computational Linguistics",
    month = may,
    year = "2017",
    address = "Gothenburg, Sweden",
    publisher = "Association for Computational Linguistics",
    url = "</t>
    </r>
    <r>
      <rPr>
        <rFont val="Arial"/>
        <color rgb="FF000000"/>
      </rPr>
      <t>https://www.aclweb.org/anthology/W17-0237</t>
    </r>
    <r>
      <rPr>
        <rFont val="Arial"/>
        <color theme="1"/>
      </rPr>
      <t xml:space="preserve">",
    pages = "271--276",
    abstract = "This paper describes an emerging shared repository of large-text resources for creating word vectors, including pre-processed corpora and pre-trained vectors for a range of frameworks and configurations.   This will facilitate reuse, rapid experimentation, and replicability of results."
}
</t>
    </r>
  </si>
  <si>
    <r>
      <rPr>
        <rFont val="Arial"/>
        <color theme="1"/>
      </rPr>
      <t>@inproceedings{htut-etal-2018-grammar,
    title = "Grammar Induction with Neural Language Models: An Unusual Replication",
    author = "Htut, Phu Mon  and
      Cho, Kyunghyun  and
      Bowman, Samuel",
    booktitle = "Proceedings of the 2018 {EMNLP} Workshop {B}lackbox{NLP}: Analyzing and Interpreting Neural Networks for {NLP}",
    month = nov,
    year = "2018",
    address = "Brussels, Belgium",
    publisher = "Association for Computational Linguistics",
    url = "</t>
    </r>
    <r>
      <rPr>
        <rFont val="Arial"/>
        <color rgb="FF000000"/>
      </rPr>
      <t>https://www.aclweb.org/anthology/W18-5452</t>
    </r>
    <r>
      <rPr>
        <rFont val="Arial"/>
        <color theme="1"/>
      </rPr>
      <t xml:space="preserve">",
    doi = "10.18653/v1/W18-5452",
    pages = "371--373",
    abstract = "Grammar induction is the task of learning syntactic structure without the expert-labeled treebanks (Charniak and Carroll, 1992; Klein and Manning, 2002). Recent work on latent tree learning offers a new family of approaches to this problem by inducing syntactic structure using the supervision from a downstream NLP task (Yogatama et al., 2017; Maillard et al., 2017; Choi et al., 2018). In a recent paper published at ICLR, Shen et al. (2018) introduce such a model and report near state-of-the-art results on the target task of language modeling, and the first strong latent tree learning result on constituency parsing. During the analysis of this model, we discover issues that make the original results hard to trust, including tuning and even training on what is effectively the test set. Here, we analyze the model under different configurations to understand what it learns and to identify the conditions under which it succeeds. We find that this model represents the first empirical success for neural network latent tree learning, and that neural language modeling warrants further study as a setting for grammar induction."
}
</t>
    </r>
  </si>
  <si>
    <r>
      <rPr>
        <rFont val="Arial"/>
        <color theme="1"/>
      </rPr>
      <t>@inproceedings{gartner-etal-2018-preserving,
    title = "Preserving Workflow Reproducibility: The {R}e{P}lay-{DH} Client as a Tool for Process Documentation",
    author = {G{\"a}rtner, Markus  and
      Hahn, Uli  and
      Hermann, Sibylle},
    booktitle = "Proceedings of the Eleventh International Conference on Language Resources and Evaluation ({LREC} 2018)",
    month = may,
    year = "2018",
    address = "Miyazaki, Japan",
    publisher = "European Language Resources Association (ELRA)",
    url = "</t>
    </r>
    <r>
      <rPr>
        <rFont val="Arial"/>
        <color rgb="FF000000"/>
      </rPr>
      <t>https://www.aclweb.org/anthology/L18-1089</t>
    </r>
    <r>
      <rPr>
        <rFont val="Arial"/>
        <color theme="1"/>
      </rPr>
      <t xml:space="preserve">",
   abstract = "In  this  paper  we  present  a  software  tool  for  elicitation  and  management  of  process  metadata.   It  follows  our  previously  published design idea of an assistant for researchers that aims at minimizing the additional effort required for producing a sustainable workflow documentation.   With  the  ever-growing  number  of  linguistic  resources  available,  it  also  becomes  increasingly  important  to  provide proper  documentation  to  make  them  comparable  and  to  allow  meaningful  evaluations  for  specific  use  cases.   The  often  prevailing practice  of  post  hoc  documentation  of  resource  generation  or  research  processes  bears  the  risk  of  information  loss.   Not  only  does detailed documentation of a process aid in achieving reproducibility, it also increases usefulness of the documented work for others asa cornerstone of good scientific practice.  Time pressure together with the lack of simple documentation methods leads to workflow documentation in practice being an arduous and often neglected task. Our tool ensures a clean documentation for common workflows innatural language processing and digital humanities. Additionally, it can easily be integrated into existing institutional infrastructures.",
}
</t>
    </r>
  </si>
  <si>
    <r>
      <rPr>
        <rFont val="Arial"/>
        <color theme="1"/>
      </rPr>
      <t>@inproceedings{horsmann-zesch-2018-deeptc,
    title = "{D}eep{TC} {--} An Extension of {DKP}ro Text Classification for Fostering Reproducibility of Deep Learning Experiments",
    author = "Horsmann, Tobias  and
      Zesch, Torsten",
    booktitle = "Proceedings of the Eleventh International Conference on Language Resources and Evaluation ({LREC} 2018)",
    month = may,
    year = "2018",
    address = "Miyazaki, Japan",
    publisher = "European Language Resources Association (ELRA)",
    url = "</t>
    </r>
    <r>
      <rPr>
        <rFont val="Arial"/>
        <color rgb="FF000000"/>
      </rPr>
      <t>https://www.aclweb.org/anthology/L18-1403</t>
    </r>
    <r>
      <rPr>
        <rFont val="Arial"/>
        <color theme="1"/>
      </rPr>
      <t xml:space="preserve">",
    abstract = "We present a deep learning extension for the multi-purpose text classification framework DKPro Text Classification (DKPro TC). DKProTC is a flexible framework for creating easily shareable and reproducible end-to-end NLP experiments involving machine learning. We provide an overview of the current state of DKPro TC, which does not allow integration of deep learning, and discuss the necessary conceptual extensions.  These extensions are based on an analysis of common deep learning setups found in the literature to support all common text classification setups, i.e. single outcome, multi outcome, and sequence classification problems.  Additionally to providing an end-to-end shareable environment for deep learning experiments, we provide convenience features that take care of repetitive steps, such as pre-processing, data vectorization and pruning of embeddings.  By moving a large part of this boilerplate code into DKPro TC, the actual deep learning framework code improves in readability and lowers the amount of redundant source code considerably.  As proof-of-concept, we integrate Keras, DyNet, and DeepLearning4J.",
}
</t>
    </r>
  </si>
  <si>
    <r>
      <rPr>
        <rFont val="Arial"/>
        <color theme="1"/>
      </rPr>
      <t>@inproceedings{htut-etal-2018-grammar-induction,
    title = "Grammar Induction with Neural Language Models: An Unusual Replication",
    author = "Htut, Phu Mon  and
      Cho, Kyunghyun  and
      Bowman, Samuel",
    booktitle = "Proceedings of the 2018 Conference on Empirical Methods in Natural Language Processing",
    month = oct # "-" # nov,
    year = "2018",
    address = "Brussels, Belgium",
    publisher = "Association for Computational Linguistics",
    url = "</t>
    </r>
    <r>
      <rPr>
        <rFont val="Arial"/>
        <color rgb="FF000000"/>
      </rPr>
      <t>https://www.aclweb.org/anthology/D18-1544</t>
    </r>
    <r>
      <rPr>
        <rFont val="Arial"/>
        <color theme="1"/>
      </rPr>
      <t xml:space="preserve">",
    doi = "10.18653/v1/D18-1544",
    pages = "4998--5003",
}
</t>
    </r>
  </si>
  <si>
    <r>
      <rPr>
        <rFont val="Arial"/>
        <color theme="1"/>
      </rPr>
      <t>@inproceedings{wu-etal-2019-errudite,
    title = "{E}rrudite: Scalable, Reproducible, and Testable Error Analysis",
    author = "Wu, Tongshuang  and
      Ribeiro, Marco Tulio  and
      Heer, Jeffrey  and
      Weld, Daniel",
    booktitle = "Proceedings of the 57th Annual Meeting of the Association for Computational Linguistics",
    month = jul,
    year = "2019",
    address = "Florence, Italy",
    publisher = "Association for Computational Linguistics",
    url = "</t>
    </r>
    <r>
      <rPr>
        <rFont val="Arial"/>
        <color rgb="FF000000"/>
      </rPr>
      <t>https://www.aclweb.org/anthology/P19-1073</t>
    </r>
    <r>
      <rPr>
        <rFont val="Arial"/>
        <color theme="1"/>
      </rPr>
      <t xml:space="preserve">",
    doi = "10.18653/v1/P19-1073",
    pages = "747--763",
}
</t>
    </r>
  </si>
  <si>
    <r>
      <rPr>
        <rFont val="Arial"/>
        <color theme="1"/>
      </rPr>
      <t>@article{zhang-duh-2020-reproducible,
    title = "Reproducible and Efficient Benchmarks for Hyperparameter Optimization of Neural Machine Translation Systems",
    author = "Zhang, Xuan  and
      Duh, Kevin",
    journal = "Transactions of the Association for Computational Linguistics",
    volume = "8",
    year = "2020",
    url = "</t>
    </r>
    <r>
      <rPr>
        <rFont val="Arial"/>
        <color rgb="FF000000"/>
      </rPr>
      <t>https://www.aclweb.org/anthology/2020.tacl-1.26</t>
    </r>
    <r>
      <rPr>
        <rFont val="Arial"/>
        <color theme="1"/>
      </rPr>
      <t xml:space="preserve">",
    doi = "10.1162/tacl_a_00322",
    pages = "393--408",
}
</t>
    </r>
  </si>
  <si>
    <r>
      <rPr>
        <rFont val="Arial"/>
        <color theme="1"/>
      </rPr>
      <t>@inproceedings{born-etal-2020-dataset,
    title = "Dataset Reproducibility and {IR} Methods in Timeline Summarization",
    author = "Born, Leo  and
      Bacher, Maximilian  and
      Markert, Katja",
    booktitle = "Proceedings of The 12th Language Resources and Evaluation Conference",
    month = may,
    year = "2020",
    address = "Marseille, France",
    publisher = "European Language Resources Association",
    url = "</t>
    </r>
    <r>
      <rPr>
        <rFont val="Arial"/>
        <color rgb="FF000000"/>
      </rPr>
      <t>https://www.aclweb.org/anthology/2020.lrec-1.218</t>
    </r>
    <r>
      <rPr>
        <rFont val="Arial"/>
        <color theme="1"/>
      </rPr>
      <t xml:space="preserve">",
    pages = "1763--1771",
    language = "English",
    ISBN = "979-10-95546-34-4",
}
</t>
    </r>
  </si>
  <si>
    <r>
      <rPr>
        <rFont val="Arial"/>
        <color theme="1"/>
      </rPr>
      <t>@inproceedings{abdellatif-elgammal-2020-ulmfit,
    title = "{ULMF}i{T} replication",
    author = "Abdellatif, Mohamed  and
      Elgammal, Ahmed",
    booktitle = "Proceedings of The 12th Language Resources and Evaluation Conference",
    month = may,
    year = "2020",
    address = "Marseille, France",
    publisher = "European Language Resources Association",
    url = "</t>
    </r>
    <r>
      <rPr>
        <rFont val="Arial"/>
        <color rgb="FF000000"/>
      </rPr>
      <t>https://www.aclweb.org/anthology/2020.lrec-1.685</t>
    </r>
    <r>
      <rPr>
        <rFont val="Arial"/>
        <color theme="1"/>
      </rPr>
      <t xml:space="preserve">",
    pages = "5579--5587",
    language = "English",
    ISBN = "979-10-95546-34-4",
}
</t>
    </r>
  </si>
  <si>
    <t>Bibtex</t>
  </si>
  <si>
    <t>Paper Summary</t>
  </si>
  <si>
    <t>Type of paper (Short / Long)</t>
  </si>
  <si>
    <r>
      <rPr>
        <rFont val="Arial"/>
        <color rgb="FFB7B7B7"/>
      </rPr>
      <t xml:space="preserve">1. one sentence summary of what paper is about
</t>
    </r>
    <r>
      <rPr>
        <rFont val="Arial"/>
        <color theme="1"/>
      </rPr>
      <t xml:space="preserve">Presents methods and results for JHU submission to WMT'10, also discussing and addressing reproducibility of systems and results.
</t>
    </r>
    <r>
      <rPr>
        <rFont val="Arial"/>
        <color rgb="FFB7B7B7"/>
      </rPr>
      <t>2. paper's central goal/question/hypothesis</t>
    </r>
    <r>
      <rPr>
        <rFont val="Arial"/>
        <color theme="1"/>
      </rPr>
      <t xml:space="preserve">
Twofold: (1) to build WMT'10 system using only open-access tools and data; (2) role-modelling reporting and resource sharing designed to support full recreation of systems.
</t>
    </r>
    <r>
      <rPr>
        <rFont val="Arial"/>
        <color rgb="FFB7B7B7"/>
      </rPr>
      <t>3. methodology</t>
    </r>
    <r>
      <rPr>
        <rFont val="Arial"/>
        <color theme="1"/>
      </rPr>
      <t xml:space="preserve">
(1) builds MT systems for multiple language pairs using only open-access tools and data; (2) meticulously documents all steps and tools used and makes all code and data available via sourceforge.
</t>
    </r>
    <r>
      <rPr>
        <rFont val="Arial"/>
        <color rgb="FFB7B7B7"/>
      </rPr>
      <t xml:space="preserve">4. reported results
</t>
    </r>
    <r>
      <rPr>
        <rFont val="Arial"/>
        <color theme="1"/>
      </rPr>
      <t xml:space="preserve">WMT'10 and WMT'09 results, with their WMT'10 German-English system ranking top in terms of TER.
</t>
    </r>
    <r>
      <rPr>
        <rFont val="Arial"/>
        <color rgb="FF999999"/>
      </rPr>
      <t>5. paper's conclusions and/or main contributions</t>
    </r>
    <r>
      <rPr>
        <rFont val="Arial"/>
        <color theme="1"/>
      </rPr>
      <t xml:space="preserve">
No explicit conclusions. Early example of diagnosing the reproducibility problem in NLP systems, plus demonstrates how full system recreation can be achieved through code and data sharing.
</t>
    </r>
  </si>
  <si>
    <t>Short</t>
  </si>
  <si>
    <r>
      <rPr>
        <rFont val="Arial"/>
        <color rgb="FFB7B7B7"/>
      </rPr>
      <t xml:space="preserve">1. one sentence summary of what paper is about
</t>
    </r>
    <r>
      <rPr>
        <rFont val="Arial"/>
        <color theme="1"/>
      </rPr>
      <t xml:space="preserve">Reports on reproduction attempts of two previous connected results for WordNet similarity measures and one for NER, also systematically investigating the impact of variations in implementational details on scores
</t>
    </r>
    <r>
      <rPr>
        <rFont val="Arial"/>
        <color rgb="FFB7B7B7"/>
      </rPr>
      <t>2. paper's central goal/question/hypothesis</t>
    </r>
    <r>
      <rPr>
        <rFont val="Arial"/>
        <color theme="1"/>
      </rPr>
      <t xml:space="preserve">
To carry out systematic reproduction attempts in two NLP applications and examine reasons for failure.
</t>
    </r>
    <r>
      <rPr>
        <rFont val="Arial"/>
        <color rgb="FFB7B7B7"/>
      </rPr>
      <t>3. methodology</t>
    </r>
    <r>
      <rPr>
        <rFont val="Arial"/>
        <color theme="1"/>
      </rPr>
      <t xml:space="preserve">
Faithful recreation of original systems with cooperation from original authors; systematic variation of parameters and implementational details to explore differences in results.
</t>
    </r>
    <r>
      <rPr>
        <rFont val="Arial"/>
        <color rgb="FFB7B7B7"/>
      </rPr>
      <t xml:space="preserve">4. reported results
</t>
    </r>
    <r>
      <rPr>
        <rFont val="Arial"/>
        <color theme="1"/>
      </rPr>
      <t xml:space="preserve">Results differed for WNS task in unspecified ways, and were 20 F-score points lower for NER. Systematic exploration of differences failed to make up all the difference, but identified differences that affect the results.
</t>
    </r>
    <r>
      <rPr>
        <rFont val="Arial"/>
        <color rgb="FF999999"/>
      </rPr>
      <t>5. paper's conclusions and/or main contributions</t>
    </r>
    <r>
      <rPr>
        <rFont val="Arial"/>
        <color theme="1"/>
      </rPr>
      <t xml:space="preserve">
* Identifies 5 categories of differences (most of which rarely reported) that can make substantive difference to results: preprocessing, experimental set-up, versioning, system output, and system variation; detailed reproduction research leads to better understanding of techniques
* asks fundamental question: what do our results mean if you can so easily ruin/improve them with seemingly minor differences?</t>
    </r>
  </si>
  <si>
    <t>Long</t>
  </si>
  <si>
    <r>
      <rPr>
        <rFont val="Arial"/>
        <color rgb="FFB7B7B7"/>
      </rPr>
      <t xml:space="preserve">1. one sentence summary of what paper is about
</t>
    </r>
    <r>
      <rPr>
        <rFont val="Arial"/>
        <color theme="1"/>
      </rPr>
      <t xml:space="preserve">[text]
</t>
    </r>
    <r>
      <rPr>
        <rFont val="Arial"/>
        <color rgb="FFB7B7B7"/>
      </rPr>
      <t>2. paper's central goal/question/hypothesis</t>
    </r>
    <r>
      <rPr>
        <rFont val="Arial"/>
        <color theme="1"/>
      </rPr>
      <t xml:space="preserve">
[text]
</t>
    </r>
    <r>
      <rPr>
        <rFont val="Arial"/>
        <color rgb="FFB7B7B7"/>
      </rPr>
      <t>3. methodology</t>
    </r>
    <r>
      <rPr>
        <rFont val="Arial"/>
        <color theme="1"/>
      </rPr>
      <t xml:space="preserve">
[text]
</t>
    </r>
    <r>
      <rPr>
        <rFont val="Arial"/>
        <color rgb="FFB7B7B7"/>
      </rPr>
      <t xml:space="preserve">4. reported results
</t>
    </r>
    <r>
      <rPr>
        <rFont val="Arial"/>
        <color theme="1"/>
      </rPr>
      <t xml:space="preserve">[text]
</t>
    </r>
    <r>
      <rPr>
        <rFont val="Arial"/>
        <color rgb="FF999999"/>
      </rPr>
      <t>5. paper's conclusions and/or main contributions</t>
    </r>
    <r>
      <rPr>
        <rFont val="Arial"/>
        <color theme="1"/>
      </rPr>
      <t xml:space="preserve">
[text]
</t>
    </r>
  </si>
  <si>
    <r>
      <rPr/>
      <t>@inproceedings{fares-etal-2017-word,
    title = "Word vectors, reuse, and replicability: Towards a community repository of large-text resources",
    author = "Fares, Murhaf  and
      Kutuzov, Andrey  and
      Oepen, Stephan  and
      Velldal, Erik",
    booktitle = "Proceedings of the 21st Nordic Conference on Computational Linguistics",
    month = may,
    year = "2017",
    address = "Gothenburg, Sweden",
    publisher = "Association for Computational Linguistics",
    url = "</t>
    </r>
    <r>
      <rPr>
        <color rgb="FF1155CC"/>
        <u/>
      </rPr>
      <t>https://www.aclweb.org/anthology/W17-0237</t>
    </r>
    <r>
      <rPr/>
      <t xml:space="preserve">",
    pages = "271--276",
    abstract = "This paper describes an emerging shared repository of large-text resources for creating word vectors, including pre-processed corpora and pre-trained vectors for a range of frameworks and configurations.   This will facilitate reuse, rapid experimentation, and replicability of results."
}
</t>
    </r>
  </si>
  <si>
    <r>
      <rPr>
        <rFont val="Arial"/>
        <color rgb="FFB7B7B7"/>
      </rPr>
      <t xml:space="preserve">1. one sentence summary of what paper is about
</t>
    </r>
    <r>
      <rPr>
        <rFont val="Arial"/>
        <color theme="1"/>
      </rPr>
      <t xml:space="preserve">Demo paper with the aim of providing shared repository for creating word vectors with a focus on reproducibility of results
</t>
    </r>
    <r>
      <rPr>
        <rFont val="Arial"/>
        <color rgb="FFB7B7B7"/>
      </rPr>
      <t>2. paper's central goal/question/hypothesis</t>
    </r>
    <r>
      <rPr>
        <rFont val="Arial"/>
        <color theme="1"/>
      </rPr>
      <t xml:space="preserve">
To create a shared repository of large-text resources for word vectors, including pre-processed corpora and pre-trained vector models to facilitate rapid experimentation and replicability
</t>
    </r>
    <r>
      <rPr>
        <rFont val="Arial"/>
        <color rgb="FFB7B7B7"/>
      </rPr>
      <t>3. methodology</t>
    </r>
    <r>
      <rPr>
        <rFont val="Arial"/>
        <color theme="1"/>
      </rPr>
      <t xml:space="preserve">
Trained embeddings using GloVe (Pennington et al., 2014) and Continuous Skipgram (Mikolov, Chen, et al., 2013) with negative sampling (SGNS).
</t>
    </r>
    <r>
      <rPr>
        <rFont val="Arial"/>
        <color rgb="FFB7B7B7"/>
      </rPr>
      <t xml:space="preserve">4. reported results
</t>
    </r>
    <r>
      <rPr>
        <rFont val="Arial"/>
        <color theme="1"/>
      </rPr>
      <t xml:space="preserve">Accuracy for 2 models are reported on Simlex-999 (Hill et al., 2015) and the Google Analogies Dataset (Mikolov, Chen, et al., 2013)
</t>
    </r>
    <r>
      <rPr>
        <rFont val="Arial"/>
        <color rgb="FF999999"/>
      </rPr>
      <t>5. paper's conclusions and/or main contributions</t>
    </r>
    <r>
      <rPr>
        <rFont val="Arial"/>
        <color theme="1"/>
      </rPr>
      <t xml:space="preserve">
Created the repository and web servcie with pre-trained vectors for English and Norwegian.  </t>
    </r>
  </si>
  <si>
    <t>Short (Demo paper)</t>
  </si>
  <si>
    <r>
      <rPr>
        <rFont val="Arial"/>
        <color rgb="FFB7B7B7"/>
      </rPr>
      <t xml:space="preserve">1. one sentence summary of what paper is about
</t>
    </r>
    <r>
      <rPr>
        <rFont val="Arial"/>
        <color theme="1"/>
      </rPr>
      <t xml:space="preserve">Paper diagnoses wide-spread problem in parsing research of not documenting all aspects of system implementation and evaluation, and demonstrates the range of results obtained with different implementational and evaluation choices across 7 languages and 8 treebanks.
</t>
    </r>
    <r>
      <rPr>
        <rFont val="Arial"/>
        <color rgb="FFB7B7B7"/>
      </rPr>
      <t>2. paper's central goal/question/hypothesis</t>
    </r>
    <r>
      <rPr>
        <rFont val="Arial"/>
        <color theme="1"/>
      </rPr>
      <t xml:space="preserve">
Sets out to explore just how big a difference implementation and evaluation choices can make to parsing results.
</t>
    </r>
    <r>
      <rPr>
        <rFont val="Arial"/>
        <color rgb="FFB7B7B7"/>
      </rPr>
      <t>3. methodology</t>
    </r>
    <r>
      <rPr>
        <rFont val="Arial"/>
        <color theme="1"/>
      </rPr>
      <t xml:space="preserve">
Using the state-of-the-art Berkeley parser, authors train and test it on 8 treebanks with systematically varied choices on multiple dimensions including types of preprocessing and evaluation script parameters.
</t>
    </r>
    <r>
      <rPr>
        <rFont val="Arial"/>
        <color rgb="FFB7B7B7"/>
      </rPr>
      <t xml:space="preserve">4. reported results
</t>
    </r>
    <r>
      <rPr>
        <rFont val="Arial"/>
        <color theme="1"/>
      </rPr>
      <t xml:space="preserve">Different choices produce improvement of around 10 F1 score points on average from removal of grammatical functions, slight worsening from higher rare-words thresholds, and up to 2.3 F score points worse from test set reduction (higher for higher reduction factors).
</t>
    </r>
    <r>
      <rPr>
        <rFont val="Arial"/>
        <color rgb="FF999999"/>
      </rPr>
      <t>5. paper's conclusions and/or main contributions</t>
    </r>
    <r>
      <rPr>
        <rFont val="Arial"/>
        <color theme="1"/>
      </rPr>
      <t xml:space="preserve">
Many settings, parameters and pre/post-processing components have substantial effects on results, and should therefore be meticulously reported and documented in order to enable reproduction</t>
    </r>
  </si>
  <si>
    <r>
      <rPr>
        <rFont val="Arial"/>
        <color rgb="FFB7B7B7"/>
      </rPr>
      <t xml:space="preserve">1. one sentence summary of what paper is about
</t>
    </r>
    <r>
      <rPr>
        <rFont val="Arial"/>
        <color theme="1"/>
      </rPr>
      <t xml:space="preserve">Paper picks up strong results by Plank et al. (2016) for LSTM tagging on coarse-grained tag sets, and investigates whether they can be confirmed for finer-grained tag sets.
</t>
    </r>
    <r>
      <rPr>
        <rFont val="Arial"/>
        <color rgb="FFB7B7B7"/>
      </rPr>
      <t>2. paper's central goal/question/hypothesis</t>
    </r>
    <r>
      <rPr>
        <rFont val="Arial"/>
        <color theme="1"/>
      </rPr>
      <t xml:space="preserve">
To replicate Plank et al.'s results that LSTM taggers are better than comparable CRF and HMM taggers, for fine-grained tag sets, looking also at impact of tag set size.
</t>
    </r>
    <r>
      <rPr>
        <rFont val="Arial"/>
        <color rgb="FFB7B7B7"/>
      </rPr>
      <t>3. methodology</t>
    </r>
    <r>
      <rPr>
        <rFont val="Arial"/>
        <color theme="1"/>
      </rPr>
      <t xml:space="preserve">
Using a fresh set of 27 corpora (21 languages) with fine-grained tag sets, Plank's LSTM, a self-implemented CRF and an off-the-shelf HMM tagger, systematically compare results for the 3 models on the 27 corpora
</t>
    </r>
    <r>
      <rPr>
        <rFont val="Arial"/>
        <color rgb="FFB7B7B7"/>
      </rPr>
      <t xml:space="preserve">4. reported results
</t>
    </r>
    <r>
      <rPr>
        <rFont val="Arial"/>
        <color theme="1"/>
      </rPr>
      <t xml:space="preserve">LSTM generally better, but with smaller tag set sizes differences between LSTM, CRF and HMM taggers are often small. Relative superiority of LSTM tagger grows in proportion to tag set size.
</t>
    </r>
    <r>
      <rPr>
        <rFont val="Arial"/>
        <color rgb="FF999999"/>
      </rPr>
      <t>5. paper's conclusions and/or main contributions</t>
    </r>
    <r>
      <rPr>
        <rFont val="Arial"/>
        <color theme="1"/>
      </rPr>
      <t xml:space="preserve">
The study confirmed that the LSTM tagger reported by Plank et al. (2016) also outperforms CRF and HMM taggers on fine-grained tagsets. LSTM tagger also comes closest to reaching performance levels of language-specific taggers from the literature, outperforming the latter by small margins on two out of three languages on which this was tested according to Table 4; very thin evidence for concluding "[o]n morphologically fine tagsets, even the LSTM tagger fails to reach results reported in the literature when reproducing those setups" - one single result on very fine grained tag set.
</t>
    </r>
  </si>
  <si>
    <r>
      <rPr>
        <rFont val="Arial"/>
        <color rgb="FFB7B7B7"/>
      </rPr>
      <t xml:space="preserve">1. one sentence summary of what paper is about
</t>
    </r>
    <r>
      <rPr>
        <rFont val="Arial"/>
        <color theme="1"/>
      </rPr>
      <t xml:space="preserve">This paper replicates the evaluation of the parsers on the test set of Rhetorical Structure Theory Discourse Treebank (RST-DT) dataset and argues to re-examine and standardize the evaluation procedures used for RST discourse parsing
</t>
    </r>
    <r>
      <rPr>
        <rFont val="Arial"/>
        <color rgb="FFB7B7B7"/>
      </rPr>
      <t>2. paper's central goal/question/hypothesis</t>
    </r>
    <r>
      <rPr>
        <rFont val="Arial"/>
        <color theme="1"/>
      </rPr>
      <t xml:space="preserve">
Evaluate the progress in RST discoure plannig. Does distributed representations of discourse units really help in error reduction?
</t>
    </r>
    <r>
      <rPr>
        <rFont val="Arial"/>
        <color rgb="FFB7B7B7"/>
      </rPr>
      <t>3. methodology</t>
    </r>
    <r>
      <rPr>
        <rFont val="Arial"/>
        <color theme="1"/>
      </rPr>
      <t xml:space="preserve">
Reproduce predictions for 9 parsers from 8 studies. Identified two groups of studies - one which reports micro F1 scores and the other reports macro F1.
Used standard Parseval procedure instead of Marcu’s adaptation RST-Parseval as the main evaluation procedure and compute scores on discourse structures with no label (S for for Span or labelled with nuclearity (N), relation (R) or both (F for Full)). 
</t>
    </r>
    <r>
      <rPr>
        <rFont val="Arial"/>
        <color rgb="FFB7B7B7"/>
      </rPr>
      <t xml:space="preserve">4. reported results
</t>
    </r>
    <r>
      <rPr>
        <rFont val="Arial"/>
        <color theme="1"/>
      </rPr>
      <t xml:space="preserve">Replication attempts of micro-averaged F1 scores for one group and macro-averaged F1 for the other are reported. Finally Micro-averaged F1 scores using original Parseval are provided for future benchmark
</t>
    </r>
    <r>
      <rPr>
        <rFont val="Arial"/>
        <color rgb="FF999999"/>
      </rPr>
      <t>5. paper's conclusions and/or main contributions</t>
    </r>
    <r>
      <rPr>
        <rFont val="Arial"/>
        <color theme="1"/>
      </rPr>
      <t xml:space="preserve">
Increase in parser perfomance is due to the different implementations of evaluation procedures. 
</t>
    </r>
  </si>
  <si>
    <r>
      <rPr/>
      <t>@inproceedings{htut-etal-2018-grammar,
    title = "Grammar Induction with Neural Language Models: An Unusual Replication",
    author = "Htut, Phu Mon  and
      Cho, Kyunghyun  and
      Bowman, Samuel",
    booktitle = "Proceedings of the 2018 {EMNLP} Workshop {B}lackbox{NLP}: Analyzing and Interpreting Neural Networks for {NLP}",
    month = nov,
    year = "2018",
    address = "Brussels, Belgium",
    publisher = "Association for Computational Linguistics",
    url = "</t>
    </r>
    <r>
      <rPr>
        <color rgb="FF1155CC"/>
        <u/>
      </rPr>
      <t>https://www.aclweb.org/anthology/W18-5452</t>
    </r>
    <r>
      <rPr/>
      <t xml:space="preserve">",
    doi = "10.18653/v1/W18-5452",
    pages = "371--373",
    abstract = "Grammar induction is the task of learning syntactic structure without the expert-labeled treebanks (Charniak and Carroll, 1992; Klein and Manning, 2002). Recent work on latent tree learning offers a new family of approaches to this problem by inducing syntactic structure using the supervision from a downstream NLP task (Yogatama et al., 2017; Maillard et al., 2017; Choi et al., 2018). In a recent paper published at ICLR, Shen et al. (2018) introduce such a model and report near state-of-the-art results on the target task of language modeling, and the first strong latent tree learning result on constituency parsing. During the analysis of this model, we discover issues that make the original results hard to trust, including tuning and even training on what is effectively the test set. Here, we analyze the model under different configurations to understand what it learns and to identify the conditions under which it succeeds. We find that this model represents the first empirical success for neural network latent tree learning, and that neural language modeling warrants further study as a setting for grammar induction."
}
</t>
    </r>
  </si>
  <si>
    <r>
      <rPr>
        <rFont val="Arial"/>
        <color rgb="FFB7B7B7"/>
      </rPr>
      <t xml:space="preserve">1. one sentence summary of what paper is about
</t>
    </r>
    <r>
      <rPr>
        <rFont val="Arial"/>
        <color theme="1"/>
      </rPr>
      <t xml:space="preserve">Recreates an existing grammar induction model (PRPN, Shen et al., 2018) and tests different versions of it with different datasets and different model configurations, some of which perform very well.
</t>
    </r>
    <r>
      <rPr>
        <rFont val="Arial"/>
        <color rgb="FFB7B7B7"/>
      </rPr>
      <t>2. paper's central goal/question/hypothesis</t>
    </r>
    <r>
      <rPr>
        <rFont val="Arial"/>
        <color theme="1"/>
      </rPr>
      <t xml:space="preserve">
To explore and analyse the PRPN model and its performance under different conditions.
</t>
    </r>
    <r>
      <rPr>
        <rFont val="Arial"/>
        <color rgb="FFB7B7B7"/>
      </rPr>
      <t>3. methodology</t>
    </r>
    <r>
      <rPr>
        <rFont val="Arial"/>
        <color theme="1"/>
      </rPr>
      <t xml:space="preserve">
Recreated PRPN model in different configurations (similarity of any one of them to original model(s) is unclear) and trained in on different data sets (unclear how similar any of these are to those used in original paper) and calculated F1 on LB, RB, unlabelled parsing accuracy.
</t>
    </r>
    <r>
      <rPr>
        <rFont val="Arial"/>
        <color rgb="FFB7B7B7"/>
      </rPr>
      <t xml:space="preserve">4. reported results
</t>
    </r>
    <r>
      <rPr>
        <rFont val="Arial"/>
        <color theme="1"/>
      </rPr>
      <t xml:space="preserve">Reports results competitive with supervised WSJ parsing from early 2000s. Tuning on parsing task rather than LM task is not helpful.
</t>
    </r>
    <r>
      <rPr>
        <rFont val="Arial"/>
        <color rgb="FF999999"/>
      </rPr>
      <t>5. paper's conclusions and/or main contributions</t>
    </r>
    <r>
      <rPr>
        <rFont val="Arial"/>
        <color theme="1"/>
      </rPr>
      <t xml:space="preserve">
PRPN model "strikingly effective" at latent tree learning. Joint modelling of parsing and LM seems to work best.
</t>
    </r>
  </si>
  <si>
    <t>Short (extended abstract)</t>
  </si>
  <si>
    <r>
      <rPr>
        <rFont val="Arial"/>
        <color rgb="FFB7B7B7"/>
      </rPr>
      <t xml:space="preserve">1. one sentence summary of what paper is about
</t>
    </r>
    <r>
      <rPr>
        <rFont val="Arial"/>
        <color theme="1"/>
      </rPr>
      <t xml:space="preserve">Using answer selection in QA (TrecQA and WikiQA dataset) as the underlying task, this paper demonstrates number of factors (hardware / software / environment) that affects results of Deep Learning models. 
</t>
    </r>
    <r>
      <rPr>
        <rFont val="Arial"/>
        <color rgb="FFB7B7B7"/>
      </rPr>
      <t>2. paper's central goal/question/hypothesis</t>
    </r>
    <r>
      <rPr>
        <rFont val="Arial"/>
        <color theme="1"/>
      </rPr>
      <t xml:space="preserve">
Distribution of source code is not enough for reproducibility unless the running environment is reported
</t>
    </r>
    <r>
      <rPr>
        <rFont val="Arial"/>
        <color rgb="FFB7B7B7"/>
      </rPr>
      <t>3. methodology</t>
    </r>
    <r>
      <rPr>
        <rFont val="Arial"/>
        <color theme="1"/>
      </rPr>
      <t xml:space="preserve">
Used PyTorch re-implementation Sequiera et al. (2017) of Severyn and Moschitti (2015) model and varied different configurations of hardware and software on both the datasets like the GPU configuration, seed, number of threads, framework used, etc. 
</t>
    </r>
    <r>
      <rPr>
        <rFont val="Arial"/>
        <color rgb="FFB7B7B7"/>
      </rPr>
      <t xml:space="preserve">4. reported results
</t>
    </r>
    <r>
      <rPr>
        <rFont val="Arial"/>
        <color theme="1"/>
      </rPr>
      <t xml:space="preserve">Average Precision (AP) and Reciprocal Rank (RR) are reported for differnet runs of the same model in different configurations of the environment
</t>
    </r>
    <r>
      <rPr>
        <rFont val="Arial"/>
        <color rgb="FF999999"/>
      </rPr>
      <t>5. paper's conclusions and/or main contributions</t>
    </r>
    <r>
      <rPr>
        <rFont val="Arial"/>
        <color theme="1"/>
      </rPr>
      <t xml:space="preserve">
Largest source of variability - when the network was seeded with different random starting points.
changing the hardware, number of threads and the math library can also change the results
model definition, library versions and dependencies should be specified either through Docker or provide pre-trained model
</t>
    </r>
  </si>
  <si>
    <r>
      <rPr>
        <rFont val="Arial"/>
        <color rgb="FFB7B7B7"/>
      </rPr>
      <t xml:space="preserve">1. one sentence summary of what paper is about
</t>
    </r>
    <r>
      <rPr>
        <rFont val="Arial"/>
        <color theme="1"/>
      </rPr>
      <t xml:space="preserve">Position paper/opinion piece which argues that the NLP community should focus on language diveristy as part of science ethics. On a similar note, the paper also advocates reproducibility and replicability of research results.  
</t>
    </r>
    <r>
      <rPr>
        <rFont val="Arial"/>
        <color rgb="FFB7B7B7"/>
      </rPr>
      <t>2. paper's central goal/question/hypothesis</t>
    </r>
    <r>
      <rPr>
        <rFont val="Arial"/>
        <color theme="1"/>
      </rPr>
      <t xml:space="preserve">
To provide analysis of the depleting role of different languages in the NLP community
</t>
    </r>
    <r>
      <rPr>
        <rFont val="Arial"/>
        <color rgb="FFB7B7B7"/>
      </rPr>
      <t>3. methodology</t>
    </r>
    <r>
      <rPr>
        <rFont val="Arial"/>
        <color theme="1"/>
      </rPr>
      <t xml:space="preserve">
Not a replication study but an opinion piece. Provides analysis and literature review backing the claims of depleting diversity from the technological viewpoint. 
</t>
    </r>
    <r>
      <rPr>
        <rFont val="Arial"/>
        <color rgb="FFB7B7B7"/>
      </rPr>
      <t xml:space="preserve">4. reported results
</t>
    </r>
    <r>
      <rPr>
        <rFont val="Arial"/>
        <color theme="1"/>
      </rPr>
      <t xml:space="preserve">No results are reported
</t>
    </r>
    <r>
      <rPr>
        <rFont val="Arial"/>
        <color rgb="FF999999"/>
      </rPr>
      <t>5. paper's conclusions and/or main contributions</t>
    </r>
    <r>
      <rPr>
        <rFont val="Arial"/>
        <color theme="1"/>
      </rPr>
      <t xml:space="preserve">
Provides analysis and claims depleting language diversity is two fold - 1. NLP researchers only focus on English 2. Historical technological shock providing social and economical competitive advantages to the English language
</t>
    </r>
  </si>
  <si>
    <r>
      <rPr>
        <rFont val="Arial"/>
        <color rgb="FFB7B7B7"/>
      </rPr>
      <t xml:space="preserve">1. one sentence summary of what paper is about
</t>
    </r>
    <r>
      <rPr>
        <rFont val="Arial"/>
        <color theme="1"/>
      </rPr>
      <t xml:space="preserve">[text]
</t>
    </r>
    <r>
      <rPr>
        <rFont val="Arial"/>
        <color rgb="FFB7B7B7"/>
      </rPr>
      <t>2. paper's central goal/question/hypothesis</t>
    </r>
    <r>
      <rPr>
        <rFont val="Arial"/>
        <color theme="1"/>
      </rPr>
      <t xml:space="preserve">
[text]
</t>
    </r>
    <r>
      <rPr>
        <rFont val="Arial"/>
        <color rgb="FFB7B7B7"/>
      </rPr>
      <t>3. methodology</t>
    </r>
    <r>
      <rPr>
        <rFont val="Arial"/>
        <color theme="1"/>
      </rPr>
      <t xml:space="preserve">
[text]
</t>
    </r>
    <r>
      <rPr>
        <rFont val="Arial"/>
        <color rgb="FFB7B7B7"/>
      </rPr>
      <t xml:space="preserve">4. reported results
</t>
    </r>
    <r>
      <rPr>
        <rFont val="Arial"/>
        <color theme="1"/>
      </rPr>
      <t xml:space="preserve">[text]
</t>
    </r>
    <r>
      <rPr>
        <rFont val="Arial"/>
        <color rgb="FF999999"/>
      </rPr>
      <t>5. paper's conclusions and/or main contributions</t>
    </r>
    <r>
      <rPr>
        <rFont val="Arial"/>
        <color theme="1"/>
      </rPr>
      <t xml:space="preserve">
[text]
</t>
    </r>
  </si>
  <si>
    <r>
      <rPr/>
      <t>@inproceedings{gartner-etal-2018-preserving,
    title = "Preserving Workflow Reproducibility: The {R}e{P}lay-{DH} Client as a Tool for Process Documentation",
    author = {G{\"a}rtner, Markus  and
      Hahn, Uli  and
      Hermann, Sibylle},
    booktitle = "Proceedings of the Eleventh International Conference on Language Resources and Evaluation ({LREC} 2018)",
    month = may,
    year = "2018",
    address = "Miyazaki, Japan",
    publisher = "European Language Resources Association (ELRA)",
    url = "</t>
    </r>
    <r>
      <rPr>
        <color rgb="FF1155CC"/>
        <u/>
      </rPr>
      <t>https://www.aclweb.org/anthology/L18-1089</t>
    </r>
    <r>
      <rPr/>
      <t xml:space="preserve">",
   abstract = "In  this  paper  we  present  a  software  tool  for  elicitation  and  management  of  process  metadata.   It  follows  our  previously  published design idea of an assistant for researchers that aims at minimizing the additional effort required for producing a sustainable workflow documentation.   With  the  ever-growing  number  of  linguistic  resources  available,  it  also  becomes  increasingly  important  to  provide proper  documentation  to  make  them  comparable  and  to  allow  meaningful  evaluations  for  specific  use  cases.   The  often  prevailing practice  of  post  hoc  documentation  of  resource  generation  or  research  processes  bears  the  risk  of  information  loss.   Not  only  does detailed documentation of a process aid in achieving reproducibility, it also increases usefulness of the documented work for others asa cornerstone of good scientific practice.  Time pressure together with the lack of simple documentation methods leads to workflow documentation in practice being an arduous and often neglected task. Our tool ensures a clean documentation for common workflows innatural language processing and digital humanities. Additionally, it can easily be integrated into existing institutional infrastructures.",
}
</t>
    </r>
  </si>
  <si>
    <r>
      <rPr>
        <rFont val="Arial"/>
        <color rgb="FFB7B7B7"/>
      </rPr>
      <t xml:space="preserve">1. one sentence summary of what paper is about
</t>
    </r>
    <r>
      <rPr>
        <rFont val="Arial"/>
        <color theme="1"/>
      </rPr>
      <t xml:space="preserve">Demo paper describing the system build for workflow management.
</t>
    </r>
    <r>
      <rPr>
        <rFont val="Arial"/>
        <color rgb="FFB7B7B7"/>
      </rPr>
      <t>2. paper's central goal/question/hypothesis</t>
    </r>
    <r>
      <rPr>
        <rFont val="Arial"/>
        <color theme="1"/>
      </rPr>
      <t xml:space="preserve">
Build a workflow management tool; supporting process documentation by using version control as foundation
</t>
    </r>
    <r>
      <rPr>
        <rFont val="Arial"/>
        <color rgb="FFB7B7B7"/>
      </rPr>
      <t>3. methodology</t>
    </r>
    <r>
      <rPr>
        <rFont val="Arial"/>
        <color theme="1"/>
      </rPr>
      <t xml:space="preserve">
Implemented the tool in Java, open-sourced for reproducible research.
</t>
    </r>
    <r>
      <rPr>
        <rFont val="Arial"/>
        <color rgb="FFB7B7B7"/>
      </rPr>
      <t xml:space="preserve">4. reported results
</t>
    </r>
    <r>
      <rPr>
        <rFont val="Arial"/>
        <color theme="1"/>
      </rPr>
      <t xml:space="preserve">NA
</t>
    </r>
    <r>
      <rPr>
        <rFont val="Arial"/>
        <color rgb="FF999999"/>
      </rPr>
      <t>5. paper's conclusions and/or main contributions</t>
    </r>
    <r>
      <rPr>
        <rFont val="Arial"/>
        <color theme="1"/>
      </rPr>
      <t xml:space="preserve">
"RePlay-DH" system description, motivating its use case from the point of reporoducibility
</t>
    </r>
  </si>
  <si>
    <r>
      <rPr/>
      <t>@inproceedings{horsmann-zesch-2018-deeptc,
    title = "{D}eep{TC} {--} An Extension of {DKP}ro Text Classification for Fostering Reproducibility of Deep Learning Experiments",
    author = "Horsmann, Tobias  and
      Zesch, Torsten",
    booktitle = "Proceedings of the Eleventh International Conference on Language Resources and Evaluation ({LREC} 2018)",
    month = may,
    year = "2018",
    address = "Miyazaki, Japan",
    publisher = "European Language Resources Association (ELRA)",
    url = "</t>
    </r>
    <r>
      <rPr>
        <color rgb="FF1155CC"/>
        <u/>
      </rPr>
      <t>https://www.aclweb.org/anthology/L18-1403</t>
    </r>
    <r>
      <rPr/>
      <t xml:space="preserve">",
    abstract = "We present a deep learning extension for the multi-purpose text classification framework DKPro Text Classification (DKPro TC). DKProTC is a flexible framework for creating easily shareable and reproducible end-to-end NLP experiments involving machine learning. We provide an overview of the current state of DKPro TC, which does not allow integration of deep learning, and discuss the necessary conceptual extensions.  These extensions are based on an analysis of common deep learning setups found in the literature to support all common text classification setups, i.e. single outcome, multi outcome, and sequence classification problems.  Additionally to providing an end-to-end shareable environment for deep learning experiments, we provide convenience features that take care of repetitive steps, such as pre-processing, data vectorization and pruning of embeddings.  By moving a large part of this boilerplate code into DKPro TC, the actual deep learning framework code improves in readability and lowers the amount of redundant source code considerably.  As proof-of-concept, we integrate Keras, DyNet, and DeepLearning4J.",
}
</t>
    </r>
  </si>
  <si>
    <r>
      <rPr>
        <rFont val="Arial"/>
        <color rgb="FFB7B7B7"/>
      </rPr>
      <t xml:space="preserve">1. one sentence summary of what paper is about
</t>
    </r>
    <r>
      <rPr>
        <rFont val="Arial"/>
        <color theme="1"/>
      </rPr>
      <t xml:space="preserve">Demo paper describing DeepTC an extension of previous DKProTC framework for creating sharable and reproducible text classification models.
</t>
    </r>
    <r>
      <rPr>
        <rFont val="Arial"/>
        <color rgb="FFB7B7B7"/>
      </rPr>
      <t>2. paper's central goal/question/hypothesis</t>
    </r>
    <r>
      <rPr>
        <rFont val="Arial"/>
        <color theme="1"/>
      </rPr>
      <t xml:space="preserve">
Provide overview of the DL extension and integrate three libraries (Keras, DyNet and Deeplearning 4J) 
</t>
    </r>
    <r>
      <rPr>
        <rFont val="Arial"/>
        <color rgb="FFB7B7B7"/>
      </rPr>
      <t>3. methodology</t>
    </r>
    <r>
      <rPr>
        <rFont val="Arial"/>
        <color theme="1"/>
      </rPr>
      <t xml:space="preserve">
Implemented plain LSTM in three frameworks (Keras, DyNet and Deeplearning 4J) and experiment on WSJ for PoS tagging. Compared with shallow CRF from DKProTC
</t>
    </r>
    <r>
      <rPr>
        <rFont val="Arial"/>
        <color rgb="FFB7B7B7"/>
      </rPr>
      <t xml:space="preserve">4. reported results
</t>
    </r>
    <r>
      <rPr>
        <rFont val="Arial"/>
        <color theme="1"/>
      </rPr>
      <t xml:space="preserve">Accuracy on WSJ sections using reproduction is reported. However the original results claimed by the different frameworks is not provided. 
</t>
    </r>
    <r>
      <rPr>
        <rFont val="Arial"/>
        <color rgb="FF999999"/>
      </rPr>
      <t>5. paper's conclusions and/or main contributions</t>
    </r>
    <r>
      <rPr>
        <rFont val="Arial"/>
        <color theme="1"/>
      </rPr>
      <t xml:space="preserve">
Open-source system with DL extension. Showed that replication study allows to replicate state-of-the-art result but didnt compare with the original. 
</t>
    </r>
  </si>
  <si>
    <t>6 pages</t>
  </si>
  <si>
    <r>
      <rPr>
        <rFont val="Arial"/>
        <color rgb="FFB7B7B7"/>
      </rPr>
      <t xml:space="preserve">1. one sentence summary of what paper is about
</t>
    </r>
    <r>
      <rPr>
        <rFont val="Arial"/>
        <color theme="1"/>
      </rPr>
      <t xml:space="preserve">Looks at availability of code and data in NLP papers, and reproducibility of results based on them.
</t>
    </r>
    <r>
      <rPr>
        <rFont val="Arial"/>
        <color rgb="FFB7B7B7"/>
      </rPr>
      <t>2. paper's central goal/question/hypothesis</t>
    </r>
    <r>
      <rPr>
        <rFont val="Arial"/>
        <color theme="1"/>
      </rPr>
      <t xml:space="preserve">
Investigates how often data and source code are available or can be obtained for two years of ACL papers, and attempts reproduction for 10 papers for which data/code were available/obtainable. Tests whether papers with linked code/data is cited more.
</t>
    </r>
    <r>
      <rPr>
        <rFont val="Arial"/>
        <color rgb="FFB7B7B7"/>
      </rPr>
      <t>3. methodology</t>
    </r>
    <r>
      <rPr>
        <rFont val="Arial"/>
        <color theme="1"/>
      </rPr>
      <t xml:space="preserve">
Random selection (except 1 from 2016) of 5 papers each from sets of all full papers using some code and some data from ACL 2011 and 2016, for which said code and data could be obtained. Authors contacted for help if needed. Max 8 hours work by Masters student for each attempt.
</t>
    </r>
    <r>
      <rPr>
        <rFont val="Arial"/>
        <color rgb="FFB7B7B7"/>
      </rPr>
      <t xml:space="preserve">4. reported results
</t>
    </r>
    <r>
      <rPr>
        <rFont val="Arial"/>
        <color theme="1"/>
      </rPr>
      <t xml:space="preserve">Results provided for each of the 10 papers selected for reproduction. Unclear how scores were selected for reproduction (not all are attempted), reasons for failure not always clear even from linked material.  
</t>
    </r>
    <r>
      <rPr>
        <rFont val="Arial"/>
        <color rgb="FF999999"/>
      </rPr>
      <t>5. paper's conclusions and/or main contributions</t>
    </r>
    <r>
      <rPr>
        <rFont val="Arial"/>
        <color theme="1"/>
      </rPr>
      <t xml:space="preserve">
Obtainability of code and data substantially improved from 2011 to 2016, more dramatically for code. Higher citation counts for papers with linked data and code.
</t>
    </r>
  </si>
  <si>
    <r>
      <rPr/>
      <t>@inproceedings{htut-etal-2018-grammar-induction,
    title = "Grammar Induction with Neural Language Models: An Unusual Replication",
    author = "Htut, Phu Mon  and
      Cho, Kyunghyun  and
      Bowman, Samuel",
    booktitle = "Proceedings of the 2018 Conference on Empirical Methods in Natural Language Processing",
    month = oct # "-" # nov,
    year = "2018",
    address = "Brussels, Belgium",
    publisher = "Association for Computational Linguistics",
    url = "</t>
    </r>
    <r>
      <rPr>
        <color rgb="FF1155CC"/>
        <u/>
      </rPr>
      <t>https://www.aclweb.org/anthology/D18-1544</t>
    </r>
    <r>
      <rPr/>
      <t xml:space="preserve">",
    doi = "10.18653/v1/D18-1544",
    pages = "4998--5003",
}
</t>
    </r>
  </si>
  <si>
    <r>
      <rPr>
        <rFont val="Arial"/>
        <color theme="1"/>
      </rPr>
      <t xml:space="preserve">
</t>
    </r>
    <r>
      <rPr>
        <rFont val="Arial"/>
        <color rgb="FFB7B7B7"/>
      </rPr>
      <t xml:space="preserve">1. one sentence summary of what paper is about
</t>
    </r>
    <r>
      <rPr>
        <rFont val="Arial"/>
        <color theme="1"/>
      </rPr>
      <t xml:space="preserve">Replicate the PRPN model (Shen et al., 2018) to learn under what conditions for language modeling and grammar induction
</t>
    </r>
    <r>
      <rPr>
        <rFont val="Arial"/>
        <color rgb="FFB7B7B7"/>
      </rPr>
      <t>2. paper's central goal/question/hypothesis</t>
    </r>
    <r>
      <rPr>
        <rFont val="Arial"/>
        <color theme="1"/>
      </rPr>
      <t xml:space="preserve">
Is the PRPN model (Shen et al., 2018) robust? 
</t>
    </r>
    <r>
      <rPr>
        <rFont val="Arial"/>
        <color rgb="FFB7B7B7"/>
      </rPr>
      <t>3. methodology</t>
    </r>
    <r>
      <rPr>
        <rFont val="Arial"/>
        <color theme="1"/>
      </rPr>
      <t xml:space="preserve">
Used author's available code; did not re-implement or re-tune PRPN. However, they do not report reults of the replication, if they were exactly reproducible or not.  
</t>
    </r>
    <r>
      <rPr>
        <rFont val="Arial"/>
        <color rgb="FFB7B7B7"/>
      </rPr>
      <t xml:space="preserve">4. reported results
</t>
    </r>
    <r>
      <rPr>
        <rFont val="Arial"/>
        <color theme="1"/>
      </rPr>
      <t xml:space="preserve">Parsing F1 results evaluated on full WSJ10 and WSJ while perplexity on the WSJ test set for language modeling. Did not compare with the Shen et al. 
</t>
    </r>
    <r>
      <rPr>
        <rFont val="Arial"/>
        <color rgb="FF999999"/>
      </rPr>
      <t>5. paper's conclusions and/or main contributions</t>
    </r>
    <r>
      <rPr>
        <rFont val="Arial"/>
        <color theme="1"/>
      </rPr>
      <t xml:space="preserve">
Find several experimental design problems that make the results difficult to interpret; however the model is found to be robust
</t>
    </r>
  </si>
  <si>
    <r>
      <rPr>
        <rFont val="Arial"/>
        <color rgb="FF999999"/>
      </rPr>
      <t>1. one sentence summary of what paper is about</t>
    </r>
    <r>
      <rPr>
        <rFont val="Arial"/>
        <color theme="1"/>
      </rPr>
      <t xml:space="preserve">
Investigated generalisability of the SOTA models from 3 papers for Target Dependent Sentiment Analysis and provided a mass evaluation study on 6 other english datasets
</t>
    </r>
    <r>
      <rPr>
        <rFont val="Arial"/>
        <color rgb="FF999999"/>
      </rPr>
      <t>2. paper's central goal/question/hypothesis</t>
    </r>
    <r>
      <rPr>
        <rFont val="Arial"/>
        <color theme="1"/>
      </rPr>
      <t xml:space="preserve">
Reproduced results of Vo and Zhang (2015),  Wang et al. (2017) and Tang et al. (2016a) on Dong et al. Twitter dataset
</t>
    </r>
    <r>
      <rPr>
        <rFont val="Arial"/>
        <color rgb="FF999999"/>
      </rPr>
      <t>3. methodology</t>
    </r>
    <r>
      <rPr>
        <rFont val="Arial"/>
        <color theme="1"/>
      </rPr>
      <t xml:space="preserve">
4 models from Vo and Zhang, 3 from Wang et al and Tang et al. respectively were reproduced. They were extended for mass evaluation on 6 other datasets for which different splits have been created and further open sourced for reproduciblity 
</t>
    </r>
    <r>
      <rPr>
        <rFont val="Arial"/>
        <color rgb="FF999999"/>
      </rPr>
      <t>4. reported results</t>
    </r>
    <r>
      <rPr>
        <rFont val="Arial"/>
        <color theme="1"/>
      </rPr>
      <t xml:space="preserve">
Accuracy is compared for the reproduced results with Vo and Zhang and Wang et al. respectively while macro F1 score is compared for Tang et al. 
</t>
    </r>
    <r>
      <rPr>
        <rFont val="Arial"/>
        <color rgb="FF999999"/>
      </rPr>
      <t>5. paper's conclusions and/or main contributions</t>
    </r>
    <r>
      <rPr>
        <rFont val="Arial"/>
        <color theme="1"/>
      </rPr>
      <t xml:space="preserve">
Able to reproduce results of three papers. Provided mass evaluation of the approaches on six different English datasets
</t>
    </r>
  </si>
  <si>
    <r>
      <rPr>
        <rFont val="Arial"/>
        <color rgb="FFB7B7B7"/>
      </rPr>
      <t xml:space="preserve">1. one sentence summary of what paper is about
</t>
    </r>
    <r>
      <rPr>
        <rFont val="Arial"/>
        <color theme="1"/>
      </rPr>
      <t xml:space="preserve">Presents a controlled replication of the conclusion of Van Miltenburg et al. (2018b) which study modality effect in the elicitation of the NLG corpus data - spoken vs written descriptions.  
</t>
    </r>
    <r>
      <rPr>
        <rFont val="Arial"/>
        <color rgb="FFB7B7B7"/>
      </rPr>
      <t>2. paper's central goal/question/hypothesis</t>
    </r>
    <r>
      <rPr>
        <rFont val="Arial"/>
        <color theme="1"/>
      </rPr>
      <t xml:space="preserve">
Provide a controlled comparison between spoken and written image descriptions to isolate the effect of modality on the generated descriptions
</t>
    </r>
    <r>
      <rPr>
        <rFont val="Arial"/>
        <color rgb="FFB7B7B7"/>
      </rPr>
      <t>3. methodology</t>
    </r>
    <r>
      <rPr>
        <rFont val="Arial"/>
        <color theme="1"/>
      </rPr>
      <t xml:space="preserve">
Collected additional written Dutch descriptions to supplement the spoken data from the DIDEC corpus, and analyzed the descriptions using mixed effects modeling. Same images were used however a different sample from population was used to collect data.
</t>
    </r>
    <r>
      <rPr>
        <rFont val="Arial"/>
        <color rgb="FFB7B7B7"/>
      </rPr>
      <t xml:space="preserve">4. reported results
</t>
    </r>
    <r>
      <rPr>
        <rFont val="Arial"/>
        <color theme="1"/>
      </rPr>
      <t xml:space="preserve">Results are not compared for the values but instead on the findings and the conclusions. Statistics and p-values are reported for the difference spoken and written descriptions 
</t>
    </r>
    <r>
      <rPr>
        <rFont val="Arial"/>
        <color rgb="FF999999"/>
      </rPr>
      <t>5. paper's conclusions and/or main contributions</t>
    </r>
    <r>
      <rPr>
        <rFont val="Arial"/>
        <color theme="1"/>
      </rPr>
      <t xml:space="preserve">
Effects of modality largely disappear in a controlled setting - modality alone has a minimal effect on the content of the descriptions 
</t>
    </r>
  </si>
  <si>
    <r>
      <rPr>
        <rFont val="Arial"/>
        <color rgb="FFB7B7B7"/>
      </rPr>
      <t xml:space="preserve">1. one sentence summary of what paper is about
</t>
    </r>
    <r>
      <rPr>
        <rFont val="Arial"/>
        <color theme="1"/>
      </rPr>
      <t xml:space="preserve">paper describes authors' participation in HatEval and OffensEval 2019, but also their difficulties in recreating the high-performing and highly-cited work by Badjitya et al. (2017)
</t>
    </r>
    <r>
      <rPr>
        <rFont val="Arial"/>
        <color rgb="FFB7B7B7"/>
      </rPr>
      <t>2. paper's central goal/question/hypothesis</t>
    </r>
    <r>
      <rPr>
        <rFont val="Arial"/>
        <color theme="1"/>
      </rPr>
      <t xml:space="preserve">
Can Badjitya et al. (2017) be recreated and run with success at the two shared tasks?
</t>
    </r>
    <r>
      <rPr>
        <rFont val="Arial"/>
        <color rgb="FFB7B7B7"/>
      </rPr>
      <t>3. methodology</t>
    </r>
    <r>
      <rPr>
        <rFont val="Arial"/>
        <color theme="1"/>
      </rPr>
      <t xml:space="preserve">
Using code and related info provided by original authors, same data etc., recreate system; then test variations of it on shared tasks.
</t>
    </r>
    <r>
      <rPr>
        <rFont val="Arial"/>
        <color rgb="FFB7B7B7"/>
      </rPr>
      <t xml:space="preserve">4. reported results
</t>
    </r>
    <r>
      <rPr>
        <rFont val="Arial"/>
        <color theme="1"/>
      </rPr>
      <t xml:space="preserve">System could not be recreated because of missing information and serious bug detected in cross-validation where runs 2-10 started from system as learnt in preceding run rather than learning from scratch. A reimplemented, improved version did well at OffensEval, but badly at HatEval.
</t>
    </r>
    <r>
      <rPr>
        <rFont val="Arial"/>
        <color rgb="FF999999"/>
      </rPr>
      <t>5. paper's conclusions and/or main contributions</t>
    </r>
    <r>
      <rPr>
        <rFont val="Arial"/>
        <color theme="1"/>
      </rPr>
      <t xml:space="preserve">
full code sharing is only way to achieve reproducibility; results in Badjitya et al. are not reliable; similar, corrected system did well at one shared task, less well at the other which may be connected to inconsistencies between training and test data in the latter
</t>
    </r>
  </si>
  <si>
    <r>
      <rPr>
        <rFont val="Arial"/>
        <color rgb="FFB7B7B7"/>
      </rPr>
      <t>1. one sentence summary of what paper is about</t>
    </r>
    <r>
      <rPr>
        <rFont val="Arial"/>
        <color theme="1"/>
      </rPr>
      <t xml:space="preserve">
Paper describes and reports results of a survey of 225 NLP researchs on topics in reproducibility
</t>
    </r>
    <r>
      <rPr>
        <rFont val="Arial"/>
        <color rgb="FFB7B7B7"/>
      </rPr>
      <t>2. paper's central goal/question/hypothesis</t>
    </r>
    <r>
      <rPr>
        <rFont val="Arial"/>
        <color theme="1"/>
      </rPr>
      <t xml:space="preserve">
by conducting survey of NLP researchers, gain understanding of factors that support or hinder awareness of reproducibility and of the role  each  individual  plays  as  an  author,  as  a  reviewer and as part of the NLP community
</t>
    </r>
    <r>
      <rPr>
        <rFont val="Arial"/>
        <color rgb="FFB7B7B7"/>
      </rPr>
      <t>3. methodology</t>
    </r>
    <r>
      <rPr>
        <rFont val="Arial"/>
        <color theme="1"/>
      </rPr>
      <t xml:space="preserve">
questionnaire of 18 questions in three categories:  (i) replication work in general, (ii) replicating one’s own work and (iii) replicating others’ work; distributed via LinkedIn and BioNLP, Corpora, LN and GLCL mailing lists.
</t>
    </r>
    <r>
      <rPr>
        <rFont val="Arial"/>
        <color rgb="FFB7B7B7"/>
      </rPr>
      <t>4. reported results</t>
    </r>
    <r>
      <rPr>
        <rFont val="Arial"/>
        <color theme="1"/>
      </rPr>
      <t xml:space="preserve">
headline results: 24.9% of attempts to reproduce own work, and 56.7% of attempts to reproduce another team's results failed to reach same conclusions; plus detailed survey results
</t>
    </r>
    <r>
      <rPr>
        <rFont val="Arial"/>
        <color rgb="FFB7B7B7"/>
      </rPr>
      <t>5. paper's conclusions and/or main contributions</t>
    </r>
    <r>
      <rPr>
        <rFont val="Arial"/>
        <color theme="1"/>
      </rPr>
      <t xml:space="preserve">
currently over half of reproduction attempts fail; maily because of unavailability of resources and documentaiton; authors should run reproduction attempts themselves before publication, then release the attempt for others to use; NLP community needs to develop guidelines; reproducibility-aware reviewing and community-developed guidelines would help 
</t>
    </r>
  </si>
  <si>
    <t>6.5 pages</t>
  </si>
  <si>
    <r>
      <rPr/>
      <t>@inproceedings{wu-etal-2019-errudite,
    title = "{E}rrudite: Scalable, Reproducible, and Testable Error Analysis",
    author = "Wu, Tongshuang  and
      Ribeiro, Marco Tulio  and
      Heer, Jeffrey  and
      Weld, Daniel",
    booktitle = "Proceedings of the 57th Annual Meeting of the Association for Computational Linguistics",
    month = jul,
    year = "2019",
    address = "Florence, Italy",
    publisher = "Association for Computational Linguistics",
    url = "</t>
    </r>
    <r>
      <rPr>
        <color rgb="FF1155CC"/>
        <u/>
      </rPr>
      <t>https://www.aclweb.org/anthology/P19-1073</t>
    </r>
    <r>
      <rPr/>
      <t xml:space="preserve">",
    doi = "10.18653/v1/P19-1073",
    pages = "747--763",
}
</t>
    </r>
  </si>
  <si>
    <r>
      <rPr>
        <rFont val="Arial"/>
        <color rgb="FFB7B7B7"/>
      </rPr>
      <t xml:space="preserve">1. one sentence summary of what paper is about
</t>
    </r>
    <r>
      <rPr>
        <rFont val="Arial"/>
        <color theme="1"/>
      </rPr>
      <t xml:space="preserve">Demo paper which presents Errudite, an interactive tool for informative error analysis. 
</t>
    </r>
    <r>
      <rPr>
        <rFont val="Arial"/>
        <color rgb="FFB7B7B7"/>
      </rPr>
      <t>2. paper's central goal/question/hypothesis</t>
    </r>
    <r>
      <rPr>
        <rFont val="Arial"/>
        <color theme="1"/>
      </rPr>
      <t xml:space="preserve">
Characterize deficiencies with current error analysis methods used in NLP which can lead to high variance and low reproducibility
</t>
    </r>
    <r>
      <rPr>
        <rFont val="Arial"/>
        <color rgb="FFB7B7B7"/>
      </rPr>
      <t>3. methodology</t>
    </r>
    <r>
      <rPr>
        <rFont val="Arial"/>
        <color theme="1"/>
      </rPr>
      <t xml:space="preserve">
Error analysis of BiDAF on SQuAD using Errudite. Presents user study to study ambiguities in prior error analysis studies.
</t>
    </r>
    <r>
      <rPr>
        <rFont val="Arial"/>
        <color rgb="FFB7B7B7"/>
      </rPr>
      <t xml:space="preserve">4. reported results
</t>
    </r>
    <r>
      <rPr>
        <rFont val="Arial"/>
        <color theme="1"/>
      </rPr>
      <t xml:space="preserve">Mainly demo paper. Error coverage has been reported of replicating Seo et al. (Figure 7). High variance observed by user-defined groups in replication study.
</t>
    </r>
    <r>
      <rPr>
        <rFont val="Arial"/>
        <color rgb="FF999999"/>
      </rPr>
      <t>5. paper's conclusions and/or main contributions</t>
    </r>
    <r>
      <rPr>
        <rFont val="Arial"/>
        <color theme="1"/>
      </rPr>
      <t xml:space="preserve">
Motivated the use of the tool. Users unable to consistently replicate the analysis of Seo et al. (2016) due to the ambiguity inherent in manual grouping. </t>
    </r>
  </si>
  <si>
    <r>
      <rPr/>
      <t>@article{zhang-duh-2020-reproducible,
    title = "Reproducible and Efficient Benchmarks for Hyperparameter Optimization of Neural Machine Translation Systems",
    author = "Zhang, Xuan  and
      Duh, Kevin",
    journal = "Transactions of the Association for Computational Linguistics",
    volume = "8",
    year = "2020",
    url = "</t>
    </r>
    <r>
      <rPr>
        <color rgb="FF1155CC"/>
        <u/>
      </rPr>
      <t>https://www.aclweb.org/anthology/2020.tacl-1.26</t>
    </r>
    <r>
      <rPr/>
      <t xml:space="preserve">",
    doi = "10.1162/tacl_a_00322",
    pages = "393--408",
}
</t>
    </r>
  </si>
  <si>
    <r>
      <rPr>
        <rFont val="Arial"/>
        <color rgb="FFB7B7B7"/>
      </rPr>
      <t xml:space="preserve">1. one sentence summary of what paper is about
</t>
    </r>
    <r>
      <rPr>
        <rFont val="Arial"/>
        <color theme="1"/>
      </rPr>
      <t xml:space="preserve">This paper doesn't want to reproduce any previous research but instead want to enable reproducible HPO research on NMT tasks
</t>
    </r>
    <r>
      <rPr>
        <rFont val="Arial"/>
        <color rgb="FFB7B7B7"/>
      </rPr>
      <t>2. paper's central goal/question/hypothesis</t>
    </r>
    <r>
      <rPr>
        <rFont val="Arial"/>
        <color theme="1"/>
      </rPr>
      <t xml:space="preserve">
Create a benchmark dataset of 6 parallel corpora for hyperparameter optimization (HPO) of NMT models
</t>
    </r>
    <r>
      <rPr>
        <rFont val="Arial"/>
        <color rgb="FFB7B7B7"/>
      </rPr>
      <t>3. methodology</t>
    </r>
    <r>
      <rPr>
        <rFont val="Arial"/>
        <color theme="1"/>
      </rPr>
      <t xml:space="preserve">
Ran a large collection of NMT models with various hyperparameter configuration and recorded their performance. Adopted table-lookup procedure. Released this table dataset of all models with their configurations and perfomances. 
</t>
    </r>
    <r>
      <rPr>
        <rFont val="Arial"/>
        <color rgb="FFB7B7B7"/>
      </rPr>
      <t xml:space="preserve">4. reported results
</t>
    </r>
    <r>
      <rPr>
        <rFont val="Arial"/>
        <color theme="1"/>
      </rPr>
      <t xml:space="preserve">Used 3 evaluation metric fixed-target all (fta), fixed-target one (fto) and fixed-budget (fbp) based on measuring runtime and provided benchmark results.   
</t>
    </r>
    <r>
      <rPr>
        <rFont val="Arial"/>
        <color rgb="FF999999"/>
      </rPr>
      <t>5. paper's conclusions and/or main contributions</t>
    </r>
    <r>
      <rPr>
        <rFont val="Arial"/>
        <color theme="1"/>
      </rPr>
      <t xml:space="preserve">
3 fold - 1. Released large collection of trained NMT models 2. Proposed eval metrics for HPO 3. Reproducible benchmark / dataset</t>
    </r>
  </si>
  <si>
    <r>
      <rPr/>
      <t>@inproceedings{born-etal-2020-dataset,
    title = "Dataset Reproducibility and {IR} Methods in Timeline Summarization",
    author = "Born, Leo  and
      Bacher, Maximilian  and
      Markert, Katja",
    booktitle = "Proceedings of The 12th Language Resources and Evaluation Conference",
    month = may,
    year = "2020",
    address = "Marseille, France",
    publisher = "European Language Resources Association",
    url = "</t>
    </r>
    <r>
      <rPr>
        <color rgb="FF1155CC"/>
        <u/>
      </rPr>
      <t>https://www.aclweb.org/anthology/2020.lrec-1.218</t>
    </r>
    <r>
      <rPr/>
      <t xml:space="preserve">",
    pages = "1763--1771",
    language = "English",
    ISBN = "979-10-95546-34-4",
}
</t>
    </r>
  </si>
  <si>
    <r>
      <rPr>
        <rFont val="Arial"/>
        <color rgb="FFB7B7B7"/>
      </rPr>
      <t>1. one sentence summary of what paper is about</t>
    </r>
    <r>
      <rPr>
        <rFont val="Arial"/>
        <color theme="1"/>
      </rPr>
      <t xml:space="preserve">
The paper advocates for better development and evaluation of timeline summarisation systems: corpus collection should be done using explicit IR methods, rather than relying on external search engines.
</t>
    </r>
    <r>
      <rPr>
        <rFont val="Arial"/>
        <color rgb="FFB7B7B7"/>
      </rPr>
      <t xml:space="preserve">2. paper's central goal/question/hypothesis
</t>
    </r>
    <r>
      <rPr>
        <rFont val="Arial"/>
        <color theme="1"/>
      </rPr>
      <t xml:space="preserve">Do timeline summarisation systems (TLS) depend on preprocessing of the corpora they are trained on, namely IR methods and sentence filtering?
</t>
    </r>
    <r>
      <rPr>
        <rFont val="Arial"/>
        <color rgb="FFB7B7B7"/>
      </rPr>
      <t>3. methodology</t>
    </r>
    <r>
      <rPr>
        <rFont val="Arial"/>
        <color theme="1"/>
      </rPr>
      <t xml:space="preserve">
investigated the impact of three text-based IR methods and keyword-based sentence filters on TLS systems</t>
    </r>
    <r>
      <rPr>
        <rFont val="Arial"/>
        <color rgb="FFB7B7B7"/>
      </rPr>
      <t xml:space="preserve">
4. reported results</t>
    </r>
    <r>
      <rPr>
        <rFont val="Arial"/>
        <color theme="1"/>
      </rPr>
      <t xml:space="preserve">
A choice of an IR method impacts results of TLS. Also, performance of TLS systems is highly sensitive to sentence filtering.
</t>
    </r>
    <r>
      <rPr>
        <rFont val="Arial"/>
        <color rgb="FFB7B7B7"/>
      </rPr>
      <t>5. paper's conclusions and/or main contributions</t>
    </r>
    <r>
      <rPr>
        <rFont val="Arial"/>
        <color theme="1"/>
      </rPr>
      <t xml:space="preserve">
The study advocates for including IR into the development of TLS systems. That would make corpus collection for TLS reproducible.</t>
    </r>
  </si>
  <si>
    <r>
      <rPr>
        <rFont val="Arial"/>
        <color rgb="FFB7B7B7"/>
      </rPr>
      <t xml:space="preserve">1. one sentence summary of what paper is about
</t>
    </r>
    <r>
      <rPr>
        <rFont val="Arial"/>
        <color theme="1"/>
      </rPr>
      <t xml:space="preserve">Reproduced 6 systems having participated at Argument Reasoning Comprehension Task of SemEval 2018. Also ran the systems on a revised version of the debiased dataset used in the task. 
</t>
    </r>
    <r>
      <rPr>
        <rFont val="Arial"/>
        <color rgb="FFB7B7B7"/>
      </rPr>
      <t>2. paper's central goal/question/hypothesis</t>
    </r>
    <r>
      <rPr>
        <rFont val="Arial"/>
        <color theme="1"/>
      </rPr>
      <t xml:space="preserve">
Reproduction of some systems addressing the argument reasoning comprehension task.
</t>
    </r>
    <r>
      <rPr>
        <rFont val="Arial"/>
        <color rgb="FFB7B7B7"/>
      </rPr>
      <t>3. methodology</t>
    </r>
    <r>
      <rPr>
        <rFont val="Arial"/>
        <color theme="1"/>
      </rPr>
      <t xml:space="preserve">
For reproduction, the paper followed system description and/or reused code if it was provided.
</t>
    </r>
    <r>
      <rPr>
        <rFont val="Arial"/>
        <color rgb="FFB7B7B7"/>
      </rPr>
      <t xml:space="preserve">4. reported results
</t>
    </r>
    <r>
      <rPr>
        <rFont val="Arial"/>
        <color theme="1"/>
      </rPr>
      <t xml:space="preserve">1 system score reproduced exactly, other 5 systems' scores reproduced within +- 0.036 delta; the initial ranking of SemEval was not affected. 
</t>
    </r>
    <r>
      <rPr>
        <rFont val="Arial"/>
        <color rgb="FF999999"/>
      </rPr>
      <t>5. paper's conclusions and/or main contributions</t>
    </r>
    <r>
      <rPr>
        <rFont val="Arial"/>
        <color theme="1"/>
      </rPr>
      <t xml:space="preserve">
Ran systems on the debiased dataset, showed that scores are lower, calls for a new edition of the task.
</t>
    </r>
  </si>
  <si>
    <r>
      <rPr>
        <rFont val="Arial"/>
        <color rgb="FFB7B7B7"/>
      </rPr>
      <t xml:space="preserve">1. one sentence summary of what paper is about
</t>
    </r>
    <r>
      <rPr>
        <rFont val="Arial"/>
        <color theme="1"/>
      </rPr>
      <t xml:space="preserve">Paper describes the design, organisation and results of the REPROLANG shared task at LREC
</t>
    </r>
    <r>
      <rPr>
        <rFont val="Arial"/>
        <color rgb="FFB7B7B7"/>
      </rPr>
      <t>2. paper's central goal/question/hypothesis</t>
    </r>
    <r>
      <rPr>
        <rFont val="Arial"/>
        <color theme="1"/>
      </rPr>
      <t xml:space="preserve">
To investigate designing a reproduction shared task and to produce results through the shared task which give insight about ability, difficulty and requirements for reproducing results from published papers across NLP
</t>
    </r>
    <r>
      <rPr>
        <rFont val="Arial"/>
        <color rgb="FFB7B7B7"/>
      </rPr>
      <t>3. methodology</t>
    </r>
    <r>
      <rPr>
        <rFont val="Arial"/>
        <color theme="1"/>
      </rPr>
      <t xml:space="preserve">
Shared task committee selected a final set of papers for reproduction via call for contribution and direct selection; very rigorous conditions were created for ensuring that reproduction attempts are themselves reproducible, including sharing all code via gitlab containers; submissions were reviewed by task organisers and original authors and scored on 4 reproduction scores
</t>
    </r>
    <r>
      <rPr>
        <rFont val="Arial"/>
        <color rgb="FFB7B7B7"/>
      </rPr>
      <t xml:space="preserve">4. reported results
</t>
    </r>
    <r>
      <rPr>
        <rFont val="Arial"/>
        <color theme="1"/>
      </rPr>
      <t xml:space="preserve">11 out of 18 papers were accepted, addressing 7 of the 11 papers up for reproduction. (No sucess/failure stats reported, or reviewing score stats.)
</t>
    </r>
    <r>
      <rPr>
        <rFont val="Arial"/>
        <color rgb="FF999999"/>
      </rPr>
      <t>5. paper's conclusions and/or main contributions</t>
    </r>
    <r>
      <rPr>
        <rFont val="Arial"/>
        <color theme="1"/>
      </rPr>
      <t xml:space="preserve">
reproductions generally possible; author collaboration helpful, but need to expand to reproducing any paper; shared task deemed a success.</t>
    </r>
  </si>
  <si>
    <t>5.5 pages</t>
  </si>
  <si>
    <r>
      <rPr>
        <rFont val="Arial"/>
        <color rgb="FFB7B7B7"/>
      </rPr>
      <t xml:space="preserve">1. one sentence summary of what paper is about
</t>
    </r>
    <r>
      <rPr>
        <rFont val="Arial"/>
        <color theme="1"/>
      </rPr>
      <t xml:space="preserve">Reproduction and robustness testing of the model for unsupervised cross-lingual word embeddings of Artexte et al.
</t>
    </r>
    <r>
      <rPr>
        <rFont val="Arial"/>
        <color rgb="FFB7B7B7"/>
      </rPr>
      <t>2. paper's central goal/question/hypothesis</t>
    </r>
    <r>
      <rPr>
        <rFont val="Arial"/>
        <color theme="1"/>
      </rPr>
      <t xml:space="preserve">
Are the experiments of Artetxe et al reproducible and robust (wrt hyperparameters and different languages)?
</t>
    </r>
    <r>
      <rPr>
        <rFont val="Arial"/>
        <color rgb="FFB7B7B7"/>
      </rPr>
      <t>3. methodology</t>
    </r>
    <r>
      <rPr>
        <rFont val="Arial"/>
        <color theme="1"/>
      </rPr>
      <t xml:space="preserve">
Used the provided codebase of Artetxe et al. Some missing parts (for ablation studies) were reimplemented. Also the robustness of the algorithm was tested by applying it to different languages and by varying some hyperparameters.
</t>
    </r>
    <r>
      <rPr>
        <rFont val="Arial"/>
        <color rgb="FFB7B7B7"/>
      </rPr>
      <t xml:space="preserve">4. reported results
</t>
    </r>
    <r>
      <rPr>
        <rFont val="Arial"/>
        <color theme="1"/>
      </rPr>
      <t xml:space="preserve">Main results from Artetxe et al were reproduced; their ablation studies were also reproduced with one experiment reproduction being unsuccessful. The algorithm performs less well on pairs of distant languages (not reported in the original study).
</t>
    </r>
    <r>
      <rPr>
        <rFont val="Arial"/>
        <color rgb="FF999999"/>
      </rPr>
      <t>5. paper's conclusions and/or main contributions</t>
    </r>
    <r>
      <rPr>
        <rFont val="Arial"/>
        <color theme="1"/>
      </rPr>
      <t xml:space="preserve">
The method of Artetxe et al is robust, when applied to the pairs of languages that share some commonalities. It seems to be not that robust with other pairs of languages (tested on EN-{ET, FA, LV, VI}). Recommendations for reproducibility (logging, dataset versionining, dockerisation)
</t>
    </r>
  </si>
  <si>
    <r>
      <rPr>
        <rFont val="Arial"/>
        <color rgb="FFB7B7B7"/>
      </rPr>
      <t xml:space="preserve">1. one sentence summary of what paper is about
</t>
    </r>
    <r>
      <rPr>
        <rFont val="Arial"/>
        <color theme="1"/>
      </rPr>
      <t xml:space="preserve">Reproduction of the morphosyntactic tagging system of Bohnet et al (2018) as a part of the REPROLANG shared task.
</t>
    </r>
    <r>
      <rPr>
        <rFont val="Arial"/>
        <color rgb="FFB7B7B7"/>
      </rPr>
      <t>2. paper's central goal/question/hypothesis</t>
    </r>
    <r>
      <rPr>
        <rFont val="Arial"/>
        <color theme="1"/>
      </rPr>
      <t xml:space="preserve">
Is the method of Bohnet et al (2018) reproducible?
</t>
    </r>
    <r>
      <rPr>
        <rFont val="Arial"/>
        <color rgb="FFB7B7B7"/>
      </rPr>
      <t>3. methodology</t>
    </r>
    <r>
      <rPr>
        <rFont val="Arial"/>
        <color theme="1"/>
      </rPr>
      <t xml:space="preserve">
Two reproduction attempts: following the parameter description reported in the paper and running source code. Drop some languages for which POS is trivial (the accuracies for those langs can inflate avg scores). Some hyperparameters were changed due to a limited access to resources.
</t>
    </r>
    <r>
      <rPr>
        <rFont val="Arial"/>
        <color rgb="FFB7B7B7"/>
      </rPr>
      <t xml:space="preserve">4. reported results
</t>
    </r>
    <r>
      <rPr>
        <rFont val="Arial"/>
        <color theme="1"/>
      </rPr>
      <t xml:space="preserve">POS tagging gave lower results than initially reported, and lower than previous baselines. (Note that rating difference is tiny--to decimal points.) Morphological tagging reproduction confirms that the system of Bohnet et al is better than previous ones.
</t>
    </r>
    <r>
      <rPr>
        <rFont val="Arial"/>
        <color rgb="FF999999"/>
      </rPr>
      <t>5. paper's conclusions and/or main contributions</t>
    </r>
    <r>
      <rPr>
        <rFont val="Arial"/>
        <color theme="1"/>
      </rPr>
      <t xml:space="preserve">
Partial reproduction of Bohnet et al (AS: note that some parameters were changed, and hard to establish a winner in tagging, since score differences are around 1 point).
</t>
    </r>
  </si>
  <si>
    <r>
      <rPr>
        <rFont val="Arial"/>
        <color rgb="FFB7B7B7"/>
      </rPr>
      <t xml:space="preserve">1. one sentence summary of what paper is about
</t>
    </r>
    <r>
      <rPr>
        <rFont val="Arial"/>
        <color theme="1"/>
      </rPr>
      <t xml:space="preserve">Reproduction of the scientific RE and classification of Rotsztejn et  al. (2018), one of the best systems at SemEval-18, Task 7. Part of REPROLANG.
</t>
    </r>
    <r>
      <rPr>
        <rFont val="Arial"/>
        <color rgb="FFB7B7B7"/>
      </rPr>
      <t>2. paper's central goal/question/hypothesis</t>
    </r>
    <r>
      <rPr>
        <rFont val="Arial"/>
        <color theme="1"/>
      </rPr>
      <t xml:space="preserve">
Is the system of Rotsztejn et al (2018) reproducible?
</t>
    </r>
    <r>
      <rPr>
        <rFont val="Arial"/>
        <color rgb="FFB7B7B7"/>
      </rPr>
      <t>3. methodology</t>
    </r>
    <r>
      <rPr>
        <rFont val="Arial"/>
        <color theme="1"/>
      </rPr>
      <t xml:space="preserve">
Reimplemented the code. Had to reproduce data collection (the original paper used data augmentation): scraping arXiv for abstracts. 
</t>
    </r>
    <r>
      <rPr>
        <rFont val="Arial"/>
        <color rgb="FFB7B7B7"/>
      </rPr>
      <t xml:space="preserve">4. reported results
</t>
    </r>
    <r>
      <rPr>
        <rFont val="Arial"/>
        <color theme="1"/>
      </rPr>
      <t xml:space="preserve">One subtask was reproduced with 1 point difference in F1. Three other subtasks gave scores lower than the original ones by about 7%. 
</t>
    </r>
    <r>
      <rPr>
        <rFont val="Arial"/>
        <color rgb="FF999999"/>
      </rPr>
      <t>5. paper's conclusions and/or main contributions</t>
    </r>
    <r>
      <rPr>
        <rFont val="Arial"/>
        <color theme="1"/>
      </rPr>
      <t xml:space="preserve">
Reimplemented the system of Rotsztjein et al (2018). Important details were left unknown in the original paper, which hampered reproduction.
</t>
    </r>
  </si>
  <si>
    <r>
      <rPr/>
      <t>@inproceedings{abdellatif-elgammal-2020-ulmfit,
    title = "{ULMF}i{T} replication",
    author = "Abdellatif, Mohamed  and
      Elgammal, Ahmed",
    booktitle = "Proceedings of The 12th Language Resources and Evaluation Conference",
    month = may,
    year = "2020",
    address = "Marseille, France",
    publisher = "European Language Resources Association",
    url = "</t>
    </r>
    <r>
      <rPr>
        <color rgb="FF1155CC"/>
        <u/>
      </rPr>
      <t>https://www.aclweb.org/anthology/2020.lrec-1.685</t>
    </r>
    <r>
      <rPr/>
      <t xml:space="preserve">",
    pages = "5579--5587",
    language = "English",
    ISBN = "979-10-95546-34-4",
}
</t>
    </r>
  </si>
  <si>
    <r>
      <rPr>
        <rFont val="Arial"/>
        <color rgb="FFB7B7B7"/>
      </rPr>
      <t xml:space="preserve">1. one sentence summary of what paper is about
</t>
    </r>
    <r>
      <rPr>
        <rFont val="Arial"/>
        <color theme="1"/>
      </rPr>
      <t xml:space="preserve">This paper reproduces transfer learning results from Howard and Ruder (2018) on 6 English datasets across 3 tasks (Sentiment analysis, Question Classification and Topic Classification) and further extend it to 3 non-English datasets
</t>
    </r>
    <r>
      <rPr>
        <rFont val="Arial"/>
        <color rgb="FFB7B7B7"/>
      </rPr>
      <t>2. paper's central goal/question/hypothesis</t>
    </r>
    <r>
      <rPr>
        <rFont val="Arial"/>
        <color theme="1"/>
      </rPr>
      <t xml:space="preserve">
Verify the transfer learning methodolgy by reproducing the results of Howard and Ruder (2018) across the 3 dimensions of reproduciblity. Verified the conclusion based on different findings and values
</t>
    </r>
    <r>
      <rPr>
        <rFont val="Arial"/>
        <color rgb="FFB7B7B7"/>
      </rPr>
      <t>3. methodology</t>
    </r>
    <r>
      <rPr>
        <rFont val="Arial"/>
        <color theme="1"/>
      </rPr>
      <t xml:space="preserve">
Used bi-directional Universal Language Model Fine-tuning (ULMFiT) model from the FastAI python library for reproducibility. Also performed an ablation study with uni-directional and not-pretrained model. 
</t>
    </r>
    <r>
      <rPr>
        <rFont val="Arial"/>
        <color rgb="FFB7B7B7"/>
      </rPr>
      <t xml:space="preserve">4. reported results
</t>
    </r>
    <r>
      <rPr>
        <rFont val="Arial"/>
        <color theme="1"/>
      </rPr>
      <t xml:space="preserve">Test error rates (%) reported for all the task comparing the reproduced model with the original paper.  
</t>
    </r>
    <r>
      <rPr>
        <rFont val="Arial"/>
        <color rgb="FF999999"/>
      </rPr>
      <t>5. paper's conclusions and/or main contributions</t>
    </r>
    <r>
      <rPr>
        <rFont val="Arial"/>
        <color theme="1"/>
      </rPr>
      <t xml:space="preserve">
"Verified" the reproducibility of Howard and Ruder (2018) transfer learning methodology and "Extended" the model on non-English datasets. Highlighed the 3 dimensions of reproducibiliy in their results. 
</t>
    </r>
  </si>
  <si>
    <t>5 pages</t>
  </si>
  <si>
    <r>
      <rPr>
        <rFont val="Arial"/>
        <color rgb="FFB7B7B7"/>
      </rPr>
      <t xml:space="preserve">1. one sentence summary of what paper is about
</t>
    </r>
    <r>
      <rPr>
        <rFont val="Arial"/>
        <color theme="1"/>
      </rPr>
      <t xml:space="preserve">Reproduction and analysis of the system of Vajjala and Rama (2018) for automatic essay scoring, which uses supervised learning techniques (SVM, Random Forest, Logistic Regression).
</t>
    </r>
    <r>
      <rPr>
        <rFont val="Arial"/>
        <color rgb="FFB7B7B7"/>
      </rPr>
      <t>2. paper's central goal/question/hypothesis</t>
    </r>
    <r>
      <rPr>
        <rFont val="Arial"/>
        <color theme="1"/>
      </rPr>
      <t xml:space="preserve">
Is a cross-lingual classifier possible (i.e. learn a predictive model on one language and test on another) as suggested in Vajjala and Rama?
</t>
    </r>
    <r>
      <rPr>
        <rFont val="Arial"/>
        <color rgb="FFB7B7B7"/>
      </rPr>
      <t>3. methodology</t>
    </r>
    <r>
      <rPr>
        <rFont val="Arial"/>
        <color theme="1"/>
      </rPr>
      <t xml:space="preserve">
Reproducing following the original code (two runs with and without docker). Conducted a robust cross-validation study. 
</t>
    </r>
    <r>
      <rPr>
        <rFont val="Arial"/>
        <color rgb="FFB7B7B7"/>
      </rPr>
      <t xml:space="preserve">4. reported results
</t>
    </r>
    <r>
      <rPr>
        <rFont val="Arial"/>
        <color theme="1"/>
      </rPr>
      <t xml:space="preserve">Two runs of reproduction gave different results due to the unstable cross-validation and unrandomised instances. Mixed reproduction results depending on the feature set.  
</t>
    </r>
    <r>
      <rPr>
        <rFont val="Arial"/>
        <color rgb="FF999999"/>
      </rPr>
      <t>5. paper's conclusions and/or main contributions</t>
    </r>
    <r>
      <rPr>
        <rFont val="Arial"/>
        <color theme="1"/>
      </rPr>
      <t xml:space="preserve">
The cross-lingual experiment of Vajjala and Rama was proven right, however some features seem to have more impact than claimed in the initial paper.
</t>
    </r>
  </si>
  <si>
    <t>7 pages</t>
  </si>
  <si>
    <r>
      <rPr>
        <rFont val="Arial"/>
        <color rgb="FFB7B7B7"/>
      </rPr>
      <t xml:space="preserve">1. one sentence summary of what paper is about
</t>
    </r>
    <r>
      <rPr>
        <rFont val="Arial"/>
        <color theme="1"/>
      </rPr>
      <t xml:space="preserve">Reproduction of the automatic essay scoring system of Vajjala and Rama (2018). Part of REPROLANG.
</t>
    </r>
    <r>
      <rPr>
        <rFont val="Arial"/>
        <color rgb="FFB7B7B7"/>
      </rPr>
      <t>2. paper's central goal/question/hypothesis</t>
    </r>
    <r>
      <rPr>
        <rFont val="Arial"/>
        <color theme="1"/>
      </rPr>
      <t xml:space="preserve">
Is the system of Vajjala and Rama replicable and reproducible? Can their findings be confirmed on other datasets?
</t>
    </r>
    <r>
      <rPr>
        <rFont val="Arial"/>
        <color rgb="FFB7B7B7"/>
      </rPr>
      <t>3. methodology</t>
    </r>
    <r>
      <rPr>
        <rFont val="Arial"/>
        <color theme="1"/>
      </rPr>
      <t xml:space="preserve">
Three methods for recreation: running same code, reimplementing, testing on another language (English). For reimplementation, parameters were optimised, rathern than using libraries' defaults like in the original paper. For testing on English, used the CLC corpus with 12 classes (was also reduced to 5 and 3 in the experiments), which is less heterogeneous than the initial dataset. 
</t>
    </r>
    <r>
      <rPr>
        <rFont val="Arial"/>
        <color rgb="FFB7B7B7"/>
      </rPr>
      <t xml:space="preserve">4. reported results
</t>
    </r>
    <r>
      <rPr>
        <rFont val="Arial"/>
        <color theme="1"/>
      </rPr>
      <t xml:space="preserve">Reproduced scores differ from the original ones, but mostly confirm initial findings. The tuned model yielded better scores.  Some conclusions are not the same, such as the importance of some features, and multilingual transfer. Testing on the CLC gave much lower results due to the different nature of the corpus.
</t>
    </r>
    <r>
      <rPr>
        <rFont val="Arial"/>
        <color rgb="FF999999"/>
      </rPr>
      <t>5. paper's conclusions and/or main contributions</t>
    </r>
    <r>
      <rPr>
        <rFont val="Arial"/>
        <color theme="1"/>
      </rPr>
      <t xml:space="preserve">
Tune your machine learning models. Test on different datasets.
</t>
    </r>
  </si>
  <si>
    <r>
      <rPr>
        <rFont val="Arial"/>
        <color rgb="FFB7B7B7"/>
      </rPr>
      <t xml:space="preserve">1. one sentence summary of what paper is about
</t>
    </r>
    <r>
      <rPr>
        <rFont val="Arial"/>
        <color theme="1"/>
      </rPr>
      <t xml:space="preserve">This short paper describes the authors' attempt to get a version of the POS tagger for Alstian reported by Magistry et al. to work with the same accuracy as reported in the earlier paper
</t>
    </r>
    <r>
      <rPr>
        <rFont val="Arial"/>
        <color rgb="FFB7B7B7"/>
      </rPr>
      <t>2. paper's central goal/question/hypothesis</t>
    </r>
    <r>
      <rPr>
        <rFont val="Arial"/>
        <color theme="1"/>
      </rPr>
      <t xml:space="preserve">
Can the the earlier POS tagger be recreated with the same accuracy?
</t>
    </r>
    <r>
      <rPr>
        <rFont val="Arial"/>
        <color rgb="FFB7B7B7"/>
      </rPr>
      <t>3. methodology</t>
    </r>
    <r>
      <rPr>
        <rFont val="Arial"/>
        <color theme="1"/>
      </rPr>
      <t xml:space="preserve">
In collaboration with the authors of the orginal paper, try to recreate the tagger as faithfully as possible, using resources provided by the original authors and recreating some where necessary.
</t>
    </r>
    <r>
      <rPr>
        <rFont val="Arial"/>
        <color rgb="FFB7B7B7"/>
      </rPr>
      <t xml:space="preserve">4. reported results
</t>
    </r>
    <r>
      <rPr>
        <rFont val="Arial"/>
        <color theme="1"/>
      </rPr>
      <t xml:space="preserve">Found the documentation of what was done in the original work very incomplete and did not manage to reproduce the very high 0.91 acc result from the earlier paper (highest attempt yielded 0.87). 
</t>
    </r>
    <r>
      <rPr>
        <rFont val="Arial"/>
        <color rgb="FF999999"/>
      </rPr>
      <t>5. paper's conclusions and/or main contributions</t>
    </r>
    <r>
      <rPr>
        <rFont val="Arial"/>
        <color theme="1"/>
      </rPr>
      <t xml:space="preserve">
Precise documentation about implementations and system and dataset versions is crucial for reproduction attempts.
</t>
    </r>
  </si>
  <si>
    <r>
      <rPr>
        <rFont val="Arial"/>
        <color rgb="FF999999"/>
      </rPr>
      <t xml:space="preserve">1. one sentence summary of what paper is about
</t>
    </r>
    <r>
      <rPr>
        <rFont val="Arial"/>
        <color rgb="FF000000"/>
      </rPr>
      <t>Reproducing the automatic essay scoring system of Vajjala and Rama (2018).</t>
    </r>
    <r>
      <rPr>
        <rFont val="Arial"/>
        <color rgb="FF999999"/>
      </rPr>
      <t xml:space="preserve">
2. paper's central goal/question/hypothesis
</t>
    </r>
    <r>
      <rPr>
        <rFont val="Arial"/>
        <color rgb="FF000000"/>
      </rPr>
      <t>Is the system reproducible? Does it perform equally on a new data?</t>
    </r>
    <r>
      <rPr>
        <rFont val="Arial"/>
        <color rgb="FF999999"/>
      </rPr>
      <t xml:space="preserve">
3. methodology
</t>
    </r>
    <r>
      <rPr>
        <rFont val="Arial"/>
        <color rgb="FF000000"/>
      </rPr>
      <t>One execution of the provided code (no CV). Added a new English dataset for the cross-lingual experiment. Extended the cross-lingual experiment using other languages for training and testing.</t>
    </r>
    <r>
      <rPr>
        <rFont val="Arial"/>
        <color rgb="FF999999"/>
      </rPr>
      <t xml:space="preserve">
4. reported results
</t>
    </r>
    <r>
      <rPr>
        <rFont val="Arial"/>
        <color rgb="FF000000"/>
      </rPr>
      <t>Worse results than the original paper. On the new data (Asian learners of English), the system gave lower scores. The multilingual classification method seems promising.</t>
    </r>
    <r>
      <rPr>
        <rFont val="Arial"/>
        <color rgb="FF999999"/>
      </rPr>
      <t xml:space="preserve">
5. paper's conclusions and/or main contributions
</t>
    </r>
    <r>
      <rPr>
        <rFont val="Arial"/>
        <color rgb="FF000000"/>
      </rPr>
      <t>The approach of Vajjala and Rama does not scale well. "Cross-lingual models depend too much on the combination of languages, which makes them difficult to generalise."</t>
    </r>
  </si>
  <si>
    <r>
      <rPr>
        <rFont val="Arial"/>
        <color rgb="FF999999"/>
      </rPr>
      <t xml:space="preserve">1. one sentence summary of what paper is about
</t>
    </r>
    <r>
      <rPr>
        <rFont val="Arial"/>
        <color rgb="FF000000"/>
      </rPr>
      <t>Reproduction of Vajjala and Rama, 2018 (the automatic essay scoring system), and testing their findings with new datasets and adversarial data. Part of REPROLANG.</t>
    </r>
    <r>
      <rPr>
        <rFont val="Arial"/>
        <color rgb="FF999999"/>
      </rPr>
      <t xml:space="preserve">
2. paper's central goal/question/hypothesis
</t>
    </r>
    <r>
      <rPr>
        <rFont val="Arial"/>
        <color rgb="FF000000"/>
      </rPr>
      <t>Is the system of Vajjala and Rama reproducible and robust?</t>
    </r>
    <r>
      <rPr>
        <rFont val="Arial"/>
        <color rgb="FF999999"/>
      </rPr>
      <t xml:space="preserve">
3. methodology
</t>
    </r>
    <r>
      <rPr>
        <rFont val="Arial"/>
        <color rgb="FF000000"/>
      </rPr>
      <t>Validated the model by 3 methods: rerunning the original, reimplementing, testing on other datasets and feeding adversarial data (e.g., scrambled texts; texts modified by GPT-2). Ran the model on new CEFR datasets in English and Spanish.</t>
    </r>
    <r>
      <rPr>
        <rFont val="Arial"/>
        <color rgb="FF999999"/>
      </rPr>
      <t xml:space="preserve">
4. reported results
</t>
    </r>
    <r>
      <rPr>
        <rFont val="Arial"/>
        <color rgb="FF000000"/>
      </rPr>
      <t>Generally reproducible despite large deviations in scores. Some conlusions are not the same (about importance of features and languages). Lower results on English and Spanish CEFR datasets. Adversarial data: Scrambled texts are hard to detect.</t>
    </r>
    <r>
      <rPr>
        <rFont val="Arial"/>
        <color rgb="FF999999"/>
      </rPr>
      <t xml:space="preserve">
5. paper's conclusions and/or main contributions
</t>
    </r>
    <r>
      <rPr>
        <rFont val="Arial"/>
        <color rgb="FF000000"/>
      </rPr>
      <t>The general finding that feature combination is imporant in automatic essay scoring is confirmed.</t>
    </r>
  </si>
  <si>
    <r>
      <rPr>
        <rFont val="Arial"/>
        <color rgb="FFB7B7B7"/>
      </rPr>
      <t xml:space="preserve">1. one sentence summary of what paper is about
</t>
    </r>
    <r>
      <rPr>
        <rFont val="Arial"/>
        <color rgb="FF000000"/>
      </rPr>
      <t xml:space="preserve">Reproduction of the simplification system of Nisioi et al, 2018. Proposed several improvements over the system by introducing new neural baselines, and assessed them via automatic and human evaluation.
</t>
    </r>
    <r>
      <rPr>
        <rFont val="Arial"/>
        <color rgb="FFB7B7B7"/>
      </rPr>
      <t>2. paper's central goal/question/hypothesis</t>
    </r>
    <r>
      <rPr>
        <rFont val="Arial"/>
        <color rgb="FF000000"/>
      </rPr>
      <t xml:space="preserve">
Tests several improvements wrt the system of Nisioi et al. </t>
    </r>
    <r>
      <rPr>
        <rFont val="Arial"/>
        <color rgb="FFB7B7B7"/>
      </rPr>
      <t xml:space="preserve">
3. methodology
</t>
    </r>
    <r>
      <rPr>
        <rFont val="Arial"/>
        <color rgb="FF000000"/>
      </rPr>
      <t>Using a new corpus, trained improved simplification systems. For human evaluation, used a slightly different setup: more sentences chosen for evaluation, native/non-native English speakers</t>
    </r>
    <r>
      <rPr>
        <rFont val="Arial"/>
        <color rgb="FFB7B7B7"/>
      </rPr>
      <t xml:space="preserve">
4. reported results
</t>
    </r>
    <r>
      <rPr>
        <rFont val="Arial"/>
        <color rgb="FF000000"/>
      </rPr>
      <t>The proposed systems perform better than the original one, as shown via human evaluation. For reproduction, automatic scores differed within -1; +3 points; human eval scores were lower than in the original.</t>
    </r>
    <r>
      <rPr>
        <rFont val="Arial"/>
        <color rgb="FFB7B7B7"/>
      </rPr>
      <t xml:space="preserve">
</t>
    </r>
    <r>
      <rPr>
        <rFont val="Arial"/>
        <color rgb="FF999999"/>
      </rPr>
      <t>5. paper's conclusions and/or main contributions</t>
    </r>
    <r>
      <rPr>
        <rFont val="Arial"/>
        <color rgb="FFB7B7B7"/>
      </rPr>
      <t xml:space="preserve">
</t>
    </r>
    <r>
      <rPr>
        <rFont val="Arial"/>
        <color rgb="FF000000"/>
      </rPr>
      <t>Reproduced and extended the method of Nisioi et al, 2017. Carried out human evaluation of the developed simplification systems, including reproduction of human scores of the original system.</t>
    </r>
  </si>
  <si>
    <r>
      <rPr>
        <rFont val="Arial"/>
        <color rgb="FFB7B7B7"/>
      </rPr>
      <t xml:space="preserve">1. one sentence summary of what paper is about
</t>
    </r>
    <r>
      <rPr>
        <rFont val="Arial"/>
        <color rgb="FF000000"/>
      </rPr>
      <t>Reproduction of Artexte et al (2018) and checking the sensitivity of the method's parameters (e.g., fasttext vs. word2vec for embedding representations).</t>
    </r>
    <r>
      <rPr>
        <rFont val="Arial"/>
        <color rgb="FFB7B7B7"/>
      </rPr>
      <t xml:space="preserve">
2. paper's central goal/question/hypothesis
</t>
    </r>
    <r>
      <rPr>
        <rFont val="Arial"/>
        <color rgb="FF000000"/>
      </rPr>
      <t>Is the method of Artexte et al reproducible and robust, given different parameters?</t>
    </r>
    <r>
      <rPr>
        <rFont val="Arial"/>
        <color rgb="FFB7B7B7"/>
      </rPr>
      <t xml:space="preserve">
3. methodology
</t>
    </r>
    <r>
      <rPr>
        <rFont val="Arial"/>
        <color rgb="FF000000"/>
      </rPr>
      <t>Reimplemented the method from its original description with some commonsense assumptions. Tested several method's properties to check robustness (dictionary size, new languages, embedding representation type, unsupervised initialisation).</t>
    </r>
    <r>
      <rPr>
        <rFont val="Arial"/>
        <color rgb="FFB7B7B7"/>
      </rPr>
      <t xml:space="preserve">
4. reported results
</t>
    </r>
    <r>
      <rPr>
        <rFont val="Arial"/>
        <color rgb="FF000000"/>
      </rPr>
      <t>Main results were reproduced except one ablation study. Additional, not closely-related languages didn't show same accuracies as in the original paper. The authors also question the isometric hypothesis and call out for further research in this direction.</t>
    </r>
    <r>
      <rPr>
        <rFont val="Arial"/>
        <color rgb="FFB7B7B7"/>
      </rPr>
      <t xml:space="preserve">
</t>
    </r>
    <r>
      <rPr>
        <rFont val="Arial"/>
        <color rgb="FF999999"/>
      </rPr>
      <t>5. paper's conclusions and/or main contributions</t>
    </r>
    <r>
      <rPr>
        <rFont val="Arial"/>
        <color rgb="FFB7B7B7"/>
      </rPr>
      <t xml:space="preserve">
</t>
    </r>
    <r>
      <rPr>
        <rFont val="Arial"/>
        <color rgb="FF000000"/>
      </rPr>
      <t xml:space="preserve">The method is reproducible, however changing some parameters may lead to the method's instability, mainly different pairs of languages. </t>
    </r>
    <r>
      <rPr>
        <rFont val="Arial"/>
        <color rgb="FFB7B7B7"/>
      </rPr>
      <t xml:space="preserve">
</t>
    </r>
  </si>
  <si>
    <t>Original paper</t>
  </si>
  <si>
    <t>Reproduction paper</t>
  </si>
  <si>
    <t>NLP task</t>
  </si>
  <si>
    <t>Type of score/metric</t>
  </si>
  <si>
    <t>Original_score</t>
  </si>
  <si>
    <t>Reproduction_score</t>
  </si>
  <si>
    <t>Reported_difference</t>
  </si>
  <si>
    <t>Computed_difference</t>
  </si>
  <si>
    <t>combined reported and computed differences</t>
  </si>
  <si>
    <t>computed percentage difference</t>
  </si>
  <si>
    <t>SAME AS J WITH ERRORS AND OUTLIERS REPLACED</t>
  </si>
  <si>
    <t>repeatability test not completed</t>
  </si>
  <si>
    <t>what went wrong if test not completed?</t>
  </si>
  <si>
    <t>Summary of outcome</t>
  </si>
  <si>
    <t>Collins (1999)</t>
  </si>
  <si>
    <t>Gildea (2001)</t>
  </si>
  <si>
    <t>Phrase-structure parsing</t>
  </si>
  <si>
    <t>-</t>
  </si>
  <si>
    <t>increase of 16.7% error on Model 1 results</t>
  </si>
  <si>
    <t>Bikel (2004)</t>
  </si>
  <si>
    <t>increase of 11% error on Model 2 results on WSJ00; later same results with help from Collins</t>
  </si>
  <si>
    <t>Freire et al. (2012)</t>
  </si>
  <si>
    <t>Van Erp and Van der Meij (2013)</t>
  </si>
  <si>
    <t>NER</t>
  </si>
  <si>
    <t>“Despite feedback from Freire [...], results remained 20 points below those reported in Freire et al. (2012) in overall F-score” (Fokkens et al., 2013)</t>
  </si>
  <si>
    <t>Nakov and Ng (2011)</t>
  </si>
  <si>
    <t>Wieling et al. (2018)</t>
  </si>
  <si>
    <t>MT</t>
  </si>
  <si>
    <t>yes</t>
  </si>
  <si>
    <t>*Unsuccessful (scripts did not work)</t>
  </si>
  <si>
    <t>He et al. (2011)</t>
  </si>
  <si>
    <t>Sentiment analysis</t>
  </si>
  <si>
    <t>*-0.18 points</t>
  </si>
  <si>
    <t>Sauper et al. (2011)</t>
  </si>
  <si>
    <t>Topic modelling</t>
  </si>
  <si>
    <t>*Unsuccessful on 3 scores (8h cut-off reached)</t>
  </si>
  <si>
    <t>Liang et al. (2011)</t>
  </si>
  <si>
    <t>Question answering</t>
  </si>
  <si>
    <t>*Exact reproduction of 2 scores in 4h</t>
  </si>
  <si>
    <t>Branavan et al. (2011)</t>
  </si>
  <si>
    <t>Joint learning of game strategy and text selection from game manual</t>
  </si>
  <si>
    <t>*Unsuccessful on 7 scores (scripts did not generate output)</t>
  </si>
  <si>
    <t>Coavoux and Crabbe ́ (2016)</t>
  </si>
  <si>
    <t>Constituent parsing</t>
  </si>
  <si>
    <t>*9/18 scores same, 9/18 parser did not complete for 4 of the languages</t>
  </si>
  <si>
    <t>Gao et al. (2016)</t>
  </si>
  <si>
    <t>Semantic role grounding</t>
  </si>
  <si>
    <t>*Exact reproduction of 44/72 scores, 17 worse, 11 better, average -0.62 points</t>
  </si>
  <si>
    <t>outlier</t>
  </si>
  <si>
    <t>repeatzero</t>
  </si>
  <si>
    <t>Hu et al. (2016)</t>
  </si>
  <si>
    <t>Sentiment analysis, NER</t>
  </si>
  <si>
    <t>*exact reproduction of 1/2 scores, 1 worse -0.2 points</t>
  </si>
  <si>
    <t>Nicolai and Kondrak (2016)</t>
  </si>
  <si>
    <t>Stemming, lemmatisation</t>
  </si>
  <si>
    <t>*2/8 scores -3.4 and -1.55 points, 6/8 scores took longer than 8h cut-off to compute</t>
  </si>
  <si>
    <t xml:space="preserve"> </t>
  </si>
  <si>
    <t>Tian et al. (2016)</t>
  </si>
  <si>
    <t>Sentence completion</t>
  </si>
  <si>
    <t>*4/6 scores reproduced exactly, 2/6 differed -0.1 and +0.01 %-points).</t>
  </si>
  <si>
    <t>Badjatiya et al. (2017)</t>
  </si>
  <si>
    <t>Fortuna et al. (2019)</t>
  </si>
  <si>
    <t>hate speech detection</t>
  </si>
  <si>
    <t>reproduction under same conditions not possible due to issue with code;  recreated/corrected system did well at Offen-sEval’19 but not at HatEval’19</t>
  </si>
  <si>
    <t>Choi and Lee (2018)</t>
  </si>
  <si>
    <t>Rodrigues et al. (2020)</t>
  </si>
  <si>
    <t>Argument Reasoning Comprehension Task</t>
  </si>
  <si>
    <t>accuracy</t>
  </si>
  <si>
    <t>1/1 score +0.002 points</t>
  </si>
  <si>
    <t>Zhao et al. (2018)</t>
  </si>
  <si>
    <t>1/1 score +0.038 points</t>
  </si>
  <si>
    <t>Tian et al. (2018)</t>
  </si>
  <si>
    <t>1/1 score -0.021 points</t>
  </si>
  <si>
    <t>Niven and Kao (2018)</t>
  </si>
  <si>
    <t>1/1 score +0.033 points</t>
  </si>
  <si>
    <t>Kim et al. (2018)</t>
  </si>
  <si>
    <t>1/1 score -0.022 points</t>
  </si>
  <si>
    <t>Brassard et al. (2018)</t>
  </si>
  <si>
    <t>Exact reproduction of 1/1 score.</t>
  </si>
  <si>
    <t>Artetxe et al. (2018)</t>
  </si>
  <si>
    <t>Garneau et al. (2020)</t>
  </si>
  <si>
    <t>[main scores] Cross-lingual Mappings of Word Embeddings</t>
  </si>
  <si>
    <t>best accuracy</t>
  </si>
  <si>
    <t>main scores: 2/8 same, 1/8 -0.1, 5/8 +0.1 to +0.3; ablation scores: 4/40 scores same, 19/40 +0.1 to 6.9, 9/40 -0.1 to -0.9, 8/40 took too long</t>
  </si>
  <si>
    <t>average accuracy</t>
  </si>
  <si>
    <t>[ablation scores] Cross-lingual Mappings of Word Embeddings</t>
  </si>
  <si>
    <t>best accuracy, ablation</t>
  </si>
  <si>
    <t>average accuracy, ablation</t>
  </si>
  <si>
    <t>time constraints (&gt; 3 days required for convergence)</t>
  </si>
  <si>
    <t>Plucin ́ski et al. (2020)</t>
  </si>
  <si>
    <t>main scores: 10/14 better, 4/14 worse; ablation scores: 3/48 scores same, 31/48 better, 14/48 worse</t>
  </si>
  <si>
    <t>Bohnet et al. (2018)</t>
  </si>
  <si>
    <t>Khoe (2020)</t>
  </si>
  <si>
    <t>[POS tagging] POS and morphological tagging</t>
  </si>
  <si>
    <t>F1-score</t>
  </si>
  <si>
    <t>POS tagging scores: 35/41 worse, 6/41 better; morph. tagging: 43/46 worse, 3/46 better</t>
  </si>
  <si>
    <t>[morph. tagging] POS and morphological tagging</t>
  </si>
  <si>
    <t>Rotsztejn et al. (2018)</t>
  </si>
  <si>
    <t>Rim et al. (2020)</t>
  </si>
  <si>
    <t>Relation extraction and classification (SemEval’18 T7)</t>
  </si>
  <si>
    <t>4 subtasks: 4/4 scores worse, up to 9.04 points; subtask 1.1 by relation: 3/6 worse, 3/6 better</t>
  </si>
  <si>
    <t>Nisioi et al. (2017)</t>
  </si>
  <si>
    <t>Cooper and Shardlow (2020)</t>
  </si>
  <si>
    <t>[human scores] Simplification</t>
  </si>
  <si>
    <t>Grammaticality</t>
  </si>
  <si>
    <t>NTS default system: 1/2 automatic scores better, 1/2 automatic scores worse; 2/2 human scores worse</t>
  </si>
  <si>
    <t>Meaning Preservation</t>
  </si>
  <si>
    <t>[auto. scores] Simplification</t>
  </si>
  <si>
    <t>SARI</t>
  </si>
  <si>
    <t>BLEU</t>
  </si>
  <si>
    <t>Vanmassenhove and Way (2018)</t>
  </si>
  <si>
    <t>Ballier et al. (2020)</t>
  </si>
  <si>
    <t>worse (avg 11.5 BLEU vs. 21.5–22.5), but very unclear</t>
  </si>
  <si>
    <t>Vajjala and Rama (2018)</t>
  </si>
  <si>
    <t>Bestgen (2020)</t>
  </si>
  <si>
    <t>[Multi-lingual] Automatic essay scoring (classification)</t>
  </si>
  <si>
    <t>weighted F1-score</t>
  </si>
  <si>
    <t>multilingual: 6/11 better, 5/11 worse; monolingual: 15/27 better, 11/27 worse, 1/27 same; crosslingual: 5/8 better, 1/8 worse, 2/8 same</t>
  </si>
  <si>
    <t>[Monolingual] Automatic essay scoring (classification)</t>
  </si>
  <si>
    <t>[Cross-lingual] Automatic essay scoring (classification)</t>
  </si>
  <si>
    <t>Huber and C ̧ o ̈ltekin (2020)</t>
  </si>
  <si>
    <t>multilingual: 3/11 better, 8/11 worse; monolingual: 8/27 better, 19/27 worse; crosslingual: 6/8 better, 2/8 worse</t>
  </si>
  <si>
    <t>Caines and Buttery (2020)</t>
  </si>
  <si>
    <t>multilingual: 9/11 better, 2/11 worse; monolingual: 14/27 better, 11/27 worse, 2/27 same; crosslingual: 1/8 better, 7/8 worse</t>
  </si>
  <si>
    <t>Arhiliuc et al. (2020)</t>
  </si>
  <si>
    <t>multilingual: 11/11 worse; monolingual: 7/27 better, 20/27 worse; crosslingual: 1/8 better, 5/8 worse, 2/8 same</t>
  </si>
  <si>
    <t>Magistry et al. (2018)</t>
  </si>
  <si>
    <t>Millour et al. (2020)</t>
  </si>
  <si>
    <t>[baseline] POS tagging for Alsatian</t>
  </si>
  <si>
    <t>baseline: same (0.78 Acc); main: worse (Acc 0.87 vs. 0.91)</t>
  </si>
  <si>
    <t>[main] POS tagging for Alsatian</t>
  </si>
  <si>
    <t>Howard and Ruder (2018)</t>
  </si>
  <si>
    <t>Abdellatif and Elgammal (2020)</t>
  </si>
  <si>
    <t>test error rate (lower better)</t>
  </si>
  <si>
    <t>3/6 better, 3/6 worse</t>
  </si>
  <si>
    <t>Question classification</t>
  </si>
  <si>
    <t>Topic classification</t>
  </si>
  <si>
    <t>Vo and Zhang (2015)</t>
  </si>
  <si>
    <t>Moore and Rayson (2018)</t>
  </si>
  <si>
    <t>Target Dependent Sentiment analysis</t>
  </si>
  <si>
    <t>accuracy (higher better)</t>
  </si>
  <si>
    <t>6/6 better</t>
  </si>
  <si>
    <t>Wang et al. (2017)</t>
  </si>
  <si>
    <t>these are all approximate values from charts</t>
  </si>
  <si>
    <t>2/5 better, 3/5 worse</t>
  </si>
  <si>
    <t>Tang et al. (2016)</t>
  </si>
  <si>
    <t>Macro F1 (higher better)</t>
  </si>
  <si>
    <t>3/3 worse</t>
  </si>
  <si>
    <t>MAIN NUMBERS IN PAPER</t>
  </si>
  <si>
    <t>FIGURE 2</t>
  </si>
  <si>
    <t>SUBSIDIARY NUMBERS</t>
  </si>
  <si>
    <t>N score pairs</t>
  </si>
  <si>
    <t>average % change</t>
  </si>
  <si>
    <t>N reproductions that did not produce a score</t>
  </si>
  <si>
    <t>0-1%</t>
  </si>
  <si>
    <t>N score pairs where reproduction produced a score</t>
  </si>
  <si>
    <t>1-5%</t>
  </si>
  <si>
    <t>N original scores = 0</t>
  </si>
  <si>
    <t>5-10%</t>
  </si>
  <si>
    <t>N reproduction scores = 0 (no overlap with row above)</t>
  </si>
  <si>
    <t>11-20%</t>
  </si>
  <si>
    <t>N differences = 0</t>
  </si>
  <si>
    <t>21-30%</t>
  </si>
  <si>
    <t>N differences =/= 0</t>
  </si>
  <si>
    <t>&gt;30%</t>
  </si>
  <si>
    <t>N score pairs excluded from analyses of differences (because outlier, or either orginal or reproduction score was 0)</t>
  </si>
  <si>
    <t>-0-1%</t>
  </si>
  <si>
    <t xml:space="preserve">N score pairs included in analyses of differences </t>
  </si>
  <si>
    <t>-1-5%</t>
  </si>
  <si>
    <t>-5-10%</t>
  </si>
  <si>
    <t>% pos (increase)</t>
  </si>
  <si>
    <t>-11-20%</t>
  </si>
  <si>
    <t>% neg (decrease)</t>
  </si>
  <si>
    <t>-19--20%</t>
  </si>
  <si>
    <t>-21-30%</t>
  </si>
  <si>
    <t>% zero (no difference)</t>
  </si>
  <si>
    <t>-18--19%</t>
  </si>
  <si>
    <t>&lt;-30%</t>
  </si>
  <si>
    <t>-17--18%</t>
  </si>
  <si>
    <t>% of difference within -1..+1 interval (excluding 0 differences)</t>
  </si>
  <si>
    <t>-16--17%</t>
  </si>
  <si>
    <t>% of difference within -5..+5 interval (excluding 0 differences)</t>
  </si>
  <si>
    <t>-15--16%</t>
  </si>
  <si>
    <t>0-5%</t>
  </si>
  <si>
    <t>-14--15%</t>
  </si>
  <si>
    <t>0-10%</t>
  </si>
  <si>
    <t>-13--14%</t>
  </si>
  <si>
    <t>0-20%</t>
  </si>
  <si>
    <t>-12--13%</t>
  </si>
  <si>
    <t>0-30%</t>
  </si>
  <si>
    <t>-11--12%</t>
  </si>
  <si>
    <t>all pos</t>
  </si>
  <si>
    <t>-10--11%</t>
  </si>
  <si>
    <t>-9--10%</t>
  </si>
  <si>
    <t>-0-5%</t>
  </si>
  <si>
    <t>-8--9%</t>
  </si>
  <si>
    <t>-0-10%</t>
  </si>
  <si>
    <t>-7--8%</t>
  </si>
  <si>
    <t>-0-20%</t>
  </si>
  <si>
    <t>-6--7%</t>
  </si>
  <si>
    <t>-0-30%</t>
  </si>
  <si>
    <t>-5--6%</t>
  </si>
  <si>
    <t>all neg</t>
  </si>
  <si>
    <t>-4--5%</t>
  </si>
  <si>
    <t>is zero</t>
  </si>
  <si>
    <t>-3--4%</t>
  </si>
  <si>
    <t>-2--3%</t>
  </si>
  <si>
    <t>all non-zero</t>
  </si>
  <si>
    <t>-1--2%</t>
  </si>
  <si>
    <t>0--1%</t>
  </si>
  <si>
    <t>error</t>
  </si>
  <si>
    <t>outlier pos</t>
  </si>
  <si>
    <t>1-2%</t>
  </si>
  <si>
    <t>outlier neg</t>
  </si>
  <si>
    <t>2-3%</t>
  </si>
  <si>
    <t>3-4%</t>
  </si>
  <si>
    <t>4-5%</t>
  </si>
  <si>
    <t>5-6%</t>
  </si>
  <si>
    <t>6-7%</t>
  </si>
  <si>
    <t>7-8%</t>
  </si>
  <si>
    <t>8-9%</t>
  </si>
  <si>
    <t>9-10%</t>
  </si>
  <si>
    <t>10-11%</t>
  </si>
  <si>
    <t>11-12%</t>
  </si>
  <si>
    <t>12-13%</t>
  </si>
  <si>
    <t>13-14%</t>
  </si>
  <si>
    <t>14-15%</t>
  </si>
  <si>
    <t>15-16%</t>
  </si>
  <si>
    <t>16-17%</t>
  </si>
  <si>
    <t>17-18%</t>
  </si>
  <si>
    <t>18-19%</t>
  </si>
  <si>
    <t>19-20%</t>
  </si>
  <si>
    <t>A</t>
  </si>
  <si>
    <t>Paper reporting original scores; for paper details see Annotated papers tab.</t>
  </si>
  <si>
    <t>B</t>
  </si>
  <si>
    <t>Paper reporting reproduction scores; for paper details see Annotated papers tab.</t>
  </si>
  <si>
    <t>C</t>
  </si>
  <si>
    <t>The tasks performed by the systems for which scores are being compared.</t>
  </si>
  <si>
    <t>D</t>
  </si>
  <si>
    <t>The name of the metric used to compute the scores that are being compared. E.g. F1 score, Accuracy, etc.</t>
  </si>
  <si>
    <t>E</t>
  </si>
  <si>
    <t>The original score as reported in the Original paper.</t>
  </si>
  <si>
    <t>F</t>
  </si>
  <si>
    <t>The corresponding reproduction score as reported in the Reproduction paper.</t>
  </si>
  <si>
    <t>G</t>
  </si>
  <si>
    <t>Value of difference from paper</t>
  </si>
  <si>
    <t>H</t>
  </si>
  <si>
    <t>Original_score - Reproduction_score</t>
  </si>
  <si>
    <t>I</t>
  </si>
  <si>
    <t>The value in this column is H unless H returns an error (because of missing values), in which case G is used instead</t>
  </si>
  <si>
    <t>J</t>
  </si>
  <si>
    <t>Percentage change (increase or decrease) in reproduction score relative to original score: I*100/E</t>
  </si>
  <si>
    <t>K</t>
  </si>
  <si>
    <t>Percentage change as in J but with errors replaced with char string 'error' and outliers wiith 'outlier', and cases where reproduction scores is 0 are marked 'repeatzero'</t>
  </si>
  <si>
    <t>L</t>
  </si>
  <si>
    <t>Value is 'yes' if reproduction for some reason didn't produce a score, blank otherwise</t>
  </si>
  <si>
    <t>M</t>
  </si>
  <si>
    <t>Explanation if L = 'yes' (this column is incomplete)</t>
  </si>
  <si>
    <t>N</t>
  </si>
  <si>
    <t>Summary of outcome as given in Table 1 in paper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</si>
</sst>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0"/>
  </numFmts>
  <fonts count="28">
    <font>
      <sz val="10.0"/>
      <color rgb="FF000000"/>
      <name val="Arial"/>
    </font>
    <font>
      <b/>
      <color theme="1"/>
      <name val="Arial"/>
    </font>
    <font>
      <color theme="1"/>
      <name val="Arial"/>
    </font>
    <font>
      <color rgb="FF000000"/>
      <name val="Arial"/>
    </font>
    <font>
      <sz val="11.0"/>
      <color theme="1"/>
      <name val="Arial"/>
    </font>
    <font>
      <u/>
      <color rgb="FF0000FF"/>
    </font>
    <font>
      <u/>
      <color rgb="FF0000FF"/>
    </font>
    <font>
      <color rgb="FF999999"/>
      <name val="Arial"/>
    </font>
    <font>
      <color rgb="FFB7B7B7"/>
      <name val="Arial"/>
    </font>
    <font>
      <b/>
      <sz val="9.0"/>
      <color rgb="FF000000"/>
      <name val="&quot;NimbusRomNo9L&quot;"/>
    </font>
    <font>
      <b/>
      <sz val="9.0"/>
      <color rgb="FF000000"/>
      <name val="Arial"/>
    </font>
    <font>
      <b/>
      <color rgb="FF000000"/>
      <name val="Arial"/>
    </font>
    <font>
      <sz val="9.0"/>
      <color rgb="FF000080"/>
      <name val="&quot;NimbusRomNo9L&quot;"/>
    </font>
    <font>
      <sz val="9.0"/>
      <color rgb="FF000000"/>
      <name val="&quot;NimbusRomNo9L&quot;"/>
    </font>
    <font>
      <sz val="9.0"/>
      <color rgb="FF000000"/>
      <name val="Arial"/>
    </font>
    <font>
      <sz val="9.0"/>
      <color rgb="FF000080"/>
      <name val="Arial"/>
    </font>
    <font>
      <sz val="9.0"/>
      <color rgb="FF999999"/>
      <name val="&quot;NimbusRomNo9L&quot;"/>
    </font>
    <font>
      <sz val="9.0"/>
      <color rgb="FF999999"/>
      <name val="Arial"/>
    </font>
    <font>
      <sz val="9.0"/>
      <color rgb="FF000000"/>
      <name val="NimbusRomNo9L"/>
    </font>
    <font>
      <sz val="9.0"/>
      <color rgb="FF999999"/>
      <name val="NimbusRomNo9L"/>
    </font>
    <font>
      <sz val="9.0"/>
      <color theme="1"/>
      <name val="&quot;Arial&quot;"/>
    </font>
    <font>
      <sz val="9.0"/>
      <color rgb="FF999999"/>
      <name val="&quot;Arial&quot;"/>
    </font>
    <font>
      <sz val="9.0"/>
      <color rgb="FF999999"/>
      <name val="Liberation Serif"/>
    </font>
    <font>
      <sz val="9.0"/>
      <color rgb="FF999999"/>
      <name val="&quot;Liberation Sans&quot;"/>
    </font>
    <font>
      <color rgb="FF000000"/>
      <name val="&quot;Arial&quot;"/>
    </font>
    <font>
      <sz val="11.0"/>
      <color rgb="FFF7981D"/>
      <name val="Arial"/>
    </font>
    <font>
      <sz val="11.0"/>
      <color rgb="FF000000"/>
      <name val="Arial"/>
    </font>
    <font>
      <b/>
      <sz val="11.0"/>
      <color theme="1"/>
      <name val="Calibri"/>
    </font>
  </fonts>
  <fills count="10">
    <fill>
      <patternFill patternType="none"/>
    </fill>
    <fill>
      <patternFill patternType="lightGray"/>
    </fill>
    <fill>
      <patternFill patternType="solid">
        <fgColor rgb="FFFFFFFF"/>
        <bgColor rgb="FFFFFFFF"/>
      </patternFill>
    </fill>
    <fill>
      <patternFill patternType="solid">
        <fgColor rgb="FFEAD1DC"/>
        <bgColor rgb="FFEAD1DC"/>
      </patternFill>
    </fill>
    <fill>
      <patternFill patternType="solid">
        <fgColor rgb="FFEA9999"/>
        <bgColor rgb="FFEA9999"/>
      </patternFill>
    </fill>
    <fill>
      <patternFill patternType="solid">
        <fgColor rgb="FFFFFF00"/>
        <bgColor rgb="FFFFFF00"/>
      </patternFill>
    </fill>
    <fill>
      <patternFill patternType="solid">
        <fgColor rgb="FFD9EAD3"/>
        <bgColor rgb="FFD9EAD3"/>
      </patternFill>
    </fill>
    <fill>
      <patternFill patternType="solid">
        <fgColor rgb="FFF9CB9C"/>
        <bgColor rgb="FFF9CB9C"/>
      </patternFill>
    </fill>
    <fill>
      <patternFill patternType="solid">
        <fgColor rgb="FF00FF00"/>
        <bgColor rgb="FF00FF00"/>
      </patternFill>
    </fill>
    <fill>
      <patternFill patternType="solid">
        <fgColor rgb="FFCFE2F3"/>
        <bgColor rgb="FFCFE2F3"/>
      </patternFill>
    </fill>
  </fills>
  <borders count="8">
    <border/>
    <border>
      <left style="thin">
        <color rgb="FF000000"/>
      </left>
      <right style="thin">
        <color rgb="FF000000"/>
      </right>
      <top style="thin">
        <color rgb="FF000000"/>
      </top>
      <bottom style="thin">
        <color rgb="FF000000"/>
      </bottom>
    </border>
    <border>
      <right/>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thin">
        <color rgb="FF000000"/>
      </bottom>
    </border>
  </borders>
  <cellStyleXfs count="1">
    <xf borderId="0" fillId="0" fontId="0" numFmtId="0" applyAlignment="1" applyFont="1"/>
  </cellStyleXfs>
  <cellXfs count="158">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shrinkToFit="0" vertical="bottom" wrapText="1"/>
    </xf>
    <xf borderId="0" fillId="0" fontId="2" numFmtId="0" xfId="0" applyAlignment="1" applyFont="1">
      <alignment vertical="bottom"/>
    </xf>
    <xf borderId="0" fillId="0" fontId="2" numFmtId="0" xfId="0" applyAlignment="1" applyFont="1">
      <alignment shrinkToFit="0" vertical="bottom" wrapText="1"/>
    </xf>
    <xf borderId="0" fillId="0" fontId="2" numFmtId="0" xfId="0" applyAlignment="1" applyFont="1">
      <alignment vertical="bottom"/>
    </xf>
    <xf borderId="0" fillId="0" fontId="2" numFmtId="0" xfId="0" applyAlignment="1" applyFont="1">
      <alignment horizontal="center" shrinkToFit="0" vertical="bottom" wrapText="1"/>
    </xf>
    <xf borderId="0" fillId="0" fontId="3" numFmtId="0" xfId="0" applyAlignment="1" applyFont="1">
      <alignment vertical="bottom"/>
    </xf>
    <xf borderId="0" fillId="0" fontId="3" numFmtId="0" xfId="0" applyAlignment="1" applyFont="1">
      <alignment vertical="bottom"/>
    </xf>
    <xf borderId="1" fillId="0" fontId="4" numFmtId="0" xfId="0" applyAlignment="1" applyBorder="1" applyFont="1">
      <alignment shrinkToFit="0" vertical="bottom" wrapText="0"/>
    </xf>
    <xf borderId="1" fillId="0" fontId="2" numFmtId="0" xfId="0" applyAlignment="1" applyBorder="1" applyFont="1">
      <alignment vertical="bottom"/>
    </xf>
    <xf borderId="0" fillId="0" fontId="2" numFmtId="0" xfId="0" applyFont="1"/>
    <xf borderId="0" fillId="2" fontId="1" numFmtId="0" xfId="0" applyAlignment="1" applyFill="1" applyFont="1">
      <alignment vertical="bottom"/>
    </xf>
    <xf borderId="0" fillId="2" fontId="1" numFmtId="0" xfId="0" applyAlignment="1" applyFont="1">
      <alignment shrinkToFit="0" vertical="bottom" wrapText="1"/>
    </xf>
    <xf borderId="0" fillId="2" fontId="1" numFmtId="0" xfId="0" applyFont="1"/>
    <xf borderId="0" fillId="2" fontId="2" numFmtId="0" xfId="0" applyAlignment="1" applyFont="1">
      <alignment vertical="bottom"/>
    </xf>
    <xf borderId="0" fillId="2" fontId="2" numFmtId="0" xfId="0" applyAlignment="1" applyFont="1">
      <alignment shrinkToFit="0" vertical="bottom" wrapText="1"/>
    </xf>
    <xf borderId="0" fillId="2" fontId="2" numFmtId="0" xfId="0" applyFont="1"/>
    <xf borderId="0" fillId="2" fontId="2" numFmtId="0" xfId="0" applyAlignment="1" applyFont="1">
      <alignment vertical="bottom"/>
    </xf>
    <xf borderId="0" fillId="0" fontId="1" numFmtId="0" xfId="0" applyAlignment="1" applyFont="1">
      <alignment readingOrder="0" shrinkToFit="0" wrapText="0"/>
    </xf>
    <xf borderId="0" fillId="0" fontId="1" numFmtId="0" xfId="0" applyAlignment="1" applyFont="1">
      <alignment readingOrder="0" shrinkToFit="0" wrapText="1"/>
    </xf>
    <xf borderId="0" fillId="0" fontId="1" numFmtId="0" xfId="0" applyAlignment="1" applyFont="1">
      <alignment readingOrder="0"/>
    </xf>
    <xf borderId="0" fillId="0" fontId="1" numFmtId="0" xfId="0" applyFont="1"/>
    <xf borderId="0" fillId="0" fontId="2" numFmtId="0" xfId="0" applyAlignment="1" applyFont="1">
      <alignment readingOrder="0"/>
    </xf>
    <xf borderId="0" fillId="0" fontId="2" numFmtId="0" xfId="0" applyAlignment="1" applyFont="1">
      <alignment shrinkToFit="0" wrapText="1"/>
    </xf>
    <xf borderId="0" fillId="0" fontId="2" numFmtId="0" xfId="0" applyAlignment="1" applyFont="1">
      <alignment readingOrder="0" shrinkToFit="0" wrapText="1"/>
    </xf>
    <xf borderId="0" fillId="0" fontId="2" numFmtId="0" xfId="0" applyAlignment="1" applyFont="1">
      <alignment shrinkToFit="0" wrapText="1"/>
    </xf>
    <xf borderId="0" fillId="3" fontId="2" numFmtId="0" xfId="0" applyAlignment="1" applyFill="1" applyFont="1">
      <alignment readingOrder="0"/>
    </xf>
    <xf borderId="0" fillId="3" fontId="2" numFmtId="0" xfId="0" applyAlignment="1" applyFont="1">
      <alignment shrinkToFit="0" wrapText="1"/>
    </xf>
    <xf borderId="0" fillId="3" fontId="2" numFmtId="0" xfId="0" applyAlignment="1" applyFont="1">
      <alignment readingOrder="0" shrinkToFit="0" wrapText="1"/>
    </xf>
    <xf borderId="0" fillId="3" fontId="2" numFmtId="0" xfId="0" applyAlignment="1" applyFont="1">
      <alignment shrinkToFit="0" wrapText="1"/>
    </xf>
    <xf borderId="0" fillId="3" fontId="2" numFmtId="0" xfId="0" applyFont="1"/>
    <xf borderId="0" fillId="0" fontId="5" numFmtId="0" xfId="0" applyAlignment="1" applyFont="1">
      <alignment readingOrder="0"/>
    </xf>
    <xf borderId="0" fillId="4" fontId="6" numFmtId="0" xfId="0" applyAlignment="1" applyFill="1" applyFont="1">
      <alignment readingOrder="0"/>
    </xf>
    <xf borderId="0" fillId="4" fontId="2" numFmtId="0" xfId="0" applyAlignment="1" applyFont="1">
      <alignment shrinkToFit="0" wrapText="1"/>
    </xf>
    <xf borderId="0" fillId="4" fontId="2" numFmtId="0" xfId="0" applyAlignment="1" applyFont="1">
      <alignment readingOrder="0" shrinkToFit="0" wrapText="1"/>
    </xf>
    <xf borderId="0" fillId="4" fontId="2" numFmtId="0" xfId="0" applyAlignment="1" applyFont="1">
      <alignment shrinkToFit="0" wrapText="1"/>
    </xf>
    <xf borderId="0" fillId="4" fontId="2" numFmtId="0" xfId="0" applyAlignment="1" applyFont="1">
      <alignment readingOrder="0"/>
    </xf>
    <xf borderId="0" fillId="4" fontId="2" numFmtId="0" xfId="0" applyFont="1"/>
    <xf borderId="0" fillId="0" fontId="7" numFmtId="0" xfId="0" applyAlignment="1" applyFont="1">
      <alignment readingOrder="0" shrinkToFit="0" vertical="bottom" wrapText="1"/>
    </xf>
    <xf borderId="0" fillId="0" fontId="2" numFmtId="0" xfId="0" applyAlignment="1" applyFont="1">
      <alignment readingOrder="0" vertical="bottom"/>
    </xf>
    <xf borderId="0" fillId="0" fontId="8" numFmtId="0" xfId="0" applyAlignment="1" applyFont="1">
      <alignment readingOrder="0" vertical="bottom"/>
    </xf>
    <xf borderId="2" fillId="0" fontId="2" numFmtId="0" xfId="0" applyAlignment="1" applyBorder="1" applyFont="1">
      <alignment readingOrder="0" vertical="bottom"/>
    </xf>
    <xf borderId="2" fillId="0" fontId="2" numFmtId="0" xfId="0" applyAlignment="1" applyBorder="1" applyFont="1">
      <alignment vertical="bottom"/>
    </xf>
    <xf borderId="0" fillId="0" fontId="8" numFmtId="0" xfId="0" applyAlignment="1" applyFont="1">
      <alignment readingOrder="0" shrinkToFit="0" vertical="bottom" wrapText="1"/>
    </xf>
    <xf borderId="1" fillId="0" fontId="9" numFmtId="0" xfId="0" applyAlignment="1" applyBorder="1" applyFont="1">
      <alignment readingOrder="0" shrinkToFit="0" wrapText="0"/>
    </xf>
    <xf borderId="1" fillId="0" fontId="10" numFmtId="0" xfId="0" applyAlignment="1" applyBorder="1" applyFont="1">
      <alignment readingOrder="0" shrinkToFit="0" wrapText="0"/>
    </xf>
    <xf borderId="1" fillId="0" fontId="10" numFmtId="4" xfId="0" applyAlignment="1" applyBorder="1" applyFont="1" applyNumberFormat="1">
      <alignment readingOrder="0" shrinkToFit="0" wrapText="0"/>
    </xf>
    <xf borderId="0" fillId="0" fontId="11" numFmtId="0" xfId="0" applyAlignment="1" applyFont="1">
      <alignment shrinkToFit="0" wrapText="0"/>
    </xf>
    <xf borderId="1" fillId="5" fontId="12" numFmtId="0" xfId="0" applyAlignment="1" applyBorder="1" applyFill="1" applyFont="1">
      <alignment readingOrder="0" shrinkToFit="0" wrapText="0"/>
    </xf>
    <xf borderId="1" fillId="5" fontId="13" numFmtId="0" xfId="0" applyAlignment="1" applyBorder="1" applyFont="1">
      <alignment readingOrder="0" shrinkToFit="0" wrapText="0"/>
    </xf>
    <xf borderId="1" fillId="5" fontId="14" numFmtId="0" xfId="0" applyAlignment="1" applyBorder="1" applyFont="1">
      <alignment readingOrder="0" shrinkToFit="0" wrapText="0"/>
    </xf>
    <xf borderId="1" fillId="5" fontId="13" numFmtId="4" xfId="0" applyAlignment="1" applyBorder="1" applyFont="1" applyNumberFormat="1">
      <alignment readingOrder="0" shrinkToFit="0" wrapText="0"/>
    </xf>
    <xf borderId="0" fillId="0" fontId="2" numFmtId="0" xfId="0" applyAlignment="1" applyFont="1">
      <alignment shrinkToFit="0" wrapText="0"/>
    </xf>
    <xf borderId="1" fillId="5" fontId="14" numFmtId="4" xfId="0" applyAlignment="1" applyBorder="1" applyFont="1" applyNumberFormat="1">
      <alignment readingOrder="0" shrinkToFit="0" wrapText="0"/>
    </xf>
    <xf borderId="1" fillId="3" fontId="12" numFmtId="0" xfId="0" applyAlignment="1" applyBorder="1" applyFont="1">
      <alignment readingOrder="0" shrinkToFit="0" wrapText="0"/>
    </xf>
    <xf borderId="1" fillId="3" fontId="15" numFmtId="0" xfId="0" applyAlignment="1" applyBorder="1" applyFont="1">
      <alignment readingOrder="0" shrinkToFit="0" wrapText="0"/>
    </xf>
    <xf borderId="1" fillId="3" fontId="13" numFmtId="0" xfId="0" applyAlignment="1" applyBorder="1" applyFont="1">
      <alignment readingOrder="0" shrinkToFit="0" wrapText="0"/>
    </xf>
    <xf borderId="1" fillId="3" fontId="14" numFmtId="0" xfId="0" applyAlignment="1" applyBorder="1" applyFont="1">
      <alignment readingOrder="0" shrinkToFit="0" wrapText="0"/>
    </xf>
    <xf borderId="1" fillId="3" fontId="13" numFmtId="4" xfId="0" applyAlignment="1" applyBorder="1" applyFont="1" applyNumberFormat="1">
      <alignment readingOrder="0" shrinkToFit="0" wrapText="0"/>
    </xf>
    <xf borderId="1" fillId="3" fontId="13" numFmtId="0" xfId="0" applyAlignment="1" applyBorder="1" applyFont="1">
      <alignment shrinkToFit="0" wrapText="0"/>
    </xf>
    <xf borderId="1" fillId="3" fontId="14" numFmtId="4" xfId="0" applyAlignment="1" applyBorder="1" applyFont="1" applyNumberFormat="1">
      <alignment readingOrder="0" shrinkToFit="0" wrapText="0"/>
    </xf>
    <xf borderId="1" fillId="3" fontId="16" numFmtId="0" xfId="0" applyAlignment="1" applyBorder="1" applyFont="1">
      <alignment readingOrder="0" shrinkToFit="0" wrapText="0"/>
    </xf>
    <xf borderId="1" fillId="3" fontId="17" numFmtId="0" xfId="0" applyAlignment="1" applyBorder="1" applyFont="1">
      <alignment readingOrder="0" shrinkToFit="0" wrapText="0"/>
    </xf>
    <xf borderId="1" fillId="3" fontId="16" numFmtId="4" xfId="0" applyAlignment="1" applyBorder="1" applyFont="1" applyNumberFormat="1">
      <alignment readingOrder="0" shrinkToFit="0" wrapText="0"/>
    </xf>
    <xf borderId="0" fillId="0" fontId="7" numFmtId="0" xfId="0" applyAlignment="1" applyFont="1">
      <alignment shrinkToFit="0" wrapText="0"/>
    </xf>
    <xf borderId="1" fillId="3" fontId="16" numFmtId="0" xfId="0" applyAlignment="1" applyBorder="1" applyFont="1">
      <alignment shrinkToFit="0" wrapText="0"/>
    </xf>
    <xf borderId="1" fillId="3" fontId="17" numFmtId="4" xfId="0" applyAlignment="1" applyBorder="1" applyFont="1" applyNumberFormat="1">
      <alignment readingOrder="0" shrinkToFit="0" wrapText="0"/>
    </xf>
    <xf borderId="1" fillId="3" fontId="14" numFmtId="0" xfId="0" applyAlignment="1" applyBorder="1" applyFont="1">
      <alignment shrinkToFit="0" wrapText="0"/>
    </xf>
    <xf borderId="1" fillId="3" fontId="14" numFmtId="4" xfId="0" applyAlignment="1" applyBorder="1" applyFont="1" applyNumberFormat="1">
      <alignment shrinkToFit="0" wrapText="0"/>
    </xf>
    <xf borderId="1" fillId="3" fontId="17" numFmtId="0" xfId="0" applyAlignment="1" applyBorder="1" applyFont="1">
      <alignment shrinkToFit="0" wrapText="0"/>
    </xf>
    <xf borderId="1" fillId="3" fontId="17" numFmtId="4" xfId="0" applyAlignment="1" applyBorder="1" applyFont="1" applyNumberFormat="1">
      <alignment shrinkToFit="0" wrapText="0"/>
    </xf>
    <xf borderId="1" fillId="5" fontId="16" numFmtId="0" xfId="0" applyAlignment="1" applyBorder="1" applyFont="1">
      <alignment shrinkToFit="0" wrapText="0"/>
    </xf>
    <xf borderId="1" fillId="5" fontId="17" numFmtId="0" xfId="0" applyAlignment="1" applyBorder="1" applyFont="1">
      <alignment shrinkToFit="0" wrapText="0"/>
    </xf>
    <xf borderId="1" fillId="5" fontId="17" numFmtId="4" xfId="0" applyAlignment="1" applyBorder="1" applyFont="1" applyNumberFormat="1">
      <alignment shrinkToFit="0" wrapText="0"/>
    </xf>
    <xf borderId="1" fillId="5" fontId="17" numFmtId="4" xfId="0" applyAlignment="1" applyBorder="1" applyFont="1" applyNumberFormat="1">
      <alignment readingOrder="0" shrinkToFit="0" wrapText="0"/>
    </xf>
    <xf borderId="1" fillId="3" fontId="16" numFmtId="4" xfId="0" applyAlignment="1" applyBorder="1" applyFont="1" applyNumberFormat="1">
      <alignment shrinkToFit="0" wrapText="0"/>
    </xf>
    <xf borderId="1" fillId="3" fontId="13" numFmtId="4" xfId="0" applyAlignment="1" applyBorder="1" applyFont="1" applyNumberFormat="1">
      <alignment shrinkToFit="0" wrapText="0"/>
    </xf>
    <xf borderId="1" fillId="0" fontId="12" numFmtId="0" xfId="0" applyAlignment="1" applyBorder="1" applyFont="1">
      <alignment readingOrder="0" shrinkToFit="0" wrapText="0"/>
    </xf>
    <xf borderId="1" fillId="0" fontId="13" numFmtId="0" xfId="0" applyAlignment="1" applyBorder="1" applyFont="1">
      <alignment readingOrder="0" shrinkToFit="0" wrapText="0"/>
    </xf>
    <xf borderId="1" fillId="0" fontId="14" numFmtId="0" xfId="0" applyAlignment="1" applyBorder="1" applyFont="1">
      <alignment readingOrder="0" shrinkToFit="0" wrapText="0"/>
    </xf>
    <xf borderId="1" fillId="0" fontId="13" numFmtId="4" xfId="0" applyAlignment="1" applyBorder="1" applyFont="1" applyNumberFormat="1">
      <alignment readingOrder="0" shrinkToFit="0" wrapText="0"/>
    </xf>
    <xf borderId="1" fillId="0" fontId="16" numFmtId="0" xfId="0" applyAlignment="1" applyBorder="1" applyFont="1">
      <alignment readingOrder="0" shrinkToFit="0" wrapText="0"/>
    </xf>
    <xf borderId="1" fillId="0" fontId="17" numFmtId="0" xfId="0" applyAlignment="1" applyBorder="1" applyFont="1">
      <alignment readingOrder="0" shrinkToFit="0" wrapText="0"/>
    </xf>
    <xf borderId="1" fillId="0" fontId="16" numFmtId="4" xfId="0" applyAlignment="1" applyBorder="1" applyFont="1" applyNumberFormat="1">
      <alignment readingOrder="0" shrinkToFit="0" wrapText="0"/>
    </xf>
    <xf borderId="1" fillId="6" fontId="12" numFmtId="0" xfId="0" applyAlignment="1" applyBorder="1" applyFill="1" applyFont="1">
      <alignment readingOrder="0" shrinkToFit="0" wrapText="0"/>
    </xf>
    <xf borderId="1" fillId="6" fontId="13" numFmtId="0" xfId="0" applyAlignment="1" applyBorder="1" applyFont="1">
      <alignment readingOrder="0" shrinkToFit="0" wrapText="0"/>
    </xf>
    <xf borderId="1" fillId="6" fontId="14" numFmtId="0" xfId="0" applyAlignment="1" applyBorder="1" applyFont="1">
      <alignment readingOrder="0" shrinkToFit="0" wrapText="0"/>
    </xf>
    <xf borderId="1" fillId="6" fontId="13" numFmtId="4" xfId="0" applyAlignment="1" applyBorder="1" applyFont="1" applyNumberFormat="1">
      <alignment readingOrder="0" shrinkToFit="0" wrapText="0"/>
    </xf>
    <xf borderId="1" fillId="6" fontId="18" numFmtId="0" xfId="0" applyAlignment="1" applyBorder="1" applyFont="1">
      <alignment horizontal="left" readingOrder="0" vertical="bottom"/>
    </xf>
    <xf borderId="1" fillId="6" fontId="18" numFmtId="0" xfId="0" applyAlignment="1" applyBorder="1" applyFont="1">
      <alignment horizontal="right" readingOrder="0" vertical="bottom"/>
    </xf>
    <xf borderId="1" fillId="6" fontId="16" numFmtId="0" xfId="0" applyAlignment="1" applyBorder="1" applyFont="1">
      <alignment readingOrder="0" shrinkToFit="0" wrapText="0"/>
    </xf>
    <xf borderId="1" fillId="6" fontId="17" numFmtId="0" xfId="0" applyAlignment="1" applyBorder="1" applyFont="1">
      <alignment readingOrder="0" shrinkToFit="0" wrapText="0"/>
    </xf>
    <xf borderId="1" fillId="6" fontId="19" numFmtId="0" xfId="0" applyAlignment="1" applyBorder="1" applyFont="1">
      <alignment horizontal="left" readingOrder="0" vertical="bottom"/>
    </xf>
    <xf borderId="1" fillId="6" fontId="19" numFmtId="0" xfId="0" applyAlignment="1" applyBorder="1" applyFont="1">
      <alignment horizontal="right" readingOrder="0" vertical="bottom"/>
    </xf>
    <xf borderId="1" fillId="6" fontId="16" numFmtId="4" xfId="0" applyAlignment="1" applyBorder="1" applyFont="1" applyNumberFormat="1">
      <alignment readingOrder="0" shrinkToFit="0" wrapText="0"/>
    </xf>
    <xf borderId="1" fillId="6" fontId="20" numFmtId="0" xfId="0" applyAlignment="1" applyBorder="1" applyFont="1">
      <alignment horizontal="left" readingOrder="0" vertical="bottom"/>
    </xf>
    <xf borderId="1" fillId="6" fontId="17" numFmtId="0" xfId="0" applyAlignment="1" applyBorder="1" applyFont="1">
      <alignment horizontal="left" readingOrder="0" vertical="bottom"/>
    </xf>
    <xf borderId="1" fillId="6" fontId="14" numFmtId="4" xfId="0" applyAlignment="1" applyBorder="1" applyFont="1" applyNumberFormat="1">
      <alignment readingOrder="0" shrinkToFit="0" wrapText="0"/>
    </xf>
    <xf borderId="1" fillId="6" fontId="17" numFmtId="4" xfId="0" applyAlignment="1" applyBorder="1" applyFont="1" applyNumberFormat="1">
      <alignment readingOrder="0" shrinkToFit="0" wrapText="0"/>
    </xf>
    <xf borderId="1" fillId="6" fontId="21" numFmtId="0" xfId="0" applyAlignment="1" applyBorder="1" applyFont="1">
      <alignment horizontal="right" readingOrder="0" vertical="bottom"/>
    </xf>
    <xf borderId="1" fillId="6" fontId="19" numFmtId="0" xfId="0" applyAlignment="1" applyBorder="1" applyFont="1">
      <alignment shrinkToFit="0" vertical="bottom" wrapText="0"/>
    </xf>
    <xf borderId="3" fillId="6" fontId="19" numFmtId="0" xfId="0" applyAlignment="1" applyBorder="1" applyFont="1">
      <alignment shrinkToFit="0" vertical="bottom" wrapText="0"/>
    </xf>
    <xf borderId="3" fillId="6" fontId="17" numFmtId="0" xfId="0" applyAlignment="1" applyBorder="1" applyFont="1">
      <alignment shrinkToFit="0" vertical="bottom" wrapText="0"/>
    </xf>
    <xf borderId="4" fillId="6" fontId="19" numFmtId="0" xfId="0" applyAlignment="1" applyBorder="1" applyFont="1">
      <alignment shrinkToFit="0" vertical="bottom" wrapText="0"/>
    </xf>
    <xf borderId="1" fillId="6" fontId="17" numFmtId="0" xfId="0" applyAlignment="1" applyBorder="1" applyFont="1">
      <alignment readingOrder="0" shrinkToFit="0" vertical="bottom" wrapText="0"/>
    </xf>
    <xf borderId="3" fillId="6" fontId="17" numFmtId="0" xfId="0" applyAlignment="1" applyBorder="1" applyFont="1">
      <alignment readingOrder="0" shrinkToFit="0" vertical="bottom" wrapText="0"/>
    </xf>
    <xf borderId="3" fillId="6" fontId="13" numFmtId="0" xfId="0" applyAlignment="1" applyBorder="1" applyFont="1">
      <alignment readingOrder="0" shrinkToFit="0" wrapText="0"/>
    </xf>
    <xf borderId="3" fillId="6" fontId="17" numFmtId="4" xfId="0" applyAlignment="1" applyBorder="1" applyFont="1" applyNumberFormat="1">
      <alignment shrinkToFit="0" vertical="bottom" wrapText="0"/>
    </xf>
    <xf borderId="5" fillId="6" fontId="19" numFmtId="0" xfId="0" applyAlignment="1" applyBorder="1" applyFont="1">
      <alignment shrinkToFit="0" vertical="bottom" wrapText="0"/>
    </xf>
    <xf borderId="6" fillId="6" fontId="19" numFmtId="0" xfId="0" applyAlignment="1" applyBorder="1" applyFont="1">
      <alignment shrinkToFit="0" vertical="bottom" wrapText="0"/>
    </xf>
    <xf borderId="6" fillId="6" fontId="17" numFmtId="0" xfId="0" applyAlignment="1" applyBorder="1" applyFont="1">
      <alignment shrinkToFit="0" vertical="bottom" wrapText="0"/>
    </xf>
    <xf borderId="7" fillId="6" fontId="19" numFmtId="0" xfId="0" applyAlignment="1" applyBorder="1" applyFont="1">
      <alignment shrinkToFit="0" vertical="bottom" wrapText="0"/>
    </xf>
    <xf borderId="6" fillId="6" fontId="17" numFmtId="0" xfId="0" applyAlignment="1" applyBorder="1" applyFont="1">
      <alignment readingOrder="0" shrinkToFit="0" vertical="bottom" wrapText="0"/>
    </xf>
    <xf borderId="6" fillId="6" fontId="13" numFmtId="0" xfId="0" applyAlignment="1" applyBorder="1" applyFont="1">
      <alignment readingOrder="0" shrinkToFit="0" wrapText="0"/>
    </xf>
    <xf borderId="6" fillId="6" fontId="17" numFmtId="4" xfId="0" applyAlignment="1" applyBorder="1" applyFont="1" applyNumberFormat="1">
      <alignment shrinkToFit="0" vertical="bottom" wrapText="0"/>
    </xf>
    <xf borderId="7" fillId="6" fontId="17" numFmtId="0" xfId="0" applyAlignment="1" applyBorder="1" applyFont="1">
      <alignment shrinkToFit="0" vertical="bottom" wrapText="0"/>
    </xf>
    <xf borderId="1" fillId="6" fontId="22" numFmtId="0" xfId="0" applyAlignment="1" applyBorder="1" applyFont="1">
      <alignment horizontal="right" readingOrder="0"/>
    </xf>
    <xf borderId="1" fillId="6" fontId="23" numFmtId="0" xfId="0" applyAlignment="1" applyBorder="1" applyFont="1">
      <alignment horizontal="right" readingOrder="0"/>
    </xf>
    <xf borderId="1" fillId="5" fontId="15" numFmtId="0" xfId="0" applyAlignment="1" applyBorder="1" applyFont="1">
      <alignment readingOrder="0" shrinkToFit="0" wrapText="0"/>
    </xf>
    <xf borderId="1" fillId="5" fontId="18" numFmtId="0" xfId="0" applyAlignment="1" applyBorder="1" applyFont="1">
      <alignment horizontal="left" readingOrder="0" vertical="bottom"/>
    </xf>
    <xf borderId="1" fillId="5" fontId="14" numFmtId="0" xfId="0" applyAlignment="1" applyBorder="1" applyFont="1">
      <alignment horizontal="right" readingOrder="0" vertical="bottom"/>
    </xf>
    <xf borderId="1" fillId="7" fontId="12" numFmtId="0" xfId="0" applyAlignment="1" applyBorder="1" applyFill="1" applyFont="1">
      <alignment readingOrder="0" shrinkToFit="0" wrapText="0"/>
    </xf>
    <xf borderId="1" fillId="7" fontId="15" numFmtId="0" xfId="0" applyAlignment="1" applyBorder="1" applyFont="1">
      <alignment readingOrder="0" shrinkToFit="0" wrapText="0"/>
    </xf>
    <xf borderId="1" fillId="7" fontId="14" numFmtId="0" xfId="0" applyAlignment="1" applyBorder="1" applyFont="1">
      <alignment readingOrder="0" shrinkToFit="0" wrapText="0"/>
    </xf>
    <xf borderId="1" fillId="7" fontId="17" numFmtId="0" xfId="0" applyAlignment="1" applyBorder="1" applyFont="1">
      <alignment readingOrder="0" shrinkToFit="0" wrapText="0"/>
    </xf>
    <xf borderId="1" fillId="7" fontId="17" numFmtId="4" xfId="0" applyAlignment="1" applyBorder="1" applyFont="1" applyNumberFormat="1">
      <alignment readingOrder="0" shrinkToFit="0" wrapText="0"/>
    </xf>
    <xf borderId="1" fillId="7" fontId="13" numFmtId="0" xfId="0" applyAlignment="1" applyBorder="1" applyFont="1">
      <alignment readingOrder="0" shrinkToFit="0" wrapText="0"/>
    </xf>
    <xf borderId="1" fillId="7" fontId="16" numFmtId="0" xfId="0" applyAlignment="1" applyBorder="1" applyFont="1">
      <alignment readingOrder="0" shrinkToFit="0" wrapText="0"/>
    </xf>
    <xf borderId="1" fillId="7" fontId="14" numFmtId="4" xfId="0" applyAlignment="1" applyBorder="1" applyFont="1" applyNumberFormat="1">
      <alignment readingOrder="0" shrinkToFit="0" wrapText="0"/>
    </xf>
    <xf borderId="1" fillId="5" fontId="17" numFmtId="0" xfId="0" applyAlignment="1" applyBorder="1" applyFont="1">
      <alignment readingOrder="0" shrinkToFit="0" wrapText="0"/>
    </xf>
    <xf borderId="0" fillId="0" fontId="3" numFmtId="0" xfId="0" applyAlignment="1" applyFont="1">
      <alignment shrinkToFit="0" wrapText="0"/>
    </xf>
    <xf borderId="0" fillId="0" fontId="3" numFmtId="4" xfId="0" applyAlignment="1" applyFont="1" applyNumberFormat="1">
      <alignment shrinkToFit="0" wrapText="0"/>
    </xf>
    <xf borderId="0" fillId="0" fontId="11" numFmtId="0" xfId="0" applyAlignment="1" applyFont="1">
      <alignment readingOrder="0" shrinkToFit="0" wrapText="0"/>
    </xf>
    <xf borderId="0" fillId="8" fontId="2" numFmtId="0" xfId="0" applyAlignment="1" applyFill="1" applyFont="1">
      <alignment readingOrder="0"/>
    </xf>
    <xf borderId="0" fillId="0" fontId="3" numFmtId="4" xfId="0" applyAlignment="1" applyFont="1" applyNumberFormat="1">
      <alignment readingOrder="0" shrinkToFit="0" wrapText="0"/>
    </xf>
    <xf borderId="0" fillId="0" fontId="3" numFmtId="0" xfId="0" applyAlignment="1" applyFont="1">
      <alignment shrinkToFit="0" wrapText="0"/>
    </xf>
    <xf borderId="0" fillId="8" fontId="2" numFmtId="0" xfId="0" applyAlignment="1" applyFont="1">
      <alignment readingOrder="0" shrinkToFit="0" wrapText="1"/>
    </xf>
    <xf borderId="0" fillId="8" fontId="2" numFmtId="0" xfId="0" applyAlignment="1" applyFont="1">
      <alignment readingOrder="0" shrinkToFit="0" wrapText="0"/>
    </xf>
    <xf borderId="0" fillId="0" fontId="3" numFmtId="0" xfId="0" applyAlignment="1" applyFont="1">
      <alignment readingOrder="0" shrinkToFit="0" wrapText="0"/>
    </xf>
    <xf borderId="0" fillId="0" fontId="2" numFmtId="0" xfId="0" applyAlignment="1" applyFont="1">
      <alignment readingOrder="0" shrinkToFit="0" wrapText="0"/>
    </xf>
    <xf borderId="0" fillId="0" fontId="2" numFmtId="3" xfId="0" applyFont="1" applyNumberFormat="1"/>
    <xf borderId="0" fillId="8" fontId="3" numFmtId="4" xfId="0" applyAlignment="1" applyFont="1" applyNumberFormat="1">
      <alignment readingOrder="0" shrinkToFit="0" wrapText="0"/>
    </xf>
    <xf borderId="0" fillId="8" fontId="3" numFmtId="164" xfId="0" applyAlignment="1" applyFont="1" applyNumberFormat="1">
      <alignment shrinkToFit="0" wrapText="0"/>
    </xf>
    <xf borderId="0" fillId="9" fontId="3" numFmtId="0" xfId="0" applyAlignment="1" applyFill="1" applyFont="1">
      <alignment readingOrder="0" shrinkToFit="0" wrapText="0"/>
    </xf>
    <xf borderId="0" fillId="9" fontId="3" numFmtId="0" xfId="0" applyAlignment="1" applyFont="1">
      <alignment shrinkToFit="0" wrapText="0"/>
    </xf>
    <xf borderId="0" fillId="8" fontId="3" numFmtId="164" xfId="0" applyAlignment="1" applyFont="1" applyNumberFormat="1">
      <alignment shrinkToFit="0" wrapText="0"/>
    </xf>
    <xf borderId="0" fillId="0" fontId="2" numFmtId="3" xfId="0" applyAlignment="1" applyFont="1" applyNumberFormat="1">
      <alignment readingOrder="0" shrinkToFit="0" wrapText="0"/>
    </xf>
    <xf borderId="0" fillId="0" fontId="24" numFmtId="0" xfId="0" applyAlignment="1" applyFont="1">
      <alignment readingOrder="0"/>
    </xf>
    <xf borderId="0" fillId="0" fontId="25" numFmtId="0" xfId="0" applyFont="1"/>
    <xf borderId="0" fillId="9" fontId="26" numFmtId="0" xfId="0" applyAlignment="1" applyFont="1">
      <alignment readingOrder="0"/>
    </xf>
    <xf borderId="1" fillId="0" fontId="2" numFmtId="0" xfId="0" applyAlignment="1" applyBorder="1" applyFont="1">
      <alignment readingOrder="0" shrinkToFit="0" wrapText="1"/>
    </xf>
    <xf borderId="1" fillId="0" fontId="24" numFmtId="0" xfId="0" applyAlignment="1" applyBorder="1" applyFont="1">
      <alignment readingOrder="0" shrinkToFit="0" wrapText="1"/>
    </xf>
    <xf borderId="1" fillId="0" fontId="10" numFmtId="4" xfId="0" applyAlignment="1" applyBorder="1" applyFont="1" applyNumberFormat="1">
      <alignment shrinkToFit="0" vertical="bottom" wrapText="0"/>
    </xf>
    <xf borderId="5" fillId="0" fontId="10" numFmtId="0" xfId="0" applyAlignment="1" applyBorder="1" applyFont="1">
      <alignment shrinkToFit="0" vertical="bottom" wrapText="0"/>
    </xf>
    <xf borderId="1" fillId="0" fontId="11" numFmtId="0" xfId="0" applyAlignment="1" applyBorder="1" applyFont="1">
      <alignment readingOrder="0" shrinkToFit="0" wrapText="0"/>
    </xf>
    <xf borderId="0" fillId="0" fontId="27" numFmtId="0" xfId="0" applyAlignment="1" applyFont="1">
      <alignment readingOrder="0" vertical="bottom"/>
    </xf>
    <xf borderId="0" fillId="0" fontId="27"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chemeClr val="accent1"/>
            </a:solidFill>
            <a:ln cmpd="sng">
              <a:solidFill>
                <a:srgbClr val="000000"/>
              </a:solidFill>
            </a:ln>
          </c:spPr>
          <c:cat>
            <c:strRef>
              <c:f>'Quantifying differences in Tabl'!$E$564:$E$603</c:f>
            </c:strRef>
          </c:cat>
          <c:val>
            <c:numRef>
              <c:f>'Quantifying differences in Tabl'!$F$564:$F$603</c:f>
              <c:numCache/>
            </c:numRef>
          </c:val>
        </c:ser>
        <c:axId val="867631112"/>
        <c:axId val="900527163"/>
      </c:barChart>
      <c:catAx>
        <c:axId val="86763111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900527163"/>
      </c:catAx>
      <c:valAx>
        <c:axId val="90052716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67631112"/>
      </c:valAx>
    </c:plotArea>
    <c:legend>
      <c:legendPos val="r"/>
      <c:overlay val="0"/>
      <c:txPr>
        <a:bodyPr/>
        <a:lstStyle/>
        <a:p>
          <a:pPr lvl="0">
            <a:defRPr b="0">
              <a:solidFill>
                <a:srgbClr val="1A1A1A"/>
              </a:solidFill>
              <a:latin typeface="+mn-lt"/>
            </a:defRPr>
          </a:pPr>
        </a:p>
      </c:txPr>
    </c:legend>
    <c:plotVisOnly val="1"/>
  </c:chart>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581025</xdr:colOff>
      <xdr:row>552</xdr:row>
      <xdr:rowOff>9525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aclweb.org/anthology/W17-0237" TargetMode="External"/><Relationship Id="rId3" Type="http://schemas.openxmlformats.org/officeDocument/2006/relationships/hyperlink" Target="https://www.aclweb.org/anthology/W18-5452" TargetMode="External"/><Relationship Id="rId4" Type="http://schemas.openxmlformats.org/officeDocument/2006/relationships/hyperlink" Target="https://www.aclweb.org/anthology/L18-1089" TargetMode="External"/><Relationship Id="rId11" Type="http://schemas.openxmlformats.org/officeDocument/2006/relationships/drawing" Target="../drawings/drawing3.xml"/><Relationship Id="rId10" Type="http://schemas.openxmlformats.org/officeDocument/2006/relationships/hyperlink" Target="https://www.aclweb.org/anthology/2020.lrec-1.685" TargetMode="External"/><Relationship Id="rId12" Type="http://schemas.openxmlformats.org/officeDocument/2006/relationships/vmlDrawing" Target="../drawings/vmlDrawing2.vml"/><Relationship Id="rId9" Type="http://schemas.openxmlformats.org/officeDocument/2006/relationships/hyperlink" Target="https://www.aclweb.org/anthology/2020.lrec-1.218" TargetMode="External"/><Relationship Id="rId5" Type="http://schemas.openxmlformats.org/officeDocument/2006/relationships/hyperlink" Target="https://www.aclweb.org/anthology/L18-1403" TargetMode="External"/><Relationship Id="rId6" Type="http://schemas.openxmlformats.org/officeDocument/2006/relationships/hyperlink" Target="https://www.aclweb.org/anthology/D18-1544" TargetMode="External"/><Relationship Id="rId7" Type="http://schemas.openxmlformats.org/officeDocument/2006/relationships/hyperlink" Target="https://www.aclweb.org/anthology/P19-1073" TargetMode="External"/><Relationship Id="rId8" Type="http://schemas.openxmlformats.org/officeDocument/2006/relationships/hyperlink" Target="https://www.aclweb.org/anthology/2020.tacl-1.26"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5.86"/>
    <col customWidth="1" min="2" max="2" width="23.29"/>
    <col customWidth="1" min="3" max="3" width="24.43"/>
    <col customWidth="1" min="4" max="4" width="26.57"/>
    <col customWidth="1" min="5" max="5" width="23.43"/>
    <col customWidth="1" min="6" max="6" width="22.29"/>
    <col customWidth="1" min="7" max="7" width="56.29"/>
  </cols>
  <sheetData>
    <row r="1" ht="15.75" customHeight="1">
      <c r="A1" s="1" t="s">
        <v>0</v>
      </c>
      <c r="B1" s="2" t="s">
        <v>1</v>
      </c>
      <c r="C1" s="2" t="s">
        <v>2</v>
      </c>
      <c r="D1" s="2" t="s">
        <v>3</v>
      </c>
      <c r="E1" s="2" t="s">
        <v>4</v>
      </c>
      <c r="F1" s="1" t="s">
        <v>5</v>
      </c>
      <c r="G1" s="2" t="s">
        <v>6</v>
      </c>
    </row>
    <row r="2" ht="150.0" customHeight="1">
      <c r="A2" s="3" t="s">
        <v>7</v>
      </c>
      <c r="B2" s="4" t="str">
        <f>IFERROR(__xludf.DUMMYFUNCTION("IFERROR(REGEXEXTRACT(A2, ""author *= *""""([^""""]+)""""""),REGEXEXTRACT(A2, ""author *= *\{+([^\d]+)\}+""))"),"Schwartz, Lane")</f>
        <v>Schwartz, Lane</v>
      </c>
      <c r="C2" s="4" t="str">
        <f>IFERROR(__xludf.DUMMYFUNCTION("REGEXEXTRACT(A2, ""title *= *""""([^""""]+)"""""")"),"Reproducible Results in Parsing-Based Machine Translation: The {JHU} Shared Task Submission")</f>
        <v>Reproducible Results in Parsing-Based Machine Translation: The {JHU} Shared Task Submission</v>
      </c>
      <c r="D2" s="4" t="str">
        <f>IFERROR(__xludf.DUMMYFUNCTION("IFERROR(REGEXEXTRACT(A2, ""journal *= *""""+([^""""]*)""""""),REGEXEXTRACT(A2, ""booktitle *= *""""+([^""""]*)""""""))"),"Proceedings of the Joint Fifth Workshop on Statistical Machine Translation and {M}etrics{MATR}")</f>
        <v>Proceedings of the Joint Fifth Workshop on Statistical Machine Translation and {M}etrics{MATR}</v>
      </c>
      <c r="E2" s="4" t="str">
        <f>IFERROR(__xludf.DUMMYFUNCTION("REGEXEXTRACT(A2, ""year *= *""""([^""""]+)"""""")"),"2010")</f>
        <v>2010</v>
      </c>
      <c r="F2" s="4" t="s">
        <v>8</v>
      </c>
      <c r="G2" s="4" t="str">
        <f>IFERROR(__xludf.DUMMYFUNCTION("IFERROR(REGEXEXTRACT(A2, ""abstract *= *""""+([^""""]*)""""""),REGEXEXTRACT(A2, ""abstract *= *\{+(.*)\}""))"),"We  present  the  Johns  Hopkins  University submission to the 2010 WMT shared translation  task.   We  describe  processing steps  using  open  data  and  open  source software used in our submission, and provide  the  scripts  and  configurations  re-qu"&amp;"ired to train, tune, and test our machine translation system.")</f>
        <v>We  present  the  Johns  Hopkins  University submission to the 2010 WMT shared translation  task.   We  describe  processing steps  using  open  data  and  open  source software used in our submission, and provide  the  scripts  and  configurations  re-quired to train, tune, and test our machine translation system.</v>
      </c>
    </row>
    <row r="3" ht="150.0" customHeight="1">
      <c r="A3" s="3" t="s">
        <v>9</v>
      </c>
      <c r="B3" s="4" t="str">
        <f>IFERROR(__xludf.DUMMYFUNCTION("IFERROR(REGEXEXTRACT(A3, ""author *= *""""([^""""]+)""""""),REGEXEXTRACT(A3, ""author *= *\{+([^\d]+)\}+""))"),"Fokkens, Antske  and
      van Erp, Marieke  and
      Postma, Marten  and
      Pedersen, Ted  and
      Vossen, Piek  and
      Freire, Nuno")</f>
        <v>Fokkens, Antske  and
      van Erp, Marieke  and
      Postma, Marten  and
      Pedersen, Ted  and
      Vossen, Piek  and
      Freire, Nuno</v>
      </c>
      <c r="C3" s="4" t="str">
        <f>IFERROR(__xludf.DUMMYFUNCTION("REGEXEXTRACT(A3, ""title *= *""""([^""""]+)"""""")"),"Offspring from Reproduction Problems: What Replication Failure Teaches Us")</f>
        <v>Offspring from Reproduction Problems: What Replication Failure Teaches Us</v>
      </c>
      <c r="D3" s="4" t="str">
        <f>IFERROR(__xludf.DUMMYFUNCTION("IFERROR(REGEXEXTRACT(A3, ""journal *= *""""+([^""""]*)""""""),REGEXEXTRACT(A3, ""booktitle *= *""""+([^""""]*)""""""))"),"Proceedings of the 51st Annual Meeting of the Association for Computational Linguistics (Volume 1: Long Papers)")</f>
        <v>Proceedings of the 51st Annual Meeting of the Association for Computational Linguistics (Volume 1: Long Papers)</v>
      </c>
      <c r="E3" s="4" t="str">
        <f>IFERROR(__xludf.DUMMYFUNCTION("REGEXEXTRACT(A3, ""year *= *""""([^""""]+)"""""")"),"2013")</f>
        <v>2013</v>
      </c>
      <c r="F3" s="4" t="s">
        <v>10</v>
      </c>
      <c r="G3" s="4" t="str">
        <f>IFERROR(__xludf.DUMMYFUNCTION("IFERROR(REGEXEXTRACT(A3, ""abstract *= *""""+([^""""]*)""""""),REGEXEXTRACT(A3, ""abstract *= *\{+(.*)\}""))"),"Repeating experiments is an important instrument in the scientific toolbox to validate previous work and build upon existing  work.   We  present  two  concrete  use cases involving key techniques in the NLP domain for which we show that reproducing resul"&amp;"ts is still difficult.  We show that the deviation that can be found in reproduction  efforts  leads  to  questions  about how  our  results  should  be  interpreted. Moreover,  investigating  these  deviations provides new insights and a deeper understan"&amp;"ding of the examined techniques.  We identify five aspects that can influence the outcomes of experiments that are typically not addressed in research papers.  Our use cases show that these aspects may change the  answer  to  research  questions  leading "&amp;"us  to  conclude  that  more  care  should  betaken in interpreting our results and more research  involving  systematic  testing  of methods is required in our field.")</f>
        <v>Repeating experiments is an important instrument in the scientific toolbox to validate previous work and build upon existing  work.   We  present  two  concrete  use cases involving key techniques in the NLP domain for which we show that reproducing results is still difficult.  We show that the deviation that can be found in reproduction  efforts  leads  to  questions  about how  our  results  should  be  interpreted. Moreover,  investigating  these  deviations provides new insights and a deeper understanding of the examined techniques.  We identify five aspects that can influence the outcomes of experiments that are typically not addressed in research papers.  Our use cases show that these aspects may change the  answer  to  research  questions  leading us  to  conclude  that  more  care  should  betaken in interpreting our results and more research  involving  systematic  testing  of methods is required in our field.</v>
      </c>
    </row>
    <row r="4" ht="150.0" customHeight="1">
      <c r="A4" s="3" t="s">
        <v>11</v>
      </c>
      <c r="B4" s="4" t="str">
        <f>IFERROR(__xludf.DUMMYFUNCTION("IFERROR(REGEXEXTRACT(A4, ""author *= *""""([^""""]+)""""""),REGEXEXTRACT(A4, ""author *= *\{+([^\d]+)\}+""))"),"N{\'e}v{\'e}ol, Aur{\'e}lie  and
      Cohen, Kevin  and
      Grouin, Cyril  and
      Robert, Aude")</f>
        <v>N{\'e}v{\'e}ol, Aur{\'e}lie  and
      Cohen, Kevin  and
      Grouin, Cyril  and
      Robert, Aude</v>
      </c>
      <c r="C4" s="4" t="str">
        <f>IFERROR(__xludf.DUMMYFUNCTION("REGEXEXTRACT(A4, ""title *= *""""([^""""]+)"""""")"),"Replicability of Research in Biomedical Natural Language Processing: a pilot evaluation for a coding task")</f>
        <v>Replicability of Research in Biomedical Natural Language Processing: a pilot evaluation for a coding task</v>
      </c>
      <c r="D4" s="4" t="str">
        <f>IFERROR(__xludf.DUMMYFUNCTION("IFERROR(REGEXEXTRACT(A4, ""journal *= *""""+([^""""]*)""""""),REGEXEXTRACT(A4, ""booktitle *= *""""+([^""""]*)""""""))"),"Proceedings of the Seventh International Workshop on Health Text Mining and Information Analysis")</f>
        <v>Proceedings of the Seventh International Workshop on Health Text Mining and Information Analysis</v>
      </c>
      <c r="E4" s="4" t="str">
        <f>IFERROR(__xludf.DUMMYFUNCTION("REGEXEXTRACT(A4, ""year *= *""""([^""""]+)"""""")"),"2016")</f>
        <v>2016</v>
      </c>
      <c r="F4" s="4" t="s">
        <v>8</v>
      </c>
      <c r="G4" s="4" t="str">
        <f>IFERROR(__xludf.DUMMYFUNCTION("IFERROR(REGEXEXTRACT(A4, ""abstract *= *""""+([^""""]*)""""""),REGEXEXTRACT(A4, ""abstract *= *\{+(.*)\}""))"),"The  scientific  community  is  facing  raising concerns about the reproducibility of research in many fields.  To address this issue in Natural Language Processing, the CLEF eHealth 2016  lab  offered  a  replication  track  together with the Clinical In"&amp;"formation Extraction task. Herein, we report detailed results of the replication experiments carried out with the three systems submitted to the track.  While all results were ultimately replicated, we found that the systems were poorly rated by analysts "&amp;"on documentation  aspects  such  as  ”ease  of  understanding system requirements” (33%) and” provision of information while system is running” (33%).  As a result, simple steps could be taken by system authors to increase the ease of replicability of the"&amp;"ir work, thereby increasing the ease of reusing the systems.  Our experiments  aim  to  raise  the  awareness  of  the community towards the challenges of replication and community sharing of NLP systems.")</f>
        <v>The  scientific  community  is  facing  raising concerns about the reproducibility of research in many fields.  To address this issue in Natural Language Processing, the CLEF eHealth 2016  lab  offered  a  replication  track  together with the Clinical Information Extraction task. Herein, we report detailed results of the replication experiments carried out with the three systems submitted to the track.  While all results were ultimately replicated, we found that the systems were poorly rated by analysts on documentation  aspects  such  as  ”ease  of  understanding system requirements” (33%) and” provision of information while system is running” (33%).  As a result, simple steps could be taken by system authors to increase the ease of replicability of their work, thereby increasing the ease of reusing the systems.  Our experiments  aim  to  raise  the  awareness  of  the community towards the challenges of replication and community sharing of NLP systems.</v>
      </c>
    </row>
    <row r="5" ht="150.0" customHeight="1">
      <c r="A5" s="5" t="s">
        <v>12</v>
      </c>
      <c r="B5" s="4" t="str">
        <f>IFERROR(__xludf.DUMMYFUNCTION("IFERROR(REGEXEXTRACT(A5, ""author *= *""""([^""""]+)""""""),REGEXEXTRACT(A5, ""author *= *\{+([^\d]+)\}+""))"),"Fares, Murhaf  and
      Kutuzov, Andrey  and
      Oepen, Stephan  and
      Velldal, Erik")</f>
        <v>Fares, Murhaf  and
      Kutuzov, Andrey  and
      Oepen, Stephan  and
      Velldal, Erik</v>
      </c>
      <c r="C5" s="4" t="str">
        <f>IFERROR(__xludf.DUMMYFUNCTION("REGEXEXTRACT(A5, ""title *= *""""([^""""]+)"""""")"),"Word vectors, reuse, and replicability: Towards a community repository of large-text resources")</f>
        <v>Word vectors, reuse, and replicability: Towards a community repository of large-text resources</v>
      </c>
      <c r="D5" s="4" t="str">
        <f>IFERROR(__xludf.DUMMYFUNCTION("IFERROR(REGEXEXTRACT(A5, ""journal *= *""""+([^""""]*)""""""),REGEXEXTRACT(A5, ""booktitle *= *""""+([^""""]*)""""""))"),"Proceedings of the 21st Nordic Conference on Computational Linguistics")</f>
        <v>Proceedings of the 21st Nordic Conference on Computational Linguistics</v>
      </c>
      <c r="E5" s="4" t="str">
        <f>IFERROR(__xludf.DUMMYFUNCTION("REGEXEXTRACT(A5, ""year *= *""""([^""""]+)"""""")"),"2017")</f>
        <v>2017</v>
      </c>
      <c r="F5" s="4" t="s">
        <v>8</v>
      </c>
      <c r="G5" s="4" t="str">
        <f>IFERROR(__xludf.DUMMYFUNCTION("IFERROR(REGEXEXTRACT(A5, ""abstract *= *""""+([^""""]*)""""""),REGEXEXTRACT(A5, ""abstract *= *\{+(.*)\}""))"),"This paper describes an emerging shared repository of large-text resources for creating word vectors, including pre-processed corpora and pre-trained vectors for a range of frameworks and configurations.   This will facilitate reuse, rapid experimentation"&amp;", and replicability of results.")</f>
        <v>This paper describes an emerging shared repository of large-text resources for creating word vectors, including pre-processed corpora and pre-trained vectors for a range of frameworks and configurations.   This will facilitate reuse, rapid experimentation, and replicability of results.</v>
      </c>
    </row>
    <row r="6" ht="150.0" customHeight="1">
      <c r="A6" s="3" t="s">
        <v>13</v>
      </c>
      <c r="B6" s="4" t="str">
        <f>IFERROR(__xludf.DUMMYFUNCTION("IFERROR(REGEXEXTRACT(A6, ""author *= *""""([^""""]+)""""""),REGEXEXTRACT(A6, ""author *= *\{+([^\d]+)\}+""))"),"Dakota, Daniel  and
      K{\""u}bler, Sandra},
    booktitle = ""Proceedings of the International Conference Recent Advances in Natural Language Processing, {RANLP")</f>
        <v>Dakota, Daniel  and
      K{\"u}bler, Sandra},
    booktitle = "Proceedings of the International Conference Recent Advances in Natural Language Processing, {RANLP</v>
      </c>
      <c r="C6" s="4" t="str">
        <f>IFERROR(__xludf.DUMMYFUNCTION("REGEXEXTRACT(A6, ""title *= *""""([^""""]+)"""""")"),"Towards Replicability in Parsing")</f>
        <v>Towards Replicability in Parsing</v>
      </c>
      <c r="D6" s="4" t="str">
        <f>IFERROR(__xludf.DUMMYFUNCTION("IFERROR(REGEXEXTRACT(A6, ""journal *= *""""+([^""""]*)""""""),REGEXEXTRACT(A6, ""booktitle *= *""""+([^""""]*)""""""))"),"Proceedings of the International Conference Recent Advances in Natural Language Processing, {RANLP} 2017")</f>
        <v>Proceedings of the International Conference Recent Advances in Natural Language Processing, {RANLP} 2017</v>
      </c>
      <c r="E6" s="4" t="str">
        <f>IFERROR(__xludf.DUMMYFUNCTION("REGEXEXTRACT(A6, ""year *= *""""([^""""]+)"""""")"),"2017")</f>
        <v>2017</v>
      </c>
      <c r="F6" s="4" t="s">
        <v>8</v>
      </c>
      <c r="G6" s="4" t="str">
        <f>IFERROR(__xludf.DUMMYFUNCTION("IFERROR(REGEXEXTRACT(A6, ""abstract *= *""""+([^""""]*)""""""),REGEXEXTRACT(A6, ""abstract *= *\{+(.*)\}""))"),"We investigate parsing replicability across 7  languages  (and  8  treebanks),  showing that choices concerning the use of grammatical functions in parsing or evaluation and the influence of the rare word threshold,  as  well  as  choices  in  test  sente"&amp;"nces and  evaluation  script  options  have  considerable and often unexpected effects on parsing  accuracies.   All  of  those  choices need  to  be  carefully  documented  if  we want to ensure replicability.")</f>
        <v>We investigate parsing replicability across 7  languages  (and  8  treebanks),  showing that choices concerning the use of grammatical functions in parsing or evaluation and the influence of the rare word threshold,  as  well  as  choices  in  test  sentences and  evaluation  script  options  have  considerable and often unexpected effects on parsing  accuracies.   All  of  those  choices need  to  be  carefully  documented  if  we want to ensure replicability.</v>
      </c>
    </row>
    <row r="7" ht="150.0" customHeight="1">
      <c r="A7" s="3" t="s">
        <v>14</v>
      </c>
      <c r="B7" s="4" t="str">
        <f>IFERROR(__xludf.DUMMYFUNCTION("IFERROR(REGEXEXTRACT(A7, ""author *= *""""([^""""]+)""""""),REGEXEXTRACT(A7, ""author *= *\{+([^\d]+)\}+""))"),"Dror, Rotem  and
      Baumer, Gili  and
      Bogomolov, Marina  and
      Reichart, Roi")</f>
        <v>Dror, Rotem  and
      Baumer, Gili  and
      Bogomolov, Marina  and
      Reichart, Roi</v>
      </c>
      <c r="C7" s="4" t="str">
        <f>IFERROR(__xludf.DUMMYFUNCTION("REGEXEXTRACT(A7, ""title *= *""""([^""""]+)"""""")"),"Replicability Analysis for Natural Language Processing: Testing Significance with Multiple Datasets")</f>
        <v>Replicability Analysis for Natural Language Processing: Testing Significance with Multiple Datasets</v>
      </c>
      <c r="D7" s="4" t="str">
        <f>IFERROR(__xludf.DUMMYFUNCTION("IFERROR(REGEXEXTRACT(A7, ""journal *= *""""+([^""""]*)""""""),REGEXEXTRACT(A7, ""booktitle *= *""""+([^""""]*)""""""))"),"Transactions of the Association for Computational Linguistics")</f>
        <v>Transactions of the Association for Computational Linguistics</v>
      </c>
      <c r="E7" s="4" t="str">
        <f>IFERROR(__xludf.DUMMYFUNCTION("REGEXEXTRACT(A7, ""year *= *""""([^""""]+)"""""")"),"2017")</f>
        <v>2017</v>
      </c>
      <c r="F7" s="4" t="s">
        <v>15</v>
      </c>
      <c r="G7" s="4" t="str">
        <f>IFERROR(__xludf.DUMMYFUNCTION("IFERROR(REGEXEXTRACT(A7, ""abstract *= *""""+([^""""]*)""""""),REGEXEXTRACT(A7, ""abstract *= *\{+(.*)\}""))"),"With the ever growing amount of textual data from a large variety of languages, domains, and genres, it has become standard to evaluate NLP algorithms on multiple datasets in order to ensure a consistent performance across heterogeneous setups. However, s"&amp;"uch multiple comparisons pose significant challenges to traditional statistical analysis methods in NLP and can lead to erroneous conclusions. In this paper we propose a Replicability Analysis framework for a statistically sound analysis of multiple compa"&amp;"risons between algorithms for NLP tasks. We discuss the theoretical advantages of this framework over the current, statistically unjustified, practice in the NLP literature, and demonstrate its empirical value across four applications: multi-domain depend"&amp;"ency parsing, multilingual POS tagging, cross-domain sentiment classification and word similarity prediction.")</f>
        <v>With the ever growing amount of textual data from a large variety of languages, domains, and genres, it has become standard to evaluate NLP algorithms on multiple datasets in order to ensure a consistent performance across heterogeneous setups. However, such multiple comparisons pose significant challenges to traditional statistical analysis methods in NLP and can lead to erroneous conclusions. In this paper we propose a Replicability Analysis framework for a statistically sound analysis of multiple comparisons between algorithms for NLP tasks. We discuss the theoretical advantages of this framework over the current, statistically unjustified, practice in the NLP literature, and demonstrate its empirical value across four applications: multi-domain dependency parsing, multilingual POS tagging, cross-domain sentiment classification and word similarity prediction.</v>
      </c>
    </row>
    <row r="8" ht="150.0" customHeight="1">
      <c r="A8" s="3" t="s">
        <v>16</v>
      </c>
      <c r="B8" s="4" t="str">
        <f>IFERROR(__xludf.DUMMYFUNCTION("IFERROR(REGEXEXTRACT(A8, ""author *= *""""([^""""]+)""""""),REGEXEXTRACT(A8, ""author *= *\{+([^\d]+)\}+""))"),"Marrese-Taylor, Edison  and
      Matsuo, Yutaka")</f>
        <v>Marrese-Taylor, Edison  and
      Matsuo, Yutaka</v>
      </c>
      <c r="C8" s="4" t="str">
        <f>IFERROR(__xludf.DUMMYFUNCTION("REGEXEXTRACT(A8, ""title *= *""""([^""""]+)"""""")"),"Replication issues in syntax-based aspect extraction for opinion mining")</f>
        <v>Replication issues in syntax-based aspect extraction for opinion mining</v>
      </c>
      <c r="D8" s="4" t="str">
        <f>IFERROR(__xludf.DUMMYFUNCTION("IFERROR(REGEXEXTRACT(A8, ""journal *= *""""+([^""""]*)""""""),REGEXEXTRACT(A8, ""booktitle *= *""""+([^""""]*)""""""))"),"Proceedings of the Student Research Workshop at the 15th Conference of the {E}uropean Chapter of the Association for Computational Linguistics")</f>
        <v>Proceedings of the Student Research Workshop at the 15th Conference of the {E}uropean Chapter of the Association for Computational Linguistics</v>
      </c>
      <c r="E8" s="4" t="str">
        <f>IFERROR(__xludf.DUMMYFUNCTION("REGEXEXTRACT(A8, ""year *= *""""([^""""]+)"""""")"),"2017")</f>
        <v>2017</v>
      </c>
      <c r="F8" s="4" t="s">
        <v>17</v>
      </c>
      <c r="G8" s="4" t="str">
        <f>IFERROR(__xludf.DUMMYFUNCTION("IFERROR(REGEXEXTRACT(A8, ""abstract *= *""""+([^""""]*)""""""),REGEXEXTRACT(A8, ""abstract *= *\{+(.*)\}""))"),"Reproducing experiments is an important instrument to validate previous work and build upon existing approaches. It has been tackled numerous times in different areas of science. In this paper, we introduce an empirical replicability study of three well-k"&amp;"nown algorithms for syntactic centric aspect-based opinion mining. We show that reproducing results continues to be a difficult endeavor, mainly due to the lack of details regarding preprocessing and parameter setting, as well as due to the absence of ava"&amp;"ilable implementations that clarify these details. We consider these are important threats to validity of the research on the field, specifically when compared to other problems in NLP where public datasets and code availability are critical validity comp"&amp;"onents. We conclude by encouraging code-based research, which we think has a key role in helping researchers to understand the meaning of the state-of-the-art better and to generate continuous advances.")</f>
        <v>Reproducing experiments is an important instrument to validate previous work and build upon existing approaches. It has been tackled numerous times in different areas of science. In this paper, we introduce an empirical replicability study of three well-known algorithms for syntactic centric aspect-based opinion mining. We show that reproducing results continues to be a difficult endeavor, mainly due to the lack of details regarding preprocessing and parameter setting, as well as due to the absence of available implementations that clarify these details. We consider these are important threats to validity of the research on the field, specifically when compared to other problems in NLP where public datasets and code availability are critical validity components. We conclude by encouraging code-based research, which we think has a key role in helping researchers to understand the meaning of the state-of-the-art better and to generate continuous advances.</v>
      </c>
    </row>
    <row r="9" ht="150.0" customHeight="1">
      <c r="A9" s="3" t="s">
        <v>18</v>
      </c>
      <c r="B9" s="4" t="str">
        <f>IFERROR(__xludf.DUMMYFUNCTION("IFERROR(REGEXEXTRACT(A9, ""author *= *""""([^""""]+)""""""),REGEXEXTRACT(A9, ""author *= *\{+([^\d]+)\}+""))"),"Horsmann, Tobias  and
      Zesch, Torsten")</f>
        <v>Horsmann, Tobias  and
      Zesch, Torsten</v>
      </c>
      <c r="C9" s="4" t="str">
        <f>IFERROR(__xludf.DUMMYFUNCTION("REGEXEXTRACT(A9, ""title *= *""""([^""""]+)"""""")"),"Do {LSTM}s really work so well for {P}o{S} tagging? {--} A replication study")</f>
        <v>Do {LSTM}s really work so well for {P}o{S} tagging? {--} A replication study</v>
      </c>
      <c r="D9" s="4" t="str">
        <f>IFERROR(__xludf.DUMMYFUNCTION("IFERROR(REGEXEXTRACT(A9, ""journal *= *""""+([^""""]*)""""""),REGEXEXTRACT(A9, ""booktitle *= *""""+([^""""]*)""""""))"),"Proceedings of the 2017 Conference on Empirical Methods in Natural Language Processing")</f>
        <v>Proceedings of the 2017 Conference on Empirical Methods in Natural Language Processing</v>
      </c>
      <c r="E9" s="4" t="str">
        <f>IFERROR(__xludf.DUMMYFUNCTION("REGEXEXTRACT(A9, ""year *= *""""([^""""]+)"""""")"),"2017")</f>
        <v>2017</v>
      </c>
      <c r="F9" s="4" t="s">
        <v>19</v>
      </c>
      <c r="G9" s="4" t="str">
        <f>IFERROR(__xludf.DUMMYFUNCTION("IFERROR(REGEXEXTRACT(A9, ""abstract *= *""""+([^""""]*)""""""),REGEXEXTRACT(A9, ""abstract *= *\{+(.*)\}""))"),"A recent study by Plank et al. (2016) found that  LSTM-based  PoS  taggers  considerably improve over the current state-of-the-art when evaluated on the corpora of the Universal Dependencies project that use a coarse-grained tagset.   We  replicate  this "&amp;"study  using  a  fresh  collection  of  27  corpora  of  21  languages  that  are  annotated with fine-grained tagsets of varying size. Our replication confirms the result in general, and we additionally find that the advantage of LSTMs is even bigger for"&amp;" larger tagsets.   However,  we  also  find  that  for the very large tagsets of morphologically rich  languages,  hand-crafted  morphological  lexicons  are  still  necessary  to  reach state-of-the-art performance.")</f>
        <v>A recent study by Plank et al. (2016) found that  LSTM-based  PoS  taggers  considerably improve over the current state-of-the-art when evaluated on the corpora of the Universal Dependencies project that use a coarse-grained tagset.   We  replicate  this study  using  a  fresh  collection  of  27  corpora  of  21  languages  that  are  annotated with fine-grained tagsets of varying size. Our replication confirms the result in general, and we additionally find that the advantage of LSTMs is even bigger for larger tagsets.   However,  we  also  find  that  for the very large tagsets of morphologically rich  languages,  hand-crafted  morphological  lexicons  are  still  necessary  to  reach state-of-the-art performance.</v>
      </c>
    </row>
    <row r="10" ht="150.0" customHeight="1">
      <c r="A10" s="3" t="s">
        <v>20</v>
      </c>
      <c r="B10" s="4" t="str">
        <f>IFERROR(__xludf.DUMMYFUNCTION("IFERROR(REGEXEXTRACT(A10, ""author *= *""""([^""""]+)""""""),REGEXEXTRACT(A10, ""author *= *\{+([^\d]+)\}+""))"),"Morey, Mathieu  and
      Muller, Philippe  and
      Asher, Nicholas")</f>
        <v>Morey, Mathieu  and
      Muller, Philippe  and
      Asher, Nicholas</v>
      </c>
      <c r="C10" s="4" t="str">
        <f>IFERROR(__xludf.DUMMYFUNCTION("REGEXEXTRACT(A10, ""title *= *""""([^""""]+)"""""")"),"How much progress have we made on {RST} discourse parsing? A replication study of recent results on the {RST}-{DT}")</f>
        <v>How much progress have we made on {RST} discourse parsing? A replication study of recent results on the {RST}-{DT}</v>
      </c>
      <c r="D10" s="4" t="str">
        <f>IFERROR(__xludf.DUMMYFUNCTION("IFERROR(REGEXEXTRACT(A10, ""journal *= *""""+([^""""]*)""""""),REGEXEXTRACT(A10, ""booktitle *= *""""+([^""""]*)""""""))"),"Proceedings of the 2017 Conference on Empirical Methods in Natural Language Processing")</f>
        <v>Proceedings of the 2017 Conference on Empirical Methods in Natural Language Processing</v>
      </c>
      <c r="E10" s="4" t="str">
        <f>IFERROR(__xludf.DUMMYFUNCTION("REGEXEXTRACT(A10, ""year *= *""""([^""""]+)"""""")"),"2017")</f>
        <v>2017</v>
      </c>
      <c r="F10" s="4" t="s">
        <v>19</v>
      </c>
      <c r="G10" s="4" t="str">
        <f>IFERROR(__xludf.DUMMYFUNCTION("IFERROR(REGEXEXTRACT(A10, ""abstract *= *""""+([^""""]*)""""""),REGEXEXTRACT(A10, ""abstract *= *\{+(.*)\}""))"),"This article evaluates purported progress over the past years in RST discourse parsing. Several studies report a relative error reduction of 24 to 51% on all metrics that authors attribute to the introduction of distributed representations of discourse un"&amp;"its. We replicate the standard evaluation of 9 parsers, 5 of which use distributed representations, from 8 studies published between 2013 and 2017, using their predictions on the test set of the RST-DT. Our main finding is that most recently reported incr"&amp;"eases in RST discourse parser performance are an artefact of differences in implementations of the evaluation procedure. We evaluate all these parsers with the standard Parseval procedure to provide a more accurate picture of the actual RST discourse pars"&amp;"ers performance in standard evaluation settings. Under this more stringent procedure, the gains attributable to distributed representations represent at most a 16% relative error reduction on fully-labelled structures.")</f>
        <v>This article evaluates purported progress over the past years in RST discourse parsing. Several studies report a relative error reduction of 24 to 51% on all metrics that authors attribute to the introduction of distributed representations of discourse units. We replicate the standard evaluation of 9 parsers, 5 of which use distributed representations, from 8 studies published between 2013 and 2017, using their predictions on the test set of the RST-DT. Our main finding is that most recently reported increases in RST discourse parser performance are an artefact of differences in implementations of the evaluation procedure. We evaluate all these parsers with the standard Parseval procedure to provide a more accurate picture of the actual RST discourse parsers performance in standard evaluation settings. Under this more stringent procedure, the gains attributable to distributed representations represent at most a 16% relative error reduction on fully-labelled structures.</v>
      </c>
    </row>
    <row r="11" ht="150.0" customHeight="1">
      <c r="A11" s="5" t="s">
        <v>21</v>
      </c>
      <c r="B11" s="4" t="str">
        <f>IFERROR(__xludf.DUMMYFUNCTION("IFERROR(REGEXEXTRACT(A11, ""author *= *""""([^""""]+)""""""),REGEXEXTRACT(A11, ""author *= *\{+([^\d]+)\}+""))"),"Htut, Phu Mon  and
      Cho, Kyunghyun  and
      Bowman, Samuel")</f>
        <v>Htut, Phu Mon  and
      Cho, Kyunghyun  and
      Bowman, Samuel</v>
      </c>
      <c r="C11" s="4" t="str">
        <f>IFERROR(__xludf.DUMMYFUNCTION("REGEXEXTRACT(A11, ""title *= *""""([^""""]+)"""""")"),"Grammar Induction with Neural Language Models: An Unusual Replication")</f>
        <v>Grammar Induction with Neural Language Models: An Unusual Replication</v>
      </c>
      <c r="D11" s="4" t="str">
        <f>IFERROR(__xludf.DUMMYFUNCTION("IFERROR(REGEXEXTRACT(A11, ""journal *= *""""+([^""""]*)""""""),REGEXEXTRACT(A11, ""booktitle *= *""""+([^""""]*)""""""))"),"Proceedings of the 2018 {EMNLP} Workshop {B}lackbox{NLP}: Analyzing and Interpreting Neural Networks for {NLP}")</f>
        <v>Proceedings of the 2018 {EMNLP} Workshop {B}lackbox{NLP}: Analyzing and Interpreting Neural Networks for {NLP}</v>
      </c>
      <c r="E11" s="4" t="str">
        <f>IFERROR(__xludf.DUMMYFUNCTION("REGEXEXTRACT(A11, ""year *= *""""([^""""]+)"""""")"),"2018")</f>
        <v>2018</v>
      </c>
      <c r="F11" s="4" t="s">
        <v>8</v>
      </c>
      <c r="G11" s="4" t="str">
        <f>IFERROR(__xludf.DUMMYFUNCTION("IFERROR(REGEXEXTRACT(A11, ""abstract *= *""""+([^""""]*)""""""),REGEXEXTRACT(A11, ""abstract *= *\{+(.*)\}""))"),"Grammar induction is the task of learning syntactic structure without the expert-labeled treebanks (Charniak and Carroll, 1992; Klein and Manning, 2002). Recent work on latent tree learning offers a new family of approaches to this problem by inducing syn"&amp;"tactic structure using the supervision from a downstream NLP task (Yogatama et al., 2017; Maillard et al., 2017; Choi et al., 2018). In a recent paper published at ICLR, Shen et al. (2018) introduce such a model and report near state-of-the-art results on"&amp;" the target task of language modeling, and the first strong latent tree learning result on constituency parsing. During the analysis of this model, we discover issues that make the original results hard to trust, including tuning and even training on what"&amp;" is effectively the test set. Here, we analyze the model under different configurations to understand what it learns and to identify the conditions under which it succeeds. We find that this model represents the first empirical success for neural network "&amp;"latent tree learning, and that neural language modeling warrants further study as a setting for grammar induction.")</f>
        <v>Grammar induction is the task of learning syntactic structure without the expert-labeled treebanks (Charniak and Carroll, 1992; Klein and Manning, 2002). Recent work on latent tree learning offers a new family of approaches to this problem by inducing syntactic structure using the supervision from a downstream NLP task (Yogatama et al., 2017; Maillard et al., 2017; Choi et al., 2018). In a recent paper published at ICLR, Shen et al. (2018) introduce such a model and report near state-of-the-art results on the target task of language modeling, and the first strong latent tree learning result on constituency parsing. During the analysis of this model, we discover issues that make the original results hard to trust, including tuning and even training on what is effectively the test set. Here, we analyze the model under different configurations to understand what it learns and to identify the conditions under which it succeeds. We find that this model represents the first empirical success for neural network latent tree learning, and that neural language modeling warrants further study as a setting for grammar induction.</v>
      </c>
    </row>
    <row r="12" ht="150.0" customHeight="1">
      <c r="A12" s="3" t="s">
        <v>22</v>
      </c>
      <c r="B12" s="4" t="str">
        <f>IFERROR(__xludf.DUMMYFUNCTION("IFERROR(REGEXEXTRACT(A12, ""author *= *""""([^""""]+)""""""),REGEXEXTRACT(A12, ""author *= *\{+([^\d]+)\}+""))"),"Crane, Matt")</f>
        <v>Crane, Matt</v>
      </c>
      <c r="C12" s="4" t="str">
        <f>IFERROR(__xludf.DUMMYFUNCTION("REGEXEXTRACT(A12, ""title *= *""""([^""""]+)"""""")"),"Questionable Answers in Question Answering Research: Reproducibility and Variability of Published Results")</f>
        <v>Questionable Answers in Question Answering Research: Reproducibility and Variability of Published Results</v>
      </c>
      <c r="D12" s="4" t="str">
        <f>IFERROR(__xludf.DUMMYFUNCTION("IFERROR(REGEXEXTRACT(A12, ""journal *= *""""+([^""""]*)""""""),REGEXEXTRACT(A12, ""booktitle *= *""""+([^""""]*)""""""))"),"Transactions of the Association for Computational Linguistics")</f>
        <v>Transactions of the Association for Computational Linguistics</v>
      </c>
      <c r="E12" s="4" t="str">
        <f>IFERROR(__xludf.DUMMYFUNCTION("REGEXEXTRACT(A12, ""year *= *""""([^""""]+)"""""")"),"2018")</f>
        <v>2018</v>
      </c>
      <c r="F12" s="4" t="s">
        <v>15</v>
      </c>
      <c r="G12" s="4" t="str">
        <f>IFERROR(__xludf.DUMMYFUNCTION("IFERROR(REGEXEXTRACT(A12, ""abstract *= *""""+([^""""]*)""""""),REGEXEXTRACT(A12, ""abstract *= *\{+(.*)\}""))"),"Based on theoretical reasoning it has been suggested that the reliability of findings published in the scientific literature decreases with the popularity of a research field” (Pfeiffer and Hoffmann, 2009). As we know, deep learning is very popular and th"&amp;"e ability to reproduce results is an important part of science. There is growing concern within the deep learning community about the reproducibility of results that are presented. In this paper we present a number of controllable, yet unreported, effects"&amp;" that can substantially change the effectiveness of a sample model, and thusly the reproducibility of those results. Through these environmental effects we show that the commonly held belief that distribution of source code is all that is needed for repro"&amp;"ducibility is not enough. Source code without a reproducible environment does not mean anything at all. In addition the range of results produced from these effects can be larger than the majority of incremental improvement reported.")</f>
        <v>Based on theoretical reasoning it has been suggested that the reliability of findings published in the scientific literature decreases with the popularity of a research field” (Pfeiffer and Hoffmann, 2009). As we know, deep learning is very popular and the ability to reproduce results is an important part of science. There is growing concern within the deep learning community about the reproducibility of results that are presented. In this paper we present a number of controllable, yet unreported, effects that can substantially change the effectiveness of a sample model, and thusly the reproducibility of those results. Through these environmental effects we show that the commonly held belief that distribution of source code is all that is needed for reproducibility is not enough. Source code without a reproducible environment does not mean anything at all. In addition the range of results produced from these effects can be larger than the majority of incremental improvement reported.</v>
      </c>
    </row>
    <row r="13" ht="150.0" customHeight="1">
      <c r="A13" s="3" t="s">
        <v>23</v>
      </c>
      <c r="B13" s="4" t="str">
        <f>IFERROR(__xludf.DUMMYFUNCTION("IFERROR(REGEXEXTRACT(A13, ""author *= *""""([^""""]+)""""""),REGEXEXTRACT(A13, ""author *= *\{+([^\d]+)\}+""))"),"Branco, Ant{\'o}nio")</f>
        <v>Branco, Ant{\'o}nio</v>
      </c>
      <c r="C13" s="4" t="str">
        <f>IFERROR(__xludf.DUMMYFUNCTION("REGEXEXTRACT(A13, ""title *= *""""([^""""]+)"""""")"),"We Are Depleting Our Research Subject as We Are Investigating It: In Language Technology, more Replication and Diversity Are Needed")</f>
        <v>We Are Depleting Our Research Subject as We Are Investigating It: In Language Technology, more Replication and Diversity Are Needed</v>
      </c>
      <c r="D13" s="4" t="str">
        <f>IFERROR(__xludf.DUMMYFUNCTION("IFERROR(REGEXEXTRACT(A13, ""journal *= *""""+([^""""]*)""""""),REGEXEXTRACT(A13, ""booktitle *= *""""+([^""""]*)""""""))"),"Proceedings of the Eleventh International Conference on Language Resources and Evaluation ({LREC} 2018)")</f>
        <v>Proceedings of the Eleventh International Conference on Language Resources and Evaluation ({LREC} 2018)</v>
      </c>
      <c r="E13" s="4" t="str">
        <f>IFERROR(__xludf.DUMMYFUNCTION("REGEXEXTRACT(A13, ""year *= *""""([^""""]+)"""""")"),"2018")</f>
        <v>2018</v>
      </c>
      <c r="F13" s="4" t="s">
        <v>24</v>
      </c>
      <c r="G13" s="4" t="str">
        <f>IFERROR(__xludf.DUMMYFUNCTION("IFERROR(REGEXEXTRACT(A13, ""abstract *= *""""+([^""""]*)""""""),REGEXEXTRACT(A13, ""abstract *= *\{+(.*)\}""))"),"In this paper, we present an analysis indicating that, in language technology, as we are investigating natural language we are contributing to deplete it in the sense that we are contributing to reduce the diversity of languages.  To address this circumst"&amp;"ance, we propose that more replication and reproduction and more language diversity need to be taken into account in our research activities.")</f>
        <v>In this paper, we present an analysis indicating that, in language technology, as we are investigating natural language we are contributing to deplete it in the sense that we are contributing to reduce the diversity of languages.  To address this circumstance, we propose that more replication and reproduction and more language diversity need to be taken into account in our research activities.</v>
      </c>
    </row>
    <row r="14" ht="150.0" customHeight="1">
      <c r="A14" s="3" t="s">
        <v>25</v>
      </c>
      <c r="B14" s="4" t="str">
        <f>IFERROR(__xludf.DUMMYFUNCTION("IFERROR(REGEXEXTRACT(A14, ""author *= *""""([^""""]+)""""""),REGEXEXTRACT(A14, ""author *= *\{+([^\d]+)\}+""))"),"Cohen, K. Bretonnel  and
      Xia, Jingbo  and
      Zweigenbaum, Pierre  and
      Callahan, Tiffany  and
      Hargraves, Orin  and
      Goss, Foster  and
      Ide, Nancy  and
      N{\'e}v{\'e}ol, Aur{\'e}lie  and
      Grouin, Cyril  and
      Hunt"&amp;"er, Lawrence E.")</f>
        <v>Cohen, K. Bretonnel  and
      Xia, Jingbo  and
      Zweigenbaum, Pierre  and
      Callahan, Tiffany  and
      Hargraves, Orin  and
      Goss, Foster  and
      Ide, Nancy  and
      N{\'e}v{\'e}ol, Aur{\'e}lie  and
      Grouin, Cyril  and
      Hunter, Lawrence E.</v>
      </c>
      <c r="C14" s="4" t="str">
        <f>IFERROR(__xludf.DUMMYFUNCTION("REGEXEXTRACT(A14, ""title *= *""""([^""""]+)"""""")"),"Three Dimensions of Reproducibility in Natural Language Processing")</f>
        <v>Three Dimensions of Reproducibility in Natural Language Processing</v>
      </c>
      <c r="D14" s="4" t="str">
        <f>IFERROR(__xludf.DUMMYFUNCTION("IFERROR(REGEXEXTRACT(A14, ""journal *= *""""+([^""""]*)""""""),REGEXEXTRACT(A14, ""booktitle *= *""""+([^""""]*)""""""))"),"Proceedings of the Eleventh International Conference on Language Resources and Evaluation ({LREC} 2018)")</f>
        <v>Proceedings of the Eleventh International Conference on Language Resources and Evaluation ({LREC} 2018)</v>
      </c>
      <c r="E14" s="4" t="str">
        <f>IFERROR(__xludf.DUMMYFUNCTION("REGEXEXTRACT(A14, ""year *= *""""([^""""]+)"""""")"),"2018")</f>
        <v>2018</v>
      </c>
      <c r="F14" s="4" t="s">
        <v>24</v>
      </c>
      <c r="G14" s="4" t="str">
        <f>IFERROR(__xludf.DUMMYFUNCTION("IFERROR(REGEXEXTRACT(A14, ""abstract *= *""""+([^""""]*)""""""),REGEXEXTRACT(A14, ""abstract *= *\{+(.*)\}""))"),"Despite  considerable  recent  attention  to  problems  with  reproducibility  of  scientific  research,  there  is  a  striking  lack  of  agreement about the definition of the term.  That is a problem, because the lack of a consensus definition makes it"&amp;" difficult to compare studies of reproducibility, and thus to have even a broad overview of the state of the issue in natural language processing.  This paper proposes anontology of reproducibility in that field. Its goal is to enhance both future researc"&amp;"h and communication about the topic, and retrospective meta-analyses. We show that three dimensions of reproducibility, corresponding to three kinds of claims in natural language processing papers, can account for a variety of types of research reports. T"&amp;"hese dimensions are reproducibility of aconclusion, of a finding, and ofavalue. Three biomedical natural language processing papers by the authors of this paper are analyzed with respect to these dimensions.")</f>
        <v>Despite  considerable  recent  attention  to  problems  with  reproducibility  of  scientific  research,  there  is  a  striking  lack  of  agreement about the definition of the term.  That is a problem, because the lack of a consensus definition makes it difficult to compare studies of reproducibility, and thus to have even a broad overview of the state of the issue in natural language processing.  This paper proposes anontology of reproducibility in that field. Its goal is to enhance both future research and communication about the topic, and retrospective meta-analyses. We show that three dimensions of reproducibility, corresponding to three kinds of claims in natural language processing papers, can account for a variety of types of research reports. These dimensions are reproducibility of aconclusion, of a finding, and ofavalue. Three biomedical natural language processing papers by the authors of this paper are analyzed with respect to these dimensions.</v>
      </c>
    </row>
    <row r="15" ht="150.0" customHeight="1">
      <c r="A15" s="5" t="s">
        <v>26</v>
      </c>
      <c r="B15" s="4" t="str">
        <f>IFERROR(__xludf.DUMMYFUNCTION("IFERROR(REGEXEXTRACT(A15, ""author *= *""""([^=]+)""""""),REGEXEXTRACT(A15, ""author *= *\{+([^=]+)\}+""))"),"G{\""a}rtner, Markus  and
      Hahn, Uli  and
      Hermann, Sibylle")</f>
        <v>G{\"a}rtner, Markus  and
      Hahn, Uli  and
      Hermann, Sibylle</v>
      </c>
      <c r="C15" s="4" t="str">
        <f>IFERROR(__xludf.DUMMYFUNCTION("REGEXEXTRACT(A15, ""title *= *""""([^""""]+)"""""")"),"Preserving Workflow Reproducibility: The {R}e{P}lay-{DH} Client as a Tool for Process Documentation")</f>
        <v>Preserving Workflow Reproducibility: The {R}e{P}lay-{DH} Client as a Tool for Process Documentation</v>
      </c>
      <c r="D15" s="4" t="str">
        <f>IFERROR(__xludf.DUMMYFUNCTION("IFERROR(REGEXEXTRACT(A15, ""journal *= *""""+([^""""]*)""""""),REGEXEXTRACT(A15, ""booktitle *= *""""+([^""""]*)""""""))"),"Proceedings of the Eleventh International Conference on Language Resources and Evaluation ({LREC} 2018)")</f>
        <v>Proceedings of the Eleventh International Conference on Language Resources and Evaluation ({LREC} 2018)</v>
      </c>
      <c r="E15" s="4" t="str">
        <f>IFERROR(__xludf.DUMMYFUNCTION("REGEXEXTRACT(A15, ""year *= *""""([^""""]+)"""""")"),"2018")</f>
        <v>2018</v>
      </c>
      <c r="F15" s="4" t="s">
        <v>24</v>
      </c>
      <c r="G15" s="4" t="str">
        <f>IFERROR(__xludf.DUMMYFUNCTION("IFERROR(REGEXEXTRACT(A15, ""abstract *= *""""+([^=]+)""""""),REGEXEXTRACT(A15, ""abstract *= *\{+(.+)\}""))"),"In  this  paper  we  present  a  software  tool  for  elicitation  and  management  of  process  metadata.   It  follows  our  previously  published design idea of an assistant for researchers that aims at minimizing the additional effort required for pro"&amp;"ducing a sustainable workflow documentation.   With  the  ever-growing  number  of  linguistic  resources  available,  it  also  becomes  increasingly  important  to  provide proper  documentation  to  make  them  comparable  and  to  allow  meaningful  e"&amp;"valuations  for  specific  use  cases.   The  often  prevailing practice  of  post  hoc  documentation  of  resource  generation  or  research  processes  bears  the  risk  of  information  loss.   Not  only  does detailed documentation of a process aid i"&amp;"n achieving reproducibility, it also increases usefulness of the documented work for others asa cornerstone of good scientific practice.  Time pressure together with the lack of simple documentation methods leads to workflow documentation in practice bein"&amp;"g an arduous and often neglected task. Our tool ensures a clean documentation for common workflows innatural language processing and digital humanities. Additionally, it can easily be integrated into existing institutional infrastructures.")</f>
        <v>In  this  paper  we  present  a  software  tool  for  elicitation  and  management  of  process  metadata.   It  follows  our  previously  published design idea of an assistant for researchers that aims at minimizing the additional effort required for producing a sustainable workflow documentation.   With  the  ever-growing  number  of  linguistic  resources  available,  it  also  becomes  increasingly  important  to  provide proper  documentation  to  make  them  comparable  and  to  allow  meaningful  evaluations  for  specific  use  cases.   The  often  prevailing practice  of  post  hoc  documentation  of  resource  generation  or  research  processes  bears  the  risk  of  information  loss.   Not  only  does detailed documentation of a process aid in achieving reproducibility, it also increases usefulness of the documented work for others asa cornerstone of good scientific practice.  Time pressure together with the lack of simple documentation methods leads to workflow documentation in practice being an arduous and often neglected task. Our tool ensures a clean documentation for common workflows innatural language processing and digital humanities. Additionally, it can easily be integrated into existing institutional infrastructures.</v>
      </c>
    </row>
    <row r="16" ht="150.0" customHeight="1">
      <c r="A16" s="5" t="s">
        <v>27</v>
      </c>
      <c r="B16" s="4" t="str">
        <f>IFERROR(__xludf.DUMMYFUNCTION("IFERROR(REGEXEXTRACT(A16, ""author *= *""""([^""""]+)""""""),REGEXEXTRACT(A16, ""author *= *\{+([^\d]+)\}+""))"),"Horsmann, Tobias  and
      Zesch, Torsten")</f>
        <v>Horsmann, Tobias  and
      Zesch, Torsten</v>
      </c>
      <c r="C16" s="4" t="str">
        <f>IFERROR(__xludf.DUMMYFUNCTION("REGEXEXTRACT(A16, ""title *= *""""([^""""]+)"""""")"),"{D}eep{TC} {--} An Extension of {DKP}ro Text Classification for Fostering Reproducibility of Deep Learning Experiments")</f>
        <v>{D}eep{TC} {--} An Extension of {DKP}ro Text Classification for Fostering Reproducibility of Deep Learning Experiments</v>
      </c>
      <c r="D16" s="4" t="str">
        <f>IFERROR(__xludf.DUMMYFUNCTION("IFERROR(REGEXEXTRACT(A16, ""journal *= *""""+([^""""]*)""""""),REGEXEXTRACT(A16, ""booktitle *= *""""+([^""""]*)""""""))"),"Proceedings of the Eleventh International Conference on Language Resources and Evaluation ({LREC} 2018)")</f>
        <v>Proceedings of the Eleventh International Conference on Language Resources and Evaluation ({LREC} 2018)</v>
      </c>
      <c r="E16" s="4" t="str">
        <f>IFERROR(__xludf.DUMMYFUNCTION("REGEXEXTRACT(A16, ""year *= *""""([^""""]+)"""""")"),"2018")</f>
        <v>2018</v>
      </c>
      <c r="F16" s="4" t="s">
        <v>24</v>
      </c>
      <c r="G16" s="4" t="str">
        <f>IFERROR(__xludf.DUMMYFUNCTION("IFERROR(REGEXEXTRACT(A16, ""abstract *= *""""+([^""""]+)""""""),REGEXEXTRACT(A16, ""abstract *= *\{+(.+)\}""))"),"We present a deep learning extension for the multi-purpose text classification framework DKPro Text Classification (DKPro TC). DKProTC is a flexible framework for creating easily shareable and reproducible end-to-end NLP experiments involving machine lear"&amp;"ning. We provide an overview of the current state of DKPro TC, which does not allow integration of deep learning, and discuss the necessary conceptual extensions.  These extensions are based on an analysis of common deep learning setups found in the liter"&amp;"ature to support all common text classification setups, i.e. single outcome, multi outcome, and sequence classification problems.  Additionally to providing an end-to-end shareable environment for deep learning experiments, we provide convenience features"&amp;" that take care of repetitive steps, such as pre-processing, data vectorization and pruning of embeddings.  By moving a large part of this boilerplate code into DKPro TC, the actual deep learning framework code improves in readability and lowers the amoun"&amp;"t of redundant source code considerably.  As proof-of-concept, we integrate Keras, DyNet, and DeepLearning4J.")</f>
        <v>We present a deep learning extension for the multi-purpose text classification framework DKPro Text Classification (DKPro TC). DKProTC is a flexible framework for creating easily shareable and reproducible end-to-end NLP experiments involving machine learning. We provide an overview of the current state of DKPro TC, which does not allow integration of deep learning, and discuss the necessary conceptual extensions.  These extensions are based on an analysis of common deep learning setups found in the literature to support all common text classification setups, i.e. single outcome, multi outcome, and sequence classification problems.  Additionally to providing an end-to-end shareable environment for deep learning experiments, we provide convenience features that take care of repetitive steps, such as pre-processing, data vectorization and pruning of embeddings.  By moving a large part of this boilerplate code into DKPro TC, the actual deep learning framework code improves in readability and lowers the amount of redundant source code considerably.  As proof-of-concept, we integrate Keras, DyNet, and DeepLearning4J.</v>
      </c>
    </row>
    <row r="17" ht="150.0" customHeight="1">
      <c r="A17" s="3" t="s">
        <v>28</v>
      </c>
      <c r="B17" s="4" t="str">
        <f>IFERROR(__xludf.DUMMYFUNCTION("IFERROR(REGEXEXTRACT(A17, ""author *= *""""([^""""]+)""""""),REGEXEXTRACT(A17, ""author *= *\{+([^\d]+)\}+""))"),"Wieling, Martijn  and
      Rawee, Josine  and
      van Noord, Gertjan")</f>
        <v>Wieling, Martijn  and
      Rawee, Josine  and
      van Noord, Gertjan</v>
      </c>
      <c r="C17" s="4" t="str">
        <f>IFERROR(__xludf.DUMMYFUNCTION("REGEXEXTRACT(A17, ""title *= *""""([^""""]+)"""""")"),"{S}quib: Reproducibility in Computational Linguistics: Are We Willing to Share?")</f>
        <v>{S}quib: Reproducibility in Computational Linguistics: Are We Willing to Share?</v>
      </c>
      <c r="D17" s="4" t="str">
        <f>IFERROR(__xludf.DUMMYFUNCTION("IFERROR(REGEXEXTRACT(A17, ""journal *= *""""+([^""""]*)""""""),REGEXEXTRACT(A17, ""booktitle *= *""""+([^""""]*)""""""))"),"Computational Linguistics")</f>
        <v>Computational Linguistics</v>
      </c>
      <c r="E17" s="4" t="str">
        <f>IFERROR(__xludf.DUMMYFUNCTION("REGEXEXTRACT(A17, ""year *= *""""([^""""]+)"""""")"),"2018")</f>
        <v>2018</v>
      </c>
      <c r="F17" s="4" t="s">
        <v>29</v>
      </c>
      <c r="G17" s="4" t="s">
        <v>30</v>
      </c>
    </row>
    <row r="18" ht="150.0" customHeight="1">
      <c r="A18" s="5" t="s">
        <v>31</v>
      </c>
      <c r="B18" s="4" t="str">
        <f>IFERROR(__xludf.DUMMYFUNCTION("IFERROR(REGEXEXTRACT(A18, ""author *= *""""([^""""]+)""""""),REGEXEXTRACT(A18, ""author *= *\{+([^\d]+)\}+""))"),"Htut, Phu Mon  and
      Cho, Kyunghyun  and
      Bowman, Samuel")</f>
        <v>Htut, Phu Mon  and
      Cho, Kyunghyun  and
      Bowman, Samuel</v>
      </c>
      <c r="C18" s="4" t="str">
        <f>IFERROR(__xludf.DUMMYFUNCTION("REGEXEXTRACT(A18, ""title *= *""""([^""""]+)"""""")"),"Grammar Induction with Neural Language Models: An Unusual Replication")</f>
        <v>Grammar Induction with Neural Language Models: An Unusual Replication</v>
      </c>
      <c r="D18" s="4" t="str">
        <f>IFERROR(__xludf.DUMMYFUNCTION("IFERROR(REGEXEXTRACT(A18, ""journal *= *""""+([^""""]*)""""""),REGEXEXTRACT(A18, ""booktitle *= *""""+([^""""]*)""""""))"),"Proceedings of the 2018 Conference on Empirical Methods in Natural Language Processing")</f>
        <v>Proceedings of the 2018 Conference on Empirical Methods in Natural Language Processing</v>
      </c>
      <c r="E18" s="4" t="str">
        <f>IFERROR(__xludf.DUMMYFUNCTION("REGEXEXTRACT(A18, ""year *= *""""([^""""]+)"""""")"),"2018")</f>
        <v>2018</v>
      </c>
      <c r="F18" s="4" t="s">
        <v>19</v>
      </c>
      <c r="G18" s="4" t="s">
        <v>32</v>
      </c>
    </row>
    <row r="19" ht="150.0" customHeight="1">
      <c r="A19" s="3" t="s">
        <v>33</v>
      </c>
      <c r="B19" s="4" t="str">
        <f>IFERROR(__xludf.DUMMYFUNCTION("IFERROR(REGEXEXTRACT(A19, ""author *= *""""([^""""]+)""""""),REGEXEXTRACT(A19, ""author *= *\{+([^\d]+)\}+""))"),"Moore, Andrew  and
      Rayson, Paul")</f>
        <v>Moore, Andrew  and
      Rayson, Paul</v>
      </c>
      <c r="C19" s="4" t="str">
        <f>IFERROR(__xludf.DUMMYFUNCTION("REGEXEXTRACT(A19, ""title *= *""""([^""""]+)"""""")"),"Bringing replication and reproduction together with generalisability in {NLP}: Three reproduction studies for Target Dependent Sentiment Analysis")</f>
        <v>Bringing replication and reproduction together with generalisability in {NLP}: Three reproduction studies for Target Dependent Sentiment Analysis</v>
      </c>
      <c r="D19" s="4" t="str">
        <f>IFERROR(__xludf.DUMMYFUNCTION("IFERROR(REGEXEXTRACT(A19, ""journal *= *""""+([^""""]*)""""""),REGEXEXTRACT(A19, ""booktitle *= *""""+([^""""]*)""""""))"),"Proceedings of the 27th International Conference on Computational Linguistics")</f>
        <v>Proceedings of the 27th International Conference on Computational Linguistics</v>
      </c>
      <c r="E19" s="4" t="str">
        <f>IFERROR(__xludf.DUMMYFUNCTION("REGEXEXTRACT(A19, ""year *= *""""([^""""]+)"""""")"),"2018")</f>
        <v>2018</v>
      </c>
      <c r="F19" s="4" t="s">
        <v>34</v>
      </c>
      <c r="G19" s="4" t="s">
        <v>35</v>
      </c>
    </row>
    <row r="20" ht="150.0" customHeight="1">
      <c r="A20" s="3" t="s">
        <v>36</v>
      </c>
      <c r="B20" s="4" t="str">
        <f>IFERROR(__xludf.DUMMYFUNCTION("IFERROR(REGEXEXTRACT(A20, ""author *= *""""([^""""]+)""""""),REGEXEXTRACT(A20, ""author *= *\{+([^\d]+)\}+""))"),"Pierrejean, B{\'e}n{\'e}dicte  and
      Tanguy, Ludovic")</f>
        <v>Pierrejean, B{\'e}n{\'e}dicte  and
      Tanguy, Ludovic</v>
      </c>
      <c r="C20" s="4" t="str">
        <f>IFERROR(__xludf.DUMMYFUNCTION("REGEXEXTRACT(A20, ""title *= *""""([^""""]+)"""""")"),"Etude de la reproductibilit{\'e} des word embeddings : rep{\'e}rage des zones stables et instables dans le lexique (Reproducibility of word embeddings : identifying stable and unstable zones in the semantic space)")</f>
        <v>Etude de la reproductibilit{\'e} des word embeddings : rep{\'e}rage des zones stables et instables dans le lexique (Reproducibility of word embeddings : identifying stable and unstable zones in the semantic space)</v>
      </c>
      <c r="D20" s="4" t="str">
        <f>IFERROR(__xludf.DUMMYFUNCTION("IFERROR(REGEXEXTRACT(A20, ""journal *= *""""+([^""""]*)""""""),REGEXEXTRACT(A20, ""booktitle *= *""""+([^""""]*)""""""))"),"Actes de la Conf{\'e}rence TALN. Volume 1 - Articles longs, articles courts de TALN")</f>
        <v>Actes de la Conf{\'e}rence TALN. Volume 1 - Articles longs, articles courts de TALN</v>
      </c>
      <c r="E20" s="4" t="str">
        <f>IFERROR(__xludf.DUMMYFUNCTION("REGEXEXTRACT(A20, ""year *= *""""([^""""]+)"""""")"),"2018")</f>
        <v>2018</v>
      </c>
      <c r="F20" s="4" t="s">
        <v>8</v>
      </c>
      <c r="G20" s="4" t="s">
        <v>37</v>
      </c>
    </row>
    <row r="21" ht="150.0" customHeight="1">
      <c r="A21" s="3" t="s">
        <v>38</v>
      </c>
      <c r="B21" s="4" t="str">
        <f>IFERROR(__xludf.DUMMYFUNCTION("IFERROR(REGEXEXTRACT(A21, ""author *= *""""([^""""]+)""""""),REGEXEXTRACT(A21, ""author *= *\{+([^\d]+)\}+""))"),"van Miltenburg, Emiel  and
      van de Kerkhof, Merel  and
      Koolen, Ruud  and
      Goudbeek, Martijn  and
      Krahmer, Emiel")</f>
        <v>van Miltenburg, Emiel  and
      van de Kerkhof, Merel  and
      Koolen, Ruud  and
      Goudbeek, Martijn  and
      Krahmer, Emiel</v>
      </c>
      <c r="C21" s="4" t="str">
        <f>IFERROR(__xludf.DUMMYFUNCTION("REGEXEXTRACT(A21, ""title *= *""""([^""""]+)"""""")"),"On task effects in {NLG} corpus elicitation: a replication study using mixed effects modeling")</f>
        <v>On task effects in {NLG} corpus elicitation: a replication study using mixed effects modeling</v>
      </c>
      <c r="D21" s="4" t="str">
        <f>IFERROR(__xludf.DUMMYFUNCTION("IFERROR(REGEXEXTRACT(A21, ""journal *= *""""+([^""""]*)""""""),REGEXEXTRACT(A21, ""booktitle *= *""""+([^""""]*)""""""))"),"Proceedings of the 12th International Conference on Natural Language Generation")</f>
        <v>Proceedings of the 12th International Conference on Natural Language Generation</v>
      </c>
      <c r="E21" s="4" t="str">
        <f>IFERROR(__xludf.DUMMYFUNCTION("REGEXEXTRACT(A21, ""year *= *""""([^""""]+)"""""")"),"2019")</f>
        <v>2019</v>
      </c>
      <c r="F21" s="4" t="s">
        <v>39</v>
      </c>
      <c r="G21" s="4" t="s">
        <v>40</v>
      </c>
    </row>
    <row r="22" ht="150.0" customHeight="1">
      <c r="A22" s="3" t="s">
        <v>41</v>
      </c>
      <c r="B22" s="4" t="str">
        <f>IFERROR(__xludf.DUMMYFUNCTION("IFERROR(REGEXEXTRACT(A22, ""author *= *""""([^""""]+)""""""),REGEXEXTRACT(A22, ""author *= *\{+([^\d]+)\}+""))"),"Fortuna, Paula  and
      Soler-Company, Juan  and
      Nunes, S{\'e}rgio")</f>
        <v>Fortuna, Paula  and
      Soler-Company, Juan  and
      Nunes, S{\'e}rgio</v>
      </c>
      <c r="C22" s="4" t="str">
        <f>IFERROR(__xludf.DUMMYFUNCTION("REGEXEXTRACT(A22, ""title *= *""""([^""""]+)"""""")"),"Stop {P}ropag{H}ate at {S}em{E}val-2019 Tasks 5 and 6: Are abusive language classification results reproducible?")</f>
        <v>Stop {P}ropag{H}ate at {S}em{E}val-2019 Tasks 5 and 6: Are abusive language classification results reproducible?</v>
      </c>
      <c r="D22" s="4" t="str">
        <f>IFERROR(__xludf.DUMMYFUNCTION("IFERROR(REGEXEXTRACT(A22, ""journal *= *""""+([^""""]*)""""""),REGEXEXTRACT(A22, ""booktitle *= *""""+([^""""]*)""""""))"),"Proceedings of the 13th International Workshop on Semantic Evaluation")</f>
        <v>Proceedings of the 13th International Workshop on Semantic Evaluation</v>
      </c>
      <c r="E22" s="4" t="str">
        <f>IFERROR(__xludf.DUMMYFUNCTION("REGEXEXTRACT(A22, ""year *= *""""([^""""]+)"""""")"),"2019")</f>
        <v>2019</v>
      </c>
      <c r="F22" s="4" t="s">
        <v>8</v>
      </c>
      <c r="G22" s="4" t="s">
        <v>42</v>
      </c>
    </row>
    <row r="23" ht="150.0" customHeight="1">
      <c r="A23" s="3" t="s">
        <v>43</v>
      </c>
      <c r="B23" s="4" t="str">
        <f>IFERROR(__xludf.DUMMYFUNCTION("IFERROR(REGEXEXTRACT(A23, ""author *= *""""([^""""]+)""""""),REGEXEXTRACT(A23, ""author *= *\{+([^\d]+)\}+""))"),"Mieskes, Margot  and
      Fort, Kar{\""e}n  and
      N{\'e}v{\'e}ol, Aur{\'e}lie  and
      Grouin, Cyril  and
      Cohen, Kevin")</f>
        <v>Mieskes, Margot  and
      Fort, Kar{\"e}n  and
      N{\'e}v{\'e}ol, Aur{\'e}lie  and
      Grouin, Cyril  and
      Cohen, Kevin</v>
      </c>
      <c r="C23" s="4" t="str">
        <f>IFERROR(__xludf.DUMMYFUNCTION("REGEXEXTRACT(A23, ""title *= *""""([^""""]+)"""""")"),"Community Perspective on Replicability in Natural Language Processing")</f>
        <v>Community Perspective on Replicability in Natural Language Processing</v>
      </c>
      <c r="D23" s="4" t="str">
        <f>IFERROR(__xludf.DUMMYFUNCTION("IFERROR(REGEXEXTRACT(A23, ""journal *= *""""+([^""""]*)""""""),REGEXEXTRACT(A23, ""booktitle *= *""""+([^""""]*)""""""))"),"Proceedings of the International Conference on Recent Advances in Natural Language Processing (RANLP 2019)")</f>
        <v>Proceedings of the International Conference on Recent Advances in Natural Language Processing (RANLP 2019)</v>
      </c>
      <c r="E23" s="4" t="str">
        <f>IFERROR(__xludf.DUMMYFUNCTION("REGEXEXTRACT(A23, ""year *= *""""([^""""]+)"""""")"),"2019")</f>
        <v>2019</v>
      </c>
      <c r="F23" s="4" t="s">
        <v>8</v>
      </c>
      <c r="G23" s="4" t="s">
        <v>44</v>
      </c>
    </row>
    <row r="24" ht="150.0" customHeight="1">
      <c r="A24" s="5" t="s">
        <v>45</v>
      </c>
      <c r="B24" s="4" t="str">
        <f>IFERROR(__xludf.DUMMYFUNCTION("IFERROR(REGEXEXTRACT(A24, ""author *= *""""([^""""]+)""""""),REGEXEXTRACT(A24, ""author *= *\{+([^\d]+)\}+""))"),"Wu, Tongshuang  and
      Ribeiro, Marco Tulio  and
      Heer, Jeffrey  and
      Weld, Daniel")</f>
        <v>Wu, Tongshuang  and
      Ribeiro, Marco Tulio  and
      Heer, Jeffrey  and
      Weld, Daniel</v>
      </c>
      <c r="C24" s="4" t="str">
        <f>IFERROR(__xludf.DUMMYFUNCTION("REGEXEXTRACT(A24, ""title *= *""""([^""""]+)"""""")"),"{E}rrudite: Scalable, Reproducible, and Testable Error Analysis")</f>
        <v>{E}rrudite: Scalable, Reproducible, and Testable Error Analysis</v>
      </c>
      <c r="D24" s="4" t="str">
        <f>IFERROR(__xludf.DUMMYFUNCTION("IFERROR(REGEXEXTRACT(A24, ""journal *= *""""+([^""""]*)""""""),REGEXEXTRACT(A24, ""booktitle *= *""""+([^""""]*)""""""))"),"Proceedings of the 57th Annual Meeting of the Association for Computational Linguistics")</f>
        <v>Proceedings of the 57th Annual Meeting of the Association for Computational Linguistics</v>
      </c>
      <c r="E24" s="4" t="str">
        <f>IFERROR(__xludf.DUMMYFUNCTION("REGEXEXTRACT(A24, ""year *= *""""([^""""]+)"""""")"),"2019")</f>
        <v>2019</v>
      </c>
      <c r="F24" s="4" t="s">
        <v>10</v>
      </c>
      <c r="G24" s="4" t="s">
        <v>46</v>
      </c>
    </row>
    <row r="25" ht="150.0" customHeight="1">
      <c r="A25" s="5" t="s">
        <v>47</v>
      </c>
      <c r="B25" s="4" t="str">
        <f>IFERROR(__xludf.DUMMYFUNCTION("IFERROR(REGEXEXTRACT(A25, ""author *= *""""([^""""]+)""""""),REGEXEXTRACT(A25, ""author *= *\{+([^\d]+)\}+""))"),"Zhang, Xuan  and
      Duh, Kevin")</f>
        <v>Zhang, Xuan  and
      Duh, Kevin</v>
      </c>
      <c r="C25" s="4" t="str">
        <f>IFERROR(__xludf.DUMMYFUNCTION("REGEXEXTRACT(A25, ""title *= *""""([^""""]+)"""""")"),"Reproducible and Efficient Benchmarks for Hyperparameter Optimization of Neural Machine Translation Systems")</f>
        <v>Reproducible and Efficient Benchmarks for Hyperparameter Optimization of Neural Machine Translation Systems</v>
      </c>
      <c r="D25" s="4" t="str">
        <f>IFERROR(__xludf.DUMMYFUNCTION("IFERROR(REGEXEXTRACT(A25, ""journal *= *""""+([^""""]*)""""""),REGEXEXTRACT(A25, ""booktitle *= *""""+([^""""]*)""""""))"),"Transactions of the Association for Computational Linguistics")</f>
        <v>Transactions of the Association for Computational Linguistics</v>
      </c>
      <c r="E25" s="4" t="str">
        <f>IFERROR(__xludf.DUMMYFUNCTION("REGEXEXTRACT(A25, ""year *= *""""([^""""]+)"""""")"),"2020")</f>
        <v>2020</v>
      </c>
      <c r="F25" s="4" t="s">
        <v>10</v>
      </c>
      <c r="G25" s="4" t="s">
        <v>48</v>
      </c>
    </row>
    <row r="26" ht="150.0" customHeight="1">
      <c r="A26" s="5" t="s">
        <v>49</v>
      </c>
      <c r="B26" s="4" t="str">
        <f>IFERROR(__xludf.DUMMYFUNCTION("IFERROR(REGEXEXTRACT(A26, ""author *= *""""([^""""]+)""""""),REGEXEXTRACT(A26, ""author *= *\{+([^\d]+)\}+""))"),"Born, Leo  and
      Bacher, Maximilian  and
      Markert, Katja")</f>
        <v>Born, Leo  and
      Bacher, Maximilian  and
      Markert, Katja</v>
      </c>
      <c r="C26" s="4" t="str">
        <f>IFERROR(__xludf.DUMMYFUNCTION("REGEXEXTRACT(A26, ""title *= *""""([^""""]+)"""""")"),"Dataset Reproducibility and {IR} Methods in Timeline Summarization")</f>
        <v>Dataset Reproducibility and {IR} Methods in Timeline Summarization</v>
      </c>
      <c r="D26" s="4" t="str">
        <f>IFERROR(__xludf.DUMMYFUNCTION("IFERROR(REGEXEXTRACT(A26, ""journal *= *""""+([^""""]*)""""""),REGEXEXTRACT(A26, ""booktitle *= *""""+([^""""]*)""""""))"),"Proceedings of The 12th Language Resources and Evaluation Conference")</f>
        <v>Proceedings of The 12th Language Resources and Evaluation Conference</v>
      </c>
      <c r="E26" s="4" t="str">
        <f>IFERROR(__xludf.DUMMYFUNCTION("REGEXEXTRACT(A26, ""year *= *""""([^""""]+)"""""")"),"2020")</f>
        <v>2020</v>
      </c>
      <c r="F26" s="4" t="s">
        <v>24</v>
      </c>
      <c r="G26" s="4" t="s">
        <v>50</v>
      </c>
    </row>
    <row r="27" ht="150.0" customHeight="1">
      <c r="A27" s="3" t="s">
        <v>51</v>
      </c>
      <c r="B27" s="4" t="str">
        <f>IFERROR(__xludf.DUMMYFUNCTION("IFERROR(REGEXEXTRACT(A27, ""author *= *""""([^""""]+)""""""),REGEXEXTRACT(A27, ""author *= *\{+([^\d]+)\}+""))"),"Ant{\'o}nio Rodrigues, Jo{\~a}o  and
      Branco, Ruben  and
      Silva, Jo{\~a}o  and
      Branco, Ant{\'o}nio")</f>
        <v>Ant{\'o}nio Rodrigues, Jo{\~a}o  and
      Branco, Ruben  and
      Silva, Jo{\~a}o  and
      Branco, Ant{\'o}nio</v>
      </c>
      <c r="C27" s="4" t="str">
        <f>IFERROR(__xludf.DUMMYFUNCTION("REGEXEXTRACT(A27, ""title *= *""""([^""""]+)"""""")"),"Reproduction and Revival of the Argument Reasoning Comprehension Task")</f>
        <v>Reproduction and Revival of the Argument Reasoning Comprehension Task</v>
      </c>
      <c r="D27" s="4" t="str">
        <f>IFERROR(__xludf.DUMMYFUNCTION("IFERROR(REGEXEXTRACT(A27, ""journal *= *""""+([^""""]*)""""""),REGEXEXTRACT(A27, ""booktitle *= *""""+([^""""]*)""""""))"),"Proceedings of The 12th Language Resources and Evaluation Conference")</f>
        <v>Proceedings of The 12th Language Resources and Evaluation Conference</v>
      </c>
      <c r="E27" s="4" t="str">
        <f>IFERROR(__xludf.DUMMYFUNCTION("REGEXEXTRACT(A27, ""year *= *""""([^""""]+)"""""")"),"2020")</f>
        <v>2020</v>
      </c>
      <c r="F27" s="4" t="s">
        <v>24</v>
      </c>
      <c r="G27" s="4" t="s">
        <v>52</v>
      </c>
    </row>
    <row r="28" ht="150.0" customHeight="1">
      <c r="A28" s="3" t="s">
        <v>53</v>
      </c>
      <c r="B28" s="4" t="str">
        <f>IFERROR(__xludf.DUMMYFUNCTION("IFERROR(REGEXEXTRACT(A28, ""author *= *""""([^""""]+)""""""),REGEXEXTRACT(A28, ""author *= *\{+([^\d]+)\}+""))"),"Branco, Ant{\'o}nio  and
      Calzolari, Nicoletta  and
      Vossen, Piek  and
      Van Noord, Gertjan  and
      van Uytvanck, Dieter  and
      Silva, Jo{\~a}o  and
      Gomes, Lu{\'\i}s  and
      Moreira, Andr{\'e}  and
      Elbers, Willem")</f>
        <v>Branco, Ant{\'o}nio  and
      Calzolari, Nicoletta  and
      Vossen, Piek  and
      Van Noord, Gertjan  and
      van Uytvanck, Dieter  and
      Silva, Jo{\~a}o  and
      Gomes, Lu{\'\i}s  and
      Moreira, Andr{\'e}  and
      Elbers, Willem</v>
      </c>
      <c r="C28" s="4" t="str">
        <f>IFERROR(__xludf.DUMMYFUNCTION("REGEXEXTRACT(A28, ""title *= *""""([^""""]+)"""""")"),"A Shared Task of a New, Collaborative Type to Foster Reproducibility: A First Exercise in the Area of Language Science and Technology with {REPROLANG}2020")</f>
        <v>A Shared Task of a New, Collaborative Type to Foster Reproducibility: A First Exercise in the Area of Language Science and Technology with {REPROLANG}2020</v>
      </c>
      <c r="D28" s="4" t="str">
        <f>IFERROR(__xludf.DUMMYFUNCTION("IFERROR(REGEXEXTRACT(A28, ""journal *= *""""+([^""""]*)""""""),REGEXEXTRACT(A28, ""booktitle *= *""""+([^""""]*)""""""))"),"Proceedings of The 12th Language Resources and Evaluation Conference")</f>
        <v>Proceedings of The 12th Language Resources and Evaluation Conference</v>
      </c>
      <c r="E28" s="4" t="str">
        <f>IFERROR(__xludf.DUMMYFUNCTION("REGEXEXTRACT(A28, ""year *= *""""([^""""]+)"""""")"),"2020")</f>
        <v>2020</v>
      </c>
      <c r="F28" s="4" t="s">
        <v>24</v>
      </c>
      <c r="G28" s="4" t="str">
        <f>IFERROR(__xludf.DUMMYFUNCTION("IFERROR(REGEXEXTRACT(A28, ""abstract *= *""""+([^""""]*)""""""),REGEXEXTRACT(A28, ""abstract *= *\{+(.*)\}""))"),"In this paper, we introduce a new type of shared task — which is collaborative rather than competitive — designed to support and foster the reproduction of research results. We also describe the first event running such a novel challenge, present the resu"&amp;"lts obtained, discuss the lessons learned and ponder on future undertakings.")</f>
        <v>In this paper, we introduce a new type of shared task — which is collaborative rather than competitive — designed to support and foster the reproduction of research results. We also describe the first event running such a novel challenge, present the results obtained, discuss the lessons learned and ponder on future undertakings.</v>
      </c>
    </row>
    <row r="29" ht="150.0" customHeight="1">
      <c r="A29" s="3" t="s">
        <v>54</v>
      </c>
      <c r="B29" s="4" t="str">
        <f>IFERROR(__xludf.DUMMYFUNCTION("IFERROR(REGEXEXTRACT(A29, ""author *= *""""([^""""]+)""""""),REGEXEXTRACT(A29, ""author *= *\{+([^\d]+)\}+""))"),"Garneau, Nicolas  and
      Godbout, Mathieu  and
      Beauchemin, David  and
      Durand, Audrey  and
      Lamontagne, Luc")</f>
        <v>Garneau, Nicolas  and
      Godbout, Mathieu  and
      Beauchemin, David  and
      Durand, Audrey  and
      Lamontagne, Luc</v>
      </c>
      <c r="C29" s="4" t="str">
        <f>IFERROR(__xludf.DUMMYFUNCTION("REGEXEXTRACT(A29, ""title *= *""""([^""""]+)"""""")"),"A Robust Self-Learning Method for Fully Unsupervised Cross-Lingual Mappings of Word Embeddings: Making the Method Robustly Reproducible as Well")</f>
        <v>A Robust Self-Learning Method for Fully Unsupervised Cross-Lingual Mappings of Word Embeddings: Making the Method Robustly Reproducible as Well</v>
      </c>
      <c r="D29" s="4" t="str">
        <f>IFERROR(__xludf.DUMMYFUNCTION("IFERROR(REGEXEXTRACT(A29, ""journal *= *""""+([^""""]*)""""""),REGEXEXTRACT(A29, ""booktitle *= *""""+([^""""]*)""""""))"),"Proceedings of The 12th Language Resources and Evaluation Conference")</f>
        <v>Proceedings of The 12th Language Resources and Evaluation Conference</v>
      </c>
      <c r="E29" s="4" t="str">
        <f>IFERROR(__xludf.DUMMYFUNCTION("REGEXEXTRACT(A29, ""year *= *""""([^""""]+)"""""")"),"2020")</f>
        <v>2020</v>
      </c>
      <c r="F29" s="4" t="s">
        <v>24</v>
      </c>
      <c r="G29" s="4" t="s">
        <v>55</v>
      </c>
    </row>
    <row r="30" ht="150.0" customHeight="1">
      <c r="A30" s="3" t="s">
        <v>56</v>
      </c>
      <c r="B30" s="4" t="str">
        <f>IFERROR(__xludf.DUMMYFUNCTION("IFERROR(REGEXEXTRACT(A30, ""author *= *""""([^""""]+)""""""),REGEXEXTRACT(A30, ""author *= *\{+([^\d]+)\}+""))"),"Khoe, Yung Han")</f>
        <v>Khoe, Yung Han</v>
      </c>
      <c r="C30" s="4" t="str">
        <f>IFERROR(__xludf.DUMMYFUNCTION("REGEXEXTRACT(A30, ""title *= *""""([^""""]+)"""""")"),"Reproducing a Morphosyntactic Tagger with a Meta-{B}i{LSTM} Model over Context Sensitive Token Encodings")</f>
        <v>Reproducing a Morphosyntactic Tagger with a Meta-{B}i{LSTM} Model over Context Sensitive Token Encodings</v>
      </c>
      <c r="D30" s="4" t="str">
        <f>IFERROR(__xludf.DUMMYFUNCTION("IFERROR(REGEXEXTRACT(A30, ""journal *= *""""+([^""""]*)""""""),REGEXEXTRACT(A30, ""booktitle *= *""""+([^""""]*)""""""))"),"Proceedings of The 12th Language Resources and Evaluation Conference")</f>
        <v>Proceedings of The 12th Language Resources and Evaluation Conference</v>
      </c>
      <c r="E30" s="4" t="str">
        <f>IFERROR(__xludf.DUMMYFUNCTION("REGEXEXTRACT(A30, ""year *= *""""([^""""]+)"""""")"),"2020")</f>
        <v>2020</v>
      </c>
      <c r="F30" s="4" t="s">
        <v>24</v>
      </c>
      <c r="G30" s="4" t="s">
        <v>57</v>
      </c>
    </row>
    <row r="31" ht="150.0" customHeight="1">
      <c r="A31" s="3" t="s">
        <v>58</v>
      </c>
      <c r="B31" s="4" t="str">
        <f>IFERROR(__xludf.DUMMYFUNCTION("IFERROR(REGEXEXTRACT(A31, ""author *= *""""([^""""]+)""""""),REGEXEXTRACT(A31, ""author *= *\{+([^\d]+)\}+""))"),"Rim, Kyeongmin  and
      Tu, Jingxuan  and
      Lynch, Kelley  and
      Pustejovsky, James")</f>
        <v>Rim, Kyeongmin  and
      Tu, Jingxuan  and
      Lynch, Kelley  and
      Pustejovsky, James</v>
      </c>
      <c r="C31" s="4" t="str">
        <f>IFERROR(__xludf.DUMMYFUNCTION("REGEXEXTRACT(A31, ""title *= *""""([^""""]+)"""""")"),"Reproducing Neural Ensemble Classifier for Semantic Relation Extraction in{S}cientific Papers")</f>
        <v>Reproducing Neural Ensemble Classifier for Semantic Relation Extraction in{S}cientific Papers</v>
      </c>
      <c r="D31" s="4" t="str">
        <f>IFERROR(__xludf.DUMMYFUNCTION("IFERROR(REGEXEXTRACT(A31, ""journal *= *""""+([^""""]*)""""""),REGEXEXTRACT(A31, ""booktitle *= *""""+([^""""]*)""""""))"),"Proceedings of The 12th Language Resources and Evaluation Conference")</f>
        <v>Proceedings of The 12th Language Resources and Evaluation Conference</v>
      </c>
      <c r="E31" s="4" t="str">
        <f>IFERROR(__xludf.DUMMYFUNCTION("REGEXEXTRACT(A31, ""year *= *""""([^""""]+)"""""")"),"2020")</f>
        <v>2020</v>
      </c>
      <c r="F31" s="4" t="s">
        <v>24</v>
      </c>
      <c r="G31" s="4" t="s">
        <v>59</v>
      </c>
    </row>
    <row r="32" ht="150.0" customHeight="1">
      <c r="A32" s="5" t="s">
        <v>60</v>
      </c>
      <c r="B32" s="4" t="str">
        <f>IFERROR(__xludf.DUMMYFUNCTION("IFERROR(REGEXEXTRACT(A32, ""author *= *""""([^""""]+)""""""),REGEXEXTRACT(A32, ""author *= *\{+([^\d]+)\}+""))"),"Abdellatif, Mohamed  and
      Elgammal, Ahmed")</f>
        <v>Abdellatif, Mohamed  and
      Elgammal, Ahmed</v>
      </c>
      <c r="C32" s="4" t="str">
        <f>IFERROR(__xludf.DUMMYFUNCTION("REGEXEXTRACT(A32, ""title *= *""""([^""""]+)"""""")"),"{ULMF}i{T} replication")</f>
        <v>{ULMF}i{T} replication</v>
      </c>
      <c r="D32" s="4" t="str">
        <f>IFERROR(__xludf.DUMMYFUNCTION("IFERROR(REGEXEXTRACT(A32, ""journal *= *""""+([^""""]*)""""""),REGEXEXTRACT(A32, ""booktitle *= *""""+([^""""]*)""""""))"),"Proceedings of The 12th Language Resources and Evaluation Conference")</f>
        <v>Proceedings of The 12th Language Resources and Evaluation Conference</v>
      </c>
      <c r="E32" s="4" t="str">
        <f>IFERROR(__xludf.DUMMYFUNCTION("REGEXEXTRACT(A32, ""year *= *""""([^""""]+)"""""")"),"2020")</f>
        <v>2020</v>
      </c>
      <c r="F32" s="4" t="s">
        <v>24</v>
      </c>
      <c r="G32" s="4" t="s">
        <v>61</v>
      </c>
    </row>
    <row r="33" ht="150.0" customHeight="1">
      <c r="A33" s="3" t="s">
        <v>62</v>
      </c>
      <c r="B33" s="4" t="str">
        <f>IFERROR(__xludf.DUMMYFUNCTION("IFERROR(REGEXEXTRACT(A33, ""author *= *""""([^""""]+)""""""),REGEXEXTRACT(A33, ""author *= *\{+([^\d]+)\}+""))"),"Bestgen, Yves")</f>
        <v>Bestgen, Yves</v>
      </c>
      <c r="C33" s="4" t="str">
        <f>IFERROR(__xludf.DUMMYFUNCTION("REGEXEXTRACT(A33, ""title *= *""""([^""""]+)"""""")"),"Reproducing Monolingual, Multilingual and Cross-Lingual {CEFR} Predictions")</f>
        <v>Reproducing Monolingual, Multilingual and Cross-Lingual {CEFR} Predictions</v>
      </c>
      <c r="D33" s="4" t="str">
        <f>IFERROR(__xludf.DUMMYFUNCTION("IFERROR(REGEXEXTRACT(A33, ""journal *= *""""+([^""""]*)""""""),REGEXEXTRACT(A33, ""booktitle *= *""""+([^""""]*)""""""))"),"Proceedings of The 12th Language Resources and Evaluation Conference")</f>
        <v>Proceedings of The 12th Language Resources and Evaluation Conference</v>
      </c>
      <c r="E33" s="4" t="str">
        <f>IFERROR(__xludf.DUMMYFUNCTION("REGEXEXTRACT(A33, ""year *= *""""([^""""]+)"""""")"),"2020")</f>
        <v>2020</v>
      </c>
      <c r="F33" s="4" t="s">
        <v>24</v>
      </c>
      <c r="G33" s="4" t="s">
        <v>63</v>
      </c>
    </row>
    <row r="34" ht="150.0" customHeight="1">
      <c r="A34" s="3" t="s">
        <v>64</v>
      </c>
      <c r="B34" s="4" t="str">
        <f>IFERROR(__xludf.DUMMYFUNCTION("IFERROR(REGEXEXTRACT(A34, ""author *= *""""([^""""]+)""""""),REGEXEXTRACT(A34, ""author *= *\{+([^\d]+)\}+""))"),"Huber, Eva  and
      {\c{C}}{\""o}ltekin, {\c{C}}a{\u{g}}r{\i}")</f>
        <v>Huber, Eva  and
      {\c{C}}{\"o}ltekin, {\c{C}}a{\u{g}}r{\i}</v>
      </c>
      <c r="C34" s="4" t="str">
        <f>IFERROR(__xludf.DUMMYFUNCTION("REGEXEXTRACT(A34, ""title *= *""""([^""""]+)"""""")"),"Reproduction and Replication: A Case Study with Automatic Essay Scoring")</f>
        <v>Reproduction and Replication: A Case Study with Automatic Essay Scoring</v>
      </c>
      <c r="D34" s="4" t="str">
        <f>IFERROR(__xludf.DUMMYFUNCTION("IFERROR(REGEXEXTRACT(A34, ""journal *= *""""+([^""""]*)""""""),REGEXEXTRACT(A34, ""booktitle *= *""""+([^""""]*)""""""))"),"Proceedings of The 12th Language Resources and Evaluation Conference")</f>
        <v>Proceedings of The 12th Language Resources and Evaluation Conference</v>
      </c>
      <c r="E34" s="4" t="str">
        <f>IFERROR(__xludf.DUMMYFUNCTION("REGEXEXTRACT(A34, ""year *= *""""([^""""]+)"""""")"),"2020")</f>
        <v>2020</v>
      </c>
      <c r="F34" s="4" t="s">
        <v>24</v>
      </c>
      <c r="G34" s="4" t="s">
        <v>65</v>
      </c>
    </row>
    <row r="35" ht="150.0" customHeight="1">
      <c r="A35" s="3" t="s">
        <v>66</v>
      </c>
      <c r="B35" s="4" t="str">
        <f>IFERROR(__xludf.DUMMYFUNCTION("IFERROR(REGEXEXTRACT(A35, ""author *= *""""([^""""]+)""""""),REGEXEXTRACT(A35, ""author *= *\{+([^\d]+)\}+""))"),"Ballier, Nicolas  and
      Amari, Nabil  and
      Merat, Laure  and
      Yun{\`e}s, Jean-Baptiste")</f>
        <v>Ballier, Nicolas  and
      Amari, Nabil  and
      Merat, Laure  and
      Yun{\`e}s, Jean-Baptiste</v>
      </c>
      <c r="C35" s="4" t="str">
        <f>IFERROR(__xludf.DUMMYFUNCTION("REGEXEXTRACT(A35, ""title *= *""""([^""""]+)"""""")"),"The Learnability of the Annotated Input in {NMT} Replicating (Vanmassenhove and Way, 2018) with {O}pen{NMT}")</f>
        <v>The Learnability of the Annotated Input in {NMT} Replicating (Vanmassenhove and Way, 2018) with {O}pen{NMT}</v>
      </c>
      <c r="D35" s="4" t="str">
        <f>IFERROR(__xludf.DUMMYFUNCTION("IFERROR(REGEXEXTRACT(A35, ""journal *= *""""+([^""""]*)""""""),REGEXEXTRACT(A35, ""booktitle *= *""""+([^""""]*)""""""))"),"Proceedings of The 12th Language Resources and Evaluation Conference")</f>
        <v>Proceedings of The 12th Language Resources and Evaluation Conference</v>
      </c>
      <c r="E35" s="4" t="str">
        <f>IFERROR(__xludf.DUMMYFUNCTION("REGEXEXTRACT(A35, ""year *= *""""([^""""]+)"""""")"),"2020")</f>
        <v>2020</v>
      </c>
      <c r="F35" s="4" t="s">
        <v>24</v>
      </c>
      <c r="G35" s="4" t="s">
        <v>67</v>
      </c>
    </row>
    <row r="36" ht="150.0" customHeight="1">
      <c r="A36" s="3" t="s">
        <v>68</v>
      </c>
      <c r="B36" s="4" t="str">
        <f>IFERROR(__xludf.DUMMYFUNCTION("IFERROR(REGEXEXTRACT(A36, ""author *= *""""([^""""]+)""""""),REGEXEXTRACT(A36, ""author *= *\{+([^\d]+)\}+""))"),"Millour, Alice  and
      Fort, Kar{\""e}n  and
      Magistry, Pierre")</f>
        <v>Millour, Alice  and
      Fort, Kar{\"e}n  and
      Magistry, Pierre</v>
      </c>
      <c r="C36" s="4" t="str">
        <f>IFERROR(__xludf.DUMMYFUNCTION("REGEXEXTRACT(A36, ""title *= *""""([^""""]+)"""""")"),"R{\'e}pliquer et {\'e}tendre pour l{'}alsacien {``}{\'E}tiquetage en parties du discours de langues peu dot{\'e}es par sp{\'e}cialisation des plongements lexicaux{''} (Replicating and extending for {A}lsatian : {``}{POS} tagging for low-resource languages"&amp;" by adapting word embeddings{''})")</f>
        <v>R{\'e}pliquer et {\'e}tendre pour l{'}alsacien {``}{\'E}tiquetage en parties du discours de langues peu dot{\'e}es par sp{\'e}cialisation des plongements lexicaux{''} (Replicating and extending for {A}lsatian : {``}{POS} tagging for low-resource languages by adapting word embeddings{''})</v>
      </c>
      <c r="D36" s="4" t="str">
        <f>IFERROR(__xludf.DUMMYFUNCTION("IFERROR(REGEXEXTRACT(A36, ""journal *= *""""+([^""""]*)""""""),REGEXEXTRACT(A36, ""booktitle *= *""""+([^""""]*)""""""))"),"Actes de la 6e conf{\'e}rence conjointe Journ{\'e}es d'{\'E}tudes sur la Parole (JEP, 33e {\'e}dition), Traitement Automatique des Langues Naturelles (TALN, 27e {\'e}dition), Rencontre des {\'E}tudiants Chercheurs en Informatique pour le Traitement Automa"&amp;"tique des Langues (R{\'E}CITAL, 22e {\'e}dition). 2e atelier {\'E}thique et TRaitemeNt Automatique des Langues (ETeRNAL)")</f>
        <v>Actes de la 6e conf{\'e}rence conjointe Journ{\'e}es d'{\'E}tudes sur la Parole (JEP, 33e {\'e}dition), Traitement Automatique des Langues Naturelles (TALN, 27e {\'e}dition), Rencontre des {\'E}tudiants Chercheurs en Informatique pour le Traitement Automatique des Langues (R{\'E}CITAL, 22e {\'e}dition). 2e atelier {\'E}thique et TRaitemeNt Automatique des Langues (ETeRNAL)</v>
      </c>
      <c r="E36" s="4" t="str">
        <f>IFERROR(__xludf.DUMMYFUNCTION("REGEXEXTRACT(A36, ""year *= *""""([^""""]+)"""""")"),"2020")</f>
        <v>2020</v>
      </c>
      <c r="F36" s="4" t="s">
        <v>8</v>
      </c>
      <c r="G36" s="4" t="s">
        <v>69</v>
      </c>
    </row>
    <row r="37" ht="150.0" customHeight="1">
      <c r="A37" s="3" t="s">
        <v>70</v>
      </c>
      <c r="B37" s="4" t="str">
        <f>IFERROR(__xludf.DUMMYFUNCTION("IFERROR(REGEXEXTRACT(A37, ""author *= *""""([^""""]+)""""""),REGEXEXTRACT(A37, ""author *= *\{+([^\d]+)\}+""))"),"Arhiliuc, Cristina  and
      Mitrovi{\'c}, Jelena  and
      Granitzer, Michael")</f>
        <v>Arhiliuc, Cristina  and
      Mitrovi{\'c}, Jelena  and
      Granitzer, Michael</v>
      </c>
      <c r="C37" s="4" t="str">
        <f>IFERROR(__xludf.DUMMYFUNCTION("REGEXEXTRACT(A37, ""title *= *""""([^""""]+)"""""")"),"Language Proficiency Scoring")</f>
        <v>Language Proficiency Scoring</v>
      </c>
      <c r="D37" s="4" t="str">
        <f>IFERROR(__xludf.DUMMYFUNCTION("IFERROR(REGEXEXTRACT(A37, ""journal *= *""""+([^""""]*)""""""),REGEXEXTRACT(A37, ""booktitle *= *""""+([^""""]*)""""""))"),"Proceedings of The 12th Language Resources and Evaluation Conference")</f>
        <v>Proceedings of The 12th Language Resources and Evaluation Conference</v>
      </c>
      <c r="E37" s="4" t="str">
        <f>IFERROR(__xludf.DUMMYFUNCTION("REGEXEXTRACT(A37, ""year *= *""""([^""""]+)"""""")"),"2020")</f>
        <v>2020</v>
      </c>
      <c r="F37" s="4" t="s">
        <v>24</v>
      </c>
      <c r="G37" s="4" t="str">
        <f>IFERROR(__xludf.DUMMYFUNCTION("REGEXEXTRACT(A37, ""abstract *= *""""([^""""]+)"""""")"),"The Common European Framework of Reference (CEFR) provides generic guidelines for the evaluation of language proficiency. Nevertheless, for automated proficiency classification systems, different approaches for different languages are proposed. Our paper "&amp;"evaluates and extends the results of an approach to Automatic Essay Scoring proposed as a part of the REPROLANG 2020 challenge. We provide a comparison between our results and the ones from the published paper and we include a new corpus for the English l"&amp;"anguage for further experiments. Our results are lower than the expected ones when using the same approach and the system does not scale well with the added English corpus.")</f>
        <v>The Common European Framework of Reference (CEFR) provides generic guidelines for the evaluation of language proficiency. Nevertheless, for automated proficiency classification systems, different approaches for different languages are proposed. Our paper evaluates and extends the results of an approach to Automatic Essay Scoring proposed as a part of the REPROLANG 2020 challenge. We provide a comparison between our results and the ones from the published paper and we include a new corpus for the English language for further experiments. Our results are lower than the expected ones when using the same approach and the system does not scale well with the added English corpus.</v>
      </c>
      <c r="H37" s="3"/>
      <c r="I37" s="3"/>
      <c r="J37" s="3"/>
      <c r="K37" s="3"/>
      <c r="L37" s="3"/>
      <c r="M37" s="3"/>
      <c r="N37" s="3"/>
      <c r="O37" s="3"/>
      <c r="P37" s="3"/>
      <c r="Q37" s="3"/>
      <c r="R37" s="3"/>
      <c r="S37" s="3"/>
      <c r="T37" s="3"/>
      <c r="U37" s="3"/>
      <c r="V37" s="3"/>
    </row>
    <row r="38" ht="150.0" customHeight="1">
      <c r="A38" s="3" t="s">
        <v>71</v>
      </c>
      <c r="B38" s="4" t="str">
        <f>IFERROR(__xludf.DUMMYFUNCTION("IFERROR(REGEXEXTRACT(A38, ""author *= *""""+([^""""]*)""""""),REGEXEXTRACT(A38, ""author *= *\{+(.*)\}""))"),"Association for Computing Machinery")</f>
        <v>Association for Computing Machinery</v>
      </c>
      <c r="C38" s="4" t="str">
        <f>IFERROR(__xludf.DUMMYFUNCTION("IFERROR(REGEXEXTRACT(A38, ""title *= *""""+([^""""]*)""""""),REGEXEXTRACT(A38, ""title *= *\{+(.*)\}""))"),"Artifact Review and Badging")</f>
        <v>Artifact Review and Badging</v>
      </c>
      <c r="D38" s="4"/>
      <c r="E38" s="4" t="str">
        <f>IFERROR(__xludf.DUMMYFUNCTION("IFERROR(REGEXEXTRACT(A38, ""year *= *""""+([^""""]*)""""""),REGEXEXTRACT(A38, ""year *= *\{+(.*)\}""))"),"2020")</f>
        <v>2020</v>
      </c>
      <c r="F38" s="6" t="str">
        <f>IFERROR(__xludf.DUMMYFUNCTION("IFERROR(REGEXEXTRACT(A38, ""journal *= *""""+([^""""]*)""""""),REGEXEXTRACT(A38, ""journal *= *\{+(.*)\}""))"),"#N/A")</f>
        <v>#N/A</v>
      </c>
      <c r="G38" s="6" t="str">
        <f>IFERROR(__xludf.DUMMYFUNCTION("IFERROR(REGEXEXTRACT(A38, ""abstract *= *""""+([^""""]*)""""""),REGEXEXTRACT(A38, ""abstract *= *\{+(.*)\}""))"),"#N/A")</f>
        <v>#N/A</v>
      </c>
      <c r="H38" s="3"/>
      <c r="I38" s="3"/>
      <c r="J38" s="3"/>
      <c r="K38" s="3"/>
      <c r="L38" s="3"/>
      <c r="M38" s="3"/>
      <c r="N38" s="3"/>
      <c r="O38" s="3"/>
      <c r="P38" s="3"/>
      <c r="Q38" s="3"/>
      <c r="R38" s="3"/>
      <c r="S38" s="3"/>
      <c r="T38" s="3"/>
      <c r="U38" s="3"/>
      <c r="V38" s="3"/>
    </row>
    <row r="39" ht="150.0" customHeight="1">
      <c r="A39" s="3" t="s">
        <v>72</v>
      </c>
      <c r="B39" s="4" t="str">
        <f>IFERROR(__xludf.DUMMYFUNCTION("IFERROR(REGEXEXTRACT(A39, ""author *= *""""+([^""""]*)""""""),REGEXEXTRACT(A39, ""author *= *\{+([^""""]*)\}""""""))"),"Babatunde Kazeem Olorisade and Pearl Brereton and Peter Andras")</f>
        <v>Babatunde Kazeem Olorisade and Pearl Brereton and Peter Andras</v>
      </c>
      <c r="C39" s="4" t="str">
        <f>IFERROR(__xludf.DUMMYFUNCTION("IFERROR(REGEXEXTRACT(A39, ""title *= *""""+([^""""]*)""""""),REGEXEXTRACT(A39, ""title *= *\{+([^""""]*)\}""""""))"),"Reproducibility of studies on text mining for citation screening in systematic reviews: Evaluation and checklist")</f>
        <v>Reproducibility of studies on text mining for citation screening in systematic reviews: Evaluation and checklist</v>
      </c>
      <c r="D39" s="4"/>
      <c r="E39" s="4" t="str">
        <f>IFERROR(__xludf.DUMMYFUNCTION("IFERROR(REGEXEXTRACT(A39, ""year *= *""""+([^""""]*)""""""),REGEXEXTRACT(A39, ""year *= *\{+([^""""]*)\}""""""))"),"2017")</f>
        <v>2017</v>
      </c>
      <c r="F39" s="4" t="str">
        <f>IFERROR(__xludf.DUMMYFUNCTION("IFERROR(REGEXEXTRACT(A39, ""journal *= *""""+([^""""]*)""""""),REGEXEXTRACT(A39, ""journal *= *\{+([^""""]*)\}""""""))"),"Journal of Biomedical Informatics")</f>
        <v>Journal of Biomedical Informatics</v>
      </c>
      <c r="G39" s="4" t="s">
        <v>73</v>
      </c>
      <c r="H39" s="3"/>
      <c r="I39" s="3"/>
      <c r="J39" s="3"/>
      <c r="K39" s="3"/>
      <c r="L39" s="3"/>
      <c r="M39" s="3"/>
      <c r="N39" s="3"/>
      <c r="O39" s="3"/>
      <c r="P39" s="3"/>
      <c r="Q39" s="3"/>
      <c r="R39" s="3"/>
      <c r="S39" s="3"/>
      <c r="T39" s="3"/>
      <c r="U39" s="3"/>
      <c r="V39" s="3"/>
    </row>
    <row r="40" ht="150.0" customHeight="1">
      <c r="A40" s="3" t="s">
        <v>74</v>
      </c>
      <c r="B40" s="4" t="str">
        <f>IFERROR(__xludf.DUMMYFUNCTION("REGEXEXTRACT(A40, ""author *= *\{([^\}]*)\}"")"),"Branco, Ant\'onio")</f>
        <v>Branco, Ant\'onio</v>
      </c>
      <c r="C40" s="4" t="str">
        <f>IFERROR(__xludf.DUMMYFUNCTION("REGEXEXTRACT(A40, ""title *= *\{+([^\}]*)\}+"")"),"Reliability and meta-reliability of language resources: Ready to initiate the integrity debate")</f>
        <v>Reliability and meta-reliability of language resources: Ready to initiate the integrity debate</v>
      </c>
      <c r="D40" s="4"/>
      <c r="E40" s="4" t="str">
        <f>IFERROR(__xludf.DUMMYFUNCTION("REGEXEXTRACT(A40, ""year *= *\{+([^\}]*)\}+"")"),"2012")</f>
        <v>2012</v>
      </c>
      <c r="F40" s="4" t="s">
        <v>75</v>
      </c>
      <c r="G40" s="6" t="str">
        <f>IFERROR(__xludf.DUMMYFUNCTION("REGEXEXTRACT(A40, ""abstract *= *\{+([^\}]*)\}+"")"),"#N/A")</f>
        <v>#N/A</v>
      </c>
      <c r="H40" s="3"/>
      <c r="I40" s="3"/>
      <c r="J40" s="3"/>
      <c r="K40" s="3"/>
      <c r="L40" s="3"/>
      <c r="M40" s="3"/>
      <c r="N40" s="3"/>
      <c r="O40" s="3"/>
      <c r="P40" s="3"/>
      <c r="Q40" s="3"/>
      <c r="R40" s="3"/>
      <c r="S40" s="3"/>
      <c r="T40" s="3"/>
      <c r="U40" s="3"/>
      <c r="V40" s="3"/>
    </row>
    <row r="41" ht="150.0" customHeight="1">
      <c r="A41" s="3" t="s">
        <v>76</v>
      </c>
      <c r="B41" s="4" t="str">
        <f>IFERROR(__xludf.DUMMYFUNCTION("IFERROR(REGEXEXTRACT(A41, ""author *= *""""([^""""]+)""""""),REGEXEXTRACT(A41, ""author *= *\{+([^\d]+)\}+""))"),"Caines, Andrew  and
      Buttery, Paula")</f>
        <v>Caines, Andrew  and
      Buttery, Paula</v>
      </c>
      <c r="C41" s="4" t="str">
        <f>IFERROR(__xludf.DUMMYFUNCTION("REGEXEXTRACT(A41, ""title *= *""""([^""""]+)"""""")"),"{REPROLANG} 2020: Automatic Proficiency Scoring of {C}zech, {E}nglish, {G}erman, {I}talian, and {S}panish Learner Essays")</f>
        <v>{REPROLANG} 2020: Automatic Proficiency Scoring of {C}zech, {E}nglish, {G}erman, {I}talian, and {S}panish Learner Essays</v>
      </c>
      <c r="D41" s="4" t="str">
        <f>IFERROR(__xludf.DUMMYFUNCTION("IFERROR(REGEXEXTRACT(A41, ""journal *= *""""+([^""""]*)""""""),REGEXEXTRACT(A41, ""booktitle *= *""""+([^""""]*)""""""))"),"Proceedings of The 12th Language Resources and Evaluation Conference")</f>
        <v>Proceedings of The 12th Language Resources and Evaluation Conference</v>
      </c>
      <c r="E41" s="4" t="str">
        <f>IFERROR(__xludf.DUMMYFUNCTION("REGEXEXTRACT(A41, ""year *= *""""([^""""]+)"""""")"),"2020")</f>
        <v>2020</v>
      </c>
      <c r="F41" s="4" t="s">
        <v>24</v>
      </c>
      <c r="G41" s="4" t="str">
        <f>IFERROR(__xludf.DUMMYFUNCTION("REGEXEXTRACT(A41, ""abstract *= *""""([^""""]+)"""""")"),"We report on our attempts to reproduce the work described in Vajjala {\&amp;} Rama 2018, {`}Experiments with universal CEFR classification{'}, as part of REPROLANG 2020: this involves featured-based and neural approaches to essay scoring in Czech, German and "&amp;"Italian. Our results are broadly in line with those from the original paper, with some differences due to the stochastic nature of machine learning and programming language used. We correct an error in the reported metrics, introduce new baselines, apply "&amp;"the experiments to English and Spanish corpora, and generate adversarial data to test classifier robustness. We conclude that feature-based approaches perform better than neural network classifiers for text datasets of this size, though neural network mod"&amp;"ifications do bring performance closer to the best feature-based models.")</f>
        <v>We report on our attempts to reproduce the work described in Vajjala {\&amp;} Rama 2018, {`}Experiments with universal CEFR classification{'}, as part of REPROLANG 2020: this involves featured-based and neural approaches to essay scoring in Czech, German and Italian. Our results are broadly in line with those from the original paper, with some differences due to the stochastic nature of machine learning and programming language used. We correct an error in the reported metrics, introduce new baselines, apply the experiments to English and Spanish corpora, and generate adversarial data to test classifier robustness. We conclude that feature-based approaches perform better than neural network classifiers for text datasets of this size, though neural network modifications do bring performance closer to the best feature-based models.</v>
      </c>
      <c r="H41" s="3"/>
      <c r="I41" s="3"/>
      <c r="J41" s="3"/>
      <c r="K41" s="3"/>
      <c r="L41" s="3"/>
      <c r="M41" s="3"/>
      <c r="N41" s="3"/>
      <c r="O41" s="3"/>
      <c r="P41" s="3"/>
      <c r="Q41" s="3"/>
      <c r="R41" s="3"/>
      <c r="S41" s="3"/>
      <c r="T41" s="3"/>
      <c r="U41" s="3"/>
      <c r="V41" s="3"/>
    </row>
    <row r="42" ht="150.0" customHeight="1">
      <c r="A42" s="3" t="s">
        <v>77</v>
      </c>
      <c r="B42" s="4" t="str">
        <f>IFERROR(__xludf.DUMMYFUNCTION("REGEXEXTRACT(A42, ""author *= *\{([^\}]*)\}"")"),"Cohen, K Bretonnel and Xia, Jingbo and Roeder, Christophe and Hunter, Lawrence E")</f>
        <v>Cohen, K Bretonnel and Xia, Jingbo and Roeder, Christophe and Hunter, Lawrence E</v>
      </c>
      <c r="C42" s="4" t="str">
        <f>IFERROR(__xludf.DUMMYFUNCTION("REGEXEXTRACT(A42, ""title *= *\{+([^\}]*)\}+"")"),"Reproducibility in natural language processing: a case study of two R libraries for mining PubMed/MEDLINE")</f>
        <v>Reproducibility in natural language processing: a case study of two R libraries for mining PubMed/MEDLINE</v>
      </c>
      <c r="D42" s="4" t="str">
        <f>IFERROR(__xludf.DUMMYFUNCTION("IFERROR(REGEXEXTRACT(A42, ""journal *= *\{+([^\}]*)\}+""),REGEXEXTRACT(A42, ""booktitle *= *\{+([^\}]*)\}+""))"),"4REAL Workshop")</f>
        <v>4REAL Workshop</v>
      </c>
      <c r="E42" s="4" t="str">
        <f>IFERROR(__xludf.DUMMYFUNCTION("REGEXEXTRACT(A42, ""year *= *\{+([^\}]*)\}+"")"),"2016")</f>
        <v>2016</v>
      </c>
      <c r="F42" s="4" t="str">
        <f>IFERROR(__xludf.DUMMYFUNCTION("IFERROR(REGEXEXTRACT(A42, ""journal *= *\{+([^\}]*)\}+""),REGEXEXTRACT(A42, ""booktitle *= *\{+([^\}]*)\}+""))"),"4REAL Workshop")</f>
        <v>4REAL Workshop</v>
      </c>
      <c r="G42" s="4" t="s">
        <v>78</v>
      </c>
      <c r="H42" s="3"/>
      <c r="I42" s="3"/>
      <c r="J42" s="3"/>
      <c r="K42" s="3"/>
      <c r="L42" s="3"/>
      <c r="M42" s="3"/>
      <c r="N42" s="3"/>
      <c r="O42" s="3"/>
      <c r="P42" s="3"/>
      <c r="Q42" s="3"/>
      <c r="R42" s="3"/>
      <c r="S42" s="3"/>
      <c r="T42" s="3"/>
      <c r="U42" s="3"/>
      <c r="V42" s="3"/>
    </row>
    <row r="43" ht="150.0" customHeight="1">
      <c r="A43" s="7" t="s">
        <v>79</v>
      </c>
      <c r="B43" s="4" t="str">
        <f>IFERROR(__xludf.DUMMYFUNCTION("IFERROR(REGEXEXTRACT(A43, ""author *= *""""([^""""]+)""""""),REGEXEXTRACT(A43, ""author *= *\{+([^\d]+)\}+""))"),"Cohen, K. Bretonnel  and
      Xia, Jingbo  and
      Zweigenbaum, Pierre  and
      Callahan, Tiffany  and
      Hargraves, Orin  and
      Goss, Foster  and
      Ide, Nancy  and
      N{\'e}v{\'e}ol, Aur{\'e}lie  and
      Grouin, Cyril  and
      Hunt"&amp;"er, Lawrence E.")</f>
        <v>Cohen, K. Bretonnel  and
      Xia, Jingbo  and
      Zweigenbaum, Pierre  and
      Callahan, Tiffany  and
      Hargraves, Orin  and
      Goss, Foster  and
      Ide, Nancy  and
      N{\'e}v{\'e}ol, Aur{\'e}lie  and
      Grouin, Cyril  and
      Hunter, Lawrence E.</v>
      </c>
      <c r="C43" s="4" t="str">
        <f>IFERROR(__xludf.DUMMYFUNCTION("REGEXEXTRACT(A43, ""title *= *""""([^""""]+)"""""")"),"Three Dimensions of Reproducibility in Natural Language Processing")</f>
        <v>Three Dimensions of Reproducibility in Natural Language Processing</v>
      </c>
      <c r="D43" s="4" t="str">
        <f>IFERROR(__xludf.DUMMYFUNCTION("IFERROR(REGEXEXTRACT(A43, ""journal *= *""""+([^""""]*)""""""),REGEXEXTRACT(A43, ""booktitle *= *""""+([^""""]*)""""""))"),"Proceedings of the Eleventh International Conference on Language Resources and Evaluation ({LREC} 2018)")</f>
        <v>Proceedings of the Eleventh International Conference on Language Resources and Evaluation ({LREC} 2018)</v>
      </c>
      <c r="E43" s="4" t="str">
        <f>IFERROR(__xludf.DUMMYFUNCTION("REGEXEXTRACT(A43, ""year *= *""""([^""""]+)"""""")"),"2018")</f>
        <v>2018</v>
      </c>
      <c r="F43" s="6" t="str">
        <f>IFERROR(__xludf.DUMMYFUNCTION("REGEXEXTRACT(B43, ""year *= *""""([^""""]+)"""""")"),"#N/A")</f>
        <v>#N/A</v>
      </c>
      <c r="G43" s="6" t="str">
        <f>IFERROR(__xludf.DUMMYFUNCTION("IFERROR(REGEXEXTRACT(A43, ""abstract *= *""""+([^""""]*)""""""),REGEXEXTRACT(A43, ""abstract *= *\{+(.*)\}""))"),"#N/A")</f>
        <v>#N/A</v>
      </c>
      <c r="H43" s="3"/>
      <c r="I43" s="3"/>
      <c r="J43" s="3"/>
      <c r="K43" s="3"/>
      <c r="L43" s="3"/>
      <c r="M43" s="3"/>
      <c r="N43" s="3"/>
      <c r="O43" s="3"/>
      <c r="P43" s="3"/>
      <c r="Q43" s="3"/>
      <c r="R43" s="3"/>
      <c r="S43" s="3"/>
      <c r="T43" s="3"/>
      <c r="U43" s="3"/>
      <c r="V43" s="3"/>
    </row>
    <row r="44" ht="150.0" customHeight="1">
      <c r="A44" s="3" t="s">
        <v>80</v>
      </c>
      <c r="B44" s="4" t="str">
        <f>IFERROR(__xludf.DUMMYFUNCTION("IFERROR(REGEXEXTRACT(A44, ""author *= *""""([^""""]+)""""""),REGEXEXTRACT(A44, ""author *= *\{+([^\d]+)\}+""))"),"Cooper, Michael  and
      Shardlow, Matthew")</f>
        <v>Cooper, Michael  and
      Shardlow, Matthew</v>
      </c>
      <c r="C44" s="4" t="str">
        <f>IFERROR(__xludf.DUMMYFUNCTION("REGEXEXTRACT(A44, ""title *= *""""([^""""]+)"""""")"),"{C}ombi{NMT}: An Exploration into Neural Text Simplification Models")</f>
        <v>{C}ombi{NMT}: An Exploration into Neural Text Simplification Models</v>
      </c>
      <c r="D44" s="4" t="str">
        <f>IFERROR(__xludf.DUMMYFUNCTION("IFERROR(REGEXEXTRACT(A44, ""journal *= *""""+([^""""]*)""""""),REGEXEXTRACT(A44, ""booktitle *= *""""+([^""""]*)""""""))"),"Proceedings of The 12th Language Resources and Evaluation Conference")</f>
        <v>Proceedings of The 12th Language Resources and Evaluation Conference</v>
      </c>
      <c r="E44" s="4" t="str">
        <f>IFERROR(__xludf.DUMMYFUNCTION("REGEXEXTRACT(A44, ""year *= *""""([^""""]+)"""""")"),"2020")</f>
        <v>2020</v>
      </c>
      <c r="F44" s="4" t="s">
        <v>24</v>
      </c>
      <c r="G44" s="4" t="str">
        <f>IFERROR(__xludf.DUMMYFUNCTION("REGEXEXTRACT(A44, ""abstract *= *""""([^""""]+)"""""")"),"This work presents a replication study of Exploring Neural Text Simplification Models (Nisioi et al., 2017). We were able to successfully replicate and extend the methods presented in the original paper. Alongside the replication results, we present our i"&amp;"mprovements dubbed CombiNMT. By using an updated implementation of OpenNMT, and incorporating the Newsela corpus alongside the original Wikipedia dataset (Hwang et al., 2016), as well as refining both datasets to select high quality training examples. Our"&amp;" work present two new systems, CombiNMT995, which is a result of matched sentences with a cosine similarity of 0.995 or less, and CombiNMT98, which, similarly, runs on a cosine similarity of 0.98 or less. By extending the human evaluation presented within"&amp;" the original paper, increasing both the number of annotators and the number of sentences annotated, with the intention of increasing the quality of the results, CombiNMT998 shows significant improvement over any of the Neural Text Simplification (NTS) sy"&amp;"stems from the original paper in terms of both the number of changes and the percentage of correct changes made.")</f>
        <v>This work presents a replication study of Exploring Neural Text Simplification Models (Nisioi et al., 2017). We were able to successfully replicate and extend the methods presented in the original paper. Alongside the replication results, we present our improvements dubbed CombiNMT. By using an updated implementation of OpenNMT, and incorporating the Newsela corpus alongside the original Wikipedia dataset (Hwang et al., 2016), as well as refining both datasets to select high quality training examples. Our work present two new systems, CombiNMT995, which is a result of matched sentences with a cosine similarity of 0.995 or less, and CombiNMT98, which, similarly, runs on a cosine similarity of 0.98 or less. By extending the human evaluation presented within the original paper, increasing both the number of annotators and the number of sentences annotated, with the intention of increasing the quality of the results, CombiNMT998 shows significant improvement over any of the Neural Text Simplification (NTS) systems from the original paper in terms of both the number of changes and the percentage of correct changes made.</v>
      </c>
      <c r="H44" s="3"/>
      <c r="I44" s="3"/>
      <c r="J44" s="3"/>
      <c r="K44" s="3"/>
      <c r="L44" s="3"/>
      <c r="M44" s="3"/>
      <c r="N44" s="3"/>
      <c r="O44" s="3"/>
      <c r="P44" s="3"/>
      <c r="Q44" s="3"/>
      <c r="R44" s="3"/>
      <c r="S44" s="3"/>
      <c r="T44" s="3"/>
      <c r="U44" s="3"/>
      <c r="V44" s="3"/>
    </row>
    <row r="45" ht="150.0" customHeight="1">
      <c r="A45" s="3" t="s">
        <v>81</v>
      </c>
      <c r="B45" s="4" t="str">
        <f>IFERROR(__xludf.DUMMYFUNCTION("REGEXEXTRACT(A45, ""author *= *\{([^\}]*)\}"")"),"Dalle, Olivier")</f>
        <v>Dalle, Olivier</v>
      </c>
      <c r="C45" s="4" t="str">
        <f>IFERROR(__xludf.DUMMYFUNCTION("REGEXEXTRACT(A45, ""title *= *\{+([^\}]*)\}+"")"),"On reproducibility and traceability of simulations")</f>
        <v>On reproducibility and traceability of simulations</v>
      </c>
      <c r="D45" s="4"/>
      <c r="E45" s="4" t="str">
        <f>IFERROR(__xludf.DUMMYFUNCTION("REGEXEXTRACT(A45, ""year *= *\{+([^\}]*)\}+"")"),"2012")</f>
        <v>2012</v>
      </c>
      <c r="F45" s="4" t="str">
        <f>IFERROR(__xludf.DUMMYFUNCTION("IFERROR(REGEXEXTRACT(A45, ""journal *= *\{+([^\}]*)\}+""),REGEXEXTRACT(A45, ""booktitle *= *\{+([^\}]*)\}+""))"),"Proceedings of the 2012 winter simulation conference (WSC)")</f>
        <v>Proceedings of the 2012 winter simulation conference (WSC)</v>
      </c>
      <c r="G45" s="6" t="str">
        <f>IFERROR(__xludf.DUMMYFUNCTION("REGEXEXTRACT(A45, ""abstract *= *\{+([^\}]*)\}+"")"),"#N/A")</f>
        <v>#N/A</v>
      </c>
      <c r="H45" s="3"/>
      <c r="I45" s="3"/>
      <c r="J45" s="3"/>
      <c r="K45" s="3"/>
      <c r="L45" s="3"/>
      <c r="M45" s="3"/>
      <c r="N45" s="3"/>
      <c r="O45" s="3"/>
      <c r="P45" s="3"/>
      <c r="Q45" s="3"/>
      <c r="R45" s="3"/>
      <c r="S45" s="3"/>
      <c r="T45" s="3"/>
      <c r="U45" s="3"/>
      <c r="V45" s="3"/>
    </row>
    <row r="46" ht="150.0" customHeight="1">
      <c r="A46" s="3" t="s">
        <v>82</v>
      </c>
      <c r="B46" s="4" t="str">
        <f>IFERROR(__xludf.DUMMYFUNCTION("IFERROR(REGEXEXTRACT(A46, ""author *= *""""+([^""""]*)""""""),REGEXEXTRACT(A46, ""author *= *\{+(.*)\}""))"),"Dodge, Jesse  and
      Gururangan, Suchin  and
      Card, Dallas  and
      Schwartz, Roy  and
      Smith, Noah A.")</f>
        <v>Dodge, Jesse  and
      Gururangan, Suchin  and
      Card, Dallas  and
      Schwartz, Roy  and
      Smith, Noah A.</v>
      </c>
      <c r="C46" s="4" t="str">
        <f>IFERROR(__xludf.DUMMYFUNCTION("IFERROR(REGEXEXTRACT(A46, ""title *= *""""+([^""""]*)""""""),REGEXEXTRACT(A46, ""title *= *\{+(.*)\}""))"),"Show Your Work: Improved Reporting of Experimental Results")</f>
        <v>Show Your Work: Improved Reporting of Experimental Results</v>
      </c>
      <c r="D46" s="4"/>
      <c r="E46" s="4" t="str">
        <f>IFERROR(__xludf.DUMMYFUNCTION("IFERROR(REGEXEXTRACT(A46, ""year *= *""""+([^""""]*)""""""),REGEXEXTRACT(A46, ""year *= *\{+(.*)\}""))"),"2019")</f>
        <v>2019</v>
      </c>
      <c r="F46" s="6" t="str">
        <f>IFERROR(__xludf.DUMMYFUNCTION("IFERROR(REGEXEXTRACT(A46, ""journal *= *""""+([^""""]*)""""""),REGEXEXTRACT(A46, ""journal *= *\{+(.*)\}""))"),"#N/A")</f>
        <v>#N/A</v>
      </c>
      <c r="G46" s="4" t="str">
        <f>IFERROR(__xludf.DUMMYFUNCTION("IFERROR(REGEXEXTRACT(A46, ""abstract *= *""""+([^""""]*)""""""),REGEXEXTRACT(A46, ""abstract *= *\{+(.*)\}""))"),"Research in natural language processing proceeds, in part, by demonstrating that new models achieve superior performance (e.g., accuracy) on held-out test data, compared to previous results. In this paper, we demonstrate that test-set performance scores a"&amp;"lone are insufficient for drawing accurate conclusions about which model performs best. We argue for reporting additional details, especially performance on validation data obtained during model development. We present a novel technique for doing so: expe"&amp;"cted validation performance of the best-found model as a function of computation budget (i.e., the number of hyperparameter search trials or the overall training time). Using our approach, we find multiple recent model comparisons where authors would have"&amp;" reached a different conclusion if they had used more (or less) computation. Our approach also allows us to estimate the amount of computation required to obtain a given accuracy; applying it to several recently published results yields massive variation "&amp;"across papers, from hours to weeks. We conclude with a set of best practices for reporting experimental results which allow for robust future comparisons, and provide code to allow researchers to use our technique.")</f>
        <v>Research in natural language processing proceeds, in part, by demonstrating that new models achieve superior performance (e.g., accuracy) on held-out test data, compared to previous results. In this paper, we demonstrate that test-set performance scores alone are insufficient for drawing accurate conclusions about which model performs best. We argue for reporting additional details, especially performance on validation data obtained during model development. We present a novel technique for doing so: expected validation performance of the best-found model as a function of computation budget (i.e., the number of hyperparameter search trials or the overall training time). Using our approach, we find multiple recent model comparisons where authors would have reached a different conclusion if they had used more (or less) computation. Our approach also allows us to estimate the amount of computation required to obtain a given accuracy; applying it to several recently published results yields massive variation across papers, from hours to weeks. We conclude with a set of best practices for reporting experimental results which allow for robust future comparisons, and provide code to allow researchers to use our technique.</v>
      </c>
      <c r="H46" s="3"/>
      <c r="I46" s="3"/>
      <c r="J46" s="3"/>
      <c r="K46" s="3"/>
      <c r="L46" s="3"/>
      <c r="M46" s="3"/>
      <c r="N46" s="3"/>
      <c r="O46" s="3"/>
      <c r="P46" s="3"/>
      <c r="Q46" s="3"/>
      <c r="R46" s="3"/>
      <c r="S46" s="3"/>
      <c r="T46" s="3"/>
      <c r="U46" s="3"/>
      <c r="V46" s="3"/>
    </row>
    <row r="47" ht="150.0" customHeight="1">
      <c r="A47" s="3" t="s">
        <v>83</v>
      </c>
      <c r="B47" s="4" t="str">
        <f>IFERROR(__xludf.DUMMYFUNCTION("IFERROR(REGEXEXTRACT(A47, ""author *= *""""+([^""""]*)""""""),REGEXEXTRACT(A47, ""author *= *\{+(.*)\}""))"),"Drummond, Chris")</f>
        <v>Drummond, Chris</v>
      </c>
      <c r="C47" s="4" t="str">
        <f>IFERROR(__xludf.DUMMYFUNCTION("IFERROR(REGEXEXTRACT(A47, ""title *= *""""+([^""""]*)""""""),REGEXEXTRACT(A47, ""title *= *\{+(.*)\}""))"),"Replicability is not reproducibility: nor is it good science")</f>
        <v>Replicability is not reproducibility: nor is it good science</v>
      </c>
      <c r="D47" s="4"/>
      <c r="E47" s="4" t="str">
        <f>IFERROR(__xludf.DUMMYFUNCTION("IFERROR(REGEXEXTRACT(A47, ""year *= *""""+([^""""]*)""""""),REGEXEXTRACT(A47, ""year *= *\{+(.*)\}""))"),"2009")</f>
        <v>2009</v>
      </c>
      <c r="F47" s="4" t="s">
        <v>84</v>
      </c>
      <c r="G47" s="4" t="s">
        <v>85</v>
      </c>
      <c r="H47" s="3"/>
      <c r="I47" s="3"/>
      <c r="J47" s="3"/>
      <c r="K47" s="3"/>
      <c r="L47" s="3"/>
      <c r="M47" s="3"/>
      <c r="N47" s="3"/>
      <c r="O47" s="3"/>
      <c r="P47" s="3"/>
      <c r="Q47" s="3"/>
      <c r="R47" s="3"/>
      <c r="S47" s="3"/>
      <c r="T47" s="3"/>
      <c r="U47" s="3"/>
      <c r="V47" s="3"/>
    </row>
    <row r="48" ht="150.0" customHeight="1">
      <c r="A48" s="3" t="s">
        <v>86</v>
      </c>
      <c r="B48" s="4" t="str">
        <f>IFERROR(__xludf.DUMMYFUNCTION("IFERROR(REGEXEXTRACT(A48, ""author *= *""""([^""""]+)""""""),REGEXEXTRACT(A48, ""author *= *\{+([^\d]+)\}+""))"),"Gorman, Kyle  and
      Bedrick, Steven")</f>
        <v>Gorman, Kyle  and
      Bedrick, Steven</v>
      </c>
      <c r="C48" s="4" t="str">
        <f>IFERROR(__xludf.DUMMYFUNCTION("REGEXEXTRACT(A48, ""title *= *""""([^""""]+)"""""")"),"We Need to Talk about Standard Splits")</f>
        <v>We Need to Talk about Standard Splits</v>
      </c>
      <c r="D48" s="4" t="str">
        <f>IFERROR(__xludf.DUMMYFUNCTION("IFERROR(REGEXEXTRACT(A48, ""journal *= *""""+([^""""]*)""""""),REGEXEXTRACT(A48, ""booktitle *= *""""+([^""""]*)""""""))"),"Proceedings of the 57th Annual Meeting of the Association for Computational Linguistics")</f>
        <v>Proceedings of the 57th Annual Meeting of the Association for Computational Linguistics</v>
      </c>
      <c r="E48" s="4" t="str">
        <f>IFERROR(__xludf.DUMMYFUNCTION("REGEXEXTRACT(A48, ""year *= *""""([^""""]+)"""""")"),"2019")</f>
        <v>2019</v>
      </c>
      <c r="F48" s="4" t="s">
        <v>10</v>
      </c>
      <c r="G48" s="4" t="str">
        <f>IFERROR(__xludf.DUMMYFUNCTION("REGEXEXTRACT(A48, ""abstract *= *""""([^""""]+)"""""")"),"It is standard practice in speech {\&amp;} language technology to rank systems according to their performance on a test set held out for evaluation. However, few researchers apply statistical tests to determine whether differences in performance are likely to"&amp;" arise by chance, and few examine the stability of system ranking across multiple training-testing splits. We conduct replication and reproduction experiments with nine part-of-speech taggers published between 2000 and 2018, each of which claimed state-of"&amp;"-the-art performance on a widely-used {``}standard split{''}. While we replicate results on the standard split, we fail to reliably reproduce some rankings when we repeat this analysis with randomly generated training-testing splits. We argue that randoml"&amp;"y generated splits should be used in system evaluation.")</f>
        <v>It is standard practice in speech {\&amp;} language technology to rank systems according to their performance on a test set held out for evaluation. However, few researchers apply statistical tests to determine whether differences in performance are likely to arise by chance, and few examine the stability of system ranking across multiple training-testing splits. We conduct replication and reproduction experiments with nine part-of-speech taggers published between 2000 and 2018, each of which claimed state-of-the-art performance on a widely-used {``}standard split{''}. While we replicate results on the standard split, we fail to reliably reproduce some rankings when we repeat this analysis with randomly generated training-testing splits. We argue that randomly generated splits should be used in system evaluation.</v>
      </c>
      <c r="H48" s="3"/>
      <c r="I48" s="3"/>
      <c r="J48" s="3"/>
      <c r="K48" s="3"/>
      <c r="L48" s="3"/>
      <c r="M48" s="3"/>
      <c r="N48" s="3"/>
      <c r="O48" s="3"/>
      <c r="P48" s="3"/>
      <c r="Q48" s="3"/>
      <c r="R48" s="3"/>
      <c r="S48" s="3"/>
      <c r="T48" s="3"/>
      <c r="U48" s="3"/>
      <c r="V48" s="3"/>
    </row>
    <row r="49" ht="150.0" customHeight="1">
      <c r="A49" s="3" t="s">
        <v>87</v>
      </c>
      <c r="B49" s="4" t="str">
        <f>IFERROR(__xludf.DUMMYFUNCTION("IFERROR(REGEXEXTRACT(A49, ""author *= *""""+([^""""]*)""""""),REGEXEXTRACT(A49, ""author *= *\{+(.*)\}""))"),"Louridas, Panos and Gousios, Georgios")</f>
        <v>Louridas, Panos and Gousios, Georgios</v>
      </c>
      <c r="C49" s="4" t="str">
        <f>IFERROR(__xludf.DUMMYFUNCTION("IFERROR(REGEXEXTRACT(A49, ""title *= *""""+([^""""]*)""""""),REGEXEXTRACT(A49, ""title *= *\{+(.*)\}""))"),"A note on rigour and replicability")</f>
        <v>A note on rigour and replicability</v>
      </c>
      <c r="D49" s="4"/>
      <c r="E49" s="4" t="str">
        <f>IFERROR(__xludf.DUMMYFUNCTION("IFERROR(REGEXEXTRACT(A49, ""year *= *""""+([^""""]*)""""""),REGEXEXTRACT(A49, ""year *= *\{+(.*)\}""))"),"2012")</f>
        <v>2012</v>
      </c>
      <c r="F49" s="4" t="str">
        <f>IFERROR(__xludf.DUMMYFUNCTION("IFERROR(REGEXEXTRACT(A49, ""journal *= *""""+([^""""]*)""""""),REGEXEXTRACT(A49, ""journal *= *\{+(.*)\}""))"),"ACM SIGSOFT Software Engineering Notes")</f>
        <v>ACM SIGSOFT Software Engineering Notes</v>
      </c>
      <c r="G49" s="6" t="str">
        <f>IFERROR(__xludf.DUMMYFUNCTION("IFERROR(REGEXEXTRACT(A49, ""abstract *= *""""+([^""""]*)""""""),REGEXEXTRACT(A49, ""abstract *= *\{+(.*)\}""))"),"#N/A")</f>
        <v>#N/A</v>
      </c>
      <c r="H49" s="3"/>
      <c r="I49" s="3"/>
      <c r="J49" s="3"/>
      <c r="K49" s="3"/>
      <c r="L49" s="3"/>
      <c r="M49" s="3"/>
      <c r="N49" s="3"/>
      <c r="O49" s="3"/>
      <c r="P49" s="3"/>
      <c r="Q49" s="3"/>
      <c r="R49" s="3"/>
      <c r="S49" s="3"/>
      <c r="T49" s="3"/>
      <c r="U49" s="3"/>
      <c r="V49" s="3"/>
    </row>
    <row r="50" ht="150.0" customHeight="1">
      <c r="A50" s="8" t="s">
        <v>88</v>
      </c>
      <c r="B50" s="4" t="str">
        <f>IFERROR(__xludf.DUMMYFUNCTION("IFERROR(REGEXEXTRACT(A50, ""author *= *""""+([^""""]*)""""""),REGEXEXTRACT(A50, ""author *= *\{+(.*)\}""))"),"Odd Erik Gundersen and Sigbj{\o}rn Kjensmo")</f>
        <v>Odd Erik Gundersen and Sigbj{\o}rn Kjensmo</v>
      </c>
      <c r="C50" s="4" t="str">
        <f>IFERROR(__xludf.DUMMYFUNCTION("IFERROR(REGEXEXTRACT(A50, ""title *= *""""+([^""""]*)""""""),REGEXEXTRACT(A50, ""title *= *\{+(.*)\}""))"),"State of the Art: Reproducibility in Artificial Intelligence")</f>
        <v>State of the Art: Reproducibility in Artificial Intelligence</v>
      </c>
      <c r="D50" s="4"/>
      <c r="E50" s="4" t="str">
        <f>IFERROR(__xludf.DUMMYFUNCTION("IFERROR(REGEXEXTRACT(A50, ""year *= *""""+([^""""]*)""""""),REGEXEXTRACT(A50, ""year *= *\{+(.*)\}""))"),"2018")</f>
        <v>2018</v>
      </c>
      <c r="F50" s="4" t="s">
        <v>89</v>
      </c>
      <c r="G50" s="9" t="s">
        <v>90</v>
      </c>
      <c r="H50" s="10"/>
      <c r="I50" s="10"/>
      <c r="J50" s="10"/>
      <c r="K50" s="10"/>
      <c r="L50" s="10"/>
      <c r="M50" s="3"/>
      <c r="N50" s="3"/>
      <c r="O50" s="3"/>
      <c r="P50" s="3"/>
      <c r="Q50" s="3"/>
      <c r="R50" s="3"/>
      <c r="S50" s="3"/>
      <c r="T50" s="3"/>
      <c r="U50" s="3"/>
      <c r="V50" s="3"/>
    </row>
    <row r="51" ht="150.0" customHeight="1">
      <c r="A51" s="3" t="s">
        <v>91</v>
      </c>
      <c r="B51" s="4" t="str">
        <f>IFERROR(__xludf.DUMMYFUNCTION("REGEXEXTRACT(A51, ""author *= *\{([^\}]*)\}"")"),"Pedersen, Ted")</f>
        <v>Pedersen, Ted</v>
      </c>
      <c r="C51" s="4" t="str">
        <f>IFERROR(__xludf.DUMMYFUNCTION("REGEXEXTRACT(A51, ""title *= *\{+([^\}]*)\}+"")"),"Empiricism is not a matter of faith")</f>
        <v>Empiricism is not a matter of faith</v>
      </c>
      <c r="D51" s="4"/>
      <c r="E51" s="4" t="str">
        <f>IFERROR(__xludf.DUMMYFUNCTION("REGEXEXTRACT(A51, ""year *= *\{+([^\}]*)\}+"")"),"2008")</f>
        <v>2008</v>
      </c>
      <c r="F51" s="4" t="str">
        <f>IFERROR(__xludf.DUMMYFUNCTION("IFERROR(REGEXEXTRACT(A51, ""journal *= *\{+([^\}]*)\}+""),REGEXEXTRACT(A51, ""booktitle *= *\{+([^\}]*)\}+""))"),"Computational Linguistics")</f>
        <v>Computational Linguistics</v>
      </c>
      <c r="G51" s="6" t="str">
        <f>IFERROR(__xludf.DUMMYFUNCTION("REGEXEXTRACT(A51, ""abstract *= *\{+([^\}]*)\}+"")"),"#N/A")</f>
        <v>#N/A</v>
      </c>
      <c r="H51" s="3"/>
      <c r="I51" s="3"/>
      <c r="J51" s="3"/>
      <c r="K51" s="3"/>
      <c r="L51" s="3"/>
      <c r="M51" s="3"/>
      <c r="N51" s="3"/>
      <c r="O51" s="3"/>
      <c r="P51" s="3"/>
      <c r="Q51" s="3"/>
      <c r="R51" s="3"/>
      <c r="S51" s="3"/>
      <c r="T51" s="3"/>
      <c r="U51" s="3"/>
      <c r="V51" s="3"/>
    </row>
    <row r="52" ht="150.0" customHeight="1">
      <c r="A52" s="3" t="s">
        <v>92</v>
      </c>
      <c r="B52" s="4" t="str">
        <f>IFERROR(__xludf.DUMMYFUNCTION("REGEXEXTRACT(A52, ""author *= *\{([^\}]*)\}"")"),"Pineau, Joelle")</f>
        <v>Pineau, Joelle</v>
      </c>
      <c r="C52" s="4" t="str">
        <f>IFERROR(__xludf.DUMMYFUNCTION("REGEXEXTRACT(A52, ""title *= *\{+([^\}]*)\}+"")"),"The Machine Learning Reproducibility Checklist v2.0")</f>
        <v>The Machine Learning Reproducibility Checklist v2.0</v>
      </c>
      <c r="D52" s="4"/>
      <c r="E52" s="4" t="str">
        <f>IFERROR(__xludf.DUMMYFUNCTION("REGEXEXTRACT(A52, ""year *= *\{+([^\}]*)\}+"")"),"2020")</f>
        <v>2020</v>
      </c>
      <c r="F52" s="4" t="str">
        <f>IFERROR(__xludf.DUMMYFUNCTION("IFERROR(REGEXEXTRACT(A52, ""journal *= *\{+([^\}]*)\}+""),REGEXEXTRACT(A52, ""booktitle *= *\{+([^\}]*)\}+""))"),"Unpublished manuscript")</f>
        <v>Unpublished manuscript</v>
      </c>
      <c r="G52" s="4" t="s">
        <v>93</v>
      </c>
      <c r="H52" s="3"/>
      <c r="I52" s="3"/>
      <c r="J52" s="3"/>
      <c r="K52" s="3"/>
      <c r="L52" s="3"/>
      <c r="M52" s="3"/>
      <c r="N52" s="3"/>
      <c r="O52" s="3"/>
      <c r="P52" s="3"/>
      <c r="Q52" s="3"/>
      <c r="R52" s="3"/>
      <c r="S52" s="3"/>
      <c r="T52" s="3"/>
      <c r="U52" s="3"/>
      <c r="V52" s="3"/>
    </row>
    <row r="53" ht="150.0" customHeight="1">
      <c r="A53" s="5" t="s">
        <v>94</v>
      </c>
      <c r="B53" s="4" t="str">
        <f>IFERROR(__xludf.DUMMYFUNCTION("REGEXEXTRACT(A53, ""author *= *\{([^\}]*)\}"")"),"Pineau, Joelle and Sinha, Koustuv and Fried, Genevieve and Ke, Rosemary Nan and Larochelle, Hugo")</f>
        <v>Pineau, Joelle and Sinha, Koustuv and Fried, Genevieve and Ke, Rosemary Nan and Larochelle, Hugo</v>
      </c>
      <c r="C53" s="4" t="str">
        <f>IFERROR(__xludf.DUMMYFUNCTION("REGEXEXTRACT(A53, ""title *= *\{+([^\}]*)\}+"")"),"ICLR Reproducibility Challenge 2019")</f>
        <v>ICLR Reproducibility Challenge 2019</v>
      </c>
      <c r="D53" s="4"/>
      <c r="E53" s="4" t="str">
        <f>IFERROR(__xludf.DUMMYFUNCTION("REGEXEXTRACT(A53, ""year *= *\{+([^\}]*)\}+"")"),"2019")</f>
        <v>2019</v>
      </c>
      <c r="F53" s="4" t="str">
        <f>IFERROR(__xludf.DUMMYFUNCTION("IFERROR(REGEXEXTRACT(A53, ""journal *= *\{+([^\}]*)\}+""),REGEXEXTRACT(A53, ""booktitle *= *\{+([^\}]*)\}+""))"),"ReScience C")</f>
        <v>ReScience C</v>
      </c>
      <c r="G53" s="4" t="s">
        <v>95</v>
      </c>
      <c r="H53" s="3"/>
      <c r="I53" s="3"/>
      <c r="J53" s="3"/>
      <c r="K53" s="3"/>
      <c r="L53" s="3"/>
      <c r="M53" s="3"/>
      <c r="N53" s="3"/>
      <c r="O53" s="3"/>
      <c r="P53" s="3"/>
      <c r="Q53" s="3"/>
      <c r="R53" s="3"/>
      <c r="S53" s="3"/>
      <c r="T53" s="3"/>
      <c r="U53" s="3"/>
      <c r="V53" s="3"/>
    </row>
    <row r="54" ht="150.0" customHeight="1">
      <c r="A54" s="3" t="s">
        <v>96</v>
      </c>
      <c r="B54" s="4" t="str">
        <f>IFERROR(__xludf.DUMMYFUNCTION("REGEXEXTRACT(A54, ""author *= *\{([^\}]*)\}"")"),"Pineau, Joelle and Vincent-Lamarre, Philippe and Sinha, Koustuv and Larivi{\`e")</f>
        <v>Pineau, Joelle and Vincent-Lamarre, Philippe and Sinha, Koustuv and Larivi{\`e</v>
      </c>
      <c r="C54" s="4" t="str">
        <f>IFERROR(__xludf.DUMMYFUNCTION("REGEXEXTRACT(A54, ""title *= *\{+([^\}]*)\}+"")"),"Improving Reproducibility in Machine Learning Research (A Report from the NeurIPS 2019 Reproducibility Program)")</f>
        <v>Improving Reproducibility in Machine Learning Research (A Report from the NeurIPS 2019 Reproducibility Program)</v>
      </c>
      <c r="D54" s="4"/>
      <c r="E54" s="4" t="str">
        <f>IFERROR(__xludf.DUMMYFUNCTION("REGEXEXTRACT(A54, ""year *= *\{+([^\}]*)\}+"")"),"2020")</f>
        <v>2020</v>
      </c>
      <c r="F54" s="4" t="str">
        <f>IFERROR(__xludf.DUMMYFUNCTION("IFERROR(REGEXEXTRACT(A54, ""journal *= *\{+([^\}]*)\}+""),REGEXEXTRACT(A54, ""booktitle *= *\{+([^\}]*)\}+""))"),"arXiv preprint arXiv:2003.12206")</f>
        <v>arXiv preprint arXiv:2003.12206</v>
      </c>
      <c r="G54" s="4" t="s">
        <v>97</v>
      </c>
      <c r="H54" s="3"/>
      <c r="I54" s="3"/>
      <c r="J54" s="3"/>
      <c r="K54" s="3"/>
      <c r="L54" s="3"/>
      <c r="M54" s="3"/>
      <c r="N54" s="3"/>
      <c r="O54" s="3"/>
      <c r="P54" s="3"/>
      <c r="Q54" s="3"/>
      <c r="R54" s="3"/>
      <c r="S54" s="3"/>
      <c r="T54" s="3"/>
      <c r="U54" s="3"/>
      <c r="V54" s="3"/>
    </row>
    <row r="55" ht="150.0" customHeight="1">
      <c r="A55" s="11" t="s">
        <v>98</v>
      </c>
      <c r="B55" s="4" t="str">
        <f>IFERROR(__xludf.DUMMYFUNCTION("IFERROR(REGEXEXTRACT(A55, ""author *= *""""+([^""""]*)""""""),REGEXEXTRACT(A55, ""author *= *\{+(.*)\}""))"),"Plesser, Hans E")</f>
        <v>Plesser, Hans E</v>
      </c>
      <c r="C55" s="4" t="str">
        <f>IFERROR(__xludf.DUMMYFUNCTION("IFERROR(REGEXEXTRACT(A55, ""title *= *""""+([^""""]*)""""""),REGEXEXTRACT(A55, ""title *= *\{+(.*)\}""))"),"Reproducibility vs. replicability: a brief history of a confused terminology")</f>
        <v>Reproducibility vs. replicability: a brief history of a confused terminology</v>
      </c>
      <c r="D55" s="4"/>
      <c r="E55" s="4" t="str">
        <f>IFERROR(__xludf.DUMMYFUNCTION("IFERROR(REGEXEXTRACT(A55, ""year *= *""""+([^""""]*)""""""),REGEXEXTRACT(A55, ""year *= *\{+(.*)\}""))"),"2018")</f>
        <v>2018</v>
      </c>
      <c r="F55" s="4" t="str">
        <f>IFERROR(__xludf.DUMMYFUNCTION("IFERROR(REGEXEXTRACT(A55, ""journal *= *""""+([^""""]*)""""""),REGEXEXTRACT(A55, ""journal *= *\{+(.*)\}""))"),"Frontiers in neuroinformatics")</f>
        <v>Frontiers in neuroinformatics</v>
      </c>
      <c r="G55" s="6" t="str">
        <f>IFERROR(__xludf.DUMMYFUNCTION("IFERROR(REGEXEXTRACT(A55, ""abstract *= *""""+([^""""]*)""""""),REGEXEXTRACT(A55, ""abstract *= *\{+(.*)\}""))"),"#N/A")</f>
        <v>#N/A</v>
      </c>
      <c r="H55" s="3"/>
      <c r="I55" s="3"/>
      <c r="J55" s="3"/>
      <c r="K55" s="3"/>
      <c r="L55" s="3"/>
      <c r="M55" s="3"/>
      <c r="N55" s="3"/>
      <c r="O55" s="3"/>
      <c r="P55" s="3"/>
      <c r="Q55" s="3"/>
      <c r="R55" s="3"/>
      <c r="S55" s="3"/>
      <c r="T55" s="3"/>
      <c r="U55" s="3"/>
      <c r="V55" s="3"/>
    </row>
    <row r="56" ht="150.0" customHeight="1">
      <c r="A56" s="3" t="s">
        <v>99</v>
      </c>
      <c r="B56" s="4" t="str">
        <f>IFERROR(__xludf.DUMMYFUNCTION("IFERROR(REGEXEXTRACT(A56, ""author *= *""""([^""""]+)""""""),REGEXEXTRACT(A56, ""author *= *\{+([^\d]+)\}+""))"),"Pluci{\'n}ski, Kamil  and
      Lango, Mateusz  and
      Zimniewicz, Micha{\l}")</f>
        <v>Pluci{\'n}ski, Kamil  and
      Lango, Mateusz  and
      Zimniewicz, Micha{\l}</v>
      </c>
      <c r="C56" s="4" t="str">
        <f>IFERROR(__xludf.DUMMYFUNCTION("REGEXEXTRACT(A56, ""title *= *""""([^""""]+)"""""")"),"A Closer Look on Unsupervised Cross-lingual Word Embeddings Mapping")</f>
        <v>A Closer Look on Unsupervised Cross-lingual Word Embeddings Mapping</v>
      </c>
      <c r="D56" s="4" t="str">
        <f>IFERROR(__xludf.DUMMYFUNCTION("IFERROR(REGEXEXTRACT(A56, ""journal *= *""""+([^""""]*)""""""),REGEXEXTRACT(A56, ""booktitle *= *""""+([^""""]*)""""""))"),"Proceedings of The 12th Language Resources and Evaluation Conference")</f>
        <v>Proceedings of The 12th Language Resources and Evaluation Conference</v>
      </c>
      <c r="E56" s="4" t="str">
        <f>IFERROR(__xludf.DUMMYFUNCTION("REGEXEXTRACT(A56, ""year *= *""""([^""""]+)"""""")"),"2020")</f>
        <v>2020</v>
      </c>
      <c r="F56" s="4" t="s">
        <v>24</v>
      </c>
      <c r="G56" s="4" t="str">
        <f>IFERROR(__xludf.DUMMYFUNCTION("REGEXEXTRACT(A56, ""abstract *= *""""([^""""]+)"""""")"),"In this work, we study the unsupervised cross-lingual word embeddings mapping method presented by Artetxe et al. (2018). First, wesuccessfully reproduced the experiments performed in the original work, finding only minor differences. Furthermore, we verif"&amp;"ied themethod{'}s robustness on different embedding representations and new language pairs, particularly these involving Slavic languages likePolish or Czech. We also performed an experimental analysis of the impact of the method{'}s parameters on the fin"&amp;"al result. Finally, welooked for an alternative way of initialization, which directly relies on the isometric assumption. Our work confirms the results presentedearlier, at the same time pointing at interesting problems occurring while using the method wi"&amp;"th different types of embeddings or onless-common language pairs.")</f>
        <v>In this work, we study the unsupervised cross-lingual word embeddings mapping method presented by Artetxe et al. (2018). First, wesuccessfully reproduced the experiments performed in the original work, finding only minor differences. Furthermore, we verified themethod{'}s robustness on different embedding representations and new language pairs, particularly these involving Slavic languages likePolish or Czech. We also performed an experimental analysis of the impact of the method{'}s parameters on the final result. Finally, welooked for an alternative way of initialization, which directly relies on the isometric assumption. Our work confirms the results presentedearlier, at the same time pointing at interesting problems occurring while using the method with different types of embeddings or onless-common language pairs.</v>
      </c>
      <c r="H56" s="3"/>
      <c r="I56" s="3"/>
      <c r="J56" s="3"/>
      <c r="K56" s="3"/>
      <c r="L56" s="3"/>
      <c r="M56" s="3"/>
      <c r="N56" s="3"/>
      <c r="O56" s="3"/>
      <c r="P56" s="3"/>
      <c r="Q56" s="3"/>
      <c r="R56" s="3"/>
      <c r="S56" s="3"/>
      <c r="T56" s="3"/>
      <c r="U56" s="3"/>
      <c r="V56" s="3"/>
    </row>
    <row r="57" ht="150.0" customHeight="1">
      <c r="A57" s="3" t="s">
        <v>100</v>
      </c>
      <c r="B57" s="4" t="str">
        <f>IFERROR(__xludf.DUMMYFUNCTION("REGEXEXTRACT(A57, ""author *= *\{([^\}]*)\}"")"),"Raff, Edward")</f>
        <v>Raff, Edward</v>
      </c>
      <c r="C57" s="4" t="str">
        <f>IFERROR(__xludf.DUMMYFUNCTION("REGEXEXTRACT(A57, ""title *= *\{+([^\}]*)\}+"")"),"A Step Toward Quantifying Independently Reproducible Machine Learning Research")</f>
        <v>A Step Toward Quantifying Independently Reproducible Machine Learning Research</v>
      </c>
      <c r="D57" s="4"/>
      <c r="E57" s="4" t="str">
        <f>IFERROR(__xludf.DUMMYFUNCTION("REGEXEXTRACT(A57, ""year *= *\{+([^\}]*)\}+"")"),"2019")</f>
        <v>2019</v>
      </c>
      <c r="F57" s="4" t="str">
        <f>IFERROR(__xludf.DUMMYFUNCTION("IFERROR(REGEXEXTRACT(A57, ""journal *= *\{+([^\}]*)\}+""),REGEXEXTRACT(A57, ""booktitle *= *\{+([^\}]*)\}+""))"),"Advances in Neural Information Processing Systems")</f>
        <v>Advances in Neural Information Processing Systems</v>
      </c>
      <c r="G57" s="4" t="s">
        <v>101</v>
      </c>
      <c r="H57" s="3"/>
      <c r="I57" s="3"/>
      <c r="J57" s="3"/>
      <c r="K57" s="3"/>
      <c r="L57" s="3"/>
      <c r="M57" s="3"/>
      <c r="N57" s="3"/>
      <c r="O57" s="3"/>
      <c r="P57" s="3"/>
      <c r="Q57" s="3"/>
      <c r="R57" s="3"/>
      <c r="S57" s="3"/>
      <c r="T57" s="3"/>
      <c r="U57" s="3"/>
      <c r="V57" s="3"/>
    </row>
    <row r="58" ht="150.0" customHeight="1">
      <c r="A58" s="3" t="s">
        <v>102</v>
      </c>
      <c r="B58" s="4" t="str">
        <f>IFERROR(__xludf.DUMMYFUNCTION("IFERROR(REGEXEXTRACT(A58, ""author *= *""""+([^""""]*)""""""),REGEXEXTRACT(A58, ""author *= *\{+(.*)\}""))"),"Rougier, Nicolas P and Hinsen, Konrad and Alexandre, Fr{\'e}d{\'e}ric and Arildsen, Thomas and Barba, Lorena A and Benureau, Fabien CY and Brown, C Titus and De Buyl, Pierre and Caglayan, Ozan and Davison, Andrew P and others")</f>
        <v>Rougier, Nicolas P and Hinsen, Konrad and Alexandre, Fr{\'e}d{\'e}ric and Arildsen, Thomas and Barba, Lorena A and Benureau, Fabien CY and Brown, C Titus and De Buyl, Pierre and Caglayan, Ozan and Davison, Andrew P and others</v>
      </c>
      <c r="C58" s="4" t="str">
        <f>IFERROR(__xludf.DUMMYFUNCTION("IFERROR(REGEXEXTRACT(A58, ""title *= *""""+([^""""]*)""""""),REGEXEXTRACT(A58, ""title *= *\{+(.*)\}""))"),"Sustainable computational science: the ReScience initiative")</f>
        <v>Sustainable computational science: the ReScience initiative</v>
      </c>
      <c r="D58" s="4"/>
      <c r="E58" s="4" t="str">
        <f>IFERROR(__xludf.DUMMYFUNCTION("IFERROR(REGEXEXTRACT(A58, ""year *= *""""+([^""""]*)""""""),REGEXEXTRACT(A58, ""year *= *\{+(.*)\}""))"),"2017")</f>
        <v>2017</v>
      </c>
      <c r="F58" s="4" t="str">
        <f>IFERROR(__xludf.DUMMYFUNCTION("IFERROR(REGEXEXTRACT(A58, ""journal *= *""""+([^""""]*)""""""),REGEXEXTRACT(A58, ""journal *= *\{+(.*)\}""))"),"PeerJ Computer Science")</f>
        <v>PeerJ Computer Science</v>
      </c>
      <c r="G58" s="6" t="str">
        <f>IFERROR(__xludf.DUMMYFUNCTION("IFERROR(REGEXEXTRACT(A58, ""abstract *= *""""+([^""""]*)""""""),REGEXEXTRACT(A58, ""abstract *= *\{+(.*)\}""))"),"#N/A")</f>
        <v>#N/A</v>
      </c>
      <c r="H58" s="3"/>
      <c r="I58" s="3"/>
      <c r="J58" s="3"/>
      <c r="K58" s="3"/>
      <c r="L58" s="3"/>
      <c r="M58" s="3"/>
      <c r="N58" s="3"/>
      <c r="O58" s="3"/>
      <c r="P58" s="3"/>
      <c r="Q58" s="3"/>
      <c r="R58" s="3"/>
      <c r="S58" s="3"/>
      <c r="T58" s="3"/>
      <c r="U58" s="3"/>
      <c r="V58" s="3"/>
    </row>
    <row r="59" ht="150.0" customHeight="1">
      <c r="A59" s="3" t="s">
        <v>103</v>
      </c>
      <c r="B59" s="4" t="str">
        <f>IFERROR(__xludf.DUMMYFUNCTION("REGEXEXTRACT(A59, ""author *= *\{(.*)\}"")"),"Schloss, Patrick D")</f>
        <v>Schloss, Patrick D</v>
      </c>
      <c r="C59" s="4" t="str">
        <f>IFERROR(__xludf.DUMMYFUNCTION("REGEXEXTRACT(A59, ""title *= *\{+(.*)\}+"")"),"Identifying and overcoming threats to reproducibility, replicability, robustness, and generalizability in microbiome research")</f>
        <v>Identifying and overcoming threats to reproducibility, replicability, robustness, and generalizability in microbiome research</v>
      </c>
      <c r="D59" s="4"/>
      <c r="E59" s="4" t="str">
        <f>IFERROR(__xludf.DUMMYFUNCTION("REGEXEXTRACT(A59, ""year *= *\{+(.*)\}+"")"),"2018")</f>
        <v>2018</v>
      </c>
      <c r="F59" s="4" t="str">
        <f>IFERROR(__xludf.DUMMYFUNCTION("IFERROR(REGEXEXTRACT(A59, ""journal *= *\{+([^\}]*)\}+""),REGEXEXTRACT(A59, ""booktitle *= *\{+([^\}]*)\}+""))"),"MBio")</f>
        <v>MBio</v>
      </c>
      <c r="G59" s="4" t="s">
        <v>104</v>
      </c>
      <c r="H59" s="3"/>
      <c r="I59" s="3"/>
      <c r="J59" s="3"/>
      <c r="K59" s="3"/>
      <c r="L59" s="3"/>
      <c r="M59" s="3"/>
      <c r="N59" s="3"/>
      <c r="O59" s="3"/>
      <c r="P59" s="3"/>
      <c r="Q59" s="3"/>
      <c r="R59" s="3"/>
      <c r="S59" s="3"/>
      <c r="T59" s="3"/>
      <c r="U59" s="3"/>
      <c r="V59" s="3"/>
    </row>
    <row r="60" ht="150.0" customHeight="1">
      <c r="A60" s="5" t="s">
        <v>105</v>
      </c>
      <c r="B60" s="4" t="str">
        <f>IFERROR(__xludf.DUMMYFUNCTION("REGEXEXTRACT(A60, ""author *= *\{(.*)\}"")"),"Sinha, Koustuv and Pineau, Joelle and Forde, Jessica and Ke, Rosemary Nan and Larochelle, Hugo")</f>
        <v>Sinha, Koustuv and Pineau, Joelle and Forde, Jessica and Ke, Rosemary Nan and Larochelle, Hugo</v>
      </c>
      <c r="C60" s="4" t="str">
        <f>IFERROR(__xludf.DUMMYFUNCTION("REGEXEXTRACT(A60, ""title *= *\{+(.*)\}+"")"),"NeurIPS 2019 Reproducibility Challenge")</f>
        <v>NeurIPS 2019 Reproducibility Challenge</v>
      </c>
      <c r="D60" s="4"/>
      <c r="E60" s="4" t="str">
        <f>IFERROR(__xludf.DUMMYFUNCTION("REGEXEXTRACT(A60, ""year *= *\{+(.*)\}+"")"),"2020")</f>
        <v>2020</v>
      </c>
      <c r="F60" s="4" t="str">
        <f>IFERROR(__xludf.DUMMYFUNCTION("IFERROR(REGEXEXTRACT(A60, ""journal *= *\{+([^\}]*)\}+""),REGEXEXTRACT(A60, ""booktitle *= *\{+([^\}]*)\}+""))"),"ReScience C")</f>
        <v>ReScience C</v>
      </c>
      <c r="G60" s="4" t="s">
        <v>106</v>
      </c>
      <c r="H60" s="3"/>
      <c r="I60" s="3"/>
      <c r="J60" s="3"/>
      <c r="K60" s="3"/>
      <c r="L60" s="3"/>
      <c r="M60" s="3"/>
      <c r="N60" s="3"/>
      <c r="O60" s="3"/>
      <c r="P60" s="3"/>
      <c r="Q60" s="3"/>
      <c r="R60" s="3"/>
      <c r="S60" s="3"/>
      <c r="T60" s="3"/>
      <c r="U60" s="3"/>
      <c r="V60" s="3"/>
    </row>
    <row r="61" ht="150.0" customHeight="1">
      <c r="A61" s="3" t="s">
        <v>107</v>
      </c>
      <c r="B61" s="4" t="str">
        <f>IFERROR(__xludf.DUMMYFUNCTION("REGEXEXTRACT(A61, ""author *= *\{([^\}]*)\}"")"),"Van Erp, Marieke and Van der Meij, Lourens")</f>
        <v>Van Erp, Marieke and Van der Meij, Lourens</v>
      </c>
      <c r="C61" s="4" t="str">
        <f>IFERROR(__xludf.DUMMYFUNCTION("REGEXEXTRACT(A61, ""title *= *\{+([^\}]*)\}+"")"),"Reusable research? a case study in named entity recognition")</f>
        <v>Reusable research? a case study in named entity recognition</v>
      </c>
      <c r="D61" s="4"/>
      <c r="E61" s="4" t="str">
        <f>IFERROR(__xludf.DUMMYFUNCTION("REGEXEXTRACT(A61, ""year *= *\{+([^\}]*)\}+"")"),"2013")</f>
        <v>2013</v>
      </c>
      <c r="F61" s="4" t="s">
        <v>108</v>
      </c>
      <c r="G61" s="4" t="str">
        <f>IFERROR(__xludf.DUMMYFUNCTION("REGEXEXTRACT(A61, ""abstract *= *\{+([^\}]*)\}+"")"),"Named Entity Recognition (NER) is a crucial piece of knowl-edge acquisition infrastructure for the Semantic Web. Thus, being ableto  build-upon  and  reuse  state-of-the  art  approaches  in  this  domain  isessential for continued progress. In this paper"&amp;", we present results in at-tempting to reproduce the algorithms presented by Freire et al. in ESWC2012 [1]. Based on this result, we come to the conclusion that even if ex-periments  are  described  in  detail  it  is  still  very  difficult  to  reproduc"&amp;"ethe experiments and pinpoint the particular difficulties in this use case.Finally, we evaluate our attempts as well as those of [1] on the namedentity recognition task.")</f>
        <v>Named Entity Recognition (NER) is a crucial piece of knowl-edge acquisition infrastructure for the Semantic Web. Thus, being ableto  build-upon  and  reuse  state-of-the  art  approaches  in  this  domain  isessential for continued progress. In this paper, we present results in at-tempting to reproduce the algorithms presented by Freire et al. in ESWC2012 [1]. Based on this result, we come to the conclusion that even if ex-periments  are  described  in  detail  it  is  still  very  difficult  to  reproducethe experiments and pinpoint the particular difficulties in this use case.Finally, we evaluate our attempts as well as those of [1] on the namedentity recognition task.</v>
      </c>
      <c r="H61" s="3"/>
      <c r="I61" s="3"/>
      <c r="J61" s="3"/>
      <c r="K61" s="3"/>
      <c r="L61" s="3"/>
      <c r="M61" s="3"/>
      <c r="N61" s="3"/>
      <c r="O61" s="3"/>
      <c r="P61" s="3"/>
      <c r="Q61" s="3"/>
      <c r="R61" s="3"/>
      <c r="S61" s="3"/>
      <c r="T61" s="3"/>
      <c r="U61" s="3"/>
      <c r="V61" s="3"/>
    </row>
    <row r="62" ht="150.0" customHeight="1">
      <c r="A62" s="3" t="s">
        <v>109</v>
      </c>
      <c r="B62" s="4" t="str">
        <f>IFERROR(__xludf.DUMMYFUNCTION("REGEXEXTRACT(A62, ""author *= *\{([^\}]*)\}"")"),"Klein, Richard A and Cook, Corey L and Ebersole, Charles R and Vitiello, Christine and Nosek, Brian A and Chartier, Christopher R and Christopherson, Cody D and Clay, Samuel and Collisson, Brian and Crawford, Jarret and others")</f>
        <v>Klein, Richard A and Cook, Corey L and Ebersole, Charles R and Vitiello, Christine and Nosek, Brian A and Chartier, Christopher R and Christopherson, Cody D and Clay, Samuel and Collisson, Brian and Crawford, Jarret and others</v>
      </c>
      <c r="C62" s="4" t="str">
        <f>IFERROR(__xludf.DUMMYFUNCTION("REGEXEXTRACT(A62, ""title *= *\{+([^\}]*)\}+"")"),"Many Labs 4: Failure to replicate mortality salience effect with and without original author involvement")</f>
        <v>Many Labs 4: Failure to replicate mortality salience effect with and without original author involvement</v>
      </c>
      <c r="D62" s="4" t="str">
        <f>IFERROR(__xludf.DUMMYFUNCTION("REGEXEXTRACT(A62, ""year *= *\{+([^\}]*)\}+"")"),"2019")</f>
        <v>2019</v>
      </c>
      <c r="E62" s="4" t="str">
        <f>IFERROR(__xludf.DUMMYFUNCTION("IFERROR(REGEXEXTRACT(A62, ""journal *= *\{+([^\}]*)\}+""),REGEXEXTRACT(A62, ""booktitle *= *\{+([^\}]*)\}+""))"),"PsyArXiv")</f>
        <v>PsyArXiv</v>
      </c>
      <c r="F62" s="6" t="str">
        <f>IFERROR(__xludf.DUMMYFUNCTION("REGEXEXTRACT(A62, ""abstract *= *\{+([^\}]*)\}+"")"),"#N/A")</f>
        <v>#N/A</v>
      </c>
      <c r="G62" s="4"/>
      <c r="H62" s="3"/>
      <c r="I62" s="3"/>
      <c r="J62" s="3"/>
      <c r="K62" s="3"/>
      <c r="L62" s="3"/>
      <c r="M62" s="3"/>
      <c r="N62" s="3"/>
      <c r="O62" s="3"/>
      <c r="P62" s="3"/>
      <c r="Q62" s="3"/>
      <c r="R62" s="3"/>
    </row>
    <row r="63" ht="150.0" customHeight="1">
      <c r="A63" s="3" t="s">
        <v>110</v>
      </c>
      <c r="B63" s="4" t="str">
        <f>IFERROR(__xludf.DUMMYFUNCTION("REGEXEXTRACT(A63, ""author *= *\{([^\}]*)\}"")"),"{Open Science Collaboration")</f>
        <v>{Open Science Collaboration</v>
      </c>
      <c r="C63" s="4" t="str">
        <f>IFERROR(__xludf.DUMMYFUNCTION("REGEXEXTRACT(A63, ""title *= *\{+([^\}]*)\}+"")"),"Estimating the reproducibility of psychological science")</f>
        <v>Estimating the reproducibility of psychological science</v>
      </c>
      <c r="D63" s="4" t="str">
        <f>IFERROR(__xludf.DUMMYFUNCTION("REGEXEXTRACT(A63, ""year *= *\{+([^\}]*)\}+"")"),"2015")</f>
        <v>2015</v>
      </c>
      <c r="E63" s="4" t="str">
        <f>IFERROR(__xludf.DUMMYFUNCTION("IFERROR(REGEXEXTRACT(A63, ""journal *= *\{+([^\}]*)\}+""),REGEXEXTRACT(A63, ""booktitle *= *\{+([^\}]*)\}+""))"),"Science")</f>
        <v>Science</v>
      </c>
      <c r="F63" s="6" t="str">
        <f>IFERROR(__xludf.DUMMYFUNCTION("REGEXEXTRACT(A63, ""abstract *= *\{+([^\}]*)\}+"")"),"#N/A")</f>
        <v>#N/A</v>
      </c>
      <c r="G63" s="4"/>
      <c r="H63" s="3"/>
      <c r="I63" s="3"/>
      <c r="J63" s="3"/>
      <c r="K63" s="3"/>
      <c r="L63" s="3"/>
      <c r="M63" s="3"/>
      <c r="N63" s="3"/>
      <c r="O63" s="3"/>
      <c r="P63" s="3"/>
      <c r="Q63" s="3"/>
      <c r="R63" s="3"/>
    </row>
    <row r="64" ht="150.0" customHeight="1">
      <c r="A64" s="3" t="s">
        <v>111</v>
      </c>
      <c r="B64" s="4" t="str">
        <f>IFERROR(__xludf.DUMMYFUNCTION("REGEXEXTRACT(A64, ""author *= *\{([^\}]*)\}"")"),"McNutt, Marcia")</f>
        <v>McNutt, Marcia</v>
      </c>
      <c r="C64" s="4" t="str">
        <f>IFERROR(__xludf.DUMMYFUNCTION("REGEXEXTRACT(A64, ""title *= *\{+([^\}]*)\}+"")"),"Reproducibility")</f>
        <v>Reproducibility</v>
      </c>
      <c r="D64" s="4" t="str">
        <f>IFERROR(__xludf.DUMMYFUNCTION("REGEXEXTRACT(A64, ""year *= *\{+([^\}]*)\}+"")"),"2014")</f>
        <v>2014</v>
      </c>
      <c r="E64" s="4" t="str">
        <f>IFERROR(__xludf.DUMMYFUNCTION("IFERROR(REGEXEXTRACT(A64, ""journal *= *\{+([^\}]*)\}+""),REGEXEXTRACT(A64, ""booktitle *= *\{+([^\}]*)\}+""))"),"Science")</f>
        <v>Science</v>
      </c>
      <c r="F64" s="6" t="str">
        <f>IFERROR(__xludf.DUMMYFUNCTION("REGEXEXTRACT(A64, ""abstract *= *\{+([^\}]*)\}+"")"),"#N/A")</f>
        <v>#N/A</v>
      </c>
      <c r="G64" s="4"/>
      <c r="H64" s="3"/>
      <c r="I64" s="3"/>
      <c r="J64" s="3"/>
      <c r="K64" s="3"/>
      <c r="L64" s="3"/>
      <c r="M64" s="3"/>
      <c r="N64" s="3"/>
      <c r="O64" s="3"/>
      <c r="P64" s="3"/>
      <c r="Q64" s="3"/>
      <c r="R64" s="3"/>
    </row>
    <row r="65" ht="150.0" customHeight="1">
      <c r="A65" s="3" t="s">
        <v>112</v>
      </c>
      <c r="B65" s="4" t="str">
        <f>IFERROR(__xludf.DUMMYFUNCTION("REGEXEXTRACT(A65, ""author *= *\{([^\}]*)\}"")"),"Baker, Monya")</f>
        <v>Baker, Monya</v>
      </c>
      <c r="C65" s="4" t="str">
        <f>IFERROR(__xludf.DUMMYFUNCTION("REGEXEXTRACT(A65, ""title *= *\{+([^\}]*)\}+"")"),"Reproducibility crisis")</f>
        <v>Reproducibility crisis</v>
      </c>
      <c r="D65" s="4" t="str">
        <f>IFERROR(__xludf.DUMMYFUNCTION("REGEXEXTRACT(A65, ""year *= *\{+([^\}]*)\}+"")"),"2016")</f>
        <v>2016</v>
      </c>
      <c r="E65" s="4" t="str">
        <f>IFERROR(__xludf.DUMMYFUNCTION("IFERROR(REGEXEXTRACT(A65, ""journal *= *\{+([^\}]*)\}+""),REGEXEXTRACT(A65, ""booktitle *= *\{+([^\}]*)\}+""))"),"Nature")</f>
        <v>Nature</v>
      </c>
      <c r="F65" s="6" t="str">
        <f>IFERROR(__xludf.DUMMYFUNCTION("REGEXEXTRACT(A65, ""abstract *= *\{+([^\}]*)\}+"")"),"#N/A")</f>
        <v>#N/A</v>
      </c>
      <c r="G65" s="4"/>
      <c r="H65" s="3"/>
      <c r="I65" s="3"/>
      <c r="J65" s="3"/>
      <c r="K65" s="3"/>
      <c r="L65" s="3"/>
      <c r="M65" s="3"/>
      <c r="N65" s="3"/>
      <c r="O65" s="3"/>
      <c r="P65" s="3"/>
      <c r="Q65" s="3"/>
      <c r="R65" s="3"/>
    </row>
    <row r="66" ht="150.0" customHeight="1">
      <c r="A66" s="3" t="s">
        <v>113</v>
      </c>
      <c r="B66" s="4" t="str">
        <f>IFERROR(__xludf.DUMMYFUNCTION("IFERROR(REGEXEXTRACT(A66, ""author *= *""""+([^""""]*)""""""),REGEXEXTRACT(A66, ""author *= *\{+(.*)\}""))"),"JCGM")</f>
        <v>JCGM</v>
      </c>
      <c r="C66" s="4" t="str">
        <f>IFERROR(__xludf.DUMMYFUNCTION("IFERROR(REGEXEXTRACT(A66, ""title *= *""""+([^""""]*)""""""),REGEXEXTRACT(A66, ""title *= *\{+(.*)\}""))"),"International vocabulary of metrology-basic and general concepts and associated terms (VIM)")</f>
        <v>International vocabulary of metrology-basic and general concepts and associated terms (VIM)</v>
      </c>
      <c r="D66" s="4" t="str">
        <f>IFERROR(__xludf.DUMMYFUNCTION("IFERROR(REGEXEXTRACT(A66, ""year *= *""""+([^""""]*)""""""),REGEXEXTRACT(A66, ""year *= *\{+(.*)\}""))"),"2012")</f>
        <v>2012</v>
      </c>
      <c r="E66" s="6" t="str">
        <f>IFERROR(__xludf.DUMMYFUNCTION("IFERROR(REGEXEXTRACT(A66, ""journal *= *""""+([^""""]*)""""""),REGEXEXTRACT(A66, ""journal *= *\{+(.*)\}""))"),"#N/A")</f>
        <v>#N/A</v>
      </c>
      <c r="F66" s="6" t="str">
        <f>IFERROR(__xludf.DUMMYFUNCTION("IFERROR(REGEXEXTRACT(A66, ""abstract *= *""""+([^""""]*)""""""),REGEXEXTRACT(A66, ""abstract *= *\{+(.*)\}""))"),"#N/A")</f>
        <v>#N/A</v>
      </c>
      <c r="G66" s="4"/>
      <c r="H66" s="3"/>
      <c r="I66" s="3"/>
      <c r="J66" s="3"/>
      <c r="K66" s="3"/>
      <c r="L66" s="3"/>
      <c r="M66" s="3"/>
      <c r="N66" s="3"/>
      <c r="O66" s="3"/>
      <c r="P66" s="3"/>
      <c r="Q66" s="3"/>
      <c r="R66" s="3"/>
    </row>
    <row r="67" ht="150.0" customHeight="1">
      <c r="A67" s="3" t="s">
        <v>114</v>
      </c>
      <c r="B67" s="4" t="str">
        <f>IFERROR(__xludf.DUMMYFUNCTION("IFERROR(REGEXEXTRACT(A67, ""author *= *""""+([^""""]*)""""""),REGEXEXTRACT(A67, ""author *= *\{+(.*)\}""))"),"Schwab, Matthias and Karrenbach, N and Claerbout, Jon")</f>
        <v>Schwab, Matthias and Karrenbach, N and Claerbout, Jon</v>
      </c>
      <c r="C67" s="4" t="str">
        <f>IFERROR(__xludf.DUMMYFUNCTION("IFERROR(REGEXEXTRACT(A67, ""title *= *""""+([^""""]*)""""""),REGEXEXTRACT(A67, ""title *= *\{+(.*)\}""))"),"Making scientific computations reproducible")</f>
        <v>Making scientific computations reproducible</v>
      </c>
      <c r="D67" s="4" t="str">
        <f>IFERROR(__xludf.DUMMYFUNCTION("IFERROR(REGEXEXTRACT(A67, ""year *= *""""+([^""""]*)""""""),REGEXEXTRACT(A67, ""year *= *\{+(.*)\}""))"),"2000")</f>
        <v>2000</v>
      </c>
      <c r="E67" s="4" t="str">
        <f>IFERROR(__xludf.DUMMYFUNCTION("IFERROR(REGEXEXTRACT(A67, ""journal *= *""""+([^""""]*)""""""),REGEXEXTRACT(A67, ""journal *= *\{+(.*)\}""))"),"Computing in Science \&amp; Engineering")</f>
        <v>Computing in Science \&amp; Engineering</v>
      </c>
      <c r="F67" s="4" t="s">
        <v>115</v>
      </c>
      <c r="G67" s="4"/>
      <c r="H67" s="3"/>
      <c r="I67" s="3"/>
      <c r="J67" s="3"/>
      <c r="K67" s="3"/>
      <c r="L67" s="3"/>
      <c r="M67" s="3"/>
      <c r="N67" s="3"/>
      <c r="O67" s="3"/>
      <c r="P67" s="3"/>
      <c r="Q67" s="3"/>
      <c r="R67" s="3"/>
    </row>
    <row r="68" ht="150.0" customHeight="1">
      <c r="A68" s="3" t="s">
        <v>116</v>
      </c>
      <c r="B68" s="4" t="str">
        <f>IFERROR(__xludf.DUMMYFUNCTION("IFERROR(REGEXEXTRACT(A68, ""author *= *""""+([^""""]*)""""""),REGEXEXTRACT(A68, ""author *= *\{+(.*)\}""))"),"Claerbout, Jon F and Karrenbach, Martin")</f>
        <v>Claerbout, Jon F and Karrenbach, Martin</v>
      </c>
      <c r="C68" s="4" t="str">
        <f>IFERROR(__xludf.DUMMYFUNCTION("IFERROR(REGEXEXTRACT(A68, ""title *= *""""+([^""""]*)""""""),REGEXEXTRACT(A68, ""title *= *\{+(.*)\}""))"),"Electronic documents give reproducible research a new meaning")</f>
        <v>Electronic documents give reproducible research a new meaning</v>
      </c>
      <c r="D68" s="4" t="str">
        <f>IFERROR(__xludf.DUMMYFUNCTION("IFERROR(REGEXEXTRACT(A68, ""year *= *""""+([^""""]*)""""""),REGEXEXTRACT(A68, ""year *= *\{+(.*)\}""))"),"1992")</f>
        <v>1992</v>
      </c>
      <c r="E68" s="4" t="str">
        <f>IFERROR(__xludf.DUMMYFUNCTION("IFERROR(REGEXEXTRACT(A68, ""booktitle *= *""""+([^""""]*)""""""),REGEXEXTRACT(A68, ""booktitle *= *\{+(.*)\}""))"),"SEG Technical Program Expanded Abstracts 1992")</f>
        <v>SEG Technical Program Expanded Abstracts 1992</v>
      </c>
      <c r="F68" s="6" t="str">
        <f>IFERROR(__xludf.DUMMYFUNCTION("IFERROR(REGEXEXTRACT(A68, ""abstract *= *""""+([^""""]*)""""""),REGEXEXTRACT(A68, ""abstract *= *\{+(.*)\}""))"),"#N/A")</f>
        <v>#N/A</v>
      </c>
      <c r="G68" s="4"/>
      <c r="H68" s="3"/>
      <c r="I68" s="3"/>
      <c r="J68" s="3"/>
      <c r="K68" s="3"/>
      <c r="L68" s="3"/>
      <c r="M68" s="3"/>
      <c r="N68" s="3"/>
      <c r="O68" s="3"/>
      <c r="P68" s="3"/>
      <c r="Q68" s="3"/>
      <c r="R68" s="3"/>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97.43"/>
    <col customWidth="1" min="2" max="2" width="30.29"/>
    <col customWidth="1" min="3" max="3" width="48.86"/>
    <col customWidth="1" min="4" max="4" width="38.0"/>
    <col customWidth="1" min="7" max="7" width="69.71"/>
  </cols>
  <sheetData>
    <row r="1" ht="17.25" customHeight="1">
      <c r="A1" s="12" t="s">
        <v>0</v>
      </c>
      <c r="B1" s="13" t="s">
        <v>1</v>
      </c>
      <c r="C1" s="13" t="s">
        <v>2</v>
      </c>
      <c r="D1" s="13" t="s">
        <v>3</v>
      </c>
      <c r="E1" s="13" t="s">
        <v>4</v>
      </c>
      <c r="F1" s="12" t="s">
        <v>5</v>
      </c>
      <c r="G1" s="13" t="s">
        <v>6</v>
      </c>
      <c r="H1" s="14"/>
      <c r="I1" s="14"/>
      <c r="J1" s="14"/>
      <c r="K1" s="14"/>
      <c r="L1" s="14"/>
      <c r="M1" s="14"/>
      <c r="N1" s="14"/>
      <c r="O1" s="14"/>
      <c r="P1" s="14"/>
      <c r="Q1" s="14"/>
      <c r="R1" s="14"/>
      <c r="S1" s="14"/>
    </row>
    <row r="2" ht="112.5" customHeight="1">
      <c r="A2" s="15" t="s">
        <v>7</v>
      </c>
      <c r="B2" s="16" t="str">
        <f>IFERROR(__xludf.DUMMYFUNCTION("IFERROR(REGEXEXTRACT(A2, ""author *= *""""([^""""]+)""""""),REGEXEXTRACT(A2, ""author *= *\{+([^\d]+)\}+""))"),"Schwartz, Lane")</f>
        <v>Schwartz, Lane</v>
      </c>
      <c r="C2" s="16" t="str">
        <f>IFERROR(__xludf.DUMMYFUNCTION("REGEXEXTRACT(A2, ""title *= *""""([^""""]+)"""""")"),"Reproducible Results in Parsing-Based Machine Translation: The {JHU} Shared Task Submission")</f>
        <v>Reproducible Results in Parsing-Based Machine Translation: The {JHU} Shared Task Submission</v>
      </c>
      <c r="D2" s="16" t="str">
        <f>IFERROR(__xludf.DUMMYFUNCTION("IFERROR(REGEXEXTRACT(A2, ""journal *= *""""+([^""""]*)""""""),REGEXEXTRACT(A2, ""booktitle *= *""""+([^""""]*)""""""))"),"Proceedings of the Joint Fifth Workshop on Statistical Machine Translation and {M}etrics{MATR}")</f>
        <v>Proceedings of the Joint Fifth Workshop on Statistical Machine Translation and {M}etrics{MATR}</v>
      </c>
      <c r="E2" s="16" t="str">
        <f>IFERROR(__xludf.DUMMYFUNCTION("REGEXEXTRACT(A2, ""year *= *""""([^""""]+)"""""")"),"2010")</f>
        <v>2010</v>
      </c>
      <c r="F2" s="16" t="s">
        <v>8</v>
      </c>
      <c r="G2" s="16" t="str">
        <f>IFERROR(__xludf.DUMMYFUNCTION("IFERROR(REGEXEXTRACT(A2, ""abstract *= *""""+([^""""]*)""""""),REGEXEXTRACT(A2, ""abstract *= *\{+(.*)\}""))"),"We  present  the  Johns  Hopkins  University submission to the 2010 WMT shared translation  task.   We  describe  processing steps  using  open  data  and  open  source software used in our submission, and provide  the  scripts  and  configurations  re-qu"&amp;"ired to train, tune, and test our machine translation system.")</f>
        <v>We  present  the  Johns  Hopkins  University submission to the 2010 WMT shared translation  task.   We  describe  processing steps  using  open  data  and  open  source software used in our submission, and provide  the  scripts  and  configurations  re-quired to train, tune, and test our machine translation system.</v>
      </c>
      <c r="H2" s="17"/>
      <c r="I2" s="17"/>
      <c r="J2" s="17"/>
      <c r="K2" s="17"/>
      <c r="L2" s="17"/>
      <c r="M2" s="17"/>
      <c r="N2" s="17"/>
      <c r="O2" s="17"/>
      <c r="P2" s="17"/>
      <c r="Q2" s="17"/>
      <c r="R2" s="17"/>
      <c r="S2" s="17"/>
    </row>
    <row r="3" ht="112.5" customHeight="1">
      <c r="A3" s="15" t="s">
        <v>9</v>
      </c>
      <c r="B3" s="16" t="str">
        <f>IFERROR(__xludf.DUMMYFUNCTION("IFERROR(REGEXEXTRACT(A3, ""author *= *""""([^""""]+)""""""),REGEXEXTRACT(A3, ""author *= *\{+([^\d]+)\}+""))"),"Fokkens, Antske  and
      van Erp, Marieke  and
      Postma, Marten  and
      Pedersen, Ted  and
      Vossen, Piek  and
      Freire, Nuno")</f>
        <v>Fokkens, Antske  and
      van Erp, Marieke  and
      Postma, Marten  and
      Pedersen, Ted  and
      Vossen, Piek  and
      Freire, Nuno</v>
      </c>
      <c r="C3" s="16" t="str">
        <f>IFERROR(__xludf.DUMMYFUNCTION("REGEXEXTRACT(A3, ""title *= *""""([^""""]+)"""""")"),"Offspring from Reproduction Problems: What Replication Failure Teaches Us")</f>
        <v>Offspring from Reproduction Problems: What Replication Failure Teaches Us</v>
      </c>
      <c r="D3" s="16" t="str">
        <f>IFERROR(__xludf.DUMMYFUNCTION("IFERROR(REGEXEXTRACT(A3, ""journal *= *""""+([^""""]*)""""""),REGEXEXTRACT(A3, ""booktitle *= *""""+([^""""]*)""""""))"),"Proceedings of the 51st Annual Meeting of the Association for Computational Linguistics (Volume 1: Long Papers)")</f>
        <v>Proceedings of the 51st Annual Meeting of the Association for Computational Linguistics (Volume 1: Long Papers)</v>
      </c>
      <c r="E3" s="16" t="str">
        <f>IFERROR(__xludf.DUMMYFUNCTION("REGEXEXTRACT(A3, ""year *= *""""([^""""]+)"""""")"),"2013")</f>
        <v>2013</v>
      </c>
      <c r="F3" s="16" t="s">
        <v>10</v>
      </c>
      <c r="G3" s="16" t="str">
        <f>IFERROR(__xludf.DUMMYFUNCTION("IFERROR(REGEXEXTRACT(A3, ""abstract *= *""""+([^""""]*)""""""),REGEXEXTRACT(A3, ""abstract *= *\{+(.*)\}""))"),"Repeating experiments is an important instrument in the scientific toolbox to validate previous work and build upon existing  work.   We  present  two  concrete  use cases involving key techniques in the NLP domain for which we show that reproducing resul"&amp;"ts is still difficult.  We show that the deviation that can be found in reproduction  efforts  leads  to  questions  about how  our  results  should  be  interpreted. Moreover,  investigating  these  deviations provides new insights and a deeper understan"&amp;"ding of the examined techniques.  We identify five aspects that can influence the outcomes of experiments that are typically not addressed in research papers.  Our use cases show that these aspects may change the  answer  to  research  questions  leading "&amp;"us  to  conclude  that  more  care  should  betaken in interpreting our results and more research  involving  systematic  testing  of methods is required in our field.")</f>
        <v>Repeating experiments is an important instrument in the scientific toolbox to validate previous work and build upon existing  work.   We  present  two  concrete  use cases involving key techniques in the NLP domain for which we show that reproducing results is still difficult.  We show that the deviation that can be found in reproduction  efforts  leads  to  questions  about how  our  results  should  be  interpreted. Moreover,  investigating  these  deviations provides new insights and a deeper understanding of the examined techniques.  We identify five aspects that can influence the outcomes of experiments that are typically not addressed in research papers.  Our use cases show that these aspects may change the  answer  to  research  questions  leading us  to  conclude  that  more  care  should  betaken in interpreting our results and more research  involving  systematic  testing  of methods is required in our field.</v>
      </c>
      <c r="H3" s="17"/>
      <c r="I3" s="17"/>
      <c r="J3" s="17"/>
      <c r="K3" s="17"/>
      <c r="L3" s="17"/>
      <c r="M3" s="17"/>
      <c r="N3" s="17"/>
      <c r="O3" s="17"/>
      <c r="P3" s="17"/>
      <c r="Q3" s="17"/>
      <c r="R3" s="17"/>
      <c r="S3" s="17"/>
    </row>
    <row r="4" ht="112.5" customHeight="1">
      <c r="A4" s="15" t="s">
        <v>11</v>
      </c>
      <c r="B4" s="16" t="str">
        <f>IFERROR(__xludf.DUMMYFUNCTION("IFERROR(REGEXEXTRACT(A4, ""author *= *""""([^""""]+)""""""),REGEXEXTRACT(A4, ""author *= *\{+([^\d]+)\}+""))"),"N{\'e}v{\'e}ol, Aur{\'e}lie  and
      Cohen, Kevin  and
      Grouin, Cyril  and
      Robert, Aude")</f>
        <v>N{\'e}v{\'e}ol, Aur{\'e}lie  and
      Cohen, Kevin  and
      Grouin, Cyril  and
      Robert, Aude</v>
      </c>
      <c r="C4" s="16" t="str">
        <f>IFERROR(__xludf.DUMMYFUNCTION("REGEXEXTRACT(A4, ""title *= *""""([^""""]+)"""""")"),"Replicability of Research in Biomedical Natural Language Processing: a pilot evaluation for a coding task")</f>
        <v>Replicability of Research in Biomedical Natural Language Processing: a pilot evaluation for a coding task</v>
      </c>
      <c r="D4" s="16" t="str">
        <f>IFERROR(__xludf.DUMMYFUNCTION("IFERROR(REGEXEXTRACT(A4, ""journal *= *""""+([^""""]*)""""""),REGEXEXTRACT(A4, ""booktitle *= *""""+([^""""]*)""""""))"),"Proceedings of the Seventh International Workshop on Health Text Mining and Information Analysis")</f>
        <v>Proceedings of the Seventh International Workshop on Health Text Mining and Information Analysis</v>
      </c>
      <c r="E4" s="16" t="str">
        <f>IFERROR(__xludf.DUMMYFUNCTION("REGEXEXTRACT(A4, ""year *= *""""([^""""]+)"""""")"),"2016")</f>
        <v>2016</v>
      </c>
      <c r="F4" s="16" t="s">
        <v>8</v>
      </c>
      <c r="G4" s="16" t="str">
        <f>IFERROR(__xludf.DUMMYFUNCTION("IFERROR(REGEXEXTRACT(A4, ""abstract *= *""""+([^""""]*)""""""),REGEXEXTRACT(A4, ""abstract *= *\{+(.*)\}""))"),"The  scientific  community  is  facing  raising concerns about the reproducibility of research in many fields.  To address this issue in Natural Language Processing, the CLEF eHealth 2016  lab  offered  a  replication  track  together with the Clinical In"&amp;"formation Extraction task. Herein, we report detailed results of the replication experiments carried out with the three systems submitted to the track.  While all results were ultimately replicated, we found that the systems were poorly rated by analysts "&amp;"on documentation  aspects  such  as  ”ease  of  understanding system requirements” (33%) and” provision of information while system is running” (33%).  As a result, simple steps could be taken by system authors to increase the ease of replicability of the"&amp;"ir work, thereby increasing the ease of reusing the systems.  Our experiments  aim  to  raise  the  awareness  of  the community towards the challenges of replication and community sharing of NLP systems.")</f>
        <v>The  scientific  community  is  facing  raising concerns about the reproducibility of research in many fields.  To address this issue in Natural Language Processing, the CLEF eHealth 2016  lab  offered  a  replication  track  together with the Clinical Information Extraction task. Herein, we report detailed results of the replication experiments carried out with the three systems submitted to the track.  While all results were ultimately replicated, we found that the systems were poorly rated by analysts on documentation  aspects  such  as  ”ease  of  understanding system requirements” (33%) and” provision of information while system is running” (33%).  As a result, simple steps could be taken by system authors to increase the ease of replicability of their work, thereby increasing the ease of reusing the systems.  Our experiments  aim  to  raise  the  awareness  of  the community towards the challenges of replication and community sharing of NLP systems.</v>
      </c>
      <c r="H4" s="17"/>
      <c r="I4" s="17"/>
      <c r="J4" s="17"/>
      <c r="K4" s="17"/>
      <c r="L4" s="17"/>
      <c r="M4" s="17"/>
      <c r="N4" s="17"/>
      <c r="O4" s="17"/>
      <c r="P4" s="17"/>
      <c r="Q4" s="17"/>
      <c r="R4" s="17"/>
      <c r="S4" s="17"/>
    </row>
    <row r="5" ht="112.5" customHeight="1">
      <c r="A5" s="18" t="s">
        <v>117</v>
      </c>
      <c r="B5" s="16" t="str">
        <f>IFERROR(__xludf.DUMMYFUNCTION("IFERROR(REGEXEXTRACT(A5, ""author *= *""""([^""""]+)""""""),REGEXEXTRACT(A5, ""author *= *\{+([^\d]+)\}+""))"),"Fares, Murhaf  and
      Kutuzov, Andrey  and
      Oepen, Stephan  and
      Velldal, Erik")</f>
        <v>Fares, Murhaf  and
      Kutuzov, Andrey  and
      Oepen, Stephan  and
      Velldal, Erik</v>
      </c>
      <c r="C5" s="16" t="str">
        <f>IFERROR(__xludf.DUMMYFUNCTION("REGEXEXTRACT(A5, ""title *= *""""([^""""]+)"""""")"),"Word vectors, reuse, and replicability: Towards a community repository of large-text resources")</f>
        <v>Word vectors, reuse, and replicability: Towards a community repository of large-text resources</v>
      </c>
      <c r="D5" s="16" t="str">
        <f>IFERROR(__xludf.DUMMYFUNCTION("IFERROR(REGEXEXTRACT(A5, ""journal *= *""""+([^""""]*)""""""),REGEXEXTRACT(A5, ""booktitle *= *""""+([^""""]*)""""""))"),"Proceedings of the 21st Nordic Conference on Computational Linguistics")</f>
        <v>Proceedings of the 21st Nordic Conference on Computational Linguistics</v>
      </c>
      <c r="E5" s="16" t="str">
        <f>IFERROR(__xludf.DUMMYFUNCTION("REGEXEXTRACT(A5, ""year *= *""""([^""""]+)"""""")"),"2017")</f>
        <v>2017</v>
      </c>
      <c r="F5" s="16" t="s">
        <v>8</v>
      </c>
      <c r="G5" s="16" t="str">
        <f>IFERROR(__xludf.DUMMYFUNCTION("IFERROR(REGEXEXTRACT(A5, ""abstract *= *""""+([^""""]*)""""""),REGEXEXTRACT(A5, ""abstract *= *\{+(.*)\}""))"),"This paper describes an emerging shared repository of large-text resources for creating word vectors, including pre-processed corpora and pre-trained vectors for a range of frameworks and configurations.   This will facilitate reuse, rapid experimentation"&amp;", and replicability of results.")</f>
        <v>This paper describes an emerging shared repository of large-text resources for creating word vectors, including pre-processed corpora and pre-trained vectors for a range of frameworks and configurations.   This will facilitate reuse, rapid experimentation, and replicability of results.</v>
      </c>
      <c r="H5" s="17"/>
      <c r="I5" s="17"/>
      <c r="J5" s="17"/>
      <c r="K5" s="17"/>
      <c r="L5" s="17"/>
      <c r="M5" s="17"/>
      <c r="N5" s="17"/>
      <c r="O5" s="17"/>
      <c r="P5" s="17"/>
      <c r="Q5" s="17"/>
      <c r="R5" s="17"/>
      <c r="S5" s="17"/>
    </row>
    <row r="6" ht="112.5" customHeight="1">
      <c r="A6" s="15" t="s">
        <v>13</v>
      </c>
      <c r="B6" s="16" t="str">
        <f>IFERROR(__xludf.DUMMYFUNCTION("IFERROR(REGEXEXTRACT(A6, ""author *= *""""([^""""]+)""""""),REGEXEXTRACT(A6, ""author *= *\{+([^\d]+)\}+""))"),"Dakota, Daniel  and
      K{\""u}bler, Sandra},
    booktitle = ""Proceedings of the International Conference Recent Advances in Natural Language Processing, {RANLP")</f>
        <v>Dakota, Daniel  and
      K{\"u}bler, Sandra},
    booktitle = "Proceedings of the International Conference Recent Advances in Natural Language Processing, {RANLP</v>
      </c>
      <c r="C6" s="16" t="str">
        <f>IFERROR(__xludf.DUMMYFUNCTION("REGEXEXTRACT(A6, ""title *= *""""([^""""]+)"""""")"),"Towards Replicability in Parsing")</f>
        <v>Towards Replicability in Parsing</v>
      </c>
      <c r="D6" s="16" t="str">
        <f>IFERROR(__xludf.DUMMYFUNCTION("IFERROR(REGEXEXTRACT(A6, ""journal *= *""""+([^""""]*)""""""),REGEXEXTRACT(A6, ""booktitle *= *""""+([^""""]*)""""""))"),"Proceedings of the International Conference Recent Advances in Natural Language Processing, {RANLP} 2017")</f>
        <v>Proceedings of the International Conference Recent Advances in Natural Language Processing, {RANLP} 2017</v>
      </c>
      <c r="E6" s="16" t="str">
        <f>IFERROR(__xludf.DUMMYFUNCTION("REGEXEXTRACT(A6, ""year *= *""""([^""""]+)"""""")"),"2017")</f>
        <v>2017</v>
      </c>
      <c r="F6" s="16" t="s">
        <v>8</v>
      </c>
      <c r="G6" s="16" t="str">
        <f>IFERROR(__xludf.DUMMYFUNCTION("IFERROR(REGEXEXTRACT(A6, ""abstract *= *""""+([^""""]*)""""""),REGEXEXTRACT(A6, ""abstract *= *\{+(.*)\}""))"),"We investigate parsing replicability across 7  languages  (and  8  treebanks),  showing that choices concerning the use of grammatical functions in parsing or evaluation and the influence of the rare word threshold,  as  well  as  choices  in  test  sente"&amp;"nces and  evaluation  script  options  have  considerable and often unexpected effects on parsing  accuracies.   All  of  those  choices need  to  be  carefully  documented  if  we want to ensure replicability.")</f>
        <v>We investigate parsing replicability across 7  languages  (and  8  treebanks),  showing that choices concerning the use of grammatical functions in parsing or evaluation and the influence of the rare word threshold,  as  well  as  choices  in  test  sentences and  evaluation  script  options  have  considerable and often unexpected effects on parsing  accuracies.   All  of  those  choices need  to  be  carefully  documented  if  we want to ensure replicability.</v>
      </c>
      <c r="H6" s="17"/>
      <c r="I6" s="17"/>
      <c r="J6" s="17"/>
      <c r="K6" s="17"/>
      <c r="L6" s="17"/>
      <c r="M6" s="17"/>
      <c r="N6" s="17"/>
      <c r="O6" s="17"/>
      <c r="P6" s="17"/>
      <c r="Q6" s="17"/>
      <c r="R6" s="17"/>
      <c r="S6" s="17"/>
    </row>
    <row r="7" ht="112.5" customHeight="1">
      <c r="A7" s="15" t="s">
        <v>14</v>
      </c>
      <c r="B7" s="16" t="str">
        <f>IFERROR(__xludf.DUMMYFUNCTION("IFERROR(REGEXEXTRACT(A7, ""author *= *""""([^""""]+)""""""),REGEXEXTRACT(A7, ""author *= *\{+([^\d]+)\}+""))"),"Dror, Rotem  and
      Baumer, Gili  and
      Bogomolov, Marina  and
      Reichart, Roi")</f>
        <v>Dror, Rotem  and
      Baumer, Gili  and
      Bogomolov, Marina  and
      Reichart, Roi</v>
      </c>
      <c r="C7" s="16" t="str">
        <f>IFERROR(__xludf.DUMMYFUNCTION("REGEXEXTRACT(A7, ""title *= *""""([^""""]+)"""""")"),"Replicability Analysis for Natural Language Processing: Testing Significance with Multiple Datasets")</f>
        <v>Replicability Analysis for Natural Language Processing: Testing Significance with Multiple Datasets</v>
      </c>
      <c r="D7" s="16" t="str">
        <f>IFERROR(__xludf.DUMMYFUNCTION("IFERROR(REGEXEXTRACT(A7, ""journal *= *""""+([^""""]*)""""""),REGEXEXTRACT(A7, ""booktitle *= *""""+([^""""]*)""""""))"),"Transactions of the Association for Computational Linguistics")</f>
        <v>Transactions of the Association for Computational Linguistics</v>
      </c>
      <c r="E7" s="16" t="str">
        <f>IFERROR(__xludf.DUMMYFUNCTION("REGEXEXTRACT(A7, ""year *= *""""([^""""]+)"""""")"),"2017")</f>
        <v>2017</v>
      </c>
      <c r="F7" s="16" t="s">
        <v>15</v>
      </c>
      <c r="G7" s="16" t="str">
        <f>IFERROR(__xludf.DUMMYFUNCTION("IFERROR(REGEXEXTRACT(A7, ""abstract *= *""""+([^""""]*)""""""),REGEXEXTRACT(A7, ""abstract *= *\{+(.*)\}""))"),"With the ever growing amount of textual data from a large variety of languages, domains, and genres, it has become standard to evaluate NLP algorithms on multiple datasets in order to ensure a consistent performance across heterogeneous setups. However, s"&amp;"uch multiple comparisons pose significant challenges to traditional statistical analysis methods in NLP and can lead to erroneous conclusions. In this paper we propose a Replicability Analysis framework for a statistically sound analysis of multiple compa"&amp;"risons between algorithms for NLP tasks. We discuss the theoretical advantages of this framework over the current, statistically unjustified, practice in the NLP literature, and demonstrate its empirical value across four applications: multi-domain depend"&amp;"ency parsing, multilingual POS tagging, cross-domain sentiment classification and word similarity prediction.")</f>
        <v>With the ever growing amount of textual data from a large variety of languages, domains, and genres, it has become standard to evaluate NLP algorithms on multiple datasets in order to ensure a consistent performance across heterogeneous setups. However, such multiple comparisons pose significant challenges to traditional statistical analysis methods in NLP and can lead to erroneous conclusions. In this paper we propose a Replicability Analysis framework for a statistically sound analysis of multiple comparisons between algorithms for NLP tasks. We discuss the theoretical advantages of this framework over the current, statistically unjustified, practice in the NLP literature, and demonstrate its empirical value across four applications: multi-domain dependency parsing, multilingual POS tagging, cross-domain sentiment classification and word similarity prediction.</v>
      </c>
      <c r="H7" s="17"/>
      <c r="I7" s="17"/>
      <c r="J7" s="17"/>
      <c r="K7" s="17"/>
      <c r="L7" s="17"/>
      <c r="M7" s="17"/>
      <c r="N7" s="17"/>
      <c r="O7" s="17"/>
      <c r="P7" s="17"/>
      <c r="Q7" s="17"/>
      <c r="R7" s="17"/>
      <c r="S7" s="17"/>
    </row>
    <row r="8" ht="112.5" customHeight="1">
      <c r="A8" s="15" t="s">
        <v>16</v>
      </c>
      <c r="B8" s="16" t="str">
        <f>IFERROR(__xludf.DUMMYFUNCTION("IFERROR(REGEXEXTRACT(A8, ""author *= *""""([^""""]+)""""""),REGEXEXTRACT(A8, ""author *= *\{+([^\d]+)\}+""))"),"Marrese-Taylor, Edison  and
      Matsuo, Yutaka")</f>
        <v>Marrese-Taylor, Edison  and
      Matsuo, Yutaka</v>
      </c>
      <c r="C8" s="16" t="str">
        <f>IFERROR(__xludf.DUMMYFUNCTION("REGEXEXTRACT(A8, ""title *= *""""([^""""]+)"""""")"),"Replication issues in syntax-based aspect extraction for opinion mining")</f>
        <v>Replication issues in syntax-based aspect extraction for opinion mining</v>
      </c>
      <c r="D8" s="16" t="str">
        <f>IFERROR(__xludf.DUMMYFUNCTION("IFERROR(REGEXEXTRACT(A8, ""journal *= *""""+([^""""]*)""""""),REGEXEXTRACT(A8, ""booktitle *= *""""+([^""""]*)""""""))"),"Proceedings of the Student Research Workshop at the 15th Conference of the {E}uropean Chapter of the Association for Computational Linguistics")</f>
        <v>Proceedings of the Student Research Workshop at the 15th Conference of the {E}uropean Chapter of the Association for Computational Linguistics</v>
      </c>
      <c r="E8" s="16" t="str">
        <f>IFERROR(__xludf.DUMMYFUNCTION("REGEXEXTRACT(A8, ""year *= *""""([^""""]+)"""""")"),"2017")</f>
        <v>2017</v>
      </c>
      <c r="F8" s="16" t="s">
        <v>17</v>
      </c>
      <c r="G8" s="16" t="str">
        <f>IFERROR(__xludf.DUMMYFUNCTION("IFERROR(REGEXEXTRACT(A8, ""abstract *= *""""+([^""""]*)""""""),REGEXEXTRACT(A8, ""abstract *= *\{+(.*)\}""))"),"Reproducing experiments is an important instrument to validate previous work and build upon existing approaches. It has been tackled numerous times in different areas of science. In this paper, we introduce an empirical replicability study of three well-k"&amp;"nown algorithms for syntactic centric aspect-based opinion mining. We show that reproducing results continues to be a difficult endeavor, mainly due to the lack of details regarding preprocessing and parameter setting, as well as due to the absence of ava"&amp;"ilable implementations that clarify these details. We consider these are important threats to validity of the research on the field, specifically when compared to other problems in NLP where public datasets and code availability are critical validity comp"&amp;"onents. We conclude by encouraging code-based research, which we think has a key role in helping researchers to understand the meaning of the state-of-the-art better and to generate continuous advances.")</f>
        <v>Reproducing experiments is an important instrument to validate previous work and build upon existing approaches. It has been tackled numerous times in different areas of science. In this paper, we introduce an empirical replicability study of three well-known algorithms for syntactic centric aspect-based opinion mining. We show that reproducing results continues to be a difficult endeavor, mainly due to the lack of details regarding preprocessing and parameter setting, as well as due to the absence of available implementations that clarify these details. We consider these are important threats to validity of the research on the field, specifically when compared to other problems in NLP where public datasets and code availability are critical validity components. We conclude by encouraging code-based research, which we think has a key role in helping researchers to understand the meaning of the state-of-the-art better and to generate continuous advances.</v>
      </c>
      <c r="H8" s="17"/>
      <c r="I8" s="17"/>
      <c r="J8" s="17"/>
      <c r="K8" s="17"/>
      <c r="L8" s="17"/>
      <c r="M8" s="17"/>
      <c r="N8" s="17"/>
      <c r="O8" s="17"/>
      <c r="P8" s="17"/>
      <c r="Q8" s="17"/>
      <c r="R8" s="17"/>
      <c r="S8" s="17"/>
    </row>
    <row r="9" ht="112.5" customHeight="1">
      <c r="A9" s="15" t="s">
        <v>18</v>
      </c>
      <c r="B9" s="16" t="str">
        <f>IFERROR(__xludf.DUMMYFUNCTION("IFERROR(REGEXEXTRACT(A9, ""author *= *""""([^""""]+)""""""),REGEXEXTRACT(A9, ""author *= *\{+([^\d]+)\}+""))"),"Horsmann, Tobias  and
      Zesch, Torsten")</f>
        <v>Horsmann, Tobias  and
      Zesch, Torsten</v>
      </c>
      <c r="C9" s="16" t="str">
        <f>IFERROR(__xludf.DUMMYFUNCTION("REGEXEXTRACT(A9, ""title *= *""""([^""""]+)"""""")"),"Do {LSTM}s really work so well for {P}o{S} tagging? {--} A replication study")</f>
        <v>Do {LSTM}s really work so well for {P}o{S} tagging? {--} A replication study</v>
      </c>
      <c r="D9" s="16" t="str">
        <f>IFERROR(__xludf.DUMMYFUNCTION("IFERROR(REGEXEXTRACT(A9, ""journal *= *""""+([^""""]*)""""""),REGEXEXTRACT(A9, ""booktitle *= *""""+([^""""]*)""""""))"),"Proceedings of the 2017 Conference on Empirical Methods in Natural Language Processing")</f>
        <v>Proceedings of the 2017 Conference on Empirical Methods in Natural Language Processing</v>
      </c>
      <c r="E9" s="16" t="str">
        <f>IFERROR(__xludf.DUMMYFUNCTION("REGEXEXTRACT(A9, ""year *= *""""([^""""]+)"""""")"),"2017")</f>
        <v>2017</v>
      </c>
      <c r="F9" s="16" t="s">
        <v>19</v>
      </c>
      <c r="G9" s="16" t="str">
        <f>IFERROR(__xludf.DUMMYFUNCTION("IFERROR(REGEXEXTRACT(A9, ""abstract *= *""""+([^""""]*)""""""),REGEXEXTRACT(A9, ""abstract *= *\{+(.*)\}""))"),"A recent study by Plank et al. (2016) found that  LSTM-based  PoS  taggers  considerably improve over the current state-of-the-art when evaluated on the corpora of the Universal Dependencies project that use a coarse-grained tagset.   We  replicate  this "&amp;"study  using  a  fresh  collection  of  27  corpora  of  21  languages  that  are  annotated with fine-grained tagsets of varying size. Our replication confirms the result in general, and we additionally find that the advantage of LSTMs is even bigger for"&amp;" larger tagsets.   However,  we  also  find  that  for the very large tagsets of morphologically rich  languages,  hand-crafted  morphological  lexicons  are  still  necessary  to  reach state-of-the-art performance.")</f>
        <v>A recent study by Plank et al. (2016) found that  LSTM-based  PoS  taggers  considerably improve over the current state-of-the-art when evaluated on the corpora of the Universal Dependencies project that use a coarse-grained tagset.   We  replicate  this study  using  a  fresh  collection  of  27  corpora  of  21  languages  that  are  annotated with fine-grained tagsets of varying size. Our replication confirms the result in general, and we additionally find that the advantage of LSTMs is even bigger for larger tagsets.   However,  we  also  find  that  for the very large tagsets of morphologically rich  languages,  hand-crafted  morphological  lexicons  are  still  necessary  to  reach state-of-the-art performance.</v>
      </c>
      <c r="H9" s="17"/>
      <c r="I9" s="17"/>
      <c r="J9" s="17"/>
      <c r="K9" s="17"/>
      <c r="L9" s="17"/>
      <c r="M9" s="17"/>
      <c r="N9" s="17"/>
      <c r="O9" s="17"/>
      <c r="P9" s="17"/>
      <c r="Q9" s="17"/>
      <c r="R9" s="17"/>
      <c r="S9" s="17"/>
    </row>
    <row r="10" ht="112.5" customHeight="1">
      <c r="A10" s="15" t="s">
        <v>20</v>
      </c>
      <c r="B10" s="16" t="str">
        <f>IFERROR(__xludf.DUMMYFUNCTION("IFERROR(REGEXEXTRACT(A10, ""author *= *""""([^""""]+)""""""),REGEXEXTRACT(A10, ""author *= *\{+([^\d]+)\}+""))"),"Morey, Mathieu  and
      Muller, Philippe  and
      Asher, Nicholas")</f>
        <v>Morey, Mathieu  and
      Muller, Philippe  and
      Asher, Nicholas</v>
      </c>
      <c r="C10" s="16" t="str">
        <f>IFERROR(__xludf.DUMMYFUNCTION("REGEXEXTRACT(A10, ""title *= *""""([^""""]+)"""""")"),"How much progress have we made on {RST} discourse parsing? A replication study of recent results on the {RST}-{DT}")</f>
        <v>How much progress have we made on {RST} discourse parsing? A replication study of recent results on the {RST}-{DT}</v>
      </c>
      <c r="D10" s="16" t="str">
        <f>IFERROR(__xludf.DUMMYFUNCTION("IFERROR(REGEXEXTRACT(A10, ""journal *= *""""+([^""""]*)""""""),REGEXEXTRACT(A10, ""booktitle *= *""""+([^""""]*)""""""))"),"Proceedings of the 2017 Conference on Empirical Methods in Natural Language Processing")</f>
        <v>Proceedings of the 2017 Conference on Empirical Methods in Natural Language Processing</v>
      </c>
      <c r="E10" s="16" t="str">
        <f>IFERROR(__xludf.DUMMYFUNCTION("REGEXEXTRACT(A10, ""year *= *""""([^""""]+)"""""")"),"2017")</f>
        <v>2017</v>
      </c>
      <c r="F10" s="16" t="s">
        <v>19</v>
      </c>
      <c r="G10" s="16" t="str">
        <f>IFERROR(__xludf.DUMMYFUNCTION("IFERROR(REGEXEXTRACT(A10, ""abstract *= *""""+([^""""]*)""""""),REGEXEXTRACT(A10, ""abstract *= *\{+(.*)\}""))"),"This article evaluates purported progress over the past years in RST discourse parsing. Several studies report a relative error reduction of 24 to 51% on all metrics that authors attribute to the introduction of distributed representations of discourse un"&amp;"its. We replicate the standard evaluation of 9 parsers, 5 of which use distributed representations, from 8 studies published between 2013 and 2017, using their predictions on the test set of the RST-DT. Our main finding is that most recently reported incr"&amp;"eases in RST discourse parser performance are an artefact of differences in implementations of the evaluation procedure. We evaluate all these parsers with the standard Parseval procedure to provide a more accurate picture of the actual RST discourse pars"&amp;"ers performance in standard evaluation settings. Under this more stringent procedure, the gains attributable to distributed representations represent at most a 16% relative error reduction on fully-labelled structures.")</f>
        <v>This article evaluates purported progress over the past years in RST discourse parsing. Several studies report a relative error reduction of 24 to 51% on all metrics that authors attribute to the introduction of distributed representations of discourse units. We replicate the standard evaluation of 9 parsers, 5 of which use distributed representations, from 8 studies published between 2013 and 2017, using their predictions on the test set of the RST-DT. Our main finding is that most recently reported increases in RST discourse parser performance are an artefact of differences in implementations of the evaluation procedure. We evaluate all these parsers with the standard Parseval procedure to provide a more accurate picture of the actual RST discourse parsers performance in standard evaluation settings. Under this more stringent procedure, the gains attributable to distributed representations represent at most a 16% relative error reduction on fully-labelled structures.</v>
      </c>
      <c r="H10" s="17"/>
      <c r="I10" s="17"/>
      <c r="J10" s="17"/>
      <c r="K10" s="17"/>
      <c r="L10" s="17"/>
      <c r="M10" s="17"/>
      <c r="N10" s="17"/>
      <c r="O10" s="17"/>
      <c r="P10" s="17"/>
      <c r="Q10" s="17"/>
      <c r="R10" s="17"/>
      <c r="S10" s="17"/>
    </row>
    <row r="11" ht="112.5" customHeight="1">
      <c r="A11" s="18" t="s">
        <v>118</v>
      </c>
      <c r="B11" s="16" t="str">
        <f>IFERROR(__xludf.DUMMYFUNCTION("IFERROR(REGEXEXTRACT(A11, ""author *= *""""([^""""]+)""""""),REGEXEXTRACT(A11, ""author *= *\{+([^\d]+)\}+""))"),"Htut, Phu Mon  and
      Cho, Kyunghyun  and
      Bowman, Samuel")</f>
        <v>Htut, Phu Mon  and
      Cho, Kyunghyun  and
      Bowman, Samuel</v>
      </c>
      <c r="C11" s="16" t="str">
        <f>IFERROR(__xludf.DUMMYFUNCTION("REGEXEXTRACT(A11, ""title *= *""""([^""""]+)"""""")"),"Grammar Induction with Neural Language Models: An Unusual Replication")</f>
        <v>Grammar Induction with Neural Language Models: An Unusual Replication</v>
      </c>
      <c r="D11" s="16" t="str">
        <f>IFERROR(__xludf.DUMMYFUNCTION("IFERROR(REGEXEXTRACT(A11, ""journal *= *""""+([^""""]*)""""""),REGEXEXTRACT(A11, ""booktitle *= *""""+([^""""]*)""""""))"),"Proceedings of the 2018 {EMNLP} Workshop {B}lackbox{NLP}: Analyzing and Interpreting Neural Networks for {NLP}")</f>
        <v>Proceedings of the 2018 {EMNLP} Workshop {B}lackbox{NLP}: Analyzing and Interpreting Neural Networks for {NLP}</v>
      </c>
      <c r="E11" s="16" t="str">
        <f>IFERROR(__xludf.DUMMYFUNCTION("REGEXEXTRACT(A11, ""year *= *""""([^""""]+)"""""")"),"2018")</f>
        <v>2018</v>
      </c>
      <c r="F11" s="16" t="s">
        <v>8</v>
      </c>
      <c r="G11" s="16" t="str">
        <f>IFERROR(__xludf.DUMMYFUNCTION("IFERROR(REGEXEXTRACT(A11, ""abstract *= *""""+([^""""]*)""""""),REGEXEXTRACT(A11, ""abstract *= *\{+(.*)\}""))"),"Grammar induction is the task of learning syntactic structure without the expert-labeled treebanks (Charniak and Carroll, 1992; Klein and Manning, 2002). Recent work on latent tree learning offers a new family of approaches to this problem by inducing syn"&amp;"tactic structure using the supervision from a downstream NLP task (Yogatama et al., 2017; Maillard et al., 2017; Choi et al., 2018). In a recent paper published at ICLR, Shen et al. (2018) introduce such a model and report near state-of-the-art results on"&amp;" the target task of language modeling, and the first strong latent tree learning result on constituency parsing. During the analysis of this model, we discover issues that make the original results hard to trust, including tuning and even training on what"&amp;" is effectively the test set. Here, we analyze the model under different configurations to understand what it learns and to identify the conditions under which it succeeds. We find that this model represents the first empirical success for neural network "&amp;"latent tree learning, and that neural language modeling warrants further study as a setting for grammar induction.")</f>
        <v>Grammar induction is the task of learning syntactic structure without the expert-labeled treebanks (Charniak and Carroll, 1992; Klein and Manning, 2002). Recent work on latent tree learning offers a new family of approaches to this problem by inducing syntactic structure using the supervision from a downstream NLP task (Yogatama et al., 2017; Maillard et al., 2017; Choi et al., 2018). In a recent paper published at ICLR, Shen et al. (2018) introduce such a model and report near state-of-the-art results on the target task of language modeling, and the first strong latent tree learning result on constituency parsing. During the analysis of this model, we discover issues that make the original results hard to trust, including tuning and even training on what is effectively the test set. Here, we analyze the model under different configurations to understand what it learns and to identify the conditions under which it succeeds. We find that this model represents the first empirical success for neural network latent tree learning, and that neural language modeling warrants further study as a setting for grammar induction.</v>
      </c>
      <c r="H11" s="17"/>
      <c r="I11" s="17"/>
      <c r="J11" s="17"/>
      <c r="K11" s="17"/>
      <c r="L11" s="17"/>
      <c r="M11" s="17"/>
      <c r="N11" s="17"/>
      <c r="O11" s="17"/>
      <c r="P11" s="17"/>
      <c r="Q11" s="17"/>
      <c r="R11" s="17"/>
      <c r="S11" s="17"/>
    </row>
    <row r="12" ht="112.5" customHeight="1">
      <c r="A12" s="15" t="s">
        <v>22</v>
      </c>
      <c r="B12" s="16" t="str">
        <f>IFERROR(__xludf.DUMMYFUNCTION("IFERROR(REGEXEXTRACT(A12, ""author *= *""""([^""""]+)""""""),REGEXEXTRACT(A12, ""author *= *\{+([^\d]+)\}+""))"),"Crane, Matt")</f>
        <v>Crane, Matt</v>
      </c>
      <c r="C12" s="16" t="str">
        <f>IFERROR(__xludf.DUMMYFUNCTION("REGEXEXTRACT(A12, ""title *= *""""([^""""]+)"""""")"),"Questionable Answers in Question Answering Research: Reproducibility and Variability of Published Results")</f>
        <v>Questionable Answers in Question Answering Research: Reproducibility and Variability of Published Results</v>
      </c>
      <c r="D12" s="16" t="str">
        <f>IFERROR(__xludf.DUMMYFUNCTION("IFERROR(REGEXEXTRACT(A12, ""journal *= *""""+([^""""]*)""""""),REGEXEXTRACT(A12, ""booktitle *= *""""+([^""""]*)""""""))"),"Transactions of the Association for Computational Linguistics")</f>
        <v>Transactions of the Association for Computational Linguistics</v>
      </c>
      <c r="E12" s="16" t="str">
        <f>IFERROR(__xludf.DUMMYFUNCTION("REGEXEXTRACT(A12, ""year *= *""""([^""""]+)"""""")"),"2018")</f>
        <v>2018</v>
      </c>
      <c r="F12" s="16" t="s">
        <v>15</v>
      </c>
      <c r="G12" s="16" t="str">
        <f>IFERROR(__xludf.DUMMYFUNCTION("IFERROR(REGEXEXTRACT(A12, ""abstract *= *""""+([^""""]*)""""""),REGEXEXTRACT(A12, ""abstract *= *\{+(.*)\}""))"),"Based on theoretical reasoning it has been suggested that the reliability of findings published in the scientific literature decreases with the popularity of a research field” (Pfeiffer and Hoffmann, 2009). As we know, deep learning is very popular and th"&amp;"e ability to reproduce results is an important part of science. There is growing concern within the deep learning community about the reproducibility of results that are presented. In this paper we present a number of controllable, yet unreported, effects"&amp;" that can substantially change the effectiveness of a sample model, and thusly the reproducibility of those results. Through these environmental effects we show that the commonly held belief that distribution of source code is all that is needed for repro"&amp;"ducibility is not enough. Source code without a reproducible environment does not mean anything at all. In addition the range of results produced from these effects can be larger than the majority of incremental improvement reported.")</f>
        <v>Based on theoretical reasoning it has been suggested that the reliability of findings published in the scientific literature decreases with the popularity of a research field” (Pfeiffer and Hoffmann, 2009). As we know, deep learning is very popular and the ability to reproduce results is an important part of science. There is growing concern within the deep learning community about the reproducibility of results that are presented. In this paper we present a number of controllable, yet unreported, effects that can substantially change the effectiveness of a sample model, and thusly the reproducibility of those results. Through these environmental effects we show that the commonly held belief that distribution of source code is all that is needed for reproducibility is not enough. Source code without a reproducible environment does not mean anything at all. In addition the range of results produced from these effects can be larger than the majority of incremental improvement reported.</v>
      </c>
      <c r="H12" s="17"/>
      <c r="I12" s="17"/>
      <c r="J12" s="17"/>
      <c r="K12" s="17"/>
      <c r="L12" s="17"/>
      <c r="M12" s="17"/>
      <c r="N12" s="17"/>
      <c r="O12" s="17"/>
      <c r="P12" s="17"/>
      <c r="Q12" s="17"/>
      <c r="R12" s="17"/>
      <c r="S12" s="17"/>
    </row>
    <row r="13" ht="112.5" customHeight="1">
      <c r="A13" s="15" t="s">
        <v>23</v>
      </c>
      <c r="B13" s="16" t="str">
        <f>IFERROR(__xludf.DUMMYFUNCTION("IFERROR(REGEXEXTRACT(A13, ""author *= *""""([^""""]+)""""""),REGEXEXTRACT(A13, ""author *= *\{+([^\d]+)\}+""))"),"Branco, Ant{\'o}nio")</f>
        <v>Branco, Ant{\'o}nio</v>
      </c>
      <c r="C13" s="16" t="str">
        <f>IFERROR(__xludf.DUMMYFUNCTION("REGEXEXTRACT(A13, ""title *= *""""([^""""]+)"""""")"),"We Are Depleting Our Research Subject as We Are Investigating It: In Language Technology, more Replication and Diversity Are Needed")</f>
        <v>We Are Depleting Our Research Subject as We Are Investigating It: In Language Technology, more Replication and Diversity Are Needed</v>
      </c>
      <c r="D13" s="16" t="str">
        <f>IFERROR(__xludf.DUMMYFUNCTION("IFERROR(REGEXEXTRACT(A13, ""journal *= *""""+([^""""]*)""""""),REGEXEXTRACT(A13, ""booktitle *= *""""+([^""""]*)""""""))"),"Proceedings of the Eleventh International Conference on Language Resources and Evaluation ({LREC} 2018)")</f>
        <v>Proceedings of the Eleventh International Conference on Language Resources and Evaluation ({LREC} 2018)</v>
      </c>
      <c r="E13" s="16" t="str">
        <f>IFERROR(__xludf.DUMMYFUNCTION("REGEXEXTRACT(A13, ""year *= *""""([^""""]+)"""""")"),"2018")</f>
        <v>2018</v>
      </c>
      <c r="F13" s="16" t="s">
        <v>24</v>
      </c>
      <c r="G13" s="16" t="str">
        <f>IFERROR(__xludf.DUMMYFUNCTION("IFERROR(REGEXEXTRACT(A13, ""abstract *= *""""+([^""""]*)""""""),REGEXEXTRACT(A13, ""abstract *= *\{+(.*)\}""))"),"In this paper, we present an analysis indicating that, in language technology, as we are investigating natural language we are contributing to deplete it in the sense that we are contributing to reduce the diversity of languages.  To address this circumst"&amp;"ance, we propose that more replication and reproduction and more language diversity need to be taken into account in our research activities.")</f>
        <v>In this paper, we present an analysis indicating that, in language technology, as we are investigating natural language we are contributing to deplete it in the sense that we are contributing to reduce the diversity of languages.  To address this circumstance, we propose that more replication and reproduction and more language diversity need to be taken into account in our research activities.</v>
      </c>
      <c r="H13" s="17"/>
      <c r="I13" s="17"/>
      <c r="J13" s="17"/>
      <c r="K13" s="17"/>
      <c r="L13" s="17"/>
      <c r="M13" s="17"/>
      <c r="N13" s="17"/>
      <c r="O13" s="17"/>
      <c r="P13" s="17"/>
      <c r="Q13" s="17"/>
      <c r="R13" s="17"/>
      <c r="S13" s="17"/>
    </row>
    <row r="14" ht="112.5" customHeight="1">
      <c r="A14" s="15" t="s">
        <v>25</v>
      </c>
      <c r="B14" s="16" t="str">
        <f>IFERROR(__xludf.DUMMYFUNCTION("IFERROR(REGEXEXTRACT(A14, ""author *= *""""([^""""]+)""""""),REGEXEXTRACT(A14, ""author *= *\{+([^\d]+)\}+""))"),"Cohen, K. Bretonnel  and
      Xia, Jingbo  and
      Zweigenbaum, Pierre  and
      Callahan, Tiffany  and
      Hargraves, Orin  and
      Goss, Foster  and
      Ide, Nancy  and
      N{\'e}v{\'e}ol, Aur{\'e}lie  and
      Grouin, Cyril  and
      Hunt"&amp;"er, Lawrence E.")</f>
        <v>Cohen, K. Bretonnel  and
      Xia, Jingbo  and
      Zweigenbaum, Pierre  and
      Callahan, Tiffany  and
      Hargraves, Orin  and
      Goss, Foster  and
      Ide, Nancy  and
      N{\'e}v{\'e}ol, Aur{\'e}lie  and
      Grouin, Cyril  and
      Hunter, Lawrence E.</v>
      </c>
      <c r="C14" s="16" t="str">
        <f>IFERROR(__xludf.DUMMYFUNCTION("REGEXEXTRACT(A14, ""title *= *""""([^""""]+)"""""")"),"Three Dimensions of Reproducibility in Natural Language Processing")</f>
        <v>Three Dimensions of Reproducibility in Natural Language Processing</v>
      </c>
      <c r="D14" s="16" t="str">
        <f>IFERROR(__xludf.DUMMYFUNCTION("IFERROR(REGEXEXTRACT(A14, ""journal *= *""""+([^""""]*)""""""),REGEXEXTRACT(A14, ""booktitle *= *""""+([^""""]*)""""""))"),"Proceedings of the Eleventh International Conference on Language Resources and Evaluation ({LREC} 2018)")</f>
        <v>Proceedings of the Eleventh International Conference on Language Resources and Evaluation ({LREC} 2018)</v>
      </c>
      <c r="E14" s="16" t="str">
        <f>IFERROR(__xludf.DUMMYFUNCTION("REGEXEXTRACT(A14, ""year *= *""""([^""""]+)"""""")"),"2018")</f>
        <v>2018</v>
      </c>
      <c r="F14" s="16" t="s">
        <v>24</v>
      </c>
      <c r="G14" s="16" t="str">
        <f>IFERROR(__xludf.DUMMYFUNCTION("IFERROR(REGEXEXTRACT(A14, ""abstract *= *""""+([^""""]*)""""""),REGEXEXTRACT(A14, ""abstract *= *\{+(.*)\}""))"),"Despite  considerable  recent  attention  to  problems  with  reproducibility  of  scientific  research,  there  is  a  striking  lack  of  agreement about the definition of the term.  That is a problem, because the lack of a consensus definition makes it"&amp;" difficult to compare studies of reproducibility, and thus to have even a broad overview of the state of the issue in natural language processing.  This paper proposes anontology of reproducibility in that field. Its goal is to enhance both future researc"&amp;"h and communication about the topic, and retrospective meta-analyses. We show that three dimensions of reproducibility, corresponding to three kinds of claims in natural language processing papers, can account for a variety of types of research reports. T"&amp;"hese dimensions are reproducibility of aconclusion, of a finding, and ofavalue. Three biomedical natural language processing papers by the authors of this paper are analyzed with respect to these dimensions.")</f>
        <v>Despite  considerable  recent  attention  to  problems  with  reproducibility  of  scientific  research,  there  is  a  striking  lack  of  agreement about the definition of the term.  That is a problem, because the lack of a consensus definition makes it difficult to compare studies of reproducibility, and thus to have even a broad overview of the state of the issue in natural language processing.  This paper proposes anontology of reproducibility in that field. Its goal is to enhance both future research and communication about the topic, and retrospective meta-analyses. We show that three dimensions of reproducibility, corresponding to three kinds of claims in natural language processing papers, can account for a variety of types of research reports. These dimensions are reproducibility of aconclusion, of a finding, and ofavalue. Three biomedical natural language processing papers by the authors of this paper are analyzed with respect to these dimensions.</v>
      </c>
      <c r="H14" s="17"/>
      <c r="I14" s="17"/>
      <c r="J14" s="17"/>
      <c r="K14" s="17"/>
      <c r="L14" s="17"/>
      <c r="M14" s="17"/>
      <c r="N14" s="17"/>
      <c r="O14" s="17"/>
      <c r="P14" s="17"/>
      <c r="Q14" s="17"/>
      <c r="R14" s="17"/>
      <c r="S14" s="17"/>
    </row>
    <row r="15" ht="112.5" customHeight="1">
      <c r="A15" s="18" t="s">
        <v>119</v>
      </c>
      <c r="B15" s="16" t="str">
        <f>IFERROR(__xludf.DUMMYFUNCTION("IFERROR(REGEXEXTRACT(A15, ""author *= *""""([^=]+)""""""),REGEXEXTRACT(A15, ""author *= *\{+([^=]+)\}+""))"),"G{\""a}rtner, Markus  and
      Hahn, Uli  and
      Hermann, Sibylle")</f>
        <v>G{\"a}rtner, Markus  and
      Hahn, Uli  and
      Hermann, Sibylle</v>
      </c>
      <c r="C15" s="16" t="str">
        <f>IFERROR(__xludf.DUMMYFUNCTION("REGEXEXTRACT(A15, ""title *= *""""([^""""]+)"""""")"),"Preserving Workflow Reproducibility: The {R}e{P}lay-{DH} Client as a Tool for Process Documentation")</f>
        <v>Preserving Workflow Reproducibility: The {R}e{P}lay-{DH} Client as a Tool for Process Documentation</v>
      </c>
      <c r="D15" s="16" t="str">
        <f>IFERROR(__xludf.DUMMYFUNCTION("IFERROR(REGEXEXTRACT(A15, ""journal *= *""""+([^""""]*)""""""),REGEXEXTRACT(A15, ""booktitle *= *""""+([^""""]*)""""""))"),"Proceedings of the Eleventh International Conference on Language Resources and Evaluation ({LREC} 2018)")</f>
        <v>Proceedings of the Eleventh International Conference on Language Resources and Evaluation ({LREC} 2018)</v>
      </c>
      <c r="E15" s="16" t="str">
        <f>IFERROR(__xludf.DUMMYFUNCTION("REGEXEXTRACT(A15, ""year *= *""""([^""""]+)"""""")"),"2018")</f>
        <v>2018</v>
      </c>
      <c r="F15" s="16" t="s">
        <v>24</v>
      </c>
      <c r="G15" s="16" t="str">
        <f>IFERROR(__xludf.DUMMYFUNCTION("IFERROR(REGEXEXTRACT(A15, ""abstract *= *""""+([^=]+)""""""),REGEXEXTRACT(A15, ""abstract *= *\{+(.+)\}""))"),"In  this  paper  we  present  a  software  tool  for  elicitation  and  management  of  process  metadata.   It  follows  our  previously  published design idea of an assistant for researchers that aims at minimizing the additional effort required for pro"&amp;"ducing a sustainable workflow documentation.   With  the  ever-growing  number  of  linguistic  resources  available,  it  also  becomes  increasingly  important  to  provide proper  documentation  to  make  them  comparable  and  to  allow  meaningful  e"&amp;"valuations  for  specific  use  cases.   The  often  prevailing practice  of  post  hoc  documentation  of  resource  generation  or  research  processes  bears  the  risk  of  information  loss.   Not  only  does detailed documentation of a process aid i"&amp;"n achieving reproducibility, it also increases usefulness of the documented work for others asa cornerstone of good scientific practice.  Time pressure together with the lack of simple documentation methods leads to workflow documentation in practice bein"&amp;"g an arduous and often neglected task. Our tool ensures a clean documentation for common workflows innatural language processing and digital humanities. Additionally, it can easily be integrated into existing institutional infrastructures.")</f>
        <v>In  this  paper  we  present  a  software  tool  for  elicitation  and  management  of  process  metadata.   It  follows  our  previously  published design idea of an assistant for researchers that aims at minimizing the additional effort required for producing a sustainable workflow documentation.   With  the  ever-growing  number  of  linguistic  resources  available,  it  also  becomes  increasingly  important  to  provide proper  documentation  to  make  them  comparable  and  to  allow  meaningful  evaluations  for  specific  use  cases.   The  often  prevailing practice  of  post  hoc  documentation  of  resource  generation  or  research  processes  bears  the  risk  of  information  loss.   Not  only  does detailed documentation of a process aid in achieving reproducibility, it also increases usefulness of the documented work for others asa cornerstone of good scientific practice.  Time pressure together with the lack of simple documentation methods leads to workflow documentation in practice being an arduous and often neglected task. Our tool ensures a clean documentation for common workflows innatural language processing and digital humanities. Additionally, it can easily be integrated into existing institutional infrastructures.</v>
      </c>
      <c r="H15" s="17"/>
      <c r="I15" s="17"/>
      <c r="J15" s="17"/>
      <c r="K15" s="17"/>
      <c r="L15" s="17"/>
      <c r="M15" s="17"/>
      <c r="N15" s="17"/>
      <c r="O15" s="17"/>
      <c r="P15" s="17"/>
      <c r="Q15" s="17"/>
      <c r="R15" s="17"/>
      <c r="S15" s="17"/>
    </row>
    <row r="16" ht="112.5" customHeight="1">
      <c r="A16" s="18" t="s">
        <v>120</v>
      </c>
      <c r="B16" s="16" t="str">
        <f>IFERROR(__xludf.DUMMYFUNCTION("IFERROR(REGEXEXTRACT(A16, ""author *= *""""([^""""]+)""""""),REGEXEXTRACT(A16, ""author *= *\{+([^\d]+)\}+""))"),"Horsmann, Tobias  and
      Zesch, Torsten")</f>
        <v>Horsmann, Tobias  and
      Zesch, Torsten</v>
      </c>
      <c r="C16" s="16" t="str">
        <f>IFERROR(__xludf.DUMMYFUNCTION("REGEXEXTRACT(A16, ""title *= *""""([^""""]+)"""""")"),"{D}eep{TC} {--} An Extension of {DKP}ro Text Classification for Fostering Reproducibility of Deep Learning Experiments")</f>
        <v>{D}eep{TC} {--} An Extension of {DKP}ro Text Classification for Fostering Reproducibility of Deep Learning Experiments</v>
      </c>
      <c r="D16" s="16" t="str">
        <f>IFERROR(__xludf.DUMMYFUNCTION("IFERROR(REGEXEXTRACT(A16, ""journal *= *""""+([^""""]*)""""""),REGEXEXTRACT(A16, ""booktitle *= *""""+([^""""]*)""""""))"),"Proceedings of the Eleventh International Conference on Language Resources and Evaluation ({LREC} 2018)")</f>
        <v>Proceedings of the Eleventh International Conference on Language Resources and Evaluation ({LREC} 2018)</v>
      </c>
      <c r="E16" s="16" t="str">
        <f>IFERROR(__xludf.DUMMYFUNCTION("REGEXEXTRACT(A16, ""year *= *""""([^""""]+)"""""")"),"2018")</f>
        <v>2018</v>
      </c>
      <c r="F16" s="16" t="s">
        <v>24</v>
      </c>
      <c r="G16" s="16" t="str">
        <f>IFERROR(__xludf.DUMMYFUNCTION("IFERROR(REGEXEXTRACT(A16, ""abstract *= *""""+([^""""]+)""""""),REGEXEXTRACT(A16, ""abstract *= *\{+(.+)\}""))"),"We present a deep learning extension for the multi-purpose text classification framework DKPro Text Classification (DKPro TC). DKProTC is a flexible framework for creating easily shareable and reproducible end-to-end NLP experiments involving machine lear"&amp;"ning. We provide an overview of the current state of DKPro TC, which does not allow integration of deep learning, and discuss the necessary conceptual extensions.  These extensions are based on an analysis of common deep learning setups found in the liter"&amp;"ature to support all common text classification setups, i.e. single outcome, multi outcome, and sequence classification problems.  Additionally to providing an end-to-end shareable environment for deep learning experiments, we provide convenience features"&amp;" that take care of repetitive steps, such as pre-processing, data vectorization and pruning of embeddings.  By moving a large part of this boilerplate code into DKPro TC, the actual deep learning framework code improves in readability and lowers the amoun"&amp;"t of redundant source code considerably.  As proof-of-concept, we integrate Keras, DyNet, and DeepLearning4J.")</f>
        <v>We present a deep learning extension for the multi-purpose text classification framework DKPro Text Classification (DKPro TC). DKProTC is a flexible framework for creating easily shareable and reproducible end-to-end NLP experiments involving machine learning. We provide an overview of the current state of DKPro TC, which does not allow integration of deep learning, and discuss the necessary conceptual extensions.  These extensions are based on an analysis of common deep learning setups found in the literature to support all common text classification setups, i.e. single outcome, multi outcome, and sequence classification problems.  Additionally to providing an end-to-end shareable environment for deep learning experiments, we provide convenience features that take care of repetitive steps, such as pre-processing, data vectorization and pruning of embeddings.  By moving a large part of this boilerplate code into DKPro TC, the actual deep learning framework code improves in readability and lowers the amount of redundant source code considerably.  As proof-of-concept, we integrate Keras, DyNet, and DeepLearning4J.</v>
      </c>
      <c r="H16" s="17"/>
      <c r="I16" s="17"/>
      <c r="J16" s="17"/>
      <c r="K16" s="17"/>
      <c r="L16" s="17"/>
      <c r="M16" s="17"/>
      <c r="N16" s="17"/>
      <c r="O16" s="17"/>
      <c r="P16" s="17"/>
      <c r="Q16" s="17"/>
      <c r="R16" s="17"/>
      <c r="S16" s="17"/>
    </row>
    <row r="17" ht="112.5" customHeight="1">
      <c r="A17" s="15" t="s">
        <v>28</v>
      </c>
      <c r="B17" s="16" t="str">
        <f>IFERROR(__xludf.DUMMYFUNCTION("IFERROR(REGEXEXTRACT(A17, ""author *= *""""([^""""]+)""""""),REGEXEXTRACT(A17, ""author *= *\{+([^\d]+)\}+""))"),"Wieling, Martijn  and
      Rawee, Josine  and
      van Noord, Gertjan")</f>
        <v>Wieling, Martijn  and
      Rawee, Josine  and
      van Noord, Gertjan</v>
      </c>
      <c r="C17" s="16" t="str">
        <f>IFERROR(__xludf.DUMMYFUNCTION("REGEXEXTRACT(A17, ""title *= *""""([^""""]+)"""""")"),"{S}quib: Reproducibility in Computational Linguistics: Are We Willing to Share?")</f>
        <v>{S}quib: Reproducibility in Computational Linguistics: Are We Willing to Share?</v>
      </c>
      <c r="D17" s="16" t="str">
        <f>IFERROR(__xludf.DUMMYFUNCTION("IFERROR(REGEXEXTRACT(A17, ""journal *= *""""+([^""""]*)""""""),REGEXEXTRACT(A17, ""booktitle *= *""""+([^""""]*)""""""))"),"Computational Linguistics")</f>
        <v>Computational Linguistics</v>
      </c>
      <c r="E17" s="16" t="str">
        <f>IFERROR(__xludf.DUMMYFUNCTION("REGEXEXTRACT(A17, ""year *= *""""([^""""]+)"""""")"),"2018")</f>
        <v>2018</v>
      </c>
      <c r="F17" s="16" t="s">
        <v>29</v>
      </c>
      <c r="G17" s="16" t="s">
        <v>30</v>
      </c>
      <c r="H17" s="17"/>
      <c r="I17" s="17"/>
      <c r="J17" s="17"/>
      <c r="K17" s="17"/>
      <c r="L17" s="17"/>
      <c r="M17" s="17"/>
      <c r="N17" s="17"/>
      <c r="O17" s="17"/>
      <c r="P17" s="17"/>
      <c r="Q17" s="17"/>
      <c r="R17" s="17"/>
      <c r="S17" s="17"/>
    </row>
    <row r="18" ht="112.5" customHeight="1">
      <c r="A18" s="18" t="s">
        <v>121</v>
      </c>
      <c r="B18" s="16" t="str">
        <f>IFERROR(__xludf.DUMMYFUNCTION("IFERROR(REGEXEXTRACT(A18, ""author *= *""""([^""""]+)""""""),REGEXEXTRACT(A18, ""author *= *\{+([^\d]+)\}+""))"),"Htut, Phu Mon  and
      Cho, Kyunghyun  and
      Bowman, Samuel")</f>
        <v>Htut, Phu Mon  and
      Cho, Kyunghyun  and
      Bowman, Samuel</v>
      </c>
      <c r="C18" s="16" t="str">
        <f>IFERROR(__xludf.DUMMYFUNCTION("REGEXEXTRACT(A18, ""title *= *""""([^""""]+)"""""")"),"Grammar Induction with Neural Language Models: An Unusual Replication")</f>
        <v>Grammar Induction with Neural Language Models: An Unusual Replication</v>
      </c>
      <c r="D18" s="16" t="str">
        <f>IFERROR(__xludf.DUMMYFUNCTION("IFERROR(REGEXEXTRACT(A18, ""journal *= *""""+([^""""]*)""""""),REGEXEXTRACT(A18, ""booktitle *= *""""+([^""""]*)""""""))"),"Proceedings of the 2018 Conference on Empirical Methods in Natural Language Processing")</f>
        <v>Proceedings of the 2018 Conference on Empirical Methods in Natural Language Processing</v>
      </c>
      <c r="E18" s="16" t="str">
        <f>IFERROR(__xludf.DUMMYFUNCTION("REGEXEXTRACT(A18, ""year *= *""""([^""""]+)"""""")"),"2018")</f>
        <v>2018</v>
      </c>
      <c r="F18" s="16" t="s">
        <v>19</v>
      </c>
      <c r="G18" s="16" t="s">
        <v>32</v>
      </c>
      <c r="H18" s="17"/>
      <c r="I18" s="17"/>
      <c r="J18" s="17"/>
      <c r="K18" s="17"/>
      <c r="L18" s="17"/>
      <c r="M18" s="17"/>
      <c r="N18" s="17"/>
      <c r="O18" s="17"/>
      <c r="P18" s="17"/>
      <c r="Q18" s="17"/>
      <c r="R18" s="17"/>
      <c r="S18" s="17"/>
    </row>
    <row r="19" ht="112.5" customHeight="1">
      <c r="A19" s="15" t="s">
        <v>33</v>
      </c>
      <c r="B19" s="16" t="str">
        <f>IFERROR(__xludf.DUMMYFUNCTION("IFERROR(REGEXEXTRACT(A19, ""author *= *""""([^""""]+)""""""),REGEXEXTRACT(A19, ""author *= *\{+([^\d]+)\}+""))"),"Moore, Andrew  and
      Rayson, Paul")</f>
        <v>Moore, Andrew  and
      Rayson, Paul</v>
      </c>
      <c r="C19" s="16" t="str">
        <f>IFERROR(__xludf.DUMMYFUNCTION("REGEXEXTRACT(A19, ""title *= *""""([^""""]+)"""""")"),"Bringing replication and reproduction together with generalisability in {NLP}: Three reproduction studies for Target Dependent Sentiment Analysis")</f>
        <v>Bringing replication and reproduction together with generalisability in {NLP}: Three reproduction studies for Target Dependent Sentiment Analysis</v>
      </c>
      <c r="D19" s="16" t="str">
        <f>IFERROR(__xludf.DUMMYFUNCTION("IFERROR(REGEXEXTRACT(A19, ""journal *= *""""+([^""""]*)""""""),REGEXEXTRACT(A19, ""booktitle *= *""""+([^""""]*)""""""))"),"Proceedings of the 27th International Conference on Computational Linguistics")</f>
        <v>Proceedings of the 27th International Conference on Computational Linguistics</v>
      </c>
      <c r="E19" s="16" t="str">
        <f>IFERROR(__xludf.DUMMYFUNCTION("REGEXEXTRACT(A19, ""year *= *""""([^""""]+)"""""")"),"2018")</f>
        <v>2018</v>
      </c>
      <c r="F19" s="16" t="s">
        <v>34</v>
      </c>
      <c r="G19" s="16" t="s">
        <v>35</v>
      </c>
      <c r="H19" s="17"/>
      <c r="I19" s="17"/>
      <c r="J19" s="17"/>
      <c r="K19" s="17"/>
      <c r="L19" s="17"/>
      <c r="M19" s="17"/>
      <c r="N19" s="17"/>
      <c r="O19" s="17"/>
      <c r="P19" s="17"/>
      <c r="Q19" s="17"/>
      <c r="R19" s="17"/>
      <c r="S19" s="17"/>
    </row>
    <row r="20" ht="112.5" customHeight="1">
      <c r="A20" s="15" t="s">
        <v>36</v>
      </c>
      <c r="B20" s="16" t="str">
        <f>IFERROR(__xludf.DUMMYFUNCTION("IFERROR(REGEXEXTRACT(A20, ""author *= *""""([^""""]+)""""""),REGEXEXTRACT(A20, ""author *= *\{+([^\d]+)\}+""))"),"Pierrejean, B{\'e}n{\'e}dicte  and
      Tanguy, Ludovic")</f>
        <v>Pierrejean, B{\'e}n{\'e}dicte  and
      Tanguy, Ludovic</v>
      </c>
      <c r="C20" s="16" t="str">
        <f>IFERROR(__xludf.DUMMYFUNCTION("REGEXEXTRACT(A20, ""title *= *""""([^""""]+)"""""")"),"Etude de la reproductibilit{\'e} des word embeddings : rep{\'e}rage des zones stables et instables dans le lexique (Reproducibility of word embeddings : identifying stable and unstable zones in the semantic space)")</f>
        <v>Etude de la reproductibilit{\'e} des word embeddings : rep{\'e}rage des zones stables et instables dans le lexique (Reproducibility of word embeddings : identifying stable and unstable zones in the semantic space)</v>
      </c>
      <c r="D20" s="16" t="str">
        <f>IFERROR(__xludf.DUMMYFUNCTION("IFERROR(REGEXEXTRACT(A20, ""journal *= *""""+([^""""]*)""""""),REGEXEXTRACT(A20, ""booktitle *= *""""+([^""""]*)""""""))"),"Actes de la Conf{\'e}rence TALN. Volume 1 - Articles longs, articles courts de TALN")</f>
        <v>Actes de la Conf{\'e}rence TALN. Volume 1 - Articles longs, articles courts de TALN</v>
      </c>
      <c r="E20" s="16" t="str">
        <f>IFERROR(__xludf.DUMMYFUNCTION("REGEXEXTRACT(A20, ""year *= *""""([^""""]+)"""""")"),"2018")</f>
        <v>2018</v>
      </c>
      <c r="F20" s="16" t="s">
        <v>8</v>
      </c>
      <c r="G20" s="16" t="s">
        <v>37</v>
      </c>
      <c r="H20" s="17"/>
      <c r="I20" s="17"/>
      <c r="J20" s="17"/>
      <c r="K20" s="17"/>
      <c r="L20" s="17"/>
      <c r="M20" s="17"/>
      <c r="N20" s="17"/>
      <c r="O20" s="17"/>
      <c r="P20" s="17"/>
      <c r="Q20" s="17"/>
      <c r="R20" s="17"/>
      <c r="S20" s="17"/>
    </row>
    <row r="21" ht="112.5" customHeight="1">
      <c r="A21" s="15" t="s">
        <v>38</v>
      </c>
      <c r="B21" s="16" t="str">
        <f>IFERROR(__xludf.DUMMYFUNCTION("IFERROR(REGEXEXTRACT(A21, ""author *= *""""([^""""]+)""""""),REGEXEXTRACT(A21, ""author *= *\{+([^\d]+)\}+""))"),"van Miltenburg, Emiel  and
      van de Kerkhof, Merel  and
      Koolen, Ruud  and
      Goudbeek, Martijn  and
      Krahmer, Emiel")</f>
        <v>van Miltenburg, Emiel  and
      van de Kerkhof, Merel  and
      Koolen, Ruud  and
      Goudbeek, Martijn  and
      Krahmer, Emiel</v>
      </c>
      <c r="C21" s="16" t="str">
        <f>IFERROR(__xludf.DUMMYFUNCTION("REGEXEXTRACT(A21, ""title *= *""""([^""""]+)"""""")"),"On task effects in {NLG} corpus elicitation: a replication study using mixed effects modeling")</f>
        <v>On task effects in {NLG} corpus elicitation: a replication study using mixed effects modeling</v>
      </c>
      <c r="D21" s="16" t="str">
        <f>IFERROR(__xludf.DUMMYFUNCTION("IFERROR(REGEXEXTRACT(A21, ""journal *= *""""+([^""""]*)""""""),REGEXEXTRACT(A21, ""booktitle *= *""""+([^""""]*)""""""))"),"Proceedings of the 12th International Conference on Natural Language Generation")</f>
        <v>Proceedings of the 12th International Conference on Natural Language Generation</v>
      </c>
      <c r="E21" s="16" t="str">
        <f>IFERROR(__xludf.DUMMYFUNCTION("REGEXEXTRACT(A21, ""year *= *""""([^""""]+)"""""")"),"2019")</f>
        <v>2019</v>
      </c>
      <c r="F21" s="16" t="s">
        <v>39</v>
      </c>
      <c r="G21" s="16" t="s">
        <v>40</v>
      </c>
      <c r="H21" s="17"/>
      <c r="I21" s="17"/>
      <c r="J21" s="17"/>
      <c r="K21" s="17"/>
      <c r="L21" s="17"/>
      <c r="M21" s="17"/>
      <c r="N21" s="17"/>
      <c r="O21" s="17"/>
      <c r="P21" s="17"/>
      <c r="Q21" s="17"/>
      <c r="R21" s="17"/>
      <c r="S21" s="17"/>
    </row>
    <row r="22" ht="112.5" customHeight="1">
      <c r="A22" s="15" t="s">
        <v>41</v>
      </c>
      <c r="B22" s="16" t="str">
        <f>IFERROR(__xludf.DUMMYFUNCTION("IFERROR(REGEXEXTRACT(A22, ""author *= *""""([^""""]+)""""""),REGEXEXTRACT(A22, ""author *= *\{+([^\d]+)\}+""))"),"Fortuna, Paula  and
      Soler-Company, Juan  and
      Nunes, S{\'e}rgio")</f>
        <v>Fortuna, Paula  and
      Soler-Company, Juan  and
      Nunes, S{\'e}rgio</v>
      </c>
      <c r="C22" s="16" t="str">
        <f>IFERROR(__xludf.DUMMYFUNCTION("REGEXEXTRACT(A22, ""title *= *""""([^""""]+)"""""")"),"Stop {P}ropag{H}ate at {S}em{E}val-2019 Tasks 5 and 6: Are abusive language classification results reproducible?")</f>
        <v>Stop {P}ropag{H}ate at {S}em{E}val-2019 Tasks 5 and 6: Are abusive language classification results reproducible?</v>
      </c>
      <c r="D22" s="16" t="str">
        <f>IFERROR(__xludf.DUMMYFUNCTION("IFERROR(REGEXEXTRACT(A22, ""journal *= *""""+([^""""]*)""""""),REGEXEXTRACT(A22, ""booktitle *= *""""+([^""""]*)""""""))"),"Proceedings of the 13th International Workshop on Semantic Evaluation")</f>
        <v>Proceedings of the 13th International Workshop on Semantic Evaluation</v>
      </c>
      <c r="E22" s="16" t="str">
        <f>IFERROR(__xludf.DUMMYFUNCTION("REGEXEXTRACT(A22, ""year *= *""""([^""""]+)"""""")"),"2019")</f>
        <v>2019</v>
      </c>
      <c r="F22" s="16" t="s">
        <v>8</v>
      </c>
      <c r="G22" s="16" t="s">
        <v>42</v>
      </c>
      <c r="H22" s="17"/>
      <c r="I22" s="17"/>
      <c r="J22" s="17"/>
      <c r="K22" s="17"/>
      <c r="L22" s="17"/>
      <c r="M22" s="17"/>
      <c r="N22" s="17"/>
      <c r="O22" s="17"/>
      <c r="P22" s="17"/>
      <c r="Q22" s="17"/>
      <c r="R22" s="17"/>
      <c r="S22" s="17"/>
    </row>
    <row r="23" ht="112.5" customHeight="1">
      <c r="A23" s="15" t="s">
        <v>43</v>
      </c>
      <c r="B23" s="16" t="str">
        <f>IFERROR(__xludf.DUMMYFUNCTION("IFERROR(REGEXEXTRACT(A23, ""author *= *""""([^""""]+)""""""),REGEXEXTRACT(A23, ""author *= *\{+([^\d]+)\}+""))"),"Mieskes, Margot  and
      Fort, Kar{\""e}n  and
      N{\'e}v{\'e}ol, Aur{\'e}lie  and
      Grouin, Cyril  and
      Cohen, Kevin")</f>
        <v>Mieskes, Margot  and
      Fort, Kar{\"e}n  and
      N{\'e}v{\'e}ol, Aur{\'e}lie  and
      Grouin, Cyril  and
      Cohen, Kevin</v>
      </c>
      <c r="C23" s="16" t="str">
        <f>IFERROR(__xludf.DUMMYFUNCTION("REGEXEXTRACT(A23, ""title *= *""""([^""""]+)"""""")"),"Community Perspective on Replicability in Natural Language Processing")</f>
        <v>Community Perspective on Replicability in Natural Language Processing</v>
      </c>
      <c r="D23" s="16" t="str">
        <f>IFERROR(__xludf.DUMMYFUNCTION("IFERROR(REGEXEXTRACT(A23, ""journal *= *""""+([^""""]*)""""""),REGEXEXTRACT(A23, ""booktitle *= *""""+([^""""]*)""""""))"),"Proceedings of the International Conference on Recent Advances in Natural Language Processing (RANLP 2019)")</f>
        <v>Proceedings of the International Conference on Recent Advances in Natural Language Processing (RANLP 2019)</v>
      </c>
      <c r="E23" s="16" t="str">
        <f>IFERROR(__xludf.DUMMYFUNCTION("REGEXEXTRACT(A23, ""year *= *""""([^""""]+)"""""")"),"2019")</f>
        <v>2019</v>
      </c>
      <c r="F23" s="16" t="s">
        <v>8</v>
      </c>
      <c r="G23" s="16" t="s">
        <v>44</v>
      </c>
      <c r="H23" s="17"/>
      <c r="I23" s="17"/>
      <c r="J23" s="17"/>
      <c r="K23" s="17"/>
      <c r="L23" s="17"/>
      <c r="M23" s="17"/>
      <c r="N23" s="17"/>
      <c r="O23" s="17"/>
      <c r="P23" s="17"/>
      <c r="Q23" s="17"/>
      <c r="R23" s="17"/>
      <c r="S23" s="17"/>
    </row>
    <row r="24" ht="112.5" customHeight="1">
      <c r="A24" s="18" t="s">
        <v>122</v>
      </c>
      <c r="B24" s="16" t="str">
        <f>IFERROR(__xludf.DUMMYFUNCTION("IFERROR(REGEXEXTRACT(A24, ""author *= *""""([^""""]+)""""""),REGEXEXTRACT(A24, ""author *= *\{+([^\d]+)\}+""))"),"Wu, Tongshuang  and
      Ribeiro, Marco Tulio  and
      Heer, Jeffrey  and
      Weld, Daniel")</f>
        <v>Wu, Tongshuang  and
      Ribeiro, Marco Tulio  and
      Heer, Jeffrey  and
      Weld, Daniel</v>
      </c>
      <c r="C24" s="16" t="str">
        <f>IFERROR(__xludf.DUMMYFUNCTION("REGEXEXTRACT(A24, ""title *= *""""([^""""]+)"""""")"),"{E}rrudite: Scalable, Reproducible, and Testable Error Analysis")</f>
        <v>{E}rrudite: Scalable, Reproducible, and Testable Error Analysis</v>
      </c>
      <c r="D24" s="16" t="str">
        <f>IFERROR(__xludf.DUMMYFUNCTION("IFERROR(REGEXEXTRACT(A24, ""journal *= *""""+([^""""]*)""""""),REGEXEXTRACT(A24, ""booktitle *= *""""+([^""""]*)""""""))"),"Proceedings of the 57th Annual Meeting of the Association for Computational Linguistics")</f>
        <v>Proceedings of the 57th Annual Meeting of the Association for Computational Linguistics</v>
      </c>
      <c r="E24" s="16" t="str">
        <f>IFERROR(__xludf.DUMMYFUNCTION("REGEXEXTRACT(A24, ""year *= *""""([^""""]+)"""""")"),"2019")</f>
        <v>2019</v>
      </c>
      <c r="F24" s="16" t="s">
        <v>10</v>
      </c>
      <c r="G24" s="16" t="s">
        <v>46</v>
      </c>
      <c r="H24" s="17"/>
      <c r="I24" s="17"/>
      <c r="J24" s="17"/>
      <c r="K24" s="17"/>
      <c r="L24" s="17"/>
      <c r="M24" s="17"/>
      <c r="N24" s="17"/>
      <c r="O24" s="17"/>
      <c r="P24" s="17"/>
      <c r="Q24" s="17"/>
      <c r="R24" s="17"/>
      <c r="S24" s="17"/>
    </row>
    <row r="25" ht="112.5" customHeight="1">
      <c r="A25" s="18" t="s">
        <v>123</v>
      </c>
      <c r="B25" s="16" t="str">
        <f>IFERROR(__xludf.DUMMYFUNCTION("IFERROR(REGEXEXTRACT(A25, ""author *= *""""([^""""]+)""""""),REGEXEXTRACT(A25, ""author *= *\{+([^\d]+)\}+""))"),"Zhang, Xuan  and
      Duh, Kevin")</f>
        <v>Zhang, Xuan  and
      Duh, Kevin</v>
      </c>
      <c r="C25" s="16" t="str">
        <f>IFERROR(__xludf.DUMMYFUNCTION("REGEXEXTRACT(A25, ""title *= *""""([^""""]+)"""""")"),"Reproducible and Efficient Benchmarks for Hyperparameter Optimization of Neural Machine Translation Systems")</f>
        <v>Reproducible and Efficient Benchmarks for Hyperparameter Optimization of Neural Machine Translation Systems</v>
      </c>
      <c r="D25" s="16" t="str">
        <f>IFERROR(__xludf.DUMMYFUNCTION("IFERROR(REGEXEXTRACT(A25, ""journal *= *""""+([^""""]*)""""""),REGEXEXTRACT(A25, ""booktitle *= *""""+([^""""]*)""""""))"),"Transactions of the Association for Computational Linguistics")</f>
        <v>Transactions of the Association for Computational Linguistics</v>
      </c>
      <c r="E25" s="16" t="str">
        <f>IFERROR(__xludf.DUMMYFUNCTION("REGEXEXTRACT(A25, ""year *= *""""([^""""]+)"""""")"),"2020")</f>
        <v>2020</v>
      </c>
      <c r="F25" s="16" t="s">
        <v>10</v>
      </c>
      <c r="G25" s="16" t="s">
        <v>48</v>
      </c>
      <c r="H25" s="17"/>
      <c r="I25" s="17"/>
      <c r="J25" s="17"/>
      <c r="K25" s="17"/>
      <c r="L25" s="17"/>
      <c r="M25" s="17"/>
      <c r="N25" s="17"/>
      <c r="O25" s="17"/>
      <c r="P25" s="17"/>
      <c r="Q25" s="17"/>
      <c r="R25" s="17"/>
      <c r="S25" s="17"/>
    </row>
    <row r="26" ht="112.5" customHeight="1">
      <c r="A26" s="18" t="s">
        <v>124</v>
      </c>
      <c r="B26" s="16" t="str">
        <f>IFERROR(__xludf.DUMMYFUNCTION("IFERROR(REGEXEXTRACT(A26, ""author *= *""""([^""""]+)""""""),REGEXEXTRACT(A26, ""author *= *\{+([^\d]+)\}+""))"),"Born, Leo  and
      Bacher, Maximilian  and
      Markert, Katja")</f>
        <v>Born, Leo  and
      Bacher, Maximilian  and
      Markert, Katja</v>
      </c>
      <c r="C26" s="16" t="str">
        <f>IFERROR(__xludf.DUMMYFUNCTION("REGEXEXTRACT(A26, ""title *= *""""([^""""]+)"""""")"),"Dataset Reproducibility and {IR} Methods in Timeline Summarization")</f>
        <v>Dataset Reproducibility and {IR} Methods in Timeline Summarization</v>
      </c>
      <c r="D26" s="16" t="str">
        <f>IFERROR(__xludf.DUMMYFUNCTION("IFERROR(REGEXEXTRACT(A26, ""journal *= *""""+([^""""]*)""""""),REGEXEXTRACT(A26, ""booktitle *= *""""+([^""""]*)""""""))"),"Proceedings of The 12th Language Resources and Evaluation Conference")</f>
        <v>Proceedings of The 12th Language Resources and Evaluation Conference</v>
      </c>
      <c r="E26" s="16" t="str">
        <f>IFERROR(__xludf.DUMMYFUNCTION("REGEXEXTRACT(A26, ""year *= *""""([^""""]+)"""""")"),"2020")</f>
        <v>2020</v>
      </c>
      <c r="F26" s="16" t="s">
        <v>24</v>
      </c>
      <c r="G26" s="16" t="s">
        <v>50</v>
      </c>
      <c r="H26" s="17"/>
      <c r="I26" s="17"/>
      <c r="J26" s="17"/>
      <c r="K26" s="17"/>
      <c r="L26" s="17"/>
      <c r="M26" s="17"/>
      <c r="N26" s="17"/>
      <c r="O26" s="17"/>
      <c r="P26" s="17"/>
      <c r="Q26" s="17"/>
      <c r="R26" s="17"/>
      <c r="S26" s="17"/>
    </row>
    <row r="27" ht="112.5" customHeight="1">
      <c r="A27" s="15" t="s">
        <v>51</v>
      </c>
      <c r="B27" s="16" t="str">
        <f>IFERROR(__xludf.DUMMYFUNCTION("IFERROR(REGEXEXTRACT(A27, ""author *= *""""([^""""]+)""""""),REGEXEXTRACT(A27, ""author *= *\{+([^\d]+)\}+""))"),"Ant{\'o}nio Rodrigues, Jo{\~a}o  and
      Branco, Ruben  and
      Silva, Jo{\~a}o  and
      Branco, Ant{\'o}nio")</f>
        <v>Ant{\'o}nio Rodrigues, Jo{\~a}o  and
      Branco, Ruben  and
      Silva, Jo{\~a}o  and
      Branco, Ant{\'o}nio</v>
      </c>
      <c r="C27" s="16" t="str">
        <f>IFERROR(__xludf.DUMMYFUNCTION("REGEXEXTRACT(A27, ""title *= *""""([^""""]+)"""""")"),"Reproduction and Revival of the Argument Reasoning Comprehension Task")</f>
        <v>Reproduction and Revival of the Argument Reasoning Comprehension Task</v>
      </c>
      <c r="D27" s="16" t="str">
        <f>IFERROR(__xludf.DUMMYFUNCTION("IFERROR(REGEXEXTRACT(A27, ""journal *= *""""+([^""""]*)""""""),REGEXEXTRACT(A27, ""booktitle *= *""""+([^""""]*)""""""))"),"Proceedings of The 12th Language Resources and Evaluation Conference")</f>
        <v>Proceedings of The 12th Language Resources and Evaluation Conference</v>
      </c>
      <c r="E27" s="16" t="str">
        <f>IFERROR(__xludf.DUMMYFUNCTION("REGEXEXTRACT(A27, ""year *= *""""([^""""]+)"""""")"),"2020")</f>
        <v>2020</v>
      </c>
      <c r="F27" s="16" t="s">
        <v>24</v>
      </c>
      <c r="G27" s="16" t="s">
        <v>52</v>
      </c>
      <c r="H27" s="17"/>
      <c r="I27" s="17"/>
      <c r="J27" s="17"/>
      <c r="K27" s="17"/>
      <c r="L27" s="17"/>
      <c r="M27" s="17"/>
      <c r="N27" s="17"/>
      <c r="O27" s="17"/>
      <c r="P27" s="17"/>
      <c r="Q27" s="17"/>
      <c r="R27" s="17"/>
      <c r="S27" s="17"/>
    </row>
    <row r="28" ht="112.5" customHeight="1">
      <c r="A28" s="15" t="s">
        <v>53</v>
      </c>
      <c r="B28" s="16" t="str">
        <f>IFERROR(__xludf.DUMMYFUNCTION("IFERROR(REGEXEXTRACT(A28, ""author *= *""""([^""""]+)""""""),REGEXEXTRACT(A28, ""author *= *\{+([^\d]+)\}+""))"),"Branco, Ant{\'o}nio  and
      Calzolari, Nicoletta  and
      Vossen, Piek  and
      Van Noord, Gertjan  and
      van Uytvanck, Dieter  and
      Silva, Jo{\~a}o  and
      Gomes, Lu{\'\i}s  and
      Moreira, Andr{\'e}  and
      Elbers, Willem")</f>
        <v>Branco, Ant{\'o}nio  and
      Calzolari, Nicoletta  and
      Vossen, Piek  and
      Van Noord, Gertjan  and
      van Uytvanck, Dieter  and
      Silva, Jo{\~a}o  and
      Gomes, Lu{\'\i}s  and
      Moreira, Andr{\'e}  and
      Elbers, Willem</v>
      </c>
      <c r="C28" s="16" t="str">
        <f>IFERROR(__xludf.DUMMYFUNCTION("REGEXEXTRACT(A28, ""title *= *""""([^""""]+)"""""")"),"A Shared Task of a New, Collaborative Type to Foster Reproducibility: A First Exercise in the Area of Language Science and Technology with {REPROLANG}2020")</f>
        <v>A Shared Task of a New, Collaborative Type to Foster Reproducibility: A First Exercise in the Area of Language Science and Technology with {REPROLANG}2020</v>
      </c>
      <c r="D28" s="16" t="str">
        <f>IFERROR(__xludf.DUMMYFUNCTION("IFERROR(REGEXEXTRACT(A28, ""journal *= *""""+([^""""]*)""""""),REGEXEXTRACT(A28, ""booktitle *= *""""+([^""""]*)""""""))"),"Proceedings of The 12th Language Resources and Evaluation Conference")</f>
        <v>Proceedings of The 12th Language Resources and Evaluation Conference</v>
      </c>
      <c r="E28" s="16" t="str">
        <f>IFERROR(__xludf.DUMMYFUNCTION("REGEXEXTRACT(A28, ""year *= *""""([^""""]+)"""""")"),"2020")</f>
        <v>2020</v>
      </c>
      <c r="F28" s="16" t="s">
        <v>24</v>
      </c>
      <c r="G28" s="16" t="str">
        <f>IFERROR(__xludf.DUMMYFUNCTION("IFERROR(REGEXEXTRACT(A28, ""abstract *= *""""+([^""""]*)""""""),REGEXEXTRACT(A28, ""abstract *= *\{+(.*)\}""))"),"In this paper, we introduce a new type of shared task — which is collaborative rather than competitive — designed to support and foster the reproduction of research results. We also describe the first event running such a novel challenge, present the resu"&amp;"lts obtained, discuss the lessons learned and ponder on future undertakings.")</f>
        <v>In this paper, we introduce a new type of shared task — which is collaborative rather than competitive — designed to support and foster the reproduction of research results. We also describe the first event running such a novel challenge, present the results obtained, discuss the lessons learned and ponder on future undertakings.</v>
      </c>
      <c r="H28" s="17"/>
      <c r="I28" s="17"/>
      <c r="J28" s="17"/>
      <c r="K28" s="17"/>
      <c r="L28" s="17"/>
      <c r="M28" s="17"/>
      <c r="N28" s="17"/>
      <c r="O28" s="17"/>
      <c r="P28" s="17"/>
      <c r="Q28" s="17"/>
      <c r="R28" s="17"/>
      <c r="S28" s="17"/>
    </row>
    <row r="29" ht="112.5" customHeight="1">
      <c r="A29" s="15" t="s">
        <v>54</v>
      </c>
      <c r="B29" s="16" t="str">
        <f>IFERROR(__xludf.DUMMYFUNCTION("IFERROR(REGEXEXTRACT(A29, ""author *= *""""([^""""]+)""""""),REGEXEXTRACT(A29, ""author *= *\{+([^\d]+)\}+""))"),"Garneau, Nicolas  and
      Godbout, Mathieu  and
      Beauchemin, David  and
      Durand, Audrey  and
      Lamontagne, Luc")</f>
        <v>Garneau, Nicolas  and
      Godbout, Mathieu  and
      Beauchemin, David  and
      Durand, Audrey  and
      Lamontagne, Luc</v>
      </c>
      <c r="C29" s="16" t="str">
        <f>IFERROR(__xludf.DUMMYFUNCTION("REGEXEXTRACT(A29, ""title *= *""""([^""""]+)"""""")"),"A Robust Self-Learning Method for Fully Unsupervised Cross-Lingual Mappings of Word Embeddings: Making the Method Robustly Reproducible as Well")</f>
        <v>A Robust Self-Learning Method for Fully Unsupervised Cross-Lingual Mappings of Word Embeddings: Making the Method Robustly Reproducible as Well</v>
      </c>
      <c r="D29" s="16" t="str">
        <f>IFERROR(__xludf.DUMMYFUNCTION("IFERROR(REGEXEXTRACT(A29, ""journal *= *""""+([^""""]*)""""""),REGEXEXTRACT(A29, ""booktitle *= *""""+([^""""]*)""""""))"),"Proceedings of The 12th Language Resources and Evaluation Conference")</f>
        <v>Proceedings of The 12th Language Resources and Evaluation Conference</v>
      </c>
      <c r="E29" s="16" t="str">
        <f>IFERROR(__xludf.DUMMYFUNCTION("REGEXEXTRACT(A29, ""year *= *""""([^""""]+)"""""")"),"2020")</f>
        <v>2020</v>
      </c>
      <c r="F29" s="16" t="s">
        <v>24</v>
      </c>
      <c r="G29" s="16" t="s">
        <v>55</v>
      </c>
      <c r="H29" s="17"/>
      <c r="I29" s="17"/>
      <c r="J29" s="17"/>
      <c r="K29" s="17"/>
      <c r="L29" s="17"/>
      <c r="M29" s="17"/>
      <c r="N29" s="17"/>
      <c r="O29" s="17"/>
      <c r="P29" s="17"/>
      <c r="Q29" s="17"/>
      <c r="R29" s="17"/>
      <c r="S29" s="17"/>
    </row>
    <row r="30" ht="112.5" customHeight="1">
      <c r="A30" s="15" t="s">
        <v>56</v>
      </c>
      <c r="B30" s="16" t="str">
        <f>IFERROR(__xludf.DUMMYFUNCTION("IFERROR(REGEXEXTRACT(A30, ""author *= *""""([^""""]+)""""""),REGEXEXTRACT(A30, ""author *= *\{+([^\d]+)\}+""))"),"Khoe, Yung Han")</f>
        <v>Khoe, Yung Han</v>
      </c>
      <c r="C30" s="16" t="str">
        <f>IFERROR(__xludf.DUMMYFUNCTION("REGEXEXTRACT(A30, ""title *= *""""([^""""]+)"""""")"),"Reproducing a Morphosyntactic Tagger with a Meta-{B}i{LSTM} Model over Context Sensitive Token Encodings")</f>
        <v>Reproducing a Morphosyntactic Tagger with a Meta-{B}i{LSTM} Model over Context Sensitive Token Encodings</v>
      </c>
      <c r="D30" s="16" t="str">
        <f>IFERROR(__xludf.DUMMYFUNCTION("IFERROR(REGEXEXTRACT(A30, ""journal *= *""""+([^""""]*)""""""),REGEXEXTRACT(A30, ""booktitle *= *""""+([^""""]*)""""""))"),"Proceedings of The 12th Language Resources and Evaluation Conference")</f>
        <v>Proceedings of The 12th Language Resources and Evaluation Conference</v>
      </c>
      <c r="E30" s="16" t="str">
        <f>IFERROR(__xludf.DUMMYFUNCTION("REGEXEXTRACT(A30, ""year *= *""""([^""""]+)"""""")"),"2020")</f>
        <v>2020</v>
      </c>
      <c r="F30" s="16" t="s">
        <v>24</v>
      </c>
      <c r="G30" s="16" t="s">
        <v>57</v>
      </c>
      <c r="H30" s="17"/>
      <c r="I30" s="17"/>
      <c r="J30" s="17"/>
      <c r="K30" s="17"/>
      <c r="L30" s="17"/>
      <c r="M30" s="17"/>
      <c r="N30" s="17"/>
      <c r="O30" s="17"/>
      <c r="P30" s="17"/>
      <c r="Q30" s="17"/>
      <c r="R30" s="17"/>
      <c r="S30" s="17"/>
    </row>
    <row r="31" ht="112.5" customHeight="1">
      <c r="A31" s="15" t="s">
        <v>58</v>
      </c>
      <c r="B31" s="16" t="str">
        <f>IFERROR(__xludf.DUMMYFUNCTION("IFERROR(REGEXEXTRACT(A31, ""author *= *""""([^""""]+)""""""),REGEXEXTRACT(A31, ""author *= *\{+([^\d]+)\}+""))"),"Rim, Kyeongmin  and
      Tu, Jingxuan  and
      Lynch, Kelley  and
      Pustejovsky, James")</f>
        <v>Rim, Kyeongmin  and
      Tu, Jingxuan  and
      Lynch, Kelley  and
      Pustejovsky, James</v>
      </c>
      <c r="C31" s="16" t="str">
        <f>IFERROR(__xludf.DUMMYFUNCTION("REGEXEXTRACT(A31, ""title *= *""""([^""""]+)"""""")"),"Reproducing Neural Ensemble Classifier for Semantic Relation Extraction in{S}cientific Papers")</f>
        <v>Reproducing Neural Ensemble Classifier for Semantic Relation Extraction in{S}cientific Papers</v>
      </c>
      <c r="D31" s="16" t="str">
        <f>IFERROR(__xludf.DUMMYFUNCTION("IFERROR(REGEXEXTRACT(A31, ""journal *= *""""+([^""""]*)""""""),REGEXEXTRACT(A31, ""booktitle *= *""""+([^""""]*)""""""))"),"Proceedings of The 12th Language Resources and Evaluation Conference")</f>
        <v>Proceedings of The 12th Language Resources and Evaluation Conference</v>
      </c>
      <c r="E31" s="16" t="str">
        <f>IFERROR(__xludf.DUMMYFUNCTION("REGEXEXTRACT(A31, ""year *= *""""([^""""]+)"""""")"),"2020")</f>
        <v>2020</v>
      </c>
      <c r="F31" s="16" t="s">
        <v>24</v>
      </c>
      <c r="G31" s="16" t="s">
        <v>59</v>
      </c>
      <c r="H31" s="17"/>
      <c r="I31" s="17"/>
      <c r="J31" s="17"/>
      <c r="K31" s="17"/>
      <c r="L31" s="17"/>
      <c r="M31" s="17"/>
      <c r="N31" s="17"/>
      <c r="O31" s="17"/>
      <c r="P31" s="17"/>
      <c r="Q31" s="17"/>
      <c r="R31" s="17"/>
      <c r="S31" s="17"/>
    </row>
    <row r="32" ht="112.5" customHeight="1">
      <c r="A32" s="18" t="s">
        <v>125</v>
      </c>
      <c r="B32" s="16" t="str">
        <f>IFERROR(__xludf.DUMMYFUNCTION("IFERROR(REGEXEXTRACT(A32, ""author *= *""""([^""""]+)""""""),REGEXEXTRACT(A32, ""author *= *\{+([^\d]+)\}+""))"),"Abdellatif, Mohamed  and
      Elgammal, Ahmed")</f>
        <v>Abdellatif, Mohamed  and
      Elgammal, Ahmed</v>
      </c>
      <c r="C32" s="16" t="str">
        <f>IFERROR(__xludf.DUMMYFUNCTION("REGEXEXTRACT(A32, ""title *= *""""([^""""]+)"""""")"),"{ULMF}i{T} replication")</f>
        <v>{ULMF}i{T} replication</v>
      </c>
      <c r="D32" s="16" t="str">
        <f>IFERROR(__xludf.DUMMYFUNCTION("IFERROR(REGEXEXTRACT(A32, ""journal *= *""""+([^""""]*)""""""),REGEXEXTRACT(A32, ""booktitle *= *""""+([^""""]*)""""""))"),"Proceedings of The 12th Language Resources and Evaluation Conference")</f>
        <v>Proceedings of The 12th Language Resources and Evaluation Conference</v>
      </c>
      <c r="E32" s="16" t="str">
        <f>IFERROR(__xludf.DUMMYFUNCTION("REGEXEXTRACT(A32, ""year *= *""""([^""""]+)"""""")"),"2020")</f>
        <v>2020</v>
      </c>
      <c r="F32" s="16" t="s">
        <v>24</v>
      </c>
      <c r="G32" s="16" t="s">
        <v>61</v>
      </c>
      <c r="H32" s="17"/>
      <c r="I32" s="17"/>
      <c r="J32" s="17"/>
      <c r="K32" s="17"/>
      <c r="L32" s="17"/>
      <c r="M32" s="17"/>
      <c r="N32" s="17"/>
      <c r="O32" s="17"/>
      <c r="P32" s="17"/>
      <c r="Q32" s="17"/>
      <c r="R32" s="17"/>
      <c r="S32" s="17"/>
    </row>
    <row r="33" ht="112.5" customHeight="1">
      <c r="A33" s="15" t="s">
        <v>62</v>
      </c>
      <c r="B33" s="16" t="str">
        <f>IFERROR(__xludf.DUMMYFUNCTION("IFERROR(REGEXEXTRACT(A33, ""author *= *""""([^""""]+)""""""),REGEXEXTRACT(A33, ""author *= *\{+([^\d]+)\}+""))"),"Bestgen, Yves")</f>
        <v>Bestgen, Yves</v>
      </c>
      <c r="C33" s="16" t="str">
        <f>IFERROR(__xludf.DUMMYFUNCTION("REGEXEXTRACT(A33, ""title *= *""""([^""""]+)"""""")"),"Reproducing Monolingual, Multilingual and Cross-Lingual {CEFR} Predictions")</f>
        <v>Reproducing Monolingual, Multilingual and Cross-Lingual {CEFR} Predictions</v>
      </c>
      <c r="D33" s="16" t="str">
        <f>IFERROR(__xludf.DUMMYFUNCTION("IFERROR(REGEXEXTRACT(A33, ""journal *= *""""+([^""""]*)""""""),REGEXEXTRACT(A33, ""booktitle *= *""""+([^""""]*)""""""))"),"Proceedings of The 12th Language Resources and Evaluation Conference")</f>
        <v>Proceedings of The 12th Language Resources and Evaluation Conference</v>
      </c>
      <c r="E33" s="16" t="str">
        <f>IFERROR(__xludf.DUMMYFUNCTION("REGEXEXTRACT(A33, ""year *= *""""([^""""]+)"""""")"),"2020")</f>
        <v>2020</v>
      </c>
      <c r="F33" s="16" t="s">
        <v>24</v>
      </c>
      <c r="G33" s="16" t="s">
        <v>63</v>
      </c>
      <c r="H33" s="17"/>
      <c r="I33" s="17"/>
      <c r="J33" s="17"/>
      <c r="K33" s="17"/>
      <c r="L33" s="17"/>
      <c r="M33" s="17"/>
      <c r="N33" s="17"/>
      <c r="O33" s="17"/>
      <c r="P33" s="17"/>
      <c r="Q33" s="17"/>
      <c r="R33" s="17"/>
      <c r="S33" s="17"/>
    </row>
    <row r="34" ht="112.5" customHeight="1">
      <c r="A34" s="15" t="s">
        <v>64</v>
      </c>
      <c r="B34" s="16" t="str">
        <f>IFERROR(__xludf.DUMMYFUNCTION("IFERROR(REGEXEXTRACT(A34, ""author *= *""""([^""""]+)""""""),REGEXEXTRACT(A34, ""author *= *\{+([^\d]+)\}+""))"),"Huber, Eva  and
      {\c{C}}{\""o}ltekin, {\c{C}}a{\u{g}}r{\i}")</f>
        <v>Huber, Eva  and
      {\c{C}}{\"o}ltekin, {\c{C}}a{\u{g}}r{\i}</v>
      </c>
      <c r="C34" s="16" t="str">
        <f>IFERROR(__xludf.DUMMYFUNCTION("REGEXEXTRACT(A34, ""title *= *""""([^""""]+)"""""")"),"Reproduction and Replication: A Case Study with Automatic Essay Scoring")</f>
        <v>Reproduction and Replication: A Case Study with Automatic Essay Scoring</v>
      </c>
      <c r="D34" s="16" t="str">
        <f>IFERROR(__xludf.DUMMYFUNCTION("IFERROR(REGEXEXTRACT(A34, ""journal *= *""""+([^""""]*)""""""),REGEXEXTRACT(A34, ""booktitle *= *""""+([^""""]*)""""""))"),"Proceedings of The 12th Language Resources and Evaluation Conference")</f>
        <v>Proceedings of The 12th Language Resources and Evaluation Conference</v>
      </c>
      <c r="E34" s="16" t="str">
        <f>IFERROR(__xludf.DUMMYFUNCTION("REGEXEXTRACT(A34, ""year *= *""""([^""""]+)"""""")"),"2020")</f>
        <v>2020</v>
      </c>
      <c r="F34" s="16" t="s">
        <v>24</v>
      </c>
      <c r="G34" s="16" t="s">
        <v>65</v>
      </c>
      <c r="H34" s="17"/>
      <c r="I34" s="17"/>
      <c r="J34" s="17"/>
      <c r="K34" s="17"/>
      <c r="L34" s="17"/>
      <c r="M34" s="17"/>
      <c r="N34" s="17"/>
      <c r="O34" s="17"/>
      <c r="P34" s="17"/>
      <c r="Q34" s="17"/>
      <c r="R34" s="17"/>
      <c r="S34" s="17"/>
    </row>
    <row r="35" ht="112.5" customHeight="1">
      <c r="A35" s="15" t="s">
        <v>66</v>
      </c>
      <c r="B35" s="16" t="str">
        <f>IFERROR(__xludf.DUMMYFUNCTION("IFERROR(REGEXEXTRACT(A35, ""author *= *""""([^""""]+)""""""),REGEXEXTRACT(A35, ""author *= *\{+([^\d]+)\}+""))"),"Ballier, Nicolas  and
      Amari, Nabil  and
      Merat, Laure  and
      Yun{\`e}s, Jean-Baptiste")</f>
        <v>Ballier, Nicolas  and
      Amari, Nabil  and
      Merat, Laure  and
      Yun{\`e}s, Jean-Baptiste</v>
      </c>
      <c r="C35" s="16" t="str">
        <f>IFERROR(__xludf.DUMMYFUNCTION("REGEXEXTRACT(A35, ""title *= *""""([^""""]+)"""""")"),"The Learnability of the Annotated Input in {NMT} Replicating (Vanmassenhove and Way, 2018) with {O}pen{NMT}")</f>
        <v>The Learnability of the Annotated Input in {NMT} Replicating (Vanmassenhove and Way, 2018) with {O}pen{NMT}</v>
      </c>
      <c r="D35" s="16" t="str">
        <f>IFERROR(__xludf.DUMMYFUNCTION("IFERROR(REGEXEXTRACT(A35, ""journal *= *""""+([^""""]*)""""""),REGEXEXTRACT(A35, ""booktitle *= *""""+([^""""]*)""""""))"),"Proceedings of The 12th Language Resources and Evaluation Conference")</f>
        <v>Proceedings of The 12th Language Resources and Evaluation Conference</v>
      </c>
      <c r="E35" s="16" t="str">
        <f>IFERROR(__xludf.DUMMYFUNCTION("REGEXEXTRACT(A35, ""year *= *""""([^""""]+)"""""")"),"2020")</f>
        <v>2020</v>
      </c>
      <c r="F35" s="16" t="s">
        <v>24</v>
      </c>
      <c r="G35" s="16" t="s">
        <v>67</v>
      </c>
      <c r="H35" s="17"/>
      <c r="I35" s="17"/>
      <c r="J35" s="17"/>
      <c r="K35" s="17"/>
      <c r="L35" s="17"/>
      <c r="M35" s="17"/>
      <c r="N35" s="17"/>
      <c r="O35" s="17"/>
      <c r="P35" s="17"/>
      <c r="Q35" s="17"/>
      <c r="R35" s="17"/>
      <c r="S35" s="17"/>
    </row>
    <row r="36" ht="112.5" customHeight="1">
      <c r="A36" s="15" t="s">
        <v>68</v>
      </c>
      <c r="B36" s="16" t="str">
        <f>IFERROR(__xludf.DUMMYFUNCTION("IFERROR(REGEXEXTRACT(A36, ""author *= *""""([^""""]+)""""""),REGEXEXTRACT(A36, ""author *= *\{+([^\d]+)\}+""))"),"Millour, Alice  and
      Fort, Kar{\""e}n  and
      Magistry, Pierre")</f>
        <v>Millour, Alice  and
      Fort, Kar{\"e}n  and
      Magistry, Pierre</v>
      </c>
      <c r="C36" s="16" t="str">
        <f>IFERROR(__xludf.DUMMYFUNCTION("REGEXEXTRACT(A36, ""title *= *""""([^""""]+)"""""")"),"R{\'e}pliquer et {\'e}tendre pour l{'}alsacien {``}{\'E}tiquetage en parties du discours de langues peu dot{\'e}es par sp{\'e}cialisation des plongements lexicaux{''} (Replicating and extending for {A}lsatian : {``}{POS} tagging for low-resource languages"&amp;" by adapting word embeddings{''})")</f>
        <v>R{\'e}pliquer et {\'e}tendre pour l{'}alsacien {``}{\'E}tiquetage en parties du discours de langues peu dot{\'e}es par sp{\'e}cialisation des plongements lexicaux{''} (Replicating and extending for {A}lsatian : {``}{POS} tagging for low-resource languages by adapting word embeddings{''})</v>
      </c>
      <c r="D36" s="16" t="str">
        <f>IFERROR(__xludf.DUMMYFUNCTION("IFERROR(REGEXEXTRACT(A36, ""journal *= *""""+([^""""]*)""""""),REGEXEXTRACT(A36, ""booktitle *= *""""+([^""""]*)""""""))"),"Actes de la 6e conf{\'e}rence conjointe Journ{\'e}es d'{\'E}tudes sur la Parole (JEP, 33e {\'e}dition), Traitement Automatique des Langues Naturelles (TALN, 27e {\'e}dition), Rencontre des {\'E}tudiants Chercheurs en Informatique pour le Traitement Automa"&amp;"tique des Langues (R{\'E}CITAL, 22e {\'e}dition). 2e atelier {\'E}thique et TRaitemeNt Automatique des Langues (ETeRNAL)")</f>
        <v>Actes de la 6e conf{\'e}rence conjointe Journ{\'e}es d'{\'E}tudes sur la Parole (JEP, 33e {\'e}dition), Traitement Automatique des Langues Naturelles (TALN, 27e {\'e}dition), Rencontre des {\'E}tudiants Chercheurs en Informatique pour le Traitement Automatique des Langues (R{\'E}CITAL, 22e {\'e}dition). 2e atelier {\'E}thique et TRaitemeNt Automatique des Langues (ETeRNAL)</v>
      </c>
      <c r="E36" s="16" t="str">
        <f>IFERROR(__xludf.DUMMYFUNCTION("REGEXEXTRACT(A36, ""year *= *""""([^""""]+)"""""")"),"2020")</f>
        <v>2020</v>
      </c>
      <c r="F36" s="16" t="s">
        <v>8</v>
      </c>
      <c r="G36" s="16" t="s">
        <v>69</v>
      </c>
      <c r="H36" s="17"/>
      <c r="I36" s="17"/>
      <c r="J36" s="17"/>
      <c r="K36" s="17"/>
      <c r="L36" s="17"/>
      <c r="M36" s="17"/>
      <c r="N36" s="17"/>
      <c r="O36" s="17"/>
      <c r="P36" s="17"/>
      <c r="Q36" s="17"/>
      <c r="R36" s="17"/>
      <c r="S36" s="1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80.0"/>
    <col customWidth="1" min="2" max="2" width="40.29"/>
    <col customWidth="1" min="7" max="7" width="77.0"/>
    <col customWidth="1" min="8" max="8" width="94.14"/>
  </cols>
  <sheetData>
    <row r="1">
      <c r="A1" s="19" t="s">
        <v>126</v>
      </c>
      <c r="B1" s="20" t="s">
        <v>1</v>
      </c>
      <c r="C1" s="20" t="s">
        <v>2</v>
      </c>
      <c r="D1" s="20" t="s">
        <v>3</v>
      </c>
      <c r="E1" s="20" t="s">
        <v>4</v>
      </c>
      <c r="F1" s="21" t="s">
        <v>5</v>
      </c>
      <c r="G1" s="20" t="s">
        <v>6</v>
      </c>
      <c r="H1" s="20" t="s">
        <v>127</v>
      </c>
      <c r="I1" s="21" t="s">
        <v>128</v>
      </c>
      <c r="J1" s="22"/>
      <c r="K1" s="22"/>
      <c r="L1" s="22"/>
      <c r="M1" s="22"/>
      <c r="N1" s="22"/>
      <c r="O1" s="22"/>
      <c r="P1" s="22"/>
      <c r="Q1" s="22"/>
      <c r="R1" s="22"/>
      <c r="S1" s="22"/>
      <c r="T1" s="22"/>
      <c r="U1" s="22"/>
      <c r="V1" s="22"/>
      <c r="W1" s="22"/>
      <c r="X1" s="22"/>
      <c r="Y1" s="22"/>
      <c r="Z1" s="22"/>
    </row>
    <row r="2">
      <c r="A2" s="23" t="s">
        <v>7</v>
      </c>
      <c r="B2" s="24" t="str">
        <f>IFERROR(__xludf.DUMMYFUNCTION("IFERROR(REGEXEXTRACT(A2, ""author *= *""""([^""""]+)""""""),REGEXEXTRACT(A2, ""author *= *\{+([^\d]+)\}+""))"),"Schwartz, Lane")</f>
        <v>Schwartz, Lane</v>
      </c>
      <c r="C2" s="25" t="str">
        <f>IFERROR(__xludf.DUMMYFUNCTION("REGEXEXTRACT(A2, ""title *= *""""([^""""]+)"""""")"),"Reproducible Results in Parsing-Based Machine Translation: The {JHU} Shared Task Submission")</f>
        <v>Reproducible Results in Parsing-Based Machine Translation: The {JHU} Shared Task Submission</v>
      </c>
      <c r="D2" s="24" t="str">
        <f>IFERROR(__xludf.DUMMYFUNCTION("IFERROR(REGEXEXTRACT(A2, ""journal *= *""""+([^""""]*)""""""),REGEXEXTRACT(A2, ""booktitle *= *""""+([^""""]*)""""""))"),"Proceedings of the Joint Fifth Workshop on Statistical Machine Translation and {M}etrics{MATR}")</f>
        <v>Proceedings of the Joint Fifth Workshop on Statistical Machine Translation and {M}etrics{MATR}</v>
      </c>
      <c r="E2" s="24" t="str">
        <f>IFERROR(__xludf.DUMMYFUNCTION("REGEXEXTRACT(A2, ""year *= *""""([^""""]+)"""""")"),"2010")</f>
        <v>2010</v>
      </c>
      <c r="F2" s="26" t="s">
        <v>8</v>
      </c>
      <c r="G2" s="24" t="str">
        <f>IFERROR(__xludf.DUMMYFUNCTION("IFERROR(REGEXEXTRACT(A2, ""abstract *= *""""+([^""""]*)""""""),REGEXEXTRACT(A2, ""abstract *= *\{+(.*)\}""))"),"We  present  the  Johns  Hopkins  University submission to the 2010 WMT shared translation  task.   We  describe  processing steps  using  open  data  and  open  source software used in our submission, and provide  the  scripts  and  configurations  re-qu"&amp;"ired to train, tune, and test our machine translation system.")</f>
        <v>We  present  the  Johns  Hopkins  University submission to the 2010 WMT shared translation  task.   We  describe  processing steps  using  open  data  and  open  source software used in our submission, and provide  the  scripts  and  configurations  re-quired to train, tune, and test our machine translation system.</v>
      </c>
      <c r="H2" s="25" t="s">
        <v>129</v>
      </c>
      <c r="I2" s="23" t="s">
        <v>130</v>
      </c>
    </row>
    <row r="3">
      <c r="A3" s="23" t="s">
        <v>9</v>
      </c>
      <c r="B3" s="24" t="str">
        <f>IFERROR(__xludf.DUMMYFUNCTION("IFERROR(REGEXEXTRACT(A3, ""author *= *""""([^""""]+)""""""),REGEXEXTRACT(A3, ""author *= *\{+([^\d]+)\}+""))"),"Fokkens, Antske  and
      van Erp, Marieke  and
      Postma, Marten  and
      Pedersen, Ted  and
      Vossen, Piek  and
      Freire, Nuno")</f>
        <v>Fokkens, Antske  and
      van Erp, Marieke  and
      Postma, Marten  and
      Pedersen, Ted  and
      Vossen, Piek  and
      Freire, Nuno</v>
      </c>
      <c r="C3" s="25" t="str">
        <f>IFERROR(__xludf.DUMMYFUNCTION("REGEXEXTRACT(A3, ""title *= *""""([^""""]+)"""""")"),"Offspring from Reproduction Problems: What Replication Failure Teaches Us")</f>
        <v>Offspring from Reproduction Problems: What Replication Failure Teaches Us</v>
      </c>
      <c r="D3" s="24" t="str">
        <f>IFERROR(__xludf.DUMMYFUNCTION("IFERROR(REGEXEXTRACT(A3, ""journal *= *""""+([^""""]*)""""""),REGEXEXTRACT(A3, ""booktitle *= *""""+([^""""]*)""""""))"),"Proceedings of the 51st Annual Meeting of the Association for Computational Linguistics (Volume 1: Long Papers)")</f>
        <v>Proceedings of the 51st Annual Meeting of the Association for Computational Linguistics (Volume 1: Long Papers)</v>
      </c>
      <c r="E3" s="24" t="str">
        <f>IFERROR(__xludf.DUMMYFUNCTION("REGEXEXTRACT(A3, ""year *= *""""([^""""]+)"""""")"),"2013")</f>
        <v>2013</v>
      </c>
      <c r="F3" s="26" t="s">
        <v>10</v>
      </c>
      <c r="G3" s="24" t="str">
        <f>IFERROR(__xludf.DUMMYFUNCTION("IFERROR(REGEXEXTRACT(A3, ""abstract *= *""""+([^""""]*)""""""),REGEXEXTRACT(A3, ""abstract *= *\{+(.*)\}""))"),"Repeating experiments is an important instrument in the scientific toolbox to validate previous work and build upon existing  work.   We  present  two  concrete  use cases involving key techniques in the NLP domain for which we show that reproducing resul"&amp;"ts is still difficult.  We show that the deviation that can be found in reproduction  efforts  leads  to  questions  about how  our  results  should  be  interpreted. Moreover,  investigating  these  deviations provides new insights and a deeper understan"&amp;"ding of the examined techniques.  We identify five aspects that can influence the outcomes of experiments that are typically not addressed in research papers.  Our use cases show that these aspects may change the  answer  to  research  questions  leading "&amp;"us  to  conclude  that  more  care  should  betaken in interpreting our results and more research  involving  systematic  testing  of methods is required in our field.")</f>
        <v>Repeating experiments is an important instrument in the scientific toolbox to validate previous work and build upon existing  work.   We  present  two  concrete  use cases involving key techniques in the NLP domain for which we show that reproducing results is still difficult.  We show that the deviation that can be found in reproduction  efforts  leads  to  questions  about how  our  results  should  be  interpreted. Moreover,  investigating  these  deviations provides new insights and a deeper understanding of the examined techniques.  We identify five aspects that can influence the outcomes of experiments that are typically not addressed in research papers.  Our use cases show that these aspects may change the  answer  to  research  questions  leading us  to  conclude  that  more  care  should  betaken in interpreting our results and more research  involving  systematic  testing  of methods is required in our field.</v>
      </c>
      <c r="H3" s="25" t="s">
        <v>131</v>
      </c>
      <c r="I3" s="23" t="s">
        <v>132</v>
      </c>
    </row>
    <row r="4">
      <c r="A4" s="27" t="s">
        <v>11</v>
      </c>
      <c r="B4" s="28" t="str">
        <f>IFERROR(__xludf.DUMMYFUNCTION("IFERROR(REGEXEXTRACT(A4, ""author *= *""""([^""""]+)""""""),REGEXEXTRACT(A4, ""author *= *\{+([^\d]+)\}+""))"),"N{\'e}v{\'e}ol, Aur{\'e}lie  and
      Cohen, Kevin  and
      Grouin, Cyril  and
      Robert, Aude")</f>
        <v>N{\'e}v{\'e}ol, Aur{\'e}lie  and
      Cohen, Kevin  and
      Grouin, Cyril  and
      Robert, Aude</v>
      </c>
      <c r="C4" s="29" t="str">
        <f>IFERROR(__xludf.DUMMYFUNCTION("REGEXEXTRACT(A4, ""title *= *""""([^""""]+)"""""")"),"Replicability of Research in Biomedical Natural Language Processing: a pilot evaluation for a coding task")</f>
        <v>Replicability of Research in Biomedical Natural Language Processing: a pilot evaluation for a coding task</v>
      </c>
      <c r="D4" s="28" t="str">
        <f>IFERROR(__xludf.DUMMYFUNCTION("IFERROR(REGEXEXTRACT(A4, ""journal *= *""""+([^""""]*)""""""),REGEXEXTRACT(A4, ""booktitle *= *""""+([^""""]*)""""""))"),"Proceedings of the Seventh International Workshop on Health Text Mining and Information Analysis")</f>
        <v>Proceedings of the Seventh International Workshop on Health Text Mining and Information Analysis</v>
      </c>
      <c r="E4" s="28" t="str">
        <f>IFERROR(__xludf.DUMMYFUNCTION("REGEXEXTRACT(A4, ""year *= *""""([^""""]+)"""""")"),"2016")</f>
        <v>2016</v>
      </c>
      <c r="F4" s="30" t="s">
        <v>8</v>
      </c>
      <c r="G4" s="28" t="str">
        <f>IFERROR(__xludf.DUMMYFUNCTION("IFERROR(REGEXEXTRACT(A4, ""abstract *= *""""+([^""""]*)""""""),REGEXEXTRACT(A4, ""abstract *= *\{+(.*)\}""))"),"The  scientific  community  is  facing  raising concerns about the reproducibility of research in many fields.  To address this issue in Natural Language Processing, the CLEF eHealth 2016  lab  offered  a  replication  track  together with the Clinical In"&amp;"formation Extraction task. Herein, we report detailed results of the replication experiments carried out with the three systems submitted to the track.  While all results were ultimately replicated, we found that the systems were poorly rated by analysts "&amp;"on documentation  aspects  such  as  ”ease  of  understanding system requirements” (33%) and” provision of information while system is running” (33%).  As a result, simple steps could be taken by system authors to increase the ease of replicability of the"&amp;"ir work, thereby increasing the ease of reusing the systems.  Our experiments  aim  to  raise  the  awareness  of  the community towards the challenges of replication and community sharing of NLP systems.")</f>
        <v>The  scientific  community  is  facing  raising concerns about the reproducibility of research in many fields.  To address this issue in Natural Language Processing, the CLEF eHealth 2016  lab  offered  a  replication  track  together with the Clinical Information Extraction task. Herein, we report detailed results of the replication experiments carried out with the three systems submitted to the track.  While all results were ultimately replicated, we found that the systems were poorly rated by analysts on documentation  aspects  such  as  ”ease  of  understanding system requirements” (33%) and” provision of information while system is running” (33%).  As a result, simple steps could be taken by system authors to increase the ease of replicability of their work, thereby increasing the ease of reusing the systems.  Our experiments  aim  to  raise  the  awareness  of  the community towards the challenges of replication and community sharing of NLP systems.</v>
      </c>
      <c r="H4" s="29" t="s">
        <v>133</v>
      </c>
      <c r="I4" s="27" t="s">
        <v>132</v>
      </c>
      <c r="J4" s="31"/>
      <c r="K4" s="31"/>
      <c r="L4" s="31"/>
      <c r="M4" s="31"/>
      <c r="N4" s="31"/>
      <c r="O4" s="31"/>
      <c r="P4" s="31"/>
      <c r="Q4" s="31"/>
      <c r="R4" s="31"/>
      <c r="S4" s="31"/>
      <c r="T4" s="31"/>
      <c r="U4" s="31"/>
      <c r="V4" s="31"/>
      <c r="W4" s="31"/>
      <c r="X4" s="31"/>
      <c r="Y4" s="31"/>
      <c r="Z4" s="31"/>
      <c r="AA4" s="31"/>
    </row>
    <row r="5">
      <c r="A5" s="32" t="s">
        <v>134</v>
      </c>
      <c r="B5" s="24" t="str">
        <f>IFERROR(__xludf.DUMMYFUNCTION("IFERROR(REGEXEXTRACT(A5, ""author *= *""""([^""""]+)""""""),REGEXEXTRACT(A5, ""author *= *\{+([^\d]+)\}+""))"),"Fares, Murhaf  and
      Kutuzov, Andrey  and
      Oepen, Stephan  and
      Velldal, Erik")</f>
        <v>Fares, Murhaf  and
      Kutuzov, Andrey  and
      Oepen, Stephan  and
      Velldal, Erik</v>
      </c>
      <c r="C5" s="25" t="str">
        <f>IFERROR(__xludf.DUMMYFUNCTION("REGEXEXTRACT(A5, ""title *= *""""([^""""]+)"""""")"),"Word vectors, reuse, and replicability: Towards a community repository of large-text resources")</f>
        <v>Word vectors, reuse, and replicability: Towards a community repository of large-text resources</v>
      </c>
      <c r="D5" s="24" t="str">
        <f>IFERROR(__xludf.DUMMYFUNCTION("IFERROR(REGEXEXTRACT(A5, ""journal *= *""""+([^""""]*)""""""),REGEXEXTRACT(A5, ""booktitle *= *""""+([^""""]*)""""""))"),"Proceedings of the 21st Nordic Conference on Computational Linguistics")</f>
        <v>Proceedings of the 21st Nordic Conference on Computational Linguistics</v>
      </c>
      <c r="E5" s="24" t="str">
        <f>IFERROR(__xludf.DUMMYFUNCTION("REGEXEXTRACT(A5, ""year *= *""""([^""""]+)"""""")"),"2017")</f>
        <v>2017</v>
      </c>
      <c r="F5" s="26" t="s">
        <v>8</v>
      </c>
      <c r="G5" s="24" t="str">
        <f>IFERROR(__xludf.DUMMYFUNCTION("IFERROR(REGEXEXTRACT(A5, ""abstract *= *""""+([^""""]*)""""""),REGEXEXTRACT(A5, ""abstract *= *\{+(.*)\}""))"),"This paper describes an emerging shared repository of large-text resources for creating word vectors, including pre-processed corpora and pre-trained vectors for a range of frameworks and configurations.   This will facilitate reuse, rapid experimentation"&amp;", and replicability of results.")</f>
        <v>This paper describes an emerging shared repository of large-text resources for creating word vectors, including pre-processed corpora and pre-trained vectors for a range of frameworks and configurations.   This will facilitate reuse, rapid experimentation, and replicability of results.</v>
      </c>
      <c r="H5" s="25" t="s">
        <v>135</v>
      </c>
      <c r="I5" s="23" t="s">
        <v>136</v>
      </c>
    </row>
    <row r="6">
      <c r="A6" s="23" t="s">
        <v>13</v>
      </c>
      <c r="B6" s="24" t="str">
        <f>IFERROR(__xludf.DUMMYFUNCTION("IFERROR(REGEXEXTRACT(A6, ""author *= *""""([^""""]+)""""""),REGEXEXTRACT(A6, ""author *= *\{+([^\d]+)\}+""))"),"Dakota, Daniel  and
      K{\""u}bler, Sandra},
    booktitle = ""Proceedings of the International Conference Recent Advances in Natural Language Processing, {RANLP")</f>
        <v>Dakota, Daniel  and
      K{\"u}bler, Sandra},
    booktitle = "Proceedings of the International Conference Recent Advances in Natural Language Processing, {RANLP</v>
      </c>
      <c r="C6" s="25" t="str">
        <f>IFERROR(__xludf.DUMMYFUNCTION("REGEXEXTRACT(A6, ""title *= *""""([^""""]+)"""""")"),"Towards Replicability in Parsing")</f>
        <v>Towards Replicability in Parsing</v>
      </c>
      <c r="D6" s="24" t="str">
        <f>IFERROR(__xludf.DUMMYFUNCTION("IFERROR(REGEXEXTRACT(A6, ""journal *= *""""+([^""""]*)""""""),REGEXEXTRACT(A6, ""booktitle *= *""""+([^""""]*)""""""))"),"Proceedings of the International Conference Recent Advances in Natural Language Processing, {RANLP} 2017")</f>
        <v>Proceedings of the International Conference Recent Advances in Natural Language Processing, {RANLP} 2017</v>
      </c>
      <c r="E6" s="24" t="str">
        <f>IFERROR(__xludf.DUMMYFUNCTION("REGEXEXTRACT(A6, ""year *= *""""([^""""]+)"""""")"),"2017")</f>
        <v>2017</v>
      </c>
      <c r="F6" s="26" t="s">
        <v>8</v>
      </c>
      <c r="G6" s="24" t="str">
        <f>IFERROR(__xludf.DUMMYFUNCTION("IFERROR(REGEXEXTRACT(A6, ""abstract *= *""""+([^""""]*)""""""),REGEXEXTRACT(A6, ""abstract *= *\{+(.*)\}""))"),"We investigate parsing replicability across 7  languages  (and  8  treebanks),  showing that choices concerning the use of grammatical functions in parsing or evaluation and the influence of the rare word threshold,  as  well  as  choices  in  test  sente"&amp;"nces and  evaluation  script  options  have  considerable and often unexpected effects on parsing  accuracies.   All  of  those  choices need  to  be  carefully  documented  if  we want to ensure replicability.")</f>
        <v>We investigate parsing replicability across 7  languages  (and  8  treebanks),  showing that choices concerning the use of grammatical functions in parsing or evaluation and the influence of the rare word threshold,  as  well  as  choices  in  test  sentences and  evaluation  script  options  have  considerable and often unexpected effects on parsing  accuracies.   All  of  those  choices need  to  be  carefully  documented  if  we want to ensure replicability.</v>
      </c>
      <c r="H6" s="25" t="s">
        <v>137</v>
      </c>
      <c r="I6" s="23" t="s">
        <v>132</v>
      </c>
    </row>
    <row r="7">
      <c r="A7" s="23" t="s">
        <v>18</v>
      </c>
      <c r="B7" s="24" t="str">
        <f>IFERROR(__xludf.DUMMYFUNCTION("IFERROR(REGEXEXTRACT(A7, ""author *= *""""([^""""]+)""""""),REGEXEXTRACT(A7, ""author *= *\{+([^\d]+)\}+""))"),"Horsmann, Tobias  and
      Zesch, Torsten")</f>
        <v>Horsmann, Tobias  and
      Zesch, Torsten</v>
      </c>
      <c r="C7" s="25" t="str">
        <f>IFERROR(__xludf.DUMMYFUNCTION("REGEXEXTRACT(A7, ""title *= *""""([^""""]+)"""""")"),"Do {LSTM}s really work so well for {P}o{S} tagging? {--} A replication study")</f>
        <v>Do {LSTM}s really work so well for {P}o{S} tagging? {--} A replication study</v>
      </c>
      <c r="D7" s="24" t="str">
        <f>IFERROR(__xludf.DUMMYFUNCTION("IFERROR(REGEXEXTRACT(A7, ""journal *= *""""+([^""""]*)""""""),REGEXEXTRACT(A7, ""booktitle *= *""""+([^""""]*)""""""))"),"Proceedings of the 2017 Conference on Empirical Methods in Natural Language Processing")</f>
        <v>Proceedings of the 2017 Conference on Empirical Methods in Natural Language Processing</v>
      </c>
      <c r="E7" s="24" t="str">
        <f>IFERROR(__xludf.DUMMYFUNCTION("REGEXEXTRACT(A7, ""year *= *""""([^""""]+)"""""")"),"2017")</f>
        <v>2017</v>
      </c>
      <c r="F7" s="26" t="s">
        <v>19</v>
      </c>
      <c r="G7" s="24" t="str">
        <f>IFERROR(__xludf.DUMMYFUNCTION("IFERROR(REGEXEXTRACT(A7, ""abstract *= *""""+([^""""]*)""""""),REGEXEXTRACT(A7, ""abstract *= *\{+(.*)\}""))"),"A recent study by Plank et al. (2016) found that  LSTM-based  PoS  taggers  considerably improve over the current state-of-the-art when evaluated on the corpora of the Universal Dependencies project that use a coarse-grained tagset.   We  replicate  this "&amp;"study  using  a  fresh  collection  of  27  corpora  of  21  languages  that  are  annotated with fine-grained tagsets of varying size. Our replication confirms the result in general, and we additionally find that the advantage of LSTMs is even bigger for"&amp;" larger tagsets.   However,  we  also  find  that  for the very large tagsets of morphologically rich  languages,  hand-crafted  morphological  lexicons  are  still  necessary  to  reach state-of-the-art performance.")</f>
        <v>A recent study by Plank et al. (2016) found that  LSTM-based  PoS  taggers  considerably improve over the current state-of-the-art when evaluated on the corpora of the Universal Dependencies project that use a coarse-grained tagset.   We  replicate  this study  using  a  fresh  collection  of  27  corpora  of  21  languages  that  are  annotated with fine-grained tagsets of varying size. Our replication confirms the result in general, and we additionally find that the advantage of LSTMs is even bigger for larger tagsets.   However,  we  also  find  that  for the very large tagsets of morphologically rich  languages,  hand-crafted  morphological  lexicons  are  still  necessary  to  reach state-of-the-art performance.</v>
      </c>
      <c r="H7" s="25" t="s">
        <v>138</v>
      </c>
      <c r="I7" s="23" t="s">
        <v>132</v>
      </c>
    </row>
    <row r="8">
      <c r="A8" s="23" t="s">
        <v>20</v>
      </c>
      <c r="B8" s="24" t="str">
        <f>IFERROR(__xludf.DUMMYFUNCTION("IFERROR(REGEXEXTRACT(A8, ""author *= *""""([^""""]+)""""""),REGEXEXTRACT(A8, ""author *= *\{+([^\d]+)\}+""))"),"Morey, Mathieu  and
      Muller, Philippe  and
      Asher, Nicholas")</f>
        <v>Morey, Mathieu  and
      Muller, Philippe  and
      Asher, Nicholas</v>
      </c>
      <c r="C8" s="25" t="str">
        <f>IFERROR(__xludf.DUMMYFUNCTION("REGEXEXTRACT(A8, ""title *= *""""([^""""]+)"""""")"),"How much progress have we made on {RST} discourse parsing? A replication study of recent results on the {RST}-{DT}")</f>
        <v>How much progress have we made on {RST} discourse parsing? A replication study of recent results on the {RST}-{DT}</v>
      </c>
      <c r="D8" s="24" t="str">
        <f>IFERROR(__xludf.DUMMYFUNCTION("IFERROR(REGEXEXTRACT(A8, ""journal *= *""""+([^""""]*)""""""),REGEXEXTRACT(A8, ""booktitle *= *""""+([^""""]*)""""""))"),"Proceedings of the 2017 Conference on Empirical Methods in Natural Language Processing")</f>
        <v>Proceedings of the 2017 Conference on Empirical Methods in Natural Language Processing</v>
      </c>
      <c r="E8" s="24" t="str">
        <f>IFERROR(__xludf.DUMMYFUNCTION("REGEXEXTRACT(A8, ""year *= *""""([^""""]+)"""""")"),"2017")</f>
        <v>2017</v>
      </c>
      <c r="F8" s="26" t="s">
        <v>19</v>
      </c>
      <c r="G8" s="24" t="str">
        <f>IFERROR(__xludf.DUMMYFUNCTION("IFERROR(REGEXEXTRACT(A8, ""abstract *= *""""+([^""""]*)""""""),REGEXEXTRACT(A8, ""abstract *= *\{+(.*)\}""))"),"This article evaluates purported progress over the past years in RST discourse parsing. Several studies report a relative error reduction of 24 to 51% on all metrics that authors attribute to the introduction of distributed representations of discourse un"&amp;"its. We replicate the standard evaluation of 9 parsers, 5 of which use distributed representations, from 8 studies published between 2013 and 2017, using their predictions on the test set of the RST-DT. Our main finding is that most recently reported incr"&amp;"eases in RST discourse parser performance are an artefact of differences in implementations of the evaluation procedure. We evaluate all these parsers with the standard Parseval procedure to provide a more accurate picture of the actual RST discourse pars"&amp;"ers performance in standard evaluation settings. Under this more stringent procedure, the gains attributable to distributed representations represent at most a 16% relative error reduction on fully-labelled structures.")</f>
        <v>This article evaluates purported progress over the past years in RST discourse parsing. Several studies report a relative error reduction of 24 to 51% on all metrics that authors attribute to the introduction of distributed representations of discourse units. We replicate the standard evaluation of 9 parsers, 5 of which use distributed representations, from 8 studies published between 2013 and 2017, using their predictions on the test set of the RST-DT. Our main finding is that most recently reported increases in RST discourse parser performance are an artefact of differences in implementations of the evaluation procedure. We evaluate all these parsers with the standard Parseval procedure to provide a more accurate picture of the actual RST discourse parsers performance in standard evaluation settings. Under this more stringent procedure, the gains attributable to distributed representations represent at most a 16% relative error reduction on fully-labelled structures.</v>
      </c>
      <c r="H8" s="25" t="s">
        <v>139</v>
      </c>
      <c r="I8" s="23" t="s">
        <v>130</v>
      </c>
    </row>
    <row r="9">
      <c r="A9" s="33" t="s">
        <v>140</v>
      </c>
      <c r="B9" s="34" t="str">
        <f>IFERROR(__xludf.DUMMYFUNCTION("IFERROR(REGEXEXTRACT(A9, ""author *= *""""([^""""]+)""""""),REGEXEXTRACT(A9, ""author *= *\{+([^\d]+)\}+""))"),"Htut, Phu Mon  and
      Cho, Kyunghyun  and
      Bowman, Samuel")</f>
        <v>Htut, Phu Mon  and
      Cho, Kyunghyun  and
      Bowman, Samuel</v>
      </c>
      <c r="C9" s="35" t="str">
        <f>IFERROR(__xludf.DUMMYFUNCTION("REGEXEXTRACT(A9, ""title *= *""""([^""""]+)"""""")"),"Grammar Induction with Neural Language Models: An Unusual Replication")</f>
        <v>Grammar Induction with Neural Language Models: An Unusual Replication</v>
      </c>
      <c r="D9" s="34" t="str">
        <f>IFERROR(__xludf.DUMMYFUNCTION("IFERROR(REGEXEXTRACT(A9, ""journal *= *""""+([^""""]*)""""""),REGEXEXTRACT(A9, ""booktitle *= *""""+([^""""]*)""""""))"),"Proceedings of the 2018 {EMNLP} Workshop {B}lackbox{NLP}: Analyzing and Interpreting Neural Networks for {NLP}")</f>
        <v>Proceedings of the 2018 {EMNLP} Workshop {B}lackbox{NLP}: Analyzing and Interpreting Neural Networks for {NLP}</v>
      </c>
      <c r="E9" s="34" t="str">
        <f>IFERROR(__xludf.DUMMYFUNCTION("REGEXEXTRACT(A9, ""year *= *""""([^""""]+)"""""")"),"2018")</f>
        <v>2018</v>
      </c>
      <c r="F9" s="36" t="s">
        <v>8</v>
      </c>
      <c r="G9" s="34" t="str">
        <f>IFERROR(__xludf.DUMMYFUNCTION("IFERROR(REGEXEXTRACT(A9, ""abstract *= *""""+([^""""]*)""""""),REGEXEXTRACT(A9, ""abstract *= *\{+(.*)\}""))"),"Grammar induction is the task of learning syntactic structure without the expert-labeled treebanks (Charniak and Carroll, 1992; Klein and Manning, 2002). Recent work on latent tree learning offers a new family of approaches to this problem by inducing syn"&amp;"tactic structure using the supervision from a downstream NLP task (Yogatama et al., 2017; Maillard et al., 2017; Choi et al., 2018). In a recent paper published at ICLR, Shen et al. (2018) introduce such a model and report near state-of-the-art results on"&amp;" the target task of language modeling, and the first strong latent tree learning result on constituency parsing. During the analysis of this model, we discover issues that make the original results hard to trust, including tuning and even training on what"&amp;" is effectively the test set. Here, we analyze the model under different configurations to understand what it learns and to identify the conditions under which it succeeds. We find that this model represents the first empirical success for neural network "&amp;"latent tree learning, and that neural language modeling warrants further study as a setting for grammar induction.")</f>
        <v>Grammar induction is the task of learning syntactic structure without the expert-labeled treebanks (Charniak and Carroll, 1992; Klein and Manning, 2002). Recent work on latent tree learning offers a new family of approaches to this problem by inducing syntactic structure using the supervision from a downstream NLP task (Yogatama et al., 2017; Maillard et al., 2017; Choi et al., 2018). In a recent paper published at ICLR, Shen et al. (2018) introduce such a model and report near state-of-the-art results on the target task of language modeling, and the first strong latent tree learning result on constituency parsing. During the analysis of this model, we discover issues that make the original results hard to trust, including tuning and even training on what is effectively the test set. Here, we analyze the model under different configurations to understand what it learns and to identify the conditions under which it succeeds. We find that this model represents the first empirical success for neural network latent tree learning, and that neural language modeling warrants further study as a setting for grammar induction.</v>
      </c>
      <c r="H9" s="35" t="s">
        <v>141</v>
      </c>
      <c r="I9" s="37" t="s">
        <v>142</v>
      </c>
      <c r="J9" s="38"/>
      <c r="K9" s="38"/>
      <c r="L9" s="38"/>
      <c r="M9" s="38"/>
      <c r="N9" s="38"/>
      <c r="O9" s="38"/>
      <c r="P9" s="38"/>
      <c r="Q9" s="38"/>
      <c r="R9" s="38"/>
      <c r="S9" s="38"/>
      <c r="T9" s="38"/>
      <c r="U9" s="38"/>
      <c r="V9" s="38"/>
      <c r="W9" s="38"/>
      <c r="X9" s="38"/>
      <c r="Y9" s="38"/>
      <c r="Z9" s="38"/>
      <c r="AA9" s="38"/>
    </row>
    <row r="10">
      <c r="A10" s="23" t="s">
        <v>22</v>
      </c>
      <c r="B10" s="24" t="str">
        <f>IFERROR(__xludf.DUMMYFUNCTION("IFERROR(REGEXEXTRACT(A10, ""author *= *""""([^""""]+)""""""),REGEXEXTRACT(A10, ""author *= *\{+([^\d]+)\}+""))"),"Crane, Matt")</f>
        <v>Crane, Matt</v>
      </c>
      <c r="C10" s="25" t="str">
        <f>IFERROR(__xludf.DUMMYFUNCTION("REGEXEXTRACT(A10, ""title *= *""""([^""""]+)"""""")"),"Questionable Answers in Question Answering Research: Reproducibility and Variability of Published Results")</f>
        <v>Questionable Answers in Question Answering Research: Reproducibility and Variability of Published Results</v>
      </c>
      <c r="D10" s="24" t="str">
        <f>IFERROR(__xludf.DUMMYFUNCTION("IFERROR(REGEXEXTRACT(A10, ""journal *= *""""+([^""""]*)""""""),REGEXEXTRACT(A10, ""booktitle *= *""""+([^""""]*)""""""))"),"Transactions of the Association for Computational Linguistics")</f>
        <v>Transactions of the Association for Computational Linguistics</v>
      </c>
      <c r="E10" s="24" t="str">
        <f>IFERROR(__xludf.DUMMYFUNCTION("REGEXEXTRACT(A10, ""year *= *""""([^""""]+)"""""")"),"2018")</f>
        <v>2018</v>
      </c>
      <c r="F10" s="26" t="s">
        <v>15</v>
      </c>
      <c r="G10" s="24" t="str">
        <f>IFERROR(__xludf.DUMMYFUNCTION("IFERROR(REGEXEXTRACT(A10, ""abstract *= *""""+([^""""]*)""""""),REGEXEXTRACT(A10, ""abstract *= *\{+(.*)\}""))"),"Based on theoretical reasoning it has been suggested that the reliability of findings published in the scientific literature decreases with the popularity of a research field” (Pfeiffer and Hoffmann, 2009). As we know, deep learning is very popular and th"&amp;"e ability to reproduce results is an important part of science. There is growing concern within the deep learning community about the reproducibility of results that are presented. In this paper we present a number of controllable, yet unreported, effects"&amp;" that can substantially change the effectiveness of a sample model, and thusly the reproducibility of those results. Through these environmental effects we show that the commonly held belief that distribution of source code is all that is needed for repro"&amp;"ducibility is not enough. Source code without a reproducible environment does not mean anything at all. In addition the range of results produced from these effects can be larger than the majority of incremental improvement reported.")</f>
        <v>Based on theoretical reasoning it has been suggested that the reliability of findings published in the scientific literature decreases with the popularity of a research field” (Pfeiffer and Hoffmann, 2009). As we know, deep learning is very popular and the ability to reproduce results is an important part of science. There is growing concern within the deep learning community about the reproducibility of results that are presented. In this paper we present a number of controllable, yet unreported, effects that can substantially change the effectiveness of a sample model, and thusly the reproducibility of those results. Through these environmental effects we show that the commonly held belief that distribution of source code is all that is needed for reproducibility is not enough. Source code without a reproducible environment does not mean anything at all. In addition the range of results produced from these effects can be larger than the majority of incremental improvement reported.</v>
      </c>
      <c r="H10" s="25" t="s">
        <v>143</v>
      </c>
      <c r="I10" s="23" t="s">
        <v>132</v>
      </c>
    </row>
    <row r="11">
      <c r="A11" s="23" t="s">
        <v>23</v>
      </c>
      <c r="B11" s="24" t="str">
        <f>IFERROR(__xludf.DUMMYFUNCTION("IFERROR(REGEXEXTRACT(A11, ""author *= *""""([^""""]+)""""""),REGEXEXTRACT(A11, ""author *= *\{+([^\d]+)\}+""))"),"Branco, Ant{\'o}nio")</f>
        <v>Branco, Ant{\'o}nio</v>
      </c>
      <c r="C11" s="25" t="str">
        <f>IFERROR(__xludf.DUMMYFUNCTION("REGEXEXTRACT(A11, ""title *= *""""([^""""]+)"""""")"),"We Are Depleting Our Research Subject as We Are Investigating It: In Language Technology, more Replication and Diversity Are Needed")</f>
        <v>We Are Depleting Our Research Subject as We Are Investigating It: In Language Technology, more Replication and Diversity Are Needed</v>
      </c>
      <c r="D11" s="24" t="str">
        <f>IFERROR(__xludf.DUMMYFUNCTION("IFERROR(REGEXEXTRACT(A11, ""journal *= *""""+([^""""]*)""""""),REGEXEXTRACT(A11, ""booktitle *= *""""+([^""""]*)""""""))"),"Proceedings of the Eleventh International Conference on Language Resources and Evaluation ({LREC} 2018)")</f>
        <v>Proceedings of the Eleventh International Conference on Language Resources and Evaluation ({LREC} 2018)</v>
      </c>
      <c r="E11" s="24" t="str">
        <f>IFERROR(__xludf.DUMMYFUNCTION("REGEXEXTRACT(A11, ""year *= *""""([^""""]+)"""""")"),"2018")</f>
        <v>2018</v>
      </c>
      <c r="F11" s="26" t="s">
        <v>24</v>
      </c>
      <c r="G11" s="24" t="str">
        <f>IFERROR(__xludf.DUMMYFUNCTION("IFERROR(REGEXEXTRACT(A11, ""abstract *= *""""+([^""""]*)""""""),REGEXEXTRACT(A11, ""abstract *= *\{+(.*)\}""))"),"In this paper, we present an analysis indicating that, in language technology, as we are investigating natural language we are contributing to deplete it in the sense that we are contributing to reduce the diversity of languages.  To address this circumst"&amp;"ance, we propose that more replication and reproduction and more language diversity need to be taken into account in our research activities.")</f>
        <v>In this paper, we present an analysis indicating that, in language technology, as we are investigating natural language we are contributing to deplete it in the sense that we are contributing to reduce the diversity of languages.  To address this circumstance, we propose that more replication and reproduction and more language diversity need to be taken into account in our research activities.</v>
      </c>
      <c r="H11" s="25" t="s">
        <v>144</v>
      </c>
      <c r="I11" s="23" t="s">
        <v>130</v>
      </c>
    </row>
    <row r="12">
      <c r="A12" s="27" t="s">
        <v>25</v>
      </c>
      <c r="B12" s="28" t="str">
        <f>IFERROR(__xludf.DUMMYFUNCTION("IFERROR(REGEXEXTRACT(A12, ""author *= *""""([^""""]+)""""""),REGEXEXTRACT(A12, ""author *= *\{+([^\d]+)\}+""))"),"Cohen, K. Bretonnel  and
      Xia, Jingbo  and
      Zweigenbaum, Pierre  and
      Callahan, Tiffany  and
      Hargraves, Orin  and
      Goss, Foster  and
      Ide, Nancy  and
      N{\'e}v{\'e}ol, Aur{\'e}lie  and
      Grouin, Cyril  and
      Hunt"&amp;"er, Lawrence E.")</f>
        <v>Cohen, K. Bretonnel  and
      Xia, Jingbo  and
      Zweigenbaum, Pierre  and
      Callahan, Tiffany  and
      Hargraves, Orin  and
      Goss, Foster  and
      Ide, Nancy  and
      N{\'e}v{\'e}ol, Aur{\'e}lie  and
      Grouin, Cyril  and
      Hunter, Lawrence E.</v>
      </c>
      <c r="C12" s="29" t="str">
        <f>IFERROR(__xludf.DUMMYFUNCTION("REGEXEXTRACT(A12, ""title *= *""""([^""""]+)"""""")"),"Three Dimensions of Reproducibility in Natural Language Processing")</f>
        <v>Three Dimensions of Reproducibility in Natural Language Processing</v>
      </c>
      <c r="D12" s="28" t="str">
        <f>IFERROR(__xludf.DUMMYFUNCTION("IFERROR(REGEXEXTRACT(A12, ""journal *= *""""+([^""""]*)""""""),REGEXEXTRACT(A12, ""booktitle *= *""""+([^""""]*)""""""))"),"Proceedings of the Eleventh International Conference on Language Resources and Evaluation ({LREC} 2018)")</f>
        <v>Proceedings of the Eleventh International Conference on Language Resources and Evaluation ({LREC} 2018)</v>
      </c>
      <c r="E12" s="28" t="str">
        <f>IFERROR(__xludf.DUMMYFUNCTION("REGEXEXTRACT(A12, ""year *= *""""([^""""]+)"""""")"),"2018")</f>
        <v>2018</v>
      </c>
      <c r="F12" s="30" t="s">
        <v>24</v>
      </c>
      <c r="G12" s="29" t="str">
        <f>IFERROR(__xludf.DUMMYFUNCTION("IFERROR(REGEXEXTRACT(A12, ""abstract *= *""""+([^""""]*)""""""),REGEXEXTRACT(A12, ""abstract *= *\{+(.*)\}""))"),"Despite  considerable  recent  attention  to  problems  with  reproducibility  of  scientific  research,  there  is  a  striking  lack  of  agreement about the definition of the term.  That is a problem, because the lack of a consensus definition makes it"&amp;" difficult to compare studies of reproducibility, and thus to have even a broad overview of the state of the issue in natural language processing.  This paper proposes anontology of reproducibility in that field. Its goal is to enhance both future researc"&amp;"h and communication about the topic, and retrospective meta-analyses. We show that three dimensions of reproducibility, corresponding to three kinds of claims in natural language processing papers, can account for a variety of types of research reports. T"&amp;"hese dimensions are reproducibility of aconclusion, of a finding, and ofavalue. Three biomedical natural language processing papers by the authors of this paper are analyzed with respect to these dimensions.")</f>
        <v>Despite  considerable  recent  attention  to  problems  with  reproducibility  of  scientific  research,  there  is  a  striking  lack  of  agreement about the definition of the term.  That is a problem, because the lack of a consensus definition makes it difficult to compare studies of reproducibility, and thus to have even a broad overview of the state of the issue in natural language processing.  This paper proposes anontology of reproducibility in that field. Its goal is to enhance both future research and communication about the topic, and retrospective meta-analyses. We show that three dimensions of reproducibility, corresponding to three kinds of claims in natural language processing papers, can account for a variety of types of research reports. These dimensions are reproducibility of aconclusion, of a finding, and ofavalue. Three biomedical natural language processing papers by the authors of this paper are analyzed with respect to these dimensions.</v>
      </c>
      <c r="H12" s="29" t="s">
        <v>145</v>
      </c>
      <c r="I12" s="27" t="s">
        <v>132</v>
      </c>
      <c r="J12" s="31"/>
      <c r="K12" s="31"/>
      <c r="L12" s="31"/>
      <c r="M12" s="31"/>
      <c r="N12" s="31"/>
      <c r="O12" s="31"/>
      <c r="P12" s="31"/>
      <c r="Q12" s="31"/>
      <c r="R12" s="31"/>
      <c r="S12" s="31"/>
      <c r="T12" s="31"/>
      <c r="U12" s="31"/>
      <c r="V12" s="31"/>
      <c r="W12" s="31"/>
      <c r="X12" s="31"/>
      <c r="Y12" s="31"/>
      <c r="Z12" s="31"/>
      <c r="AA12" s="31"/>
    </row>
    <row r="13">
      <c r="A13" s="32" t="s">
        <v>146</v>
      </c>
      <c r="B13" s="24" t="str">
        <f>IFERROR(__xludf.DUMMYFUNCTION("IFERROR(REGEXEXTRACT(A13, ""author *= *""""([^=]+)""""""),REGEXEXTRACT(A13, ""author *= *\{+([^=]+)\}+""))"),"G{\""a}rtner, Markus  and
      Hahn, Uli  and
      Hermann, Sibylle")</f>
        <v>G{\"a}rtner, Markus  and
      Hahn, Uli  and
      Hermann, Sibylle</v>
      </c>
      <c r="C13" s="25" t="str">
        <f>IFERROR(__xludf.DUMMYFUNCTION("REGEXEXTRACT(A13, ""title *= *""""([^""""]+)"""""")"),"Preserving Workflow Reproducibility: The {R}e{P}lay-{DH} Client as a Tool for Process Documentation")</f>
        <v>Preserving Workflow Reproducibility: The {R}e{P}lay-{DH} Client as a Tool for Process Documentation</v>
      </c>
      <c r="D13" s="24" t="str">
        <f>IFERROR(__xludf.DUMMYFUNCTION("IFERROR(REGEXEXTRACT(A13, ""journal *= *""""+([^""""]*)""""""),REGEXEXTRACT(A13, ""booktitle *= *""""+([^""""]*)""""""))"),"Proceedings of the Eleventh International Conference on Language Resources and Evaluation ({LREC} 2018)")</f>
        <v>Proceedings of the Eleventh International Conference on Language Resources and Evaluation ({LREC} 2018)</v>
      </c>
      <c r="E13" s="24" t="str">
        <f>IFERROR(__xludf.DUMMYFUNCTION("REGEXEXTRACT(A13, ""year *= *""""([^""""]+)"""""")"),"2018")</f>
        <v>2018</v>
      </c>
      <c r="F13" s="26" t="s">
        <v>24</v>
      </c>
      <c r="G13" s="24" t="str">
        <f>IFERROR(__xludf.DUMMYFUNCTION("IFERROR(REGEXEXTRACT(A13, ""abstract *= *""""+([^=]+)""""""),REGEXEXTRACT(A13, ""abstract *= *\{+(.+)\}""))"),"In  this  paper  we  present  a  software  tool  for  elicitation  and  management  of  process  metadata.   It  follows  our  previously  published design idea of an assistant for researchers that aims at minimizing the additional effort required for pro"&amp;"ducing a sustainable workflow documentation.   With  the  ever-growing  number  of  linguistic  resources  available,  it  also  becomes  increasingly  important  to  provide proper  documentation  to  make  them  comparable  and  to  allow  meaningful  e"&amp;"valuations  for  specific  use  cases.   The  often  prevailing practice  of  post  hoc  documentation  of  resource  generation  or  research  processes  bears  the  risk  of  information  loss.   Not  only  does detailed documentation of a process aid i"&amp;"n achieving reproducibility, it also increases usefulness of the documented work for others asa cornerstone of good scientific practice.  Time pressure together with the lack of simple documentation methods leads to workflow documentation in practice bein"&amp;"g an arduous and often neglected task. Our tool ensures a clean documentation for common workflows innatural language processing and digital humanities. Additionally, it can easily be integrated into existing institutional infrastructures.")</f>
        <v>In  this  paper  we  present  a  software  tool  for  elicitation  and  management  of  process  metadata.   It  follows  our  previously  published design idea of an assistant for researchers that aims at minimizing the additional effort required for producing a sustainable workflow documentation.   With  the  ever-growing  number  of  linguistic  resources  available,  it  also  becomes  increasingly  important  to  provide proper  documentation  to  make  them  comparable  and  to  allow  meaningful  evaluations  for  specific  use  cases.   The  often  prevailing practice  of  post  hoc  documentation  of  resource  generation  or  research  processes  bears  the  risk  of  information  loss.   Not  only  does detailed documentation of a process aid in achieving reproducibility, it also increases usefulness of the documented work for others asa cornerstone of good scientific practice.  Time pressure together with the lack of simple documentation methods leads to workflow documentation in practice being an arduous and often neglected task. Our tool ensures a clean documentation for common workflows innatural language processing and digital humanities. Additionally, it can easily be integrated into existing institutional infrastructures.</v>
      </c>
      <c r="H13" s="25" t="s">
        <v>147</v>
      </c>
      <c r="I13" s="23" t="s">
        <v>132</v>
      </c>
    </row>
    <row r="14">
      <c r="A14" s="32" t="s">
        <v>148</v>
      </c>
      <c r="B14" s="24" t="str">
        <f>IFERROR(__xludf.DUMMYFUNCTION("IFERROR(REGEXEXTRACT(A14, ""author *= *""""([^""""]+)""""""),REGEXEXTRACT(A14, ""author *= *\{+([^\d]+)\}+""))"),"Horsmann, Tobias  and
      Zesch, Torsten")</f>
        <v>Horsmann, Tobias  and
      Zesch, Torsten</v>
      </c>
      <c r="C14" s="25" t="str">
        <f>IFERROR(__xludf.DUMMYFUNCTION("REGEXEXTRACT(A14, ""title *= *""""([^""""]+)"""""")"),"{D}eep{TC} {--} An Extension of {DKP}ro Text Classification for Fostering Reproducibility of Deep Learning Experiments")</f>
        <v>{D}eep{TC} {--} An Extension of {DKP}ro Text Classification for Fostering Reproducibility of Deep Learning Experiments</v>
      </c>
      <c r="D14" s="24" t="str">
        <f>IFERROR(__xludf.DUMMYFUNCTION("IFERROR(REGEXEXTRACT(A14, ""journal *= *""""+([^""""]*)""""""),REGEXEXTRACT(A14, ""booktitle *= *""""+([^""""]*)""""""))"),"Proceedings of the Eleventh International Conference on Language Resources and Evaluation ({LREC} 2018)")</f>
        <v>Proceedings of the Eleventh International Conference on Language Resources and Evaluation ({LREC} 2018)</v>
      </c>
      <c r="E14" s="24" t="str">
        <f>IFERROR(__xludf.DUMMYFUNCTION("REGEXEXTRACT(A14, ""year *= *""""([^""""]+)"""""")"),"2018")</f>
        <v>2018</v>
      </c>
      <c r="F14" s="26" t="s">
        <v>24</v>
      </c>
      <c r="G14" s="24" t="str">
        <f>IFERROR(__xludf.DUMMYFUNCTION("IFERROR(REGEXEXTRACT(A14, ""abstract *= *""""+([^""""]+)""""""),REGEXEXTRACT(A14, ""abstract *= *\{+(.+)\}""))"),"We present a deep learning extension for the multi-purpose text classification framework DKPro Text Classification (DKPro TC). DKProTC is a flexible framework for creating easily shareable and reproducible end-to-end NLP experiments involving machine lear"&amp;"ning. We provide an overview of the current state of DKPro TC, which does not allow integration of deep learning, and discuss the necessary conceptual extensions.  These extensions are based on an analysis of common deep learning setups found in the liter"&amp;"ature to support all common text classification setups, i.e. single outcome, multi outcome, and sequence classification problems.  Additionally to providing an end-to-end shareable environment for deep learning experiments, we provide convenience features"&amp;" that take care of repetitive steps, such as pre-processing, data vectorization and pruning of embeddings.  By moving a large part of this boilerplate code into DKPro TC, the actual deep learning framework code improves in readability and lowers the amoun"&amp;"t of redundant source code considerably.  As proof-of-concept, we integrate Keras, DyNet, and DeepLearning4J.")</f>
        <v>We present a deep learning extension for the multi-purpose text classification framework DKPro Text Classification (DKPro TC). DKProTC is a flexible framework for creating easily shareable and reproducible end-to-end NLP experiments involving machine learning. We provide an overview of the current state of DKPro TC, which does not allow integration of deep learning, and discuss the necessary conceptual extensions.  These extensions are based on an analysis of common deep learning setups found in the literature to support all common text classification setups, i.e. single outcome, multi outcome, and sequence classification problems.  Additionally to providing an end-to-end shareable environment for deep learning experiments, we provide convenience features that take care of repetitive steps, such as pre-processing, data vectorization and pruning of embeddings.  By moving a large part of this boilerplate code into DKPro TC, the actual deep learning framework code improves in readability and lowers the amount of redundant source code considerably.  As proof-of-concept, we integrate Keras, DyNet, and DeepLearning4J.</v>
      </c>
      <c r="H14" s="25" t="s">
        <v>149</v>
      </c>
      <c r="I14" s="23" t="s">
        <v>150</v>
      </c>
    </row>
    <row r="15">
      <c r="A15" s="23" t="s">
        <v>28</v>
      </c>
      <c r="B15" s="24" t="str">
        <f>IFERROR(__xludf.DUMMYFUNCTION("IFERROR(REGEXEXTRACT(A15, ""author *= *""""([^""""]+)""""""),REGEXEXTRACT(A15, ""author *= *\{+([^\d]+)\}+""))"),"Wieling, Martijn  and
      Rawee, Josine  and
      van Noord, Gertjan")</f>
        <v>Wieling, Martijn  and
      Rawee, Josine  and
      van Noord, Gertjan</v>
      </c>
      <c r="C15" s="25" t="str">
        <f>IFERROR(__xludf.DUMMYFUNCTION("REGEXEXTRACT(A15, ""title *= *""""([^""""]+)"""""")"),"{S}quib: Reproducibility in Computational Linguistics: Are We Willing to Share?")</f>
        <v>{S}quib: Reproducibility in Computational Linguistics: Are We Willing to Share?</v>
      </c>
      <c r="D15" s="24" t="str">
        <f>IFERROR(__xludf.DUMMYFUNCTION("IFERROR(REGEXEXTRACT(A15, ""journal *= *""""+([^""""]*)""""""),REGEXEXTRACT(A15, ""booktitle *= *""""+([^""""]*)""""""))"),"Computational Linguistics")</f>
        <v>Computational Linguistics</v>
      </c>
      <c r="E15" s="24" t="str">
        <f>IFERROR(__xludf.DUMMYFUNCTION("REGEXEXTRACT(A15, ""year *= *""""([^""""]+)"""""")"),"2018")</f>
        <v>2018</v>
      </c>
      <c r="F15" s="26" t="s">
        <v>29</v>
      </c>
      <c r="G15" s="25" t="s">
        <v>30</v>
      </c>
      <c r="H15" s="25" t="s">
        <v>151</v>
      </c>
      <c r="I15" s="23" t="s">
        <v>130</v>
      </c>
    </row>
    <row r="16">
      <c r="A16" s="33" t="s">
        <v>152</v>
      </c>
      <c r="B16" s="34" t="str">
        <f>IFERROR(__xludf.DUMMYFUNCTION("IFERROR(REGEXEXTRACT(A16, ""author *= *""""([^""""]+)""""""),REGEXEXTRACT(A16, ""author *= *\{+([^\d]+)\}+""))"),"Htut, Phu Mon  and
      Cho, Kyunghyun  and
      Bowman, Samuel")</f>
        <v>Htut, Phu Mon  and
      Cho, Kyunghyun  and
      Bowman, Samuel</v>
      </c>
      <c r="C16" s="35" t="str">
        <f>IFERROR(__xludf.DUMMYFUNCTION("REGEXEXTRACT(A16, ""title *= *""""([^""""]+)"""""")"),"Grammar Induction with Neural Language Models: An Unusual Replication")</f>
        <v>Grammar Induction with Neural Language Models: An Unusual Replication</v>
      </c>
      <c r="D16" s="34" t="str">
        <f>IFERROR(__xludf.DUMMYFUNCTION("IFERROR(REGEXEXTRACT(A16, ""journal *= *""""+([^""""]*)""""""),REGEXEXTRACT(A16, ""booktitle *= *""""+([^""""]*)""""""))"),"Proceedings of the 2018 Conference on Empirical Methods in Natural Language Processing")</f>
        <v>Proceedings of the 2018 Conference on Empirical Methods in Natural Language Processing</v>
      </c>
      <c r="E16" s="34" t="str">
        <f>IFERROR(__xludf.DUMMYFUNCTION("REGEXEXTRACT(A16, ""year *= *""""([^""""]+)"""""")"),"2018")</f>
        <v>2018</v>
      </c>
      <c r="F16" s="36" t="s">
        <v>19</v>
      </c>
      <c r="G16" s="35" t="s">
        <v>32</v>
      </c>
      <c r="H16" s="35" t="s">
        <v>153</v>
      </c>
      <c r="I16" s="37" t="s">
        <v>130</v>
      </c>
      <c r="J16" s="38"/>
      <c r="K16" s="38"/>
      <c r="L16" s="38"/>
      <c r="M16" s="38"/>
      <c r="N16" s="38"/>
      <c r="O16" s="38"/>
      <c r="P16" s="38"/>
      <c r="Q16" s="38"/>
      <c r="R16" s="38"/>
      <c r="S16" s="38"/>
      <c r="T16" s="38"/>
      <c r="U16" s="38"/>
      <c r="V16" s="38"/>
      <c r="W16" s="38"/>
      <c r="X16" s="38"/>
      <c r="Y16" s="38"/>
      <c r="Z16" s="38"/>
      <c r="AA16" s="38"/>
    </row>
    <row r="17">
      <c r="A17" s="23" t="s">
        <v>33</v>
      </c>
      <c r="B17" s="24" t="str">
        <f>IFERROR(__xludf.DUMMYFUNCTION("IFERROR(REGEXEXTRACT(A17, ""author *= *""""([^""""]+)""""""),REGEXEXTRACT(A17, ""author *= *\{+([^\d]+)\}+""))"),"Moore, Andrew  and
      Rayson, Paul")</f>
        <v>Moore, Andrew  and
      Rayson, Paul</v>
      </c>
      <c r="C17" s="25" t="str">
        <f>IFERROR(__xludf.DUMMYFUNCTION("REGEXEXTRACT(A17, ""title *= *""""([^""""]+)"""""")"),"Bringing replication and reproduction together with generalisability in {NLP}: Three reproduction studies for Target Dependent Sentiment Analysis")</f>
        <v>Bringing replication and reproduction together with generalisability in {NLP}: Three reproduction studies for Target Dependent Sentiment Analysis</v>
      </c>
      <c r="D17" s="24" t="str">
        <f>IFERROR(__xludf.DUMMYFUNCTION("IFERROR(REGEXEXTRACT(A17, ""journal *= *""""+([^""""]*)""""""),REGEXEXTRACT(A17, ""booktitle *= *""""+([^""""]*)""""""))"),"Proceedings of the 27th International Conference on Computational Linguistics")</f>
        <v>Proceedings of the 27th International Conference on Computational Linguistics</v>
      </c>
      <c r="E17" s="24" t="str">
        <f>IFERROR(__xludf.DUMMYFUNCTION("REGEXEXTRACT(A17, ""year *= *""""([^""""]+)"""""")"),"2018")</f>
        <v>2018</v>
      </c>
      <c r="F17" s="25" t="s">
        <v>34</v>
      </c>
      <c r="G17" s="25" t="s">
        <v>35</v>
      </c>
      <c r="H17" s="25" t="s">
        <v>154</v>
      </c>
      <c r="I17" s="23" t="s">
        <v>132</v>
      </c>
    </row>
    <row r="18">
      <c r="A18" s="23" t="s">
        <v>38</v>
      </c>
      <c r="B18" s="24" t="str">
        <f>IFERROR(__xludf.DUMMYFUNCTION("IFERROR(REGEXEXTRACT(A18, ""author *= *""""([^""""]+)""""""),REGEXEXTRACT(A18, ""author *= *\{+([^\d]+)\}+""))"),"van Miltenburg, Emiel  and
      van de Kerkhof, Merel  and
      Koolen, Ruud  and
      Goudbeek, Martijn  and
      Krahmer, Emiel")</f>
        <v>van Miltenburg, Emiel  and
      van de Kerkhof, Merel  and
      Koolen, Ruud  and
      Goudbeek, Martijn  and
      Krahmer, Emiel</v>
      </c>
      <c r="C18" s="25" t="str">
        <f>IFERROR(__xludf.DUMMYFUNCTION("REGEXEXTRACT(A18, ""title *= *""""([^""""]+)"""""")"),"On task effects in {NLG} corpus elicitation: a replication study using mixed effects modeling")</f>
        <v>On task effects in {NLG} corpus elicitation: a replication study using mixed effects modeling</v>
      </c>
      <c r="D18" s="24" t="str">
        <f>IFERROR(__xludf.DUMMYFUNCTION("IFERROR(REGEXEXTRACT(A18, ""journal *= *""""+([^""""]*)""""""),REGEXEXTRACT(A18, ""booktitle *= *""""+([^""""]*)""""""))"),"Proceedings of the 12th International Conference on Natural Language Generation")</f>
        <v>Proceedings of the 12th International Conference on Natural Language Generation</v>
      </c>
      <c r="E18" s="24" t="str">
        <f>IFERROR(__xludf.DUMMYFUNCTION("REGEXEXTRACT(A18, ""year *= *""""([^""""]+)"""""")"),"2019")</f>
        <v>2019</v>
      </c>
      <c r="F18" s="25" t="s">
        <v>39</v>
      </c>
      <c r="G18" s="25" t="s">
        <v>40</v>
      </c>
      <c r="H18" s="25" t="s">
        <v>155</v>
      </c>
      <c r="I18" s="23" t="s">
        <v>132</v>
      </c>
    </row>
    <row r="19">
      <c r="A19" s="23" t="s">
        <v>41</v>
      </c>
      <c r="B19" s="24" t="str">
        <f>IFERROR(__xludf.DUMMYFUNCTION("IFERROR(REGEXEXTRACT(A19, ""author *= *""""([^""""]+)""""""),REGEXEXTRACT(A19, ""author *= *\{+([^\d]+)\}+""))"),"Fortuna, Paula  and
      Soler-Company, Juan  and
      Nunes, S{\'e}rgio")</f>
        <v>Fortuna, Paula  and
      Soler-Company, Juan  and
      Nunes, S{\'e}rgio</v>
      </c>
      <c r="C19" s="25" t="str">
        <f>IFERROR(__xludf.DUMMYFUNCTION("REGEXEXTRACT(A19, ""title *= *""""([^""""]+)"""""")"),"Stop {P}ropag{H}ate at {S}em{E}val-2019 Tasks 5 and 6: Are abusive language classification results reproducible?")</f>
        <v>Stop {P}ropag{H}ate at {S}em{E}val-2019 Tasks 5 and 6: Are abusive language classification results reproducible?</v>
      </c>
      <c r="D19" s="24" t="str">
        <f>IFERROR(__xludf.DUMMYFUNCTION("IFERROR(REGEXEXTRACT(A19, ""journal *= *""""+([^""""]*)""""""),REGEXEXTRACT(A19, ""booktitle *= *""""+([^""""]*)""""""))"),"Proceedings of the 13th International Workshop on Semantic Evaluation")</f>
        <v>Proceedings of the 13th International Workshop on Semantic Evaluation</v>
      </c>
      <c r="E19" s="24" t="str">
        <f>IFERROR(__xludf.DUMMYFUNCTION("REGEXEXTRACT(A19, ""year *= *""""([^""""]+)"""""")"),"2019")</f>
        <v>2019</v>
      </c>
      <c r="F19" s="25" t="s">
        <v>8</v>
      </c>
      <c r="G19" s="25" t="s">
        <v>42</v>
      </c>
      <c r="H19" s="25" t="s">
        <v>156</v>
      </c>
      <c r="I19" s="23" t="s">
        <v>150</v>
      </c>
    </row>
    <row r="20">
      <c r="A20" s="23" t="s">
        <v>43</v>
      </c>
      <c r="B20" s="24" t="str">
        <f>IFERROR(__xludf.DUMMYFUNCTION("IFERROR(REGEXEXTRACT(A20, ""author *= *""""([^""""]+)""""""),REGEXEXTRACT(A20, ""author *= *\{+([^\d]+)\}+""))"),"Mieskes, Margot  and
      Fort, Kar{\""e}n  and
      N{\'e}v{\'e}ol, Aur{\'e}lie  and
      Grouin, Cyril  and
      Cohen, Kevin")</f>
        <v>Mieskes, Margot  and
      Fort, Kar{\"e}n  and
      N{\'e}v{\'e}ol, Aur{\'e}lie  and
      Grouin, Cyril  and
      Cohen, Kevin</v>
      </c>
      <c r="C20" s="25" t="str">
        <f>IFERROR(__xludf.DUMMYFUNCTION("REGEXEXTRACT(A20, ""title *= *""""([^""""]+)"""""")"),"Community Perspective on Replicability in Natural Language Processing")</f>
        <v>Community Perspective on Replicability in Natural Language Processing</v>
      </c>
      <c r="D20" s="24" t="str">
        <f>IFERROR(__xludf.DUMMYFUNCTION("IFERROR(REGEXEXTRACT(A20, ""journal *= *""""+([^""""]*)""""""),REGEXEXTRACT(A20, ""booktitle *= *""""+([^""""]*)""""""))"),"Proceedings of the International Conference on Recent Advances in Natural Language Processing (RANLP 2019)")</f>
        <v>Proceedings of the International Conference on Recent Advances in Natural Language Processing (RANLP 2019)</v>
      </c>
      <c r="E20" s="24" t="str">
        <f>IFERROR(__xludf.DUMMYFUNCTION("REGEXEXTRACT(A20, ""year *= *""""([^""""]+)"""""")"),"2019")</f>
        <v>2019</v>
      </c>
      <c r="F20" s="25" t="s">
        <v>8</v>
      </c>
      <c r="G20" s="25" t="s">
        <v>44</v>
      </c>
      <c r="H20" s="25" t="s">
        <v>157</v>
      </c>
      <c r="I20" s="23" t="s">
        <v>158</v>
      </c>
    </row>
    <row r="21">
      <c r="A21" s="32" t="s">
        <v>159</v>
      </c>
      <c r="B21" s="24" t="str">
        <f>IFERROR(__xludf.DUMMYFUNCTION("IFERROR(REGEXEXTRACT(A21, ""author *= *""""([^""""]+)""""""),REGEXEXTRACT(A21, ""author *= *\{+([^\d]+)\}+""))"),"Wu, Tongshuang  and
      Ribeiro, Marco Tulio  and
      Heer, Jeffrey  and
      Weld, Daniel")</f>
        <v>Wu, Tongshuang  and
      Ribeiro, Marco Tulio  and
      Heer, Jeffrey  and
      Weld, Daniel</v>
      </c>
      <c r="C21" s="25" t="str">
        <f>IFERROR(__xludf.DUMMYFUNCTION("REGEXEXTRACT(A21, ""title *= *""""([^""""]+)"""""")"),"{E}rrudite: Scalable, Reproducible, and Testable Error Analysis")</f>
        <v>{E}rrudite: Scalable, Reproducible, and Testable Error Analysis</v>
      </c>
      <c r="D21" s="24" t="str">
        <f>IFERROR(__xludf.DUMMYFUNCTION("IFERROR(REGEXEXTRACT(A21, ""journal *= *""""+([^""""]*)""""""),REGEXEXTRACT(A21, ""booktitle *= *""""+([^""""]*)""""""))"),"Proceedings of the 57th Annual Meeting of the Association for Computational Linguistics")</f>
        <v>Proceedings of the 57th Annual Meeting of the Association for Computational Linguistics</v>
      </c>
      <c r="E21" s="24" t="str">
        <f>IFERROR(__xludf.DUMMYFUNCTION("REGEXEXTRACT(A21, ""year *= *""""([^""""]+)"""""")"),"2019")</f>
        <v>2019</v>
      </c>
      <c r="F21" s="25" t="s">
        <v>10</v>
      </c>
      <c r="G21" s="25" t="s">
        <v>46</v>
      </c>
      <c r="H21" s="25" t="s">
        <v>160</v>
      </c>
      <c r="I21" s="23" t="s">
        <v>132</v>
      </c>
    </row>
    <row r="22" ht="184.5" customHeight="1">
      <c r="A22" s="32" t="s">
        <v>161</v>
      </c>
      <c r="B22" s="24" t="str">
        <f>IFERROR(__xludf.DUMMYFUNCTION("IFERROR(REGEXEXTRACT(A22, ""author *= *""""([^""""]+)""""""),REGEXEXTRACT(A22, ""author *= *\{+([^\d]+)\}+""))"),"Zhang, Xuan  and
      Duh, Kevin")</f>
        <v>Zhang, Xuan  and
      Duh, Kevin</v>
      </c>
      <c r="C22" s="25" t="str">
        <f>IFERROR(__xludf.DUMMYFUNCTION("REGEXEXTRACT(A22, ""title *= *""""([^""""]+)"""""")"),"Reproducible and Efficient Benchmarks for Hyperparameter Optimization of Neural Machine Translation Systems")</f>
        <v>Reproducible and Efficient Benchmarks for Hyperparameter Optimization of Neural Machine Translation Systems</v>
      </c>
      <c r="D22" s="24" t="str">
        <f>IFERROR(__xludf.DUMMYFUNCTION("IFERROR(REGEXEXTRACT(A22, ""journal *= *""""+([^""""]*)""""""),REGEXEXTRACT(A22, ""booktitle *= *""""+([^""""]*)""""""))"),"Transactions of the Association for Computational Linguistics")</f>
        <v>Transactions of the Association for Computational Linguistics</v>
      </c>
      <c r="E22" s="24" t="str">
        <f>IFERROR(__xludf.DUMMYFUNCTION("REGEXEXTRACT(A22, ""year *= *""""([^""""]+)"""""")"),"2020")</f>
        <v>2020</v>
      </c>
      <c r="F22" s="25" t="s">
        <v>10</v>
      </c>
      <c r="G22" s="25" t="s">
        <v>48</v>
      </c>
      <c r="H22" s="25" t="s">
        <v>162</v>
      </c>
      <c r="I22" s="23" t="s">
        <v>132</v>
      </c>
    </row>
    <row r="23">
      <c r="A23" s="32" t="s">
        <v>163</v>
      </c>
      <c r="B23" s="24" t="str">
        <f>IFERROR(__xludf.DUMMYFUNCTION("IFERROR(REGEXEXTRACT(A23, ""author *= *""""([^""""]+)""""""),REGEXEXTRACT(A23, ""author *= *\{+([^\d]+)\}+""))"),"Born, Leo  and
      Bacher, Maximilian  and
      Markert, Katja")</f>
        <v>Born, Leo  and
      Bacher, Maximilian  and
      Markert, Katja</v>
      </c>
      <c r="C23" s="25" t="str">
        <f>IFERROR(__xludf.DUMMYFUNCTION("REGEXEXTRACT(A23, ""title *= *""""([^""""]+)"""""")"),"Dataset Reproducibility and {IR} Methods in Timeline Summarization")</f>
        <v>Dataset Reproducibility and {IR} Methods in Timeline Summarization</v>
      </c>
      <c r="D23" s="24" t="str">
        <f>IFERROR(__xludf.DUMMYFUNCTION("IFERROR(REGEXEXTRACT(A23, ""journal *= *""""+([^""""]*)""""""),REGEXEXTRACT(A23, ""booktitle *= *""""+([^""""]*)""""""))"),"Proceedings of The 12th Language Resources and Evaluation Conference")</f>
        <v>Proceedings of The 12th Language Resources and Evaluation Conference</v>
      </c>
      <c r="E23" s="24" t="str">
        <f>IFERROR(__xludf.DUMMYFUNCTION("REGEXEXTRACT(A23, ""year *= *""""([^""""]+)"""""")"),"2020")</f>
        <v>2020</v>
      </c>
      <c r="F23" s="25" t="s">
        <v>24</v>
      </c>
      <c r="G23" s="25" t="s">
        <v>50</v>
      </c>
      <c r="H23" s="25" t="s">
        <v>164</v>
      </c>
      <c r="I23" s="23" t="s">
        <v>132</v>
      </c>
    </row>
    <row r="24">
      <c r="A24" s="23" t="s">
        <v>51</v>
      </c>
      <c r="B24" s="24" t="str">
        <f>IFERROR(__xludf.DUMMYFUNCTION("IFERROR(REGEXEXTRACT(A24, ""author *= *""""([^""""]+)""""""),REGEXEXTRACT(A24, ""author *= *\{+([^\d]+)\}+""))"),"Ant{\'o}nio Rodrigues, Jo{\~a}o  and
      Branco, Ruben  and
      Silva, Jo{\~a}o  and
      Branco, Ant{\'o}nio")</f>
        <v>Ant{\'o}nio Rodrigues, Jo{\~a}o  and
      Branco, Ruben  and
      Silva, Jo{\~a}o  and
      Branco, Ant{\'o}nio</v>
      </c>
      <c r="C24" s="25" t="str">
        <f>IFERROR(__xludf.DUMMYFUNCTION("REGEXEXTRACT(A24, ""title *= *""""([^""""]+)"""""")"),"Reproduction and Revival of the Argument Reasoning Comprehension Task")</f>
        <v>Reproduction and Revival of the Argument Reasoning Comprehension Task</v>
      </c>
      <c r="D24" s="24" t="str">
        <f>IFERROR(__xludf.DUMMYFUNCTION("IFERROR(REGEXEXTRACT(A24, ""journal *= *""""+([^""""]*)""""""),REGEXEXTRACT(A24, ""booktitle *= *""""+([^""""]*)""""""))"),"Proceedings of The 12th Language Resources and Evaluation Conference")</f>
        <v>Proceedings of The 12th Language Resources and Evaluation Conference</v>
      </c>
      <c r="E24" s="24" t="str">
        <f>IFERROR(__xludf.DUMMYFUNCTION("REGEXEXTRACT(A24, ""year *= *""""([^""""]+)"""""")"),"2020")</f>
        <v>2020</v>
      </c>
      <c r="F24" s="25" t="s">
        <v>24</v>
      </c>
      <c r="G24" s="25" t="s">
        <v>52</v>
      </c>
      <c r="H24" s="25" t="s">
        <v>165</v>
      </c>
      <c r="I24" s="23" t="s">
        <v>132</v>
      </c>
    </row>
    <row r="25">
      <c r="A25" s="23" t="s">
        <v>53</v>
      </c>
      <c r="B25" s="24" t="str">
        <f>IFERROR(__xludf.DUMMYFUNCTION("IFERROR(REGEXEXTRACT(A25, ""author *= *""""([^""""]+)""""""),REGEXEXTRACT(A25, ""author *= *\{+([^\d]+)\}+""))"),"Branco, Ant{\'o}nio  and
      Calzolari, Nicoletta  and
      Vossen, Piek  and
      Van Noord, Gertjan  and
      van Uytvanck, Dieter  and
      Silva, Jo{\~a}o  and
      Gomes, Lu{\'\i}s  and
      Moreira, Andr{\'e}  and
      Elbers, Willem")</f>
        <v>Branco, Ant{\'o}nio  and
      Calzolari, Nicoletta  and
      Vossen, Piek  and
      Van Noord, Gertjan  and
      van Uytvanck, Dieter  and
      Silva, Jo{\~a}o  and
      Gomes, Lu{\'\i}s  and
      Moreira, Andr{\'e}  and
      Elbers, Willem</v>
      </c>
      <c r="C25" s="25" t="str">
        <f>IFERROR(__xludf.DUMMYFUNCTION("REGEXEXTRACT(A25, ""title *= *""""([^""""]+)"""""")"),"A Shared Task of a New, Collaborative Type to Foster Reproducibility: A First Exercise in the Area of Language Science and Technology with {REPROLANG}2020")</f>
        <v>A Shared Task of a New, Collaborative Type to Foster Reproducibility: A First Exercise in the Area of Language Science and Technology with {REPROLANG}2020</v>
      </c>
      <c r="D25" s="24" t="str">
        <f>IFERROR(__xludf.DUMMYFUNCTION("IFERROR(REGEXEXTRACT(A25, ""journal *= *""""+([^""""]*)""""""),REGEXEXTRACT(A25, ""booktitle *= *""""+([^""""]*)""""""))"),"Proceedings of The 12th Language Resources and Evaluation Conference")</f>
        <v>Proceedings of The 12th Language Resources and Evaluation Conference</v>
      </c>
      <c r="E25" s="24" t="str">
        <f>IFERROR(__xludf.DUMMYFUNCTION("REGEXEXTRACT(A25, ""year *= *""""([^""""]+)"""""")"),"2020")</f>
        <v>2020</v>
      </c>
      <c r="F25" s="25" t="s">
        <v>24</v>
      </c>
      <c r="G25" s="25" t="str">
        <f>IFERROR(__xludf.DUMMYFUNCTION("IFERROR(REGEXEXTRACT(A25, ""abstract *= *""""+([^""""]*)""""""),REGEXEXTRACT(A25, ""abstract *= *\{+(.*)\}""))"),"In this paper, we introduce a new type of shared task — which is collaborative rather than competitive — designed to support and foster the reproduction of research results. We also describe the first event running such a novel challenge, present the resu"&amp;"lts obtained, discuss the lessons learned and ponder on future undertakings.")</f>
        <v>In this paper, we introduce a new type of shared task — which is collaborative rather than competitive — designed to support and foster the reproduction of research results. We also describe the first event running such a novel challenge, present the results obtained, discuss the lessons learned and ponder on future undertakings.</v>
      </c>
      <c r="H25" s="25" t="s">
        <v>166</v>
      </c>
      <c r="I25" s="23" t="s">
        <v>167</v>
      </c>
    </row>
    <row r="26">
      <c r="A26" s="23" t="s">
        <v>54</v>
      </c>
      <c r="B26" s="24" t="str">
        <f>IFERROR(__xludf.DUMMYFUNCTION("IFERROR(REGEXEXTRACT(A26, ""author *= *""""([^""""]+)""""""),REGEXEXTRACT(A26, ""author *= *\{+([^\d]+)\}+""))"),"Garneau, Nicolas  and
      Godbout, Mathieu  and
      Beauchemin, David  and
      Durand, Audrey  and
      Lamontagne, Luc")</f>
        <v>Garneau, Nicolas  and
      Godbout, Mathieu  and
      Beauchemin, David  and
      Durand, Audrey  and
      Lamontagne, Luc</v>
      </c>
      <c r="C26" s="25" t="str">
        <f>IFERROR(__xludf.DUMMYFUNCTION("REGEXEXTRACT(A26, ""title *= *""""([^""""]+)"""""")"),"A Robust Self-Learning Method for Fully Unsupervised Cross-Lingual Mappings of Word Embeddings: Making the Method Robustly Reproducible as Well")</f>
        <v>A Robust Self-Learning Method for Fully Unsupervised Cross-Lingual Mappings of Word Embeddings: Making the Method Robustly Reproducible as Well</v>
      </c>
      <c r="D26" s="24" t="str">
        <f>IFERROR(__xludf.DUMMYFUNCTION("IFERROR(REGEXEXTRACT(A26, ""journal *= *""""+([^""""]*)""""""),REGEXEXTRACT(A26, ""booktitle *= *""""+([^""""]*)""""""))"),"Proceedings of The 12th Language Resources and Evaluation Conference")</f>
        <v>Proceedings of The 12th Language Resources and Evaluation Conference</v>
      </c>
      <c r="E26" s="24" t="str">
        <f>IFERROR(__xludf.DUMMYFUNCTION("REGEXEXTRACT(A26, ""year *= *""""([^""""]+)"""""")"),"2020")</f>
        <v>2020</v>
      </c>
      <c r="F26" s="25" t="s">
        <v>24</v>
      </c>
      <c r="G26" s="25" t="s">
        <v>55</v>
      </c>
      <c r="H26" s="25" t="s">
        <v>168</v>
      </c>
      <c r="I26" s="23" t="s">
        <v>132</v>
      </c>
    </row>
    <row r="27">
      <c r="A27" s="23" t="s">
        <v>56</v>
      </c>
      <c r="B27" s="24" t="str">
        <f>IFERROR(__xludf.DUMMYFUNCTION("IFERROR(REGEXEXTRACT(A27, ""author *= *""""([^""""]+)""""""),REGEXEXTRACT(A27, ""author *= *\{+([^\d]+)\}+""))"),"Khoe, Yung Han")</f>
        <v>Khoe, Yung Han</v>
      </c>
      <c r="C27" s="25" t="str">
        <f>IFERROR(__xludf.DUMMYFUNCTION("REGEXEXTRACT(A27, ""title *= *""""([^""""]+)"""""")"),"Reproducing a Morphosyntactic Tagger with a Meta-{B}i{LSTM} Model over Context Sensitive Token Encodings")</f>
        <v>Reproducing a Morphosyntactic Tagger with a Meta-{B}i{LSTM} Model over Context Sensitive Token Encodings</v>
      </c>
      <c r="D27" s="24" t="str">
        <f>IFERROR(__xludf.DUMMYFUNCTION("IFERROR(REGEXEXTRACT(A27, ""journal *= *""""+([^""""]*)""""""),REGEXEXTRACT(A27, ""booktitle *= *""""+([^""""]*)""""""))"),"Proceedings of The 12th Language Resources and Evaluation Conference")</f>
        <v>Proceedings of The 12th Language Resources and Evaluation Conference</v>
      </c>
      <c r="E27" s="24" t="str">
        <f>IFERROR(__xludf.DUMMYFUNCTION("REGEXEXTRACT(A27, ""year *= *""""([^""""]+)"""""")"),"2020")</f>
        <v>2020</v>
      </c>
      <c r="F27" s="25" t="s">
        <v>24</v>
      </c>
      <c r="G27" s="25" t="s">
        <v>57</v>
      </c>
      <c r="H27" s="25" t="s">
        <v>169</v>
      </c>
      <c r="I27" s="23" t="s">
        <v>167</v>
      </c>
    </row>
    <row r="28">
      <c r="A28" s="23" t="s">
        <v>58</v>
      </c>
      <c r="B28" s="24" t="str">
        <f>IFERROR(__xludf.DUMMYFUNCTION("IFERROR(REGEXEXTRACT(A28, ""author *= *""""([^""""]+)""""""),REGEXEXTRACT(A28, ""author *= *\{+([^\d]+)\}+""))"),"Rim, Kyeongmin  and
      Tu, Jingxuan  and
      Lynch, Kelley  and
      Pustejovsky, James")</f>
        <v>Rim, Kyeongmin  and
      Tu, Jingxuan  and
      Lynch, Kelley  and
      Pustejovsky, James</v>
      </c>
      <c r="C28" s="25" t="str">
        <f>IFERROR(__xludf.DUMMYFUNCTION("REGEXEXTRACT(A28, ""title *= *""""([^""""]+)"""""")"),"Reproducing Neural Ensemble Classifier for Semantic Relation Extraction in{S}cientific Papers")</f>
        <v>Reproducing Neural Ensemble Classifier for Semantic Relation Extraction in{S}cientific Papers</v>
      </c>
      <c r="D28" s="24" t="str">
        <f>IFERROR(__xludf.DUMMYFUNCTION("IFERROR(REGEXEXTRACT(A28, ""journal *= *""""+([^""""]*)""""""),REGEXEXTRACT(A28, ""booktitle *= *""""+([^""""]*)""""""))"),"Proceedings of The 12th Language Resources and Evaluation Conference")</f>
        <v>Proceedings of The 12th Language Resources and Evaluation Conference</v>
      </c>
      <c r="E28" s="24" t="str">
        <f>IFERROR(__xludf.DUMMYFUNCTION("REGEXEXTRACT(A28, ""year *= *""""([^""""]+)"""""")"),"2020")</f>
        <v>2020</v>
      </c>
      <c r="F28" s="25" t="s">
        <v>24</v>
      </c>
      <c r="G28" s="25" t="s">
        <v>59</v>
      </c>
      <c r="H28" s="25" t="s">
        <v>170</v>
      </c>
      <c r="I28" s="23" t="s">
        <v>132</v>
      </c>
    </row>
    <row r="29">
      <c r="A29" s="32" t="s">
        <v>171</v>
      </c>
      <c r="B29" s="24" t="str">
        <f>IFERROR(__xludf.DUMMYFUNCTION("IFERROR(REGEXEXTRACT(A29, ""author *= *""""([^""""]+)""""""),REGEXEXTRACT(A29, ""author *= *\{+([^\d]+)\}+""))"),"Abdellatif, Mohamed  and
      Elgammal, Ahmed")</f>
        <v>Abdellatif, Mohamed  and
      Elgammal, Ahmed</v>
      </c>
      <c r="C29" s="25" t="str">
        <f>IFERROR(__xludf.DUMMYFUNCTION("REGEXEXTRACT(A29, ""title *= *""""([^""""]+)"""""")"),"{ULMF}i{T} replication")</f>
        <v>{ULMF}i{T} replication</v>
      </c>
      <c r="D29" s="24" t="str">
        <f>IFERROR(__xludf.DUMMYFUNCTION("IFERROR(REGEXEXTRACT(A29, ""journal *= *""""+([^""""]*)""""""),REGEXEXTRACT(A29, ""booktitle *= *""""+([^""""]*)""""""))"),"Proceedings of The 12th Language Resources and Evaluation Conference")</f>
        <v>Proceedings of The 12th Language Resources and Evaluation Conference</v>
      </c>
      <c r="E29" s="24" t="str">
        <f>IFERROR(__xludf.DUMMYFUNCTION("REGEXEXTRACT(A29, ""year *= *""""([^""""]+)"""""")"),"2020")</f>
        <v>2020</v>
      </c>
      <c r="F29" s="25" t="s">
        <v>24</v>
      </c>
      <c r="G29" s="25" t="s">
        <v>61</v>
      </c>
      <c r="H29" s="25" t="s">
        <v>172</v>
      </c>
      <c r="I29" s="23" t="s">
        <v>173</v>
      </c>
    </row>
    <row r="30">
      <c r="A30" s="23" t="s">
        <v>62</v>
      </c>
      <c r="B30" s="24" t="str">
        <f>IFERROR(__xludf.DUMMYFUNCTION("IFERROR(REGEXEXTRACT(A30, ""author *= *""""([^""""]+)""""""),REGEXEXTRACT(A30, ""author *= *\{+([^\d]+)\}+""))"),"Bestgen, Yves")</f>
        <v>Bestgen, Yves</v>
      </c>
      <c r="C30" s="25" t="str">
        <f>IFERROR(__xludf.DUMMYFUNCTION("REGEXEXTRACT(A30, ""title *= *""""([^""""]+)"""""")"),"Reproducing Monolingual, Multilingual and Cross-Lingual {CEFR} Predictions")</f>
        <v>Reproducing Monolingual, Multilingual and Cross-Lingual {CEFR} Predictions</v>
      </c>
      <c r="D30" s="24" t="str">
        <f>IFERROR(__xludf.DUMMYFUNCTION("IFERROR(REGEXEXTRACT(A30, ""journal *= *""""+([^""""]*)""""""),REGEXEXTRACT(A30, ""booktitle *= *""""+([^""""]*)""""""))"),"Proceedings of The 12th Language Resources and Evaluation Conference")</f>
        <v>Proceedings of The 12th Language Resources and Evaluation Conference</v>
      </c>
      <c r="E30" s="24" t="str">
        <f>IFERROR(__xludf.DUMMYFUNCTION("REGEXEXTRACT(A30, ""year *= *""""([^""""]+)"""""")"),"2020")</f>
        <v>2020</v>
      </c>
      <c r="F30" s="25" t="s">
        <v>24</v>
      </c>
      <c r="G30" s="25" t="s">
        <v>63</v>
      </c>
      <c r="H30" s="25" t="s">
        <v>174</v>
      </c>
      <c r="I30" s="23" t="s">
        <v>175</v>
      </c>
    </row>
    <row r="31">
      <c r="A31" s="23" t="s">
        <v>64</v>
      </c>
      <c r="B31" s="24" t="str">
        <f>IFERROR(__xludf.DUMMYFUNCTION("IFERROR(REGEXEXTRACT(A31, ""author *= *""""([^""""]+)""""""),REGEXEXTRACT(A31, ""author *= *\{+([^\d]+)\}+""))"),"Huber, Eva  and
      {\c{C}}{\""o}ltekin, {\c{C}}a{\u{g}}r{\i}")</f>
        <v>Huber, Eva  and
      {\c{C}}{\"o}ltekin, {\c{C}}a{\u{g}}r{\i}</v>
      </c>
      <c r="C31" s="25" t="str">
        <f>IFERROR(__xludf.DUMMYFUNCTION("REGEXEXTRACT(A31, ""title *= *""""([^""""]+)"""""")"),"Reproduction and Replication: A Case Study with Automatic Essay Scoring")</f>
        <v>Reproduction and Replication: A Case Study with Automatic Essay Scoring</v>
      </c>
      <c r="D31" s="24" t="str">
        <f>IFERROR(__xludf.DUMMYFUNCTION("IFERROR(REGEXEXTRACT(A31, ""journal *= *""""+([^""""]*)""""""),REGEXEXTRACT(A31, ""booktitle *= *""""+([^""""]*)""""""))"),"Proceedings of The 12th Language Resources and Evaluation Conference")</f>
        <v>Proceedings of The 12th Language Resources and Evaluation Conference</v>
      </c>
      <c r="E31" s="24" t="str">
        <f>IFERROR(__xludf.DUMMYFUNCTION("REGEXEXTRACT(A31, ""year *= *""""([^""""]+)"""""")"),"2020")</f>
        <v>2020</v>
      </c>
      <c r="F31" s="25" t="s">
        <v>24</v>
      </c>
      <c r="G31" s="25" t="s">
        <v>65</v>
      </c>
      <c r="H31" s="25" t="s">
        <v>176</v>
      </c>
      <c r="I31" s="23" t="s">
        <v>132</v>
      </c>
    </row>
    <row r="32" ht="273.75" customHeight="1">
      <c r="A32" s="23" t="s">
        <v>68</v>
      </c>
      <c r="B32" s="24" t="str">
        <f>IFERROR(__xludf.DUMMYFUNCTION("IFERROR(REGEXEXTRACT(A32, ""author *= *""""([^""""]+)""""""),REGEXEXTRACT(A32, ""author *= *\{+([^\d]+)\}+""))"),"Millour, Alice  and
      Fort, Kar{\""e}n  and
      Magistry, Pierre")</f>
        <v>Millour, Alice  and
      Fort, Kar{\"e}n  and
      Magistry, Pierre</v>
      </c>
      <c r="C32" s="25" t="str">
        <f>IFERROR(__xludf.DUMMYFUNCTION("REGEXEXTRACT(A32, ""title *= *""""([^""""]+)"""""")"),"R{\'e}pliquer et {\'e}tendre pour l{'}alsacien {``}{\'E}tiquetage en parties du discours de langues peu dot{\'e}es par sp{\'e}cialisation des plongements lexicaux{''} (Replicating and extending for {A}lsatian : {``}{POS} tagging for low-resource languages"&amp;" by adapting word embeddings{''})")</f>
        <v>R{\'e}pliquer et {\'e}tendre pour l{'}alsacien {``}{\'E}tiquetage en parties du discours de langues peu dot{\'e}es par sp{\'e}cialisation des plongements lexicaux{''} (Replicating and extending for {A}lsatian : {``}{POS} tagging for low-resource languages by adapting word embeddings{''})</v>
      </c>
      <c r="D32" s="24" t="str">
        <f>IFERROR(__xludf.DUMMYFUNCTION("IFERROR(REGEXEXTRACT(A32, ""journal *= *""""+([^""""]*)""""""),REGEXEXTRACT(A32, ""booktitle *= *""""+([^""""]*)""""""))"),"Actes de la 6e conf{\'e}rence conjointe Journ{\'e}es d'{\'E}tudes sur la Parole (JEP, 33e {\'e}dition), Traitement Automatique des Langues Naturelles (TALN, 27e {\'e}dition), Rencontre des {\'E}tudiants Chercheurs en Informatique pour le Traitement Automa"&amp;"tique des Langues (R{\'E}CITAL, 22e {\'e}dition). 2e atelier {\'E}thique et TRaitemeNt Automatique des Langues (ETeRNAL)")</f>
        <v>Actes de la 6e conf{\'e}rence conjointe Journ{\'e}es d'{\'E}tudes sur la Parole (JEP, 33e {\'e}dition), Traitement Automatique des Langues Naturelles (TALN, 27e {\'e}dition), Rencontre des {\'E}tudiants Chercheurs en Informatique pour le Traitement Automatique des Langues (R{\'E}CITAL, 22e {\'e}dition). 2e atelier {\'E}thique et TRaitemeNt Automatique des Langues (ETeRNAL)</v>
      </c>
      <c r="E32" s="24" t="str">
        <f>IFERROR(__xludf.DUMMYFUNCTION("REGEXEXTRACT(A32, ""year *= *""""([^""""]+)"""""")"),"2020")</f>
        <v>2020</v>
      </c>
      <c r="F32" s="25" t="s">
        <v>8</v>
      </c>
      <c r="G32" s="25" t="s">
        <v>69</v>
      </c>
      <c r="H32" s="25" t="s">
        <v>177</v>
      </c>
      <c r="I32" s="23" t="s">
        <v>132</v>
      </c>
    </row>
    <row r="33">
      <c r="A33" s="3" t="s">
        <v>70</v>
      </c>
      <c r="B33" s="4" t="str">
        <f>IFERROR(__xludf.DUMMYFUNCTION("IFERROR(REGEXEXTRACT(A33, ""author *= *""""([^""""]+)""""""),REGEXEXTRACT(A33, ""author *= *\{+([^\d]+)\}+""))"),"Arhiliuc, Cristina  and
      Mitrovi{\'c}, Jelena  and
      Granitzer, Michael")</f>
        <v>Arhiliuc, Cristina  and
      Mitrovi{\'c}, Jelena  and
      Granitzer, Michael</v>
      </c>
      <c r="C33" s="4" t="str">
        <f>IFERROR(__xludf.DUMMYFUNCTION("REGEXEXTRACT(A33, ""title *= *""""([^""""]+)"""""")"),"Language Proficiency Scoring")</f>
        <v>Language Proficiency Scoring</v>
      </c>
      <c r="D33" s="4" t="str">
        <f>IFERROR(__xludf.DUMMYFUNCTION("IFERROR(REGEXEXTRACT(A33, ""journal *= *""""+([^""""]*)""""""),REGEXEXTRACT(A33, ""booktitle *= *""""+([^""""]*)""""""))"),"Proceedings of The 12th Language Resources and Evaluation Conference")</f>
        <v>Proceedings of The 12th Language Resources and Evaluation Conference</v>
      </c>
      <c r="E33" s="4" t="str">
        <f>IFERROR(__xludf.DUMMYFUNCTION("REGEXEXTRACT(A33, ""year *= *""""([^""""]+)"""""")"),"2020")</f>
        <v>2020</v>
      </c>
      <c r="F33" s="4" t="s">
        <v>24</v>
      </c>
      <c r="G33" s="4" t="str">
        <f>IFERROR(__xludf.DUMMYFUNCTION("REGEXEXTRACT(A33, ""abstract *= *""""([^""""]+)"""""")"),"The Common European Framework of Reference (CEFR) provides generic guidelines for the evaluation of language proficiency. Nevertheless, for automated proficiency classification systems, different approaches for different languages are proposed. Our paper "&amp;"evaluates and extends the results of an approach to Automatic Essay Scoring proposed as a part of the REPROLANG 2020 challenge. We provide a comparison between our results and the ones from the published paper and we include a new corpus for the English l"&amp;"anguage for further experiments. Our results are lower than the expected ones when using the same approach and the system does not scale well with the added English corpus.")</f>
        <v>The Common European Framework of Reference (CEFR) provides generic guidelines for the evaluation of language proficiency. Nevertheless, for automated proficiency classification systems, different approaches for different languages are proposed. Our paper evaluates and extends the results of an approach to Automatic Essay Scoring proposed as a part of the REPROLANG 2020 challenge. We provide a comparison between our results and the ones from the published paper and we include a new corpus for the English language for further experiments. Our results are lower than the expected ones when using the same approach and the system does not scale well with the added English corpus.</v>
      </c>
      <c r="H33" s="39" t="s">
        <v>178</v>
      </c>
      <c r="I33" s="40" t="s">
        <v>132</v>
      </c>
      <c r="J33" s="3"/>
      <c r="K33" s="3"/>
      <c r="L33" s="3"/>
      <c r="M33" s="3"/>
      <c r="N33" s="3"/>
      <c r="O33" s="3"/>
      <c r="P33" s="3"/>
      <c r="Q33" s="3"/>
      <c r="R33" s="3"/>
      <c r="S33" s="3"/>
      <c r="T33" s="3"/>
      <c r="U33" s="3"/>
      <c r="V33" s="3"/>
      <c r="W33" s="3"/>
      <c r="X33" s="3"/>
      <c r="Y33" s="3"/>
      <c r="Z33" s="3"/>
      <c r="AA33" s="3"/>
    </row>
    <row r="34">
      <c r="A34" s="3" t="s">
        <v>76</v>
      </c>
      <c r="B34" s="4" t="str">
        <f>IFERROR(__xludf.DUMMYFUNCTION("IFERROR(REGEXEXTRACT(A34, ""author *= *""""([^""""]+)""""""),REGEXEXTRACT(A34, ""author *= *\{+([^\d]+)\}+""))"),"Caines, Andrew  and
      Buttery, Paula")</f>
        <v>Caines, Andrew  and
      Buttery, Paula</v>
      </c>
      <c r="C34" s="4" t="str">
        <f>IFERROR(__xludf.DUMMYFUNCTION("REGEXEXTRACT(A34, ""title *= *""""([^""""]+)"""""")"),"{REPROLANG} 2020: Automatic Proficiency Scoring of {C}zech, {E}nglish, {G}erman, {I}talian, and {S}panish Learner Essays")</f>
        <v>{REPROLANG} 2020: Automatic Proficiency Scoring of {C}zech, {E}nglish, {G}erman, {I}talian, and {S}panish Learner Essays</v>
      </c>
      <c r="D34" s="4" t="str">
        <f>IFERROR(__xludf.DUMMYFUNCTION("IFERROR(REGEXEXTRACT(A34, ""journal *= *""""+([^""""]*)""""""),REGEXEXTRACT(A34, ""booktitle *= *""""+([^""""]*)""""""))"),"Proceedings of The 12th Language Resources and Evaluation Conference")</f>
        <v>Proceedings of The 12th Language Resources and Evaluation Conference</v>
      </c>
      <c r="E34" s="4" t="str">
        <f>IFERROR(__xludf.DUMMYFUNCTION("REGEXEXTRACT(A34, ""year *= *""""([^""""]+)"""""")"),"2020")</f>
        <v>2020</v>
      </c>
      <c r="F34" s="4" t="s">
        <v>24</v>
      </c>
      <c r="G34" s="4" t="str">
        <f>IFERROR(__xludf.DUMMYFUNCTION("REGEXEXTRACT(A34, ""abstract *= *""""([^""""]+)"""""")"),"We report on our attempts to reproduce the work described in Vajjala {\&amp;} Rama 2018, {`}Experiments with universal CEFR classification{'}, as part of REPROLANG 2020: this involves featured-based and neural approaches to essay scoring in Czech, German and "&amp;"Italian. Our results are broadly in line with those from the original paper, with some differences due to the stochastic nature of machine learning and programming language used. We correct an error in the reported metrics, introduce new baselines, apply "&amp;"the experiments to English and Spanish corpora, and generate adversarial data to test classifier robustness. We conclude that feature-based approaches perform better than neural network classifiers for text datasets of this size, though neural network mod"&amp;"ifications do bring performance closer to the best feature-based models.")</f>
        <v>We report on our attempts to reproduce the work described in Vajjala {\&amp;} Rama 2018, {`}Experiments with universal CEFR classification{'}, as part of REPROLANG 2020: this involves featured-based and neural approaches to essay scoring in Czech, German and Italian. Our results are broadly in line with those from the original paper, with some differences due to the stochastic nature of machine learning and programming language used. We correct an error in the reported metrics, introduce new baselines, apply the experiments to English and Spanish corpora, and generate adversarial data to test classifier robustness. We conclude that feature-based approaches perform better than neural network classifiers for text datasets of this size, though neural network modifications do bring performance closer to the best feature-based models.</v>
      </c>
      <c r="H34" s="39" t="s">
        <v>179</v>
      </c>
      <c r="I34" s="40" t="s">
        <v>132</v>
      </c>
      <c r="J34" s="3"/>
      <c r="K34" s="3"/>
      <c r="L34" s="3"/>
      <c r="M34" s="3"/>
      <c r="N34" s="3"/>
      <c r="O34" s="3"/>
      <c r="P34" s="3"/>
      <c r="Q34" s="3"/>
      <c r="R34" s="3"/>
      <c r="S34" s="3"/>
      <c r="T34" s="3"/>
      <c r="U34" s="3"/>
      <c r="V34" s="3"/>
      <c r="W34" s="3"/>
      <c r="X34" s="3"/>
      <c r="Y34" s="3"/>
      <c r="Z34" s="3"/>
      <c r="AA34" s="3"/>
    </row>
    <row r="35">
      <c r="A35" s="3" t="s">
        <v>80</v>
      </c>
      <c r="B35" s="4" t="str">
        <f>IFERROR(__xludf.DUMMYFUNCTION("IFERROR(REGEXEXTRACT(A35, ""author *= *""""([^""""]+)""""""),REGEXEXTRACT(A35, ""author *= *\{+([^\d]+)\}+""))"),"Cooper, Michael  and
      Shardlow, Matthew")</f>
        <v>Cooper, Michael  and
      Shardlow, Matthew</v>
      </c>
      <c r="C35" s="4" t="str">
        <f>IFERROR(__xludf.DUMMYFUNCTION("REGEXEXTRACT(A35, ""title *= *""""([^""""]+)"""""")"),"{C}ombi{NMT}: An Exploration into Neural Text Simplification Models")</f>
        <v>{C}ombi{NMT}: An Exploration into Neural Text Simplification Models</v>
      </c>
      <c r="D35" s="4" t="str">
        <f>IFERROR(__xludf.DUMMYFUNCTION("IFERROR(REGEXEXTRACT(A35, ""journal *= *""""+([^""""]*)""""""),REGEXEXTRACT(A35, ""booktitle *= *""""+([^""""]*)""""""))"),"Proceedings of The 12th Language Resources and Evaluation Conference")</f>
        <v>Proceedings of The 12th Language Resources and Evaluation Conference</v>
      </c>
      <c r="E35" s="4" t="str">
        <f>IFERROR(__xludf.DUMMYFUNCTION("REGEXEXTRACT(A35, ""year *= *""""([^""""]+)"""""")"),"2020")</f>
        <v>2020</v>
      </c>
      <c r="F35" s="4" t="s">
        <v>24</v>
      </c>
      <c r="G35" s="4" t="str">
        <f>IFERROR(__xludf.DUMMYFUNCTION("REGEXEXTRACT(A35, ""abstract *= *""""([^""""]+)"""""")"),"This work presents a replication study of Exploring Neural Text Simplification Models (Nisioi et al., 2017). We were able to successfully replicate and extend the methods presented in the original paper. Alongside the replication results, we present our i"&amp;"mprovements dubbed CombiNMT. By using an updated implementation of OpenNMT, and incorporating the Newsela corpus alongside the original Wikipedia dataset (Hwang et al., 2016), as well as refining both datasets to select high quality training examples. Our"&amp;" work present two new systems, CombiNMT995, which is a result of matched sentences with a cosine similarity of 0.995 or less, and CombiNMT98, which, similarly, runs on a cosine similarity of 0.98 or less. By extending the human evaluation presented within"&amp;" the original paper, increasing both the number of annotators and the number of sentences annotated, with the intention of increasing the quality of the results, CombiNMT998 shows significant improvement over any of the Neural Text Simplification (NTS) sy"&amp;"stems from the original paper in terms of both the number of changes and the percentage of correct changes made.")</f>
        <v>This work presents a replication study of Exploring Neural Text Simplification Models (Nisioi et al., 2017). We were able to successfully replicate and extend the methods presented in the original paper. Alongside the replication results, we present our improvements dubbed CombiNMT. By using an updated implementation of OpenNMT, and incorporating the Newsela corpus alongside the original Wikipedia dataset (Hwang et al., 2016), as well as refining both datasets to select high quality training examples. Our work present two new systems, CombiNMT995, which is a result of matched sentences with a cosine similarity of 0.995 or less, and CombiNMT98, which, similarly, runs on a cosine similarity of 0.98 or less. By extending the human evaluation presented within the original paper, increasing both the number of annotators and the number of sentences annotated, with the intention of increasing the quality of the results, CombiNMT998 shows significant improvement over any of the Neural Text Simplification (NTS) systems from the original paper in terms of both the number of changes and the percentage of correct changes made.</v>
      </c>
      <c r="H35" s="41" t="s">
        <v>180</v>
      </c>
      <c r="I35" s="42" t="s">
        <v>167</v>
      </c>
      <c r="J35" s="43"/>
      <c r="K35" s="3"/>
      <c r="L35" s="3"/>
      <c r="M35" s="3"/>
      <c r="N35" s="3"/>
      <c r="O35" s="3"/>
      <c r="P35" s="3"/>
      <c r="Q35" s="3"/>
      <c r="R35" s="3"/>
      <c r="S35" s="3"/>
      <c r="T35" s="3"/>
      <c r="U35" s="3"/>
      <c r="V35" s="3"/>
      <c r="W35" s="3"/>
      <c r="X35" s="3"/>
      <c r="Y35" s="3"/>
      <c r="Z35" s="3"/>
      <c r="AA35" s="3"/>
    </row>
    <row r="36">
      <c r="A36" s="3" t="s">
        <v>99</v>
      </c>
      <c r="B36" s="4" t="str">
        <f>IFERROR(__xludf.DUMMYFUNCTION("IFERROR(REGEXEXTRACT(A36, ""author *= *""""([^""""]+)""""""),REGEXEXTRACT(A36, ""author *= *\{+([^\d]+)\}+""))"),"Pluci{\'n}ski, Kamil  and
      Lango, Mateusz  and
      Zimniewicz, Micha{\l}")</f>
        <v>Pluci{\'n}ski, Kamil  and
      Lango, Mateusz  and
      Zimniewicz, Micha{\l}</v>
      </c>
      <c r="C36" s="4" t="str">
        <f>IFERROR(__xludf.DUMMYFUNCTION("REGEXEXTRACT(A36, ""title *= *""""([^""""]+)"""""")"),"A Closer Look on Unsupervised Cross-lingual Word Embeddings Mapping")</f>
        <v>A Closer Look on Unsupervised Cross-lingual Word Embeddings Mapping</v>
      </c>
      <c r="D36" s="4" t="str">
        <f>IFERROR(__xludf.DUMMYFUNCTION("IFERROR(REGEXEXTRACT(A36, ""journal *= *""""+([^""""]*)""""""),REGEXEXTRACT(A36, ""booktitle *= *""""+([^""""]*)""""""))"),"Proceedings of The 12th Language Resources and Evaluation Conference")</f>
        <v>Proceedings of The 12th Language Resources and Evaluation Conference</v>
      </c>
      <c r="E36" s="4" t="str">
        <f>IFERROR(__xludf.DUMMYFUNCTION("REGEXEXTRACT(A36, ""year *= *""""([^""""]+)"""""")"),"2020")</f>
        <v>2020</v>
      </c>
      <c r="F36" s="4" t="s">
        <v>24</v>
      </c>
      <c r="G36" s="4" t="str">
        <f>IFERROR(__xludf.DUMMYFUNCTION("REGEXEXTRACT(A36, ""abstract *= *""""([^""""]+)"""""")"),"In this work, we study the unsupervised cross-lingual word embeddings mapping method presented by Artetxe et al. (2018). First, wesuccessfully reproduced the experiments performed in the original work, finding only minor differences. Furthermore, we verif"&amp;"ied themethod{'}s robustness on different embedding representations and new language pairs, particularly these involving Slavic languages likePolish or Czech. We also performed an experimental analysis of the impact of the method{'}s parameters on the fin"&amp;"al result. Finally, welooked for an alternative way of initialization, which directly relies on the isometric assumption. Our work confirms the results presentedearlier, at the same time pointing at interesting problems occurring while using the method wi"&amp;"th different types of embeddings or onless-common language pairs.")</f>
        <v>In this work, we study the unsupervised cross-lingual word embeddings mapping method presented by Artetxe et al. (2018). First, wesuccessfully reproduced the experiments performed in the original work, finding only minor differences. Furthermore, we verified themethod{'}s robustness on different embedding representations and new language pairs, particularly these involving Slavic languages likePolish or Czech. We also performed an experimental analysis of the impact of the method{'}s parameters on the final result. Finally, welooked for an alternative way of initialization, which directly relies on the isometric assumption. Our work confirms the results presentedearlier, at the same time pointing at interesting problems occurring while using the method with different types of embeddings or onless-common language pairs.</v>
      </c>
      <c r="H36" s="44" t="s">
        <v>181</v>
      </c>
      <c r="I36" s="40" t="s">
        <v>158</v>
      </c>
      <c r="J36" s="3"/>
      <c r="K36" s="3"/>
      <c r="L36" s="3"/>
      <c r="M36" s="3"/>
      <c r="N36" s="3"/>
      <c r="O36" s="3"/>
      <c r="P36" s="3"/>
      <c r="Q36" s="3"/>
      <c r="R36" s="3"/>
      <c r="S36" s="3"/>
      <c r="T36" s="3"/>
      <c r="U36" s="3"/>
      <c r="V36" s="3"/>
      <c r="W36" s="3"/>
      <c r="X36" s="3"/>
      <c r="Y36" s="3"/>
      <c r="Z36" s="3"/>
      <c r="AA36" s="3"/>
    </row>
    <row r="38">
      <c r="B38" s="24"/>
      <c r="G38" s="24"/>
      <c r="H38" s="24"/>
    </row>
    <row r="39">
      <c r="B39" s="24"/>
      <c r="G39" s="24"/>
      <c r="H39" s="24"/>
    </row>
    <row r="40">
      <c r="B40" s="24"/>
      <c r="G40" s="24"/>
      <c r="H40" s="24"/>
    </row>
    <row r="41">
      <c r="B41" s="24"/>
      <c r="G41" s="24"/>
      <c r="H41" s="24"/>
    </row>
    <row r="42">
      <c r="G42" s="24"/>
      <c r="H42" s="24"/>
    </row>
    <row r="43">
      <c r="G43" s="24"/>
      <c r="H43" s="24"/>
    </row>
    <row r="44">
      <c r="G44" s="24"/>
      <c r="H44" s="24"/>
    </row>
    <row r="45">
      <c r="G45" s="24"/>
      <c r="H45" s="24"/>
    </row>
    <row r="46">
      <c r="G46" s="24"/>
      <c r="H46" s="24"/>
    </row>
    <row r="47">
      <c r="G47" s="24"/>
      <c r="H47" s="24"/>
    </row>
    <row r="48">
      <c r="G48" s="24"/>
      <c r="H48" s="24"/>
    </row>
    <row r="49">
      <c r="G49" s="24"/>
      <c r="H49" s="24"/>
    </row>
    <row r="50">
      <c r="G50" s="24"/>
      <c r="H50" s="24"/>
    </row>
    <row r="51">
      <c r="G51" s="24"/>
      <c r="H51" s="24"/>
    </row>
    <row r="52">
      <c r="G52" s="24"/>
      <c r="H52" s="24"/>
    </row>
    <row r="53">
      <c r="G53" s="24"/>
      <c r="H53" s="24"/>
    </row>
    <row r="54">
      <c r="G54" s="24"/>
      <c r="H54" s="24"/>
    </row>
    <row r="55">
      <c r="G55" s="24"/>
      <c r="H55" s="24"/>
    </row>
    <row r="56">
      <c r="G56" s="24"/>
      <c r="H56" s="24"/>
    </row>
    <row r="57">
      <c r="G57" s="24"/>
      <c r="H57" s="24"/>
    </row>
    <row r="58">
      <c r="G58" s="24"/>
      <c r="H58" s="24"/>
    </row>
    <row r="59">
      <c r="G59" s="24"/>
      <c r="H59" s="24"/>
    </row>
    <row r="60">
      <c r="G60" s="24"/>
      <c r="H60" s="24"/>
    </row>
    <row r="61">
      <c r="G61" s="24"/>
      <c r="H61" s="24"/>
    </row>
    <row r="62">
      <c r="G62" s="24"/>
      <c r="H62" s="24"/>
    </row>
    <row r="63">
      <c r="G63" s="24"/>
      <c r="H63" s="24"/>
    </row>
    <row r="64">
      <c r="G64" s="24"/>
      <c r="H64" s="24"/>
    </row>
    <row r="65">
      <c r="G65" s="24"/>
      <c r="H65" s="24"/>
    </row>
    <row r="66">
      <c r="G66" s="24"/>
      <c r="H66" s="24"/>
    </row>
    <row r="67">
      <c r="G67" s="24"/>
      <c r="H67" s="24"/>
    </row>
    <row r="68">
      <c r="G68" s="24"/>
      <c r="H68" s="24"/>
    </row>
    <row r="69">
      <c r="G69" s="24"/>
      <c r="H69" s="24"/>
    </row>
    <row r="70">
      <c r="G70" s="24"/>
      <c r="H70" s="24"/>
    </row>
    <row r="71">
      <c r="G71" s="24"/>
      <c r="H71" s="24"/>
    </row>
    <row r="72">
      <c r="G72" s="24"/>
      <c r="H72" s="24"/>
    </row>
    <row r="73">
      <c r="G73" s="24"/>
      <c r="H73" s="24"/>
    </row>
    <row r="74">
      <c r="G74" s="24"/>
      <c r="H74" s="24"/>
    </row>
    <row r="75">
      <c r="G75" s="24"/>
      <c r="H75" s="24"/>
    </row>
    <row r="76">
      <c r="G76" s="24"/>
      <c r="H76" s="24"/>
    </row>
    <row r="77">
      <c r="G77" s="24"/>
      <c r="H77" s="24"/>
    </row>
    <row r="78">
      <c r="G78" s="24"/>
      <c r="H78" s="24"/>
    </row>
    <row r="79">
      <c r="G79" s="24"/>
      <c r="H79" s="24"/>
    </row>
    <row r="80">
      <c r="G80" s="24"/>
      <c r="H80" s="24"/>
    </row>
    <row r="81">
      <c r="G81" s="24"/>
      <c r="H81" s="24"/>
    </row>
    <row r="82">
      <c r="G82" s="24"/>
      <c r="H82" s="24"/>
    </row>
    <row r="83">
      <c r="G83" s="24"/>
      <c r="H83" s="24"/>
    </row>
    <row r="84">
      <c r="G84" s="24"/>
      <c r="H84" s="24"/>
    </row>
    <row r="85">
      <c r="G85" s="24"/>
      <c r="H85" s="24"/>
    </row>
    <row r="86">
      <c r="G86" s="24"/>
      <c r="H86" s="24"/>
    </row>
    <row r="87">
      <c r="G87" s="24"/>
      <c r="H87" s="24"/>
    </row>
    <row r="88">
      <c r="G88" s="24"/>
      <c r="H88" s="24"/>
    </row>
    <row r="89">
      <c r="G89" s="24"/>
      <c r="H89" s="24"/>
    </row>
    <row r="90">
      <c r="G90" s="24"/>
      <c r="H90" s="24"/>
    </row>
    <row r="91">
      <c r="G91" s="24"/>
      <c r="H91" s="24"/>
    </row>
    <row r="92">
      <c r="G92" s="24"/>
      <c r="H92" s="24"/>
    </row>
    <row r="93">
      <c r="G93" s="24"/>
      <c r="H93" s="24"/>
    </row>
    <row r="94">
      <c r="G94" s="24"/>
      <c r="H94" s="24"/>
    </row>
    <row r="95">
      <c r="G95" s="24"/>
      <c r="H95" s="24"/>
    </row>
    <row r="96">
      <c r="G96" s="24"/>
      <c r="H96" s="24"/>
    </row>
    <row r="97">
      <c r="G97" s="24"/>
      <c r="H97" s="24"/>
    </row>
    <row r="98">
      <c r="G98" s="24"/>
      <c r="H98" s="24"/>
    </row>
    <row r="99">
      <c r="G99" s="24"/>
      <c r="H99" s="24"/>
    </row>
    <row r="100">
      <c r="G100" s="24"/>
      <c r="H100" s="24"/>
    </row>
    <row r="101">
      <c r="G101" s="24"/>
      <c r="H101" s="24"/>
    </row>
    <row r="102">
      <c r="G102" s="24"/>
      <c r="H102" s="24"/>
    </row>
    <row r="103">
      <c r="G103" s="24"/>
      <c r="H103" s="24"/>
    </row>
    <row r="104">
      <c r="G104" s="24"/>
      <c r="H104" s="24"/>
    </row>
    <row r="105">
      <c r="G105" s="24"/>
      <c r="H105" s="24"/>
    </row>
    <row r="106">
      <c r="G106" s="24"/>
      <c r="H106" s="24"/>
    </row>
    <row r="107">
      <c r="G107" s="24"/>
      <c r="H107" s="24"/>
    </row>
    <row r="108">
      <c r="G108" s="24"/>
      <c r="H108" s="24"/>
    </row>
    <row r="109">
      <c r="G109" s="24"/>
      <c r="H109" s="24"/>
    </row>
    <row r="110">
      <c r="G110" s="24"/>
      <c r="H110" s="24"/>
    </row>
    <row r="111">
      <c r="G111" s="24"/>
      <c r="H111" s="24"/>
    </row>
    <row r="112">
      <c r="G112" s="24"/>
      <c r="H112" s="24"/>
    </row>
    <row r="113">
      <c r="G113" s="24"/>
      <c r="H113" s="24"/>
    </row>
    <row r="114">
      <c r="G114" s="24"/>
      <c r="H114" s="24"/>
    </row>
    <row r="115">
      <c r="G115" s="24"/>
      <c r="H115" s="24"/>
    </row>
    <row r="116">
      <c r="G116" s="24"/>
      <c r="H116" s="24"/>
    </row>
    <row r="117">
      <c r="G117" s="24"/>
      <c r="H117" s="24"/>
    </row>
    <row r="118">
      <c r="G118" s="24"/>
      <c r="H118" s="24"/>
    </row>
    <row r="119">
      <c r="G119" s="24"/>
      <c r="H119" s="24"/>
    </row>
    <row r="120">
      <c r="G120" s="24"/>
      <c r="H120" s="24"/>
    </row>
    <row r="121">
      <c r="G121" s="24"/>
      <c r="H121" s="24"/>
    </row>
    <row r="122">
      <c r="G122" s="24"/>
      <c r="H122" s="24"/>
    </row>
    <row r="123">
      <c r="G123" s="24"/>
      <c r="H123" s="24"/>
    </row>
    <row r="124">
      <c r="G124" s="24"/>
      <c r="H124" s="24"/>
    </row>
    <row r="125">
      <c r="G125" s="24"/>
      <c r="H125" s="24"/>
    </row>
    <row r="126">
      <c r="G126" s="24"/>
      <c r="H126" s="24"/>
    </row>
    <row r="127">
      <c r="G127" s="24"/>
      <c r="H127" s="24"/>
    </row>
    <row r="128">
      <c r="G128" s="24"/>
      <c r="H128" s="24"/>
    </row>
    <row r="129">
      <c r="G129" s="24"/>
      <c r="H129" s="24"/>
    </row>
    <row r="130">
      <c r="G130" s="24"/>
      <c r="H130" s="24"/>
    </row>
    <row r="131">
      <c r="G131" s="24"/>
      <c r="H131" s="24"/>
    </row>
    <row r="132">
      <c r="G132" s="24"/>
      <c r="H132" s="24"/>
    </row>
    <row r="133">
      <c r="G133" s="24"/>
      <c r="H133" s="24"/>
    </row>
    <row r="134">
      <c r="G134" s="24"/>
      <c r="H134" s="24"/>
    </row>
    <row r="135">
      <c r="G135" s="24"/>
      <c r="H135" s="24"/>
    </row>
    <row r="136">
      <c r="G136" s="24"/>
      <c r="H136" s="24"/>
    </row>
    <row r="137">
      <c r="G137" s="24"/>
      <c r="H137" s="24"/>
    </row>
    <row r="138">
      <c r="G138" s="24"/>
      <c r="H138" s="24"/>
    </row>
    <row r="139">
      <c r="G139" s="24"/>
      <c r="H139" s="24"/>
    </row>
    <row r="140">
      <c r="G140" s="24"/>
      <c r="H140" s="24"/>
    </row>
    <row r="141">
      <c r="G141" s="24"/>
      <c r="H141" s="24"/>
    </row>
    <row r="142">
      <c r="G142" s="24"/>
      <c r="H142" s="24"/>
    </row>
    <row r="143">
      <c r="G143" s="24"/>
      <c r="H143" s="24"/>
    </row>
    <row r="144">
      <c r="G144" s="24"/>
      <c r="H144" s="24"/>
    </row>
    <row r="145">
      <c r="G145" s="24"/>
      <c r="H145" s="24"/>
    </row>
    <row r="146">
      <c r="G146" s="24"/>
      <c r="H146" s="24"/>
    </row>
    <row r="147">
      <c r="G147" s="24"/>
      <c r="H147" s="24"/>
    </row>
    <row r="148">
      <c r="G148" s="24"/>
      <c r="H148" s="24"/>
    </row>
    <row r="149">
      <c r="G149" s="24"/>
      <c r="H149" s="24"/>
    </row>
    <row r="150">
      <c r="G150" s="24"/>
      <c r="H150" s="24"/>
    </row>
    <row r="151">
      <c r="G151" s="24"/>
      <c r="H151" s="24"/>
    </row>
    <row r="152">
      <c r="G152" s="24"/>
      <c r="H152" s="24"/>
    </row>
    <row r="153">
      <c r="G153" s="24"/>
      <c r="H153" s="24"/>
    </row>
    <row r="154">
      <c r="G154" s="24"/>
      <c r="H154" s="24"/>
    </row>
    <row r="155">
      <c r="G155" s="24"/>
      <c r="H155" s="24"/>
    </row>
    <row r="156">
      <c r="G156" s="24"/>
      <c r="H156" s="24"/>
    </row>
    <row r="157">
      <c r="G157" s="24"/>
      <c r="H157" s="24"/>
    </row>
    <row r="158">
      <c r="G158" s="24"/>
      <c r="H158" s="24"/>
    </row>
    <row r="159">
      <c r="G159" s="24"/>
      <c r="H159" s="24"/>
    </row>
    <row r="160">
      <c r="G160" s="24"/>
      <c r="H160" s="24"/>
    </row>
    <row r="161">
      <c r="G161" s="24"/>
      <c r="H161" s="24"/>
    </row>
    <row r="162">
      <c r="G162" s="24"/>
      <c r="H162" s="24"/>
    </row>
    <row r="163">
      <c r="G163" s="24"/>
      <c r="H163" s="24"/>
    </row>
    <row r="164">
      <c r="G164" s="24"/>
      <c r="H164" s="24"/>
    </row>
    <row r="165">
      <c r="G165" s="24"/>
      <c r="H165" s="24"/>
    </row>
    <row r="166">
      <c r="G166" s="24"/>
      <c r="H166" s="24"/>
    </row>
    <row r="167">
      <c r="G167" s="24"/>
      <c r="H167" s="24"/>
    </row>
    <row r="168">
      <c r="G168" s="24"/>
      <c r="H168" s="24"/>
    </row>
    <row r="169">
      <c r="G169" s="24"/>
      <c r="H169" s="24"/>
    </row>
    <row r="170">
      <c r="G170" s="24"/>
      <c r="H170" s="24"/>
    </row>
    <row r="171">
      <c r="G171" s="24"/>
      <c r="H171" s="24"/>
    </row>
    <row r="172">
      <c r="G172" s="24"/>
      <c r="H172" s="24"/>
    </row>
    <row r="173">
      <c r="G173" s="24"/>
      <c r="H173" s="24"/>
    </row>
    <row r="174">
      <c r="G174" s="24"/>
      <c r="H174" s="24"/>
    </row>
    <row r="175">
      <c r="G175" s="24"/>
      <c r="H175" s="24"/>
    </row>
    <row r="176">
      <c r="G176" s="24"/>
      <c r="H176" s="24"/>
    </row>
    <row r="177">
      <c r="G177" s="24"/>
      <c r="H177" s="24"/>
    </row>
    <row r="178">
      <c r="G178" s="24"/>
      <c r="H178" s="24"/>
    </row>
    <row r="179">
      <c r="G179" s="24"/>
      <c r="H179" s="24"/>
    </row>
    <row r="180">
      <c r="G180" s="24"/>
      <c r="H180" s="24"/>
    </row>
    <row r="181">
      <c r="G181" s="24"/>
      <c r="H181" s="24"/>
    </row>
    <row r="182">
      <c r="G182" s="24"/>
      <c r="H182" s="24"/>
    </row>
    <row r="183">
      <c r="G183" s="24"/>
      <c r="H183" s="24"/>
    </row>
    <row r="184">
      <c r="G184" s="24"/>
      <c r="H184" s="24"/>
    </row>
    <row r="185">
      <c r="G185" s="24"/>
      <c r="H185" s="24"/>
    </row>
    <row r="186">
      <c r="G186" s="24"/>
      <c r="H186" s="24"/>
    </row>
    <row r="187">
      <c r="G187" s="24"/>
      <c r="H187" s="24"/>
    </row>
    <row r="188">
      <c r="G188" s="24"/>
      <c r="H188" s="24"/>
    </row>
    <row r="189">
      <c r="G189" s="24"/>
      <c r="H189" s="24"/>
    </row>
    <row r="190">
      <c r="G190" s="24"/>
      <c r="H190" s="24"/>
    </row>
    <row r="191">
      <c r="G191" s="24"/>
      <c r="H191" s="24"/>
    </row>
    <row r="192">
      <c r="G192" s="24"/>
      <c r="H192" s="24"/>
    </row>
    <row r="193">
      <c r="G193" s="24"/>
      <c r="H193" s="24"/>
    </row>
    <row r="194">
      <c r="G194" s="24"/>
      <c r="H194" s="24"/>
    </row>
    <row r="195">
      <c r="G195" s="24"/>
      <c r="H195" s="24"/>
    </row>
    <row r="196">
      <c r="G196" s="24"/>
      <c r="H196" s="24"/>
    </row>
    <row r="197">
      <c r="G197" s="24"/>
      <c r="H197" s="24"/>
    </row>
    <row r="198">
      <c r="G198" s="24"/>
      <c r="H198" s="24"/>
    </row>
    <row r="199">
      <c r="G199" s="24"/>
      <c r="H199" s="24"/>
    </row>
    <row r="200">
      <c r="G200" s="24"/>
      <c r="H200" s="24"/>
    </row>
    <row r="201">
      <c r="G201" s="24"/>
      <c r="H201" s="24"/>
    </row>
    <row r="202">
      <c r="G202" s="24"/>
      <c r="H202" s="24"/>
    </row>
    <row r="203">
      <c r="G203" s="24"/>
      <c r="H203" s="24"/>
    </row>
    <row r="204">
      <c r="G204" s="24"/>
      <c r="H204" s="24"/>
    </row>
    <row r="205">
      <c r="G205" s="24"/>
      <c r="H205" s="24"/>
    </row>
    <row r="206">
      <c r="G206" s="24"/>
      <c r="H206" s="24"/>
    </row>
    <row r="207">
      <c r="G207" s="24"/>
      <c r="H207" s="24"/>
    </row>
    <row r="208">
      <c r="G208" s="24"/>
      <c r="H208" s="24"/>
    </row>
    <row r="209">
      <c r="G209" s="24"/>
      <c r="H209" s="24"/>
    </row>
    <row r="210">
      <c r="G210" s="24"/>
      <c r="H210" s="24"/>
    </row>
    <row r="211">
      <c r="G211" s="24"/>
      <c r="H211" s="24"/>
    </row>
    <row r="212">
      <c r="G212" s="24"/>
      <c r="H212" s="24"/>
    </row>
    <row r="213">
      <c r="G213" s="24"/>
      <c r="H213" s="24"/>
    </row>
    <row r="214">
      <c r="G214" s="24"/>
      <c r="H214" s="24"/>
    </row>
    <row r="215">
      <c r="G215" s="24"/>
      <c r="H215" s="24"/>
    </row>
    <row r="216">
      <c r="G216" s="24"/>
      <c r="H216" s="24"/>
    </row>
    <row r="217">
      <c r="G217" s="24"/>
      <c r="H217" s="24"/>
    </row>
    <row r="218">
      <c r="G218" s="24"/>
      <c r="H218" s="24"/>
    </row>
    <row r="219">
      <c r="G219" s="24"/>
      <c r="H219" s="24"/>
    </row>
    <row r="220">
      <c r="G220" s="24"/>
      <c r="H220" s="24"/>
    </row>
    <row r="221">
      <c r="G221" s="24"/>
      <c r="H221" s="24"/>
    </row>
    <row r="222">
      <c r="G222" s="24"/>
      <c r="H222" s="24"/>
    </row>
    <row r="223">
      <c r="G223" s="24"/>
      <c r="H223" s="24"/>
    </row>
    <row r="224">
      <c r="G224" s="24"/>
      <c r="H224" s="24"/>
    </row>
    <row r="225">
      <c r="G225" s="24"/>
      <c r="H225" s="24"/>
    </row>
    <row r="226">
      <c r="G226" s="24"/>
      <c r="H226" s="24"/>
    </row>
    <row r="227">
      <c r="G227" s="24"/>
      <c r="H227" s="24"/>
    </row>
    <row r="228">
      <c r="G228" s="24"/>
      <c r="H228" s="24"/>
    </row>
    <row r="229">
      <c r="G229" s="24"/>
      <c r="H229" s="24"/>
    </row>
    <row r="230">
      <c r="G230" s="24"/>
      <c r="H230" s="24"/>
    </row>
    <row r="231">
      <c r="G231" s="24"/>
      <c r="H231" s="24"/>
    </row>
    <row r="232">
      <c r="G232" s="24"/>
      <c r="H232" s="24"/>
    </row>
    <row r="233">
      <c r="G233" s="24"/>
      <c r="H233" s="24"/>
    </row>
    <row r="234">
      <c r="G234" s="24"/>
      <c r="H234" s="24"/>
    </row>
    <row r="235">
      <c r="G235" s="24"/>
      <c r="H235" s="24"/>
    </row>
    <row r="236">
      <c r="G236" s="24"/>
      <c r="H236" s="24"/>
    </row>
    <row r="237">
      <c r="G237" s="24"/>
      <c r="H237" s="24"/>
    </row>
    <row r="238">
      <c r="G238" s="24"/>
      <c r="H238" s="24"/>
    </row>
    <row r="239">
      <c r="G239" s="24"/>
      <c r="H239" s="24"/>
    </row>
    <row r="240">
      <c r="G240" s="24"/>
      <c r="H240" s="24"/>
    </row>
    <row r="241">
      <c r="G241" s="24"/>
      <c r="H241" s="24"/>
    </row>
    <row r="242">
      <c r="G242" s="24"/>
      <c r="H242" s="24"/>
    </row>
    <row r="243">
      <c r="G243" s="24"/>
      <c r="H243" s="24"/>
    </row>
    <row r="244">
      <c r="G244" s="24"/>
      <c r="H244" s="24"/>
    </row>
    <row r="245">
      <c r="G245" s="24"/>
      <c r="H245" s="24"/>
    </row>
    <row r="246">
      <c r="G246" s="24"/>
      <c r="H246" s="24"/>
    </row>
    <row r="247">
      <c r="G247" s="24"/>
      <c r="H247" s="24"/>
    </row>
    <row r="248">
      <c r="G248" s="24"/>
      <c r="H248" s="24"/>
    </row>
    <row r="249">
      <c r="G249" s="24"/>
      <c r="H249" s="24"/>
    </row>
    <row r="250">
      <c r="G250" s="24"/>
      <c r="H250" s="24"/>
    </row>
    <row r="251">
      <c r="G251" s="24"/>
      <c r="H251" s="24"/>
    </row>
    <row r="252">
      <c r="G252" s="24"/>
      <c r="H252" s="24"/>
    </row>
    <row r="253">
      <c r="G253" s="24"/>
      <c r="H253" s="24"/>
    </row>
    <row r="254">
      <c r="G254" s="24"/>
      <c r="H254" s="24"/>
    </row>
    <row r="255">
      <c r="G255" s="24"/>
      <c r="H255" s="24"/>
    </row>
    <row r="256">
      <c r="G256" s="24"/>
      <c r="H256" s="24"/>
    </row>
    <row r="257">
      <c r="G257" s="24"/>
      <c r="H257" s="24"/>
    </row>
    <row r="258">
      <c r="G258" s="24"/>
      <c r="H258" s="24"/>
    </row>
    <row r="259">
      <c r="G259" s="24"/>
      <c r="H259" s="24"/>
    </row>
    <row r="260">
      <c r="G260" s="24"/>
      <c r="H260" s="24"/>
    </row>
    <row r="261">
      <c r="G261" s="24"/>
      <c r="H261" s="24"/>
    </row>
    <row r="262">
      <c r="G262" s="24"/>
      <c r="H262" s="24"/>
    </row>
    <row r="263">
      <c r="G263" s="24"/>
      <c r="H263" s="24"/>
    </row>
    <row r="264">
      <c r="G264" s="24"/>
      <c r="H264" s="24"/>
    </row>
    <row r="265">
      <c r="G265" s="24"/>
      <c r="H265" s="24"/>
    </row>
    <row r="266">
      <c r="G266" s="24"/>
      <c r="H266" s="24"/>
    </row>
    <row r="267">
      <c r="G267" s="24"/>
      <c r="H267" s="24"/>
    </row>
    <row r="268">
      <c r="G268" s="24"/>
      <c r="H268" s="24"/>
    </row>
    <row r="269">
      <c r="G269" s="24"/>
      <c r="H269" s="24"/>
    </row>
    <row r="270">
      <c r="G270" s="24"/>
      <c r="H270" s="24"/>
    </row>
    <row r="271">
      <c r="G271" s="24"/>
      <c r="H271" s="24"/>
    </row>
    <row r="272">
      <c r="G272" s="24"/>
      <c r="H272" s="24"/>
    </row>
    <row r="273">
      <c r="G273" s="24"/>
      <c r="H273" s="24"/>
    </row>
    <row r="274">
      <c r="G274" s="24"/>
      <c r="H274" s="24"/>
    </row>
    <row r="275">
      <c r="G275" s="24"/>
      <c r="H275" s="24"/>
    </row>
    <row r="276">
      <c r="G276" s="24"/>
      <c r="H276" s="24"/>
    </row>
    <row r="277">
      <c r="G277" s="24"/>
      <c r="H277" s="24"/>
    </row>
    <row r="278">
      <c r="G278" s="24"/>
      <c r="H278" s="24"/>
    </row>
    <row r="279">
      <c r="G279" s="24"/>
      <c r="H279" s="24"/>
    </row>
    <row r="280">
      <c r="G280" s="24"/>
      <c r="H280" s="24"/>
    </row>
    <row r="281">
      <c r="G281" s="24"/>
      <c r="H281" s="24"/>
    </row>
    <row r="282">
      <c r="G282" s="24"/>
      <c r="H282" s="24"/>
    </row>
    <row r="283">
      <c r="G283" s="24"/>
      <c r="H283" s="24"/>
    </row>
    <row r="284">
      <c r="G284" s="24"/>
      <c r="H284" s="24"/>
    </row>
    <row r="285">
      <c r="G285" s="24"/>
      <c r="H285" s="24"/>
    </row>
    <row r="286">
      <c r="G286" s="24"/>
      <c r="H286" s="24"/>
    </row>
    <row r="287">
      <c r="G287" s="24"/>
      <c r="H287" s="24"/>
    </row>
    <row r="288">
      <c r="G288" s="24"/>
      <c r="H288" s="24"/>
    </row>
    <row r="289">
      <c r="G289" s="24"/>
      <c r="H289" s="24"/>
    </row>
    <row r="290">
      <c r="G290" s="24"/>
      <c r="H290" s="24"/>
    </row>
    <row r="291">
      <c r="G291" s="24"/>
      <c r="H291" s="24"/>
    </row>
    <row r="292">
      <c r="G292" s="24"/>
      <c r="H292" s="24"/>
    </row>
    <row r="293">
      <c r="G293" s="24"/>
      <c r="H293" s="24"/>
    </row>
    <row r="294">
      <c r="G294" s="24"/>
      <c r="H294" s="24"/>
    </row>
    <row r="295">
      <c r="G295" s="24"/>
      <c r="H295" s="24"/>
    </row>
    <row r="296">
      <c r="G296" s="24"/>
      <c r="H296" s="24"/>
    </row>
    <row r="297">
      <c r="G297" s="24"/>
      <c r="H297" s="24"/>
    </row>
    <row r="298">
      <c r="G298" s="24"/>
      <c r="H298" s="24"/>
    </row>
    <row r="299">
      <c r="G299" s="24"/>
      <c r="H299" s="24"/>
    </row>
    <row r="300">
      <c r="G300" s="24"/>
      <c r="H300" s="24"/>
    </row>
    <row r="301">
      <c r="G301" s="24"/>
      <c r="H301" s="24"/>
    </row>
    <row r="302">
      <c r="G302" s="24"/>
      <c r="H302" s="24"/>
    </row>
    <row r="303">
      <c r="G303" s="24"/>
      <c r="H303" s="24"/>
    </row>
    <row r="304">
      <c r="G304" s="24"/>
      <c r="H304" s="24"/>
    </row>
    <row r="305">
      <c r="G305" s="24"/>
      <c r="H305" s="24"/>
    </row>
    <row r="306">
      <c r="G306" s="24"/>
      <c r="H306" s="24"/>
    </row>
    <row r="307">
      <c r="G307" s="24"/>
      <c r="H307" s="24"/>
    </row>
    <row r="308">
      <c r="G308" s="24"/>
      <c r="H308" s="24"/>
    </row>
    <row r="309">
      <c r="G309" s="24"/>
      <c r="H309" s="24"/>
    </row>
    <row r="310">
      <c r="G310" s="24"/>
      <c r="H310" s="24"/>
    </row>
    <row r="311">
      <c r="G311" s="24"/>
      <c r="H311" s="24"/>
    </row>
    <row r="312">
      <c r="G312" s="24"/>
      <c r="H312" s="24"/>
    </row>
    <row r="313">
      <c r="G313" s="24"/>
      <c r="H313" s="24"/>
    </row>
    <row r="314">
      <c r="G314" s="24"/>
      <c r="H314" s="24"/>
    </row>
    <row r="315">
      <c r="G315" s="24"/>
      <c r="H315" s="24"/>
    </row>
    <row r="316">
      <c r="G316" s="24"/>
      <c r="H316" s="24"/>
    </row>
    <row r="317">
      <c r="G317" s="24"/>
      <c r="H317" s="24"/>
    </row>
    <row r="318">
      <c r="G318" s="24"/>
      <c r="H318" s="24"/>
    </row>
    <row r="319">
      <c r="G319" s="24"/>
      <c r="H319" s="24"/>
    </row>
    <row r="320">
      <c r="G320" s="24"/>
      <c r="H320" s="24"/>
    </row>
    <row r="321">
      <c r="G321" s="24"/>
      <c r="H321" s="24"/>
    </row>
    <row r="322">
      <c r="G322" s="24"/>
      <c r="H322" s="24"/>
    </row>
    <row r="323">
      <c r="G323" s="24"/>
      <c r="H323" s="24"/>
    </row>
    <row r="324">
      <c r="G324" s="24"/>
      <c r="H324" s="24"/>
    </row>
    <row r="325">
      <c r="G325" s="24"/>
      <c r="H325" s="24"/>
    </row>
    <row r="326">
      <c r="G326" s="24"/>
      <c r="H326" s="24"/>
    </row>
    <row r="327">
      <c r="G327" s="24"/>
      <c r="H327" s="24"/>
    </row>
    <row r="328">
      <c r="G328" s="24"/>
      <c r="H328" s="24"/>
    </row>
    <row r="329">
      <c r="G329" s="24"/>
      <c r="H329" s="24"/>
    </row>
    <row r="330">
      <c r="G330" s="24"/>
      <c r="H330" s="24"/>
    </row>
    <row r="331">
      <c r="G331" s="24"/>
      <c r="H331" s="24"/>
    </row>
    <row r="332">
      <c r="G332" s="24"/>
      <c r="H332" s="24"/>
    </row>
    <row r="333">
      <c r="G333" s="24"/>
      <c r="H333" s="24"/>
    </row>
    <row r="334">
      <c r="G334" s="24"/>
      <c r="H334" s="24"/>
    </row>
    <row r="335">
      <c r="G335" s="24"/>
      <c r="H335" s="24"/>
    </row>
    <row r="336">
      <c r="G336" s="24"/>
      <c r="H336" s="24"/>
    </row>
    <row r="337">
      <c r="G337" s="24"/>
      <c r="H337" s="24"/>
    </row>
    <row r="338">
      <c r="G338" s="24"/>
      <c r="H338" s="24"/>
    </row>
    <row r="339">
      <c r="G339" s="24"/>
      <c r="H339" s="24"/>
    </row>
    <row r="340">
      <c r="G340" s="24"/>
      <c r="H340" s="24"/>
    </row>
    <row r="341">
      <c r="G341" s="24"/>
      <c r="H341" s="24"/>
    </row>
    <row r="342">
      <c r="G342" s="24"/>
      <c r="H342" s="24"/>
    </row>
    <row r="343">
      <c r="G343" s="24"/>
      <c r="H343" s="24"/>
    </row>
    <row r="344">
      <c r="G344" s="24"/>
      <c r="H344" s="24"/>
    </row>
    <row r="345">
      <c r="G345" s="24"/>
      <c r="H345" s="24"/>
    </row>
    <row r="346">
      <c r="G346" s="24"/>
      <c r="H346" s="24"/>
    </row>
    <row r="347">
      <c r="G347" s="24"/>
      <c r="H347" s="24"/>
    </row>
    <row r="348">
      <c r="G348" s="24"/>
      <c r="H348" s="24"/>
    </row>
    <row r="349">
      <c r="G349" s="24"/>
      <c r="H349" s="24"/>
    </row>
    <row r="350">
      <c r="G350" s="24"/>
      <c r="H350" s="24"/>
    </row>
    <row r="351">
      <c r="G351" s="24"/>
      <c r="H351" s="24"/>
    </row>
    <row r="352">
      <c r="G352" s="24"/>
      <c r="H352" s="24"/>
    </row>
    <row r="353">
      <c r="G353" s="24"/>
      <c r="H353" s="24"/>
    </row>
    <row r="354">
      <c r="G354" s="24"/>
      <c r="H354" s="24"/>
    </row>
    <row r="355">
      <c r="G355" s="24"/>
      <c r="H355" s="24"/>
    </row>
    <row r="356">
      <c r="G356" s="24"/>
      <c r="H356" s="24"/>
    </row>
    <row r="357">
      <c r="G357" s="24"/>
      <c r="H357" s="24"/>
    </row>
    <row r="358">
      <c r="G358" s="24"/>
      <c r="H358" s="24"/>
    </row>
    <row r="359">
      <c r="G359" s="24"/>
      <c r="H359" s="24"/>
    </row>
    <row r="360">
      <c r="G360" s="24"/>
      <c r="H360" s="24"/>
    </row>
    <row r="361">
      <c r="G361" s="24"/>
      <c r="H361" s="24"/>
    </row>
    <row r="362">
      <c r="G362" s="24"/>
      <c r="H362" s="24"/>
    </row>
    <row r="363">
      <c r="G363" s="24"/>
      <c r="H363" s="24"/>
    </row>
    <row r="364">
      <c r="G364" s="24"/>
      <c r="H364" s="24"/>
    </row>
    <row r="365">
      <c r="G365" s="24"/>
      <c r="H365" s="24"/>
    </row>
    <row r="366">
      <c r="G366" s="24"/>
      <c r="H366" s="24"/>
    </row>
    <row r="367">
      <c r="G367" s="24"/>
      <c r="H367" s="24"/>
    </row>
    <row r="368">
      <c r="G368" s="24"/>
      <c r="H368" s="24"/>
    </row>
    <row r="369">
      <c r="G369" s="24"/>
      <c r="H369" s="24"/>
    </row>
    <row r="370">
      <c r="G370" s="24"/>
      <c r="H370" s="24"/>
    </row>
    <row r="371">
      <c r="G371" s="24"/>
      <c r="H371" s="24"/>
    </row>
    <row r="372">
      <c r="G372" s="24"/>
      <c r="H372" s="24"/>
    </row>
    <row r="373">
      <c r="G373" s="24"/>
      <c r="H373" s="24"/>
    </row>
    <row r="374">
      <c r="G374" s="24"/>
      <c r="H374" s="24"/>
    </row>
    <row r="375">
      <c r="G375" s="24"/>
      <c r="H375" s="24"/>
    </row>
    <row r="376">
      <c r="G376" s="24"/>
      <c r="H376" s="24"/>
    </row>
    <row r="377">
      <c r="G377" s="24"/>
      <c r="H377" s="24"/>
    </row>
    <row r="378">
      <c r="G378" s="24"/>
      <c r="H378" s="24"/>
    </row>
    <row r="379">
      <c r="G379" s="24"/>
      <c r="H379" s="24"/>
    </row>
    <row r="380">
      <c r="G380" s="24"/>
      <c r="H380" s="24"/>
    </row>
    <row r="381">
      <c r="G381" s="24"/>
      <c r="H381" s="24"/>
    </row>
    <row r="382">
      <c r="G382" s="24"/>
      <c r="H382" s="24"/>
    </row>
    <row r="383">
      <c r="G383" s="24"/>
      <c r="H383" s="24"/>
    </row>
    <row r="384">
      <c r="G384" s="24"/>
      <c r="H384" s="24"/>
    </row>
    <row r="385">
      <c r="G385" s="24"/>
      <c r="H385" s="24"/>
    </row>
    <row r="386">
      <c r="G386" s="24"/>
      <c r="H386" s="24"/>
    </row>
    <row r="387">
      <c r="G387" s="24"/>
      <c r="H387" s="24"/>
    </row>
    <row r="388">
      <c r="G388" s="24"/>
      <c r="H388" s="24"/>
    </row>
    <row r="389">
      <c r="G389" s="24"/>
      <c r="H389" s="24"/>
    </row>
    <row r="390">
      <c r="G390" s="24"/>
      <c r="H390" s="24"/>
    </row>
    <row r="391">
      <c r="G391" s="24"/>
      <c r="H391" s="24"/>
    </row>
    <row r="392">
      <c r="G392" s="24"/>
      <c r="H392" s="24"/>
    </row>
    <row r="393">
      <c r="G393" s="24"/>
      <c r="H393" s="24"/>
    </row>
    <row r="394">
      <c r="G394" s="24"/>
      <c r="H394" s="24"/>
    </row>
    <row r="395">
      <c r="G395" s="24"/>
      <c r="H395" s="24"/>
    </row>
    <row r="396">
      <c r="G396" s="24"/>
      <c r="H396" s="24"/>
    </row>
    <row r="397">
      <c r="G397" s="24"/>
      <c r="H397" s="24"/>
    </row>
    <row r="398">
      <c r="G398" s="24"/>
      <c r="H398" s="24"/>
    </row>
    <row r="399">
      <c r="G399" s="24"/>
      <c r="H399" s="24"/>
    </row>
    <row r="400">
      <c r="G400" s="24"/>
      <c r="H400" s="24"/>
    </row>
    <row r="401">
      <c r="G401" s="24"/>
      <c r="H401" s="24"/>
    </row>
    <row r="402">
      <c r="G402" s="24"/>
      <c r="H402" s="24"/>
    </row>
    <row r="403">
      <c r="G403" s="24"/>
      <c r="H403" s="24"/>
    </row>
    <row r="404">
      <c r="G404" s="24"/>
      <c r="H404" s="24"/>
    </row>
    <row r="405">
      <c r="G405" s="24"/>
      <c r="H405" s="24"/>
    </row>
    <row r="406">
      <c r="G406" s="24"/>
      <c r="H406" s="24"/>
    </row>
    <row r="407">
      <c r="G407" s="24"/>
      <c r="H407" s="24"/>
    </row>
    <row r="408">
      <c r="G408" s="24"/>
      <c r="H408" s="24"/>
    </row>
    <row r="409">
      <c r="G409" s="24"/>
      <c r="H409" s="24"/>
    </row>
    <row r="410">
      <c r="G410" s="24"/>
      <c r="H410" s="24"/>
    </row>
    <row r="411">
      <c r="G411" s="24"/>
      <c r="H411" s="24"/>
    </row>
    <row r="412">
      <c r="G412" s="24"/>
      <c r="H412" s="24"/>
    </row>
    <row r="413">
      <c r="G413" s="24"/>
      <c r="H413" s="24"/>
    </row>
    <row r="414">
      <c r="G414" s="24"/>
      <c r="H414" s="24"/>
    </row>
    <row r="415">
      <c r="G415" s="24"/>
      <c r="H415" s="24"/>
    </row>
    <row r="416">
      <c r="G416" s="24"/>
      <c r="H416" s="24"/>
    </row>
    <row r="417">
      <c r="G417" s="24"/>
      <c r="H417" s="24"/>
    </row>
    <row r="418">
      <c r="G418" s="24"/>
      <c r="H418" s="24"/>
    </row>
    <row r="419">
      <c r="G419" s="24"/>
      <c r="H419" s="24"/>
    </row>
    <row r="420">
      <c r="G420" s="24"/>
      <c r="H420" s="24"/>
    </row>
    <row r="421">
      <c r="G421" s="24"/>
      <c r="H421" s="24"/>
    </row>
    <row r="422">
      <c r="G422" s="24"/>
      <c r="H422" s="24"/>
    </row>
    <row r="423">
      <c r="G423" s="24"/>
      <c r="H423" s="24"/>
    </row>
    <row r="424">
      <c r="G424" s="24"/>
      <c r="H424" s="24"/>
    </row>
    <row r="425">
      <c r="G425" s="24"/>
      <c r="H425" s="24"/>
    </row>
    <row r="426">
      <c r="G426" s="24"/>
      <c r="H426" s="24"/>
    </row>
    <row r="427">
      <c r="G427" s="24"/>
      <c r="H427" s="24"/>
    </row>
    <row r="428">
      <c r="G428" s="24"/>
      <c r="H428" s="24"/>
    </row>
    <row r="429">
      <c r="G429" s="24"/>
      <c r="H429" s="24"/>
    </row>
    <row r="430">
      <c r="G430" s="24"/>
      <c r="H430" s="24"/>
    </row>
    <row r="431">
      <c r="G431" s="24"/>
      <c r="H431" s="24"/>
    </row>
    <row r="432">
      <c r="G432" s="24"/>
      <c r="H432" s="24"/>
    </row>
    <row r="433">
      <c r="G433" s="24"/>
      <c r="H433" s="24"/>
    </row>
    <row r="434">
      <c r="G434" s="24"/>
      <c r="H434" s="24"/>
    </row>
    <row r="435">
      <c r="G435" s="24"/>
      <c r="H435" s="24"/>
    </row>
    <row r="436">
      <c r="G436" s="24"/>
      <c r="H436" s="24"/>
    </row>
    <row r="437">
      <c r="G437" s="24"/>
      <c r="H437" s="24"/>
    </row>
    <row r="438">
      <c r="G438" s="24"/>
      <c r="H438" s="24"/>
    </row>
    <row r="439">
      <c r="G439" s="24"/>
      <c r="H439" s="24"/>
    </row>
    <row r="440">
      <c r="G440" s="24"/>
      <c r="H440" s="24"/>
    </row>
    <row r="441">
      <c r="G441" s="24"/>
      <c r="H441" s="24"/>
    </row>
    <row r="442">
      <c r="G442" s="24"/>
      <c r="H442" s="24"/>
    </row>
    <row r="443">
      <c r="G443" s="24"/>
      <c r="H443" s="24"/>
    </row>
    <row r="444">
      <c r="G444" s="24"/>
      <c r="H444" s="24"/>
    </row>
    <row r="445">
      <c r="G445" s="24"/>
      <c r="H445" s="24"/>
    </row>
    <row r="446">
      <c r="G446" s="24"/>
      <c r="H446" s="24"/>
    </row>
    <row r="447">
      <c r="G447" s="24"/>
      <c r="H447" s="24"/>
    </row>
    <row r="448">
      <c r="G448" s="24"/>
      <c r="H448" s="24"/>
    </row>
    <row r="449">
      <c r="G449" s="24"/>
      <c r="H449" s="24"/>
    </row>
    <row r="450">
      <c r="G450" s="24"/>
      <c r="H450" s="24"/>
    </row>
    <row r="451">
      <c r="G451" s="24"/>
      <c r="H451" s="24"/>
    </row>
    <row r="452">
      <c r="G452" s="24"/>
      <c r="H452" s="24"/>
    </row>
    <row r="453">
      <c r="G453" s="24"/>
      <c r="H453" s="24"/>
    </row>
    <row r="454">
      <c r="G454" s="24"/>
      <c r="H454" s="24"/>
    </row>
    <row r="455">
      <c r="G455" s="24"/>
      <c r="H455" s="24"/>
    </row>
    <row r="456">
      <c r="G456" s="24"/>
      <c r="H456" s="24"/>
    </row>
    <row r="457">
      <c r="G457" s="24"/>
      <c r="H457" s="24"/>
    </row>
    <row r="458">
      <c r="G458" s="24"/>
      <c r="H458" s="24"/>
    </row>
    <row r="459">
      <c r="G459" s="24"/>
      <c r="H459" s="24"/>
    </row>
    <row r="460">
      <c r="G460" s="24"/>
      <c r="H460" s="24"/>
    </row>
    <row r="461">
      <c r="G461" s="24"/>
      <c r="H461" s="24"/>
    </row>
    <row r="462">
      <c r="G462" s="24"/>
      <c r="H462" s="24"/>
    </row>
    <row r="463">
      <c r="G463" s="24"/>
      <c r="H463" s="24"/>
    </row>
    <row r="464">
      <c r="G464" s="24"/>
      <c r="H464" s="24"/>
    </row>
    <row r="465">
      <c r="G465" s="24"/>
      <c r="H465" s="24"/>
    </row>
    <row r="466">
      <c r="G466" s="24"/>
      <c r="H466" s="24"/>
    </row>
    <row r="467">
      <c r="G467" s="24"/>
      <c r="H467" s="24"/>
    </row>
    <row r="468">
      <c r="G468" s="24"/>
      <c r="H468" s="24"/>
    </row>
    <row r="469">
      <c r="G469" s="24"/>
      <c r="H469" s="24"/>
    </row>
    <row r="470">
      <c r="G470" s="24"/>
      <c r="H470" s="24"/>
    </row>
    <row r="471">
      <c r="G471" s="24"/>
      <c r="H471" s="24"/>
    </row>
    <row r="472">
      <c r="G472" s="24"/>
      <c r="H472" s="24"/>
    </row>
    <row r="473">
      <c r="G473" s="24"/>
      <c r="H473" s="24"/>
    </row>
    <row r="474">
      <c r="G474" s="24"/>
      <c r="H474" s="24"/>
    </row>
    <row r="475">
      <c r="G475" s="24"/>
      <c r="H475" s="24"/>
    </row>
    <row r="476">
      <c r="G476" s="24"/>
      <c r="H476" s="24"/>
    </row>
    <row r="477">
      <c r="G477" s="24"/>
      <c r="H477" s="24"/>
    </row>
    <row r="478">
      <c r="G478" s="24"/>
      <c r="H478" s="24"/>
    </row>
    <row r="479">
      <c r="G479" s="24"/>
      <c r="H479" s="24"/>
    </row>
    <row r="480">
      <c r="G480" s="24"/>
      <c r="H480" s="24"/>
    </row>
    <row r="481">
      <c r="G481" s="24"/>
      <c r="H481" s="24"/>
    </row>
    <row r="482">
      <c r="G482" s="24"/>
      <c r="H482" s="24"/>
    </row>
    <row r="483">
      <c r="G483" s="24"/>
      <c r="H483" s="24"/>
    </row>
    <row r="484">
      <c r="G484" s="24"/>
      <c r="H484" s="24"/>
    </row>
    <row r="485">
      <c r="G485" s="24"/>
      <c r="H485" s="24"/>
    </row>
    <row r="486">
      <c r="G486" s="24"/>
      <c r="H486" s="24"/>
    </row>
    <row r="487">
      <c r="G487" s="24"/>
      <c r="H487" s="24"/>
    </row>
    <row r="488">
      <c r="G488" s="24"/>
      <c r="H488" s="24"/>
    </row>
    <row r="489">
      <c r="G489" s="24"/>
      <c r="H489" s="24"/>
    </row>
    <row r="490">
      <c r="G490" s="24"/>
      <c r="H490" s="24"/>
    </row>
    <row r="491">
      <c r="G491" s="24"/>
      <c r="H491" s="24"/>
    </row>
    <row r="492">
      <c r="G492" s="24"/>
      <c r="H492" s="24"/>
    </row>
    <row r="493">
      <c r="G493" s="24"/>
      <c r="H493" s="24"/>
    </row>
    <row r="494">
      <c r="G494" s="24"/>
      <c r="H494" s="24"/>
    </row>
    <row r="495">
      <c r="G495" s="24"/>
      <c r="H495" s="24"/>
    </row>
    <row r="496">
      <c r="G496" s="24"/>
      <c r="H496" s="24"/>
    </row>
    <row r="497">
      <c r="G497" s="24"/>
      <c r="H497" s="24"/>
    </row>
    <row r="498">
      <c r="G498" s="24"/>
      <c r="H498" s="24"/>
    </row>
    <row r="499">
      <c r="G499" s="24"/>
      <c r="H499" s="24"/>
    </row>
    <row r="500">
      <c r="G500" s="24"/>
      <c r="H500" s="24"/>
    </row>
    <row r="501">
      <c r="G501" s="24"/>
      <c r="H501" s="24"/>
    </row>
    <row r="502">
      <c r="G502" s="24"/>
      <c r="H502" s="24"/>
    </row>
    <row r="503">
      <c r="G503" s="24"/>
      <c r="H503" s="24"/>
    </row>
    <row r="504">
      <c r="G504" s="24"/>
      <c r="H504" s="24"/>
    </row>
    <row r="505">
      <c r="G505" s="24"/>
      <c r="H505" s="24"/>
    </row>
    <row r="506">
      <c r="G506" s="24"/>
      <c r="H506" s="24"/>
    </row>
    <row r="507">
      <c r="G507" s="24"/>
      <c r="H507" s="24"/>
    </row>
    <row r="508">
      <c r="G508" s="24"/>
      <c r="H508" s="24"/>
    </row>
    <row r="509">
      <c r="G509" s="24"/>
      <c r="H509" s="24"/>
    </row>
    <row r="510">
      <c r="G510" s="24"/>
      <c r="H510" s="24"/>
    </row>
    <row r="511">
      <c r="G511" s="24"/>
      <c r="H511" s="24"/>
    </row>
    <row r="512">
      <c r="G512" s="24"/>
      <c r="H512" s="24"/>
    </row>
    <row r="513">
      <c r="G513" s="24"/>
      <c r="H513" s="24"/>
    </row>
    <row r="514">
      <c r="G514" s="24"/>
      <c r="H514" s="24"/>
    </row>
    <row r="515">
      <c r="G515" s="24"/>
      <c r="H515" s="24"/>
    </row>
    <row r="516">
      <c r="G516" s="24"/>
      <c r="H516" s="24"/>
    </row>
    <row r="517">
      <c r="G517" s="24"/>
      <c r="H517" s="24"/>
    </row>
    <row r="518">
      <c r="G518" s="24"/>
      <c r="H518" s="24"/>
    </row>
    <row r="519">
      <c r="G519" s="24"/>
      <c r="H519" s="24"/>
    </row>
    <row r="520">
      <c r="G520" s="24"/>
      <c r="H520" s="24"/>
    </row>
    <row r="521">
      <c r="G521" s="24"/>
      <c r="H521" s="24"/>
    </row>
    <row r="522">
      <c r="G522" s="24"/>
      <c r="H522" s="24"/>
    </row>
    <row r="523">
      <c r="G523" s="24"/>
      <c r="H523" s="24"/>
    </row>
    <row r="524">
      <c r="G524" s="24"/>
      <c r="H524" s="24"/>
    </row>
    <row r="525">
      <c r="G525" s="24"/>
      <c r="H525" s="24"/>
    </row>
    <row r="526">
      <c r="G526" s="24"/>
      <c r="H526" s="24"/>
    </row>
    <row r="527">
      <c r="G527" s="24"/>
      <c r="H527" s="24"/>
    </row>
    <row r="528">
      <c r="G528" s="24"/>
      <c r="H528" s="24"/>
    </row>
    <row r="529">
      <c r="G529" s="24"/>
      <c r="H529" s="24"/>
    </row>
    <row r="530">
      <c r="G530" s="24"/>
      <c r="H530" s="24"/>
    </row>
    <row r="531">
      <c r="G531" s="24"/>
      <c r="H531" s="24"/>
    </row>
    <row r="532">
      <c r="G532" s="24"/>
      <c r="H532" s="24"/>
    </row>
    <row r="533">
      <c r="G533" s="24"/>
      <c r="H533" s="24"/>
    </row>
    <row r="534">
      <c r="G534" s="24"/>
      <c r="H534" s="24"/>
    </row>
    <row r="535">
      <c r="G535" s="24"/>
      <c r="H535" s="24"/>
    </row>
    <row r="536">
      <c r="G536" s="24"/>
      <c r="H536" s="24"/>
    </row>
    <row r="537">
      <c r="G537" s="24"/>
      <c r="H537" s="24"/>
    </row>
    <row r="538">
      <c r="G538" s="24"/>
      <c r="H538" s="24"/>
    </row>
    <row r="539">
      <c r="G539" s="24"/>
      <c r="H539" s="24"/>
    </row>
    <row r="540">
      <c r="G540" s="24"/>
      <c r="H540" s="24"/>
    </row>
    <row r="541">
      <c r="G541" s="24"/>
      <c r="H541" s="24"/>
    </row>
    <row r="542">
      <c r="G542" s="24"/>
      <c r="H542" s="24"/>
    </row>
    <row r="543">
      <c r="G543" s="24"/>
      <c r="H543" s="24"/>
    </row>
    <row r="544">
      <c r="G544" s="24"/>
      <c r="H544" s="24"/>
    </row>
    <row r="545">
      <c r="G545" s="24"/>
      <c r="H545" s="24"/>
    </row>
    <row r="546">
      <c r="G546" s="24"/>
      <c r="H546" s="24"/>
    </row>
    <row r="547">
      <c r="G547" s="24"/>
      <c r="H547" s="24"/>
    </row>
    <row r="548">
      <c r="G548" s="24"/>
      <c r="H548" s="24"/>
    </row>
    <row r="549">
      <c r="G549" s="24"/>
      <c r="H549" s="24"/>
    </row>
    <row r="550">
      <c r="G550" s="24"/>
      <c r="H550" s="24"/>
    </row>
    <row r="551">
      <c r="G551" s="24"/>
      <c r="H551" s="24"/>
    </row>
    <row r="552">
      <c r="G552" s="24"/>
      <c r="H552" s="24"/>
    </row>
    <row r="553">
      <c r="G553" s="24"/>
      <c r="H553" s="24"/>
    </row>
    <row r="554">
      <c r="G554" s="24"/>
      <c r="H554" s="24"/>
    </row>
    <row r="555">
      <c r="G555" s="24"/>
      <c r="H555" s="24"/>
    </row>
    <row r="556">
      <c r="G556" s="24"/>
      <c r="H556" s="24"/>
    </row>
    <row r="557">
      <c r="G557" s="24"/>
      <c r="H557" s="24"/>
    </row>
    <row r="558">
      <c r="G558" s="24"/>
      <c r="H558" s="24"/>
    </row>
    <row r="559">
      <c r="G559" s="24"/>
      <c r="H559" s="24"/>
    </row>
    <row r="560">
      <c r="G560" s="24"/>
      <c r="H560" s="24"/>
    </row>
    <row r="561">
      <c r="G561" s="24"/>
      <c r="H561" s="24"/>
    </row>
    <row r="562">
      <c r="G562" s="24"/>
      <c r="H562" s="24"/>
    </row>
    <row r="563">
      <c r="G563" s="24"/>
      <c r="H563" s="24"/>
    </row>
    <row r="564">
      <c r="G564" s="24"/>
      <c r="H564" s="24"/>
    </row>
    <row r="565">
      <c r="G565" s="24"/>
      <c r="H565" s="24"/>
    </row>
    <row r="566">
      <c r="G566" s="24"/>
      <c r="H566" s="24"/>
    </row>
    <row r="567">
      <c r="G567" s="24"/>
      <c r="H567" s="24"/>
    </row>
    <row r="568">
      <c r="G568" s="24"/>
      <c r="H568" s="24"/>
    </row>
    <row r="569">
      <c r="G569" s="24"/>
      <c r="H569" s="24"/>
    </row>
    <row r="570">
      <c r="G570" s="24"/>
      <c r="H570" s="24"/>
    </row>
    <row r="571">
      <c r="G571" s="24"/>
      <c r="H571" s="24"/>
    </row>
    <row r="572">
      <c r="G572" s="24"/>
      <c r="H572" s="24"/>
    </row>
    <row r="573">
      <c r="G573" s="24"/>
      <c r="H573" s="24"/>
    </row>
    <row r="574">
      <c r="G574" s="24"/>
      <c r="H574" s="24"/>
    </row>
    <row r="575">
      <c r="G575" s="24"/>
      <c r="H575" s="24"/>
    </row>
    <row r="576">
      <c r="G576" s="24"/>
      <c r="H576" s="24"/>
    </row>
    <row r="577">
      <c r="G577" s="24"/>
      <c r="H577" s="24"/>
    </row>
    <row r="578">
      <c r="G578" s="24"/>
      <c r="H578" s="24"/>
    </row>
    <row r="579">
      <c r="G579" s="24"/>
      <c r="H579" s="24"/>
    </row>
    <row r="580">
      <c r="G580" s="24"/>
      <c r="H580" s="24"/>
    </row>
    <row r="581">
      <c r="G581" s="24"/>
      <c r="H581" s="24"/>
    </row>
    <row r="582">
      <c r="G582" s="24"/>
      <c r="H582" s="24"/>
    </row>
    <row r="583">
      <c r="G583" s="24"/>
      <c r="H583" s="24"/>
    </row>
    <row r="584">
      <c r="G584" s="24"/>
      <c r="H584" s="24"/>
    </row>
    <row r="585">
      <c r="G585" s="24"/>
      <c r="H585" s="24"/>
    </row>
    <row r="586">
      <c r="G586" s="24"/>
      <c r="H586" s="24"/>
    </row>
    <row r="587">
      <c r="G587" s="24"/>
      <c r="H587" s="24"/>
    </row>
    <row r="588">
      <c r="G588" s="24"/>
      <c r="H588" s="24"/>
    </row>
    <row r="589">
      <c r="G589" s="24"/>
      <c r="H589" s="24"/>
    </row>
    <row r="590">
      <c r="G590" s="24"/>
      <c r="H590" s="24"/>
    </row>
    <row r="591">
      <c r="G591" s="24"/>
      <c r="H591" s="24"/>
    </row>
    <row r="592">
      <c r="G592" s="24"/>
      <c r="H592" s="24"/>
    </row>
    <row r="593">
      <c r="G593" s="24"/>
      <c r="H593" s="24"/>
    </row>
    <row r="594">
      <c r="G594" s="24"/>
      <c r="H594" s="24"/>
    </row>
    <row r="595">
      <c r="G595" s="24"/>
      <c r="H595" s="24"/>
    </row>
    <row r="596">
      <c r="G596" s="24"/>
      <c r="H596" s="24"/>
    </row>
    <row r="597">
      <c r="G597" s="24"/>
      <c r="H597" s="24"/>
    </row>
    <row r="598">
      <c r="G598" s="24"/>
      <c r="H598" s="24"/>
    </row>
    <row r="599">
      <c r="G599" s="24"/>
      <c r="H599" s="24"/>
    </row>
    <row r="600">
      <c r="G600" s="24"/>
      <c r="H600" s="24"/>
    </row>
    <row r="601">
      <c r="G601" s="24"/>
      <c r="H601" s="24"/>
    </row>
    <row r="602">
      <c r="G602" s="24"/>
      <c r="H602" s="24"/>
    </row>
    <row r="603">
      <c r="G603" s="24"/>
      <c r="H603" s="24"/>
    </row>
    <row r="604">
      <c r="G604" s="24"/>
      <c r="H604" s="24"/>
    </row>
    <row r="605">
      <c r="G605" s="24"/>
      <c r="H605" s="24"/>
    </row>
    <row r="606">
      <c r="G606" s="24"/>
      <c r="H606" s="24"/>
    </row>
    <row r="607">
      <c r="G607" s="24"/>
      <c r="H607" s="24"/>
    </row>
    <row r="608">
      <c r="G608" s="24"/>
      <c r="H608" s="24"/>
    </row>
    <row r="609">
      <c r="G609" s="24"/>
      <c r="H609" s="24"/>
    </row>
    <row r="610">
      <c r="G610" s="24"/>
      <c r="H610" s="24"/>
    </row>
    <row r="611">
      <c r="G611" s="24"/>
      <c r="H611" s="24"/>
    </row>
    <row r="612">
      <c r="G612" s="24"/>
      <c r="H612" s="24"/>
    </row>
    <row r="613">
      <c r="G613" s="24"/>
      <c r="H613" s="24"/>
    </row>
    <row r="614">
      <c r="G614" s="24"/>
      <c r="H614" s="24"/>
    </row>
    <row r="615">
      <c r="G615" s="24"/>
      <c r="H615" s="24"/>
    </row>
    <row r="616">
      <c r="G616" s="24"/>
      <c r="H616" s="24"/>
    </row>
    <row r="617">
      <c r="G617" s="24"/>
      <c r="H617" s="24"/>
    </row>
    <row r="618">
      <c r="G618" s="24"/>
      <c r="H618" s="24"/>
    </row>
    <row r="619">
      <c r="G619" s="24"/>
      <c r="H619" s="24"/>
    </row>
    <row r="620">
      <c r="G620" s="24"/>
      <c r="H620" s="24"/>
    </row>
    <row r="621">
      <c r="G621" s="24"/>
      <c r="H621" s="24"/>
    </row>
    <row r="622">
      <c r="G622" s="24"/>
      <c r="H622" s="24"/>
    </row>
    <row r="623">
      <c r="G623" s="24"/>
      <c r="H623" s="24"/>
    </row>
    <row r="624">
      <c r="G624" s="24"/>
      <c r="H624" s="24"/>
    </row>
    <row r="625">
      <c r="G625" s="24"/>
      <c r="H625" s="24"/>
    </row>
    <row r="626">
      <c r="G626" s="24"/>
      <c r="H626" s="24"/>
    </row>
    <row r="627">
      <c r="G627" s="24"/>
      <c r="H627" s="24"/>
    </row>
    <row r="628">
      <c r="G628" s="24"/>
      <c r="H628" s="24"/>
    </row>
    <row r="629">
      <c r="G629" s="24"/>
      <c r="H629" s="24"/>
    </row>
    <row r="630">
      <c r="G630" s="24"/>
      <c r="H630" s="24"/>
    </row>
    <row r="631">
      <c r="G631" s="24"/>
      <c r="H631" s="24"/>
    </row>
    <row r="632">
      <c r="G632" s="24"/>
      <c r="H632" s="24"/>
    </row>
    <row r="633">
      <c r="G633" s="24"/>
      <c r="H633" s="24"/>
    </row>
    <row r="634">
      <c r="G634" s="24"/>
      <c r="H634" s="24"/>
    </row>
    <row r="635">
      <c r="G635" s="24"/>
      <c r="H635" s="24"/>
    </row>
    <row r="636">
      <c r="G636" s="24"/>
      <c r="H636" s="24"/>
    </row>
    <row r="637">
      <c r="G637" s="24"/>
      <c r="H637" s="24"/>
    </row>
    <row r="638">
      <c r="G638" s="24"/>
      <c r="H638" s="24"/>
    </row>
    <row r="639">
      <c r="G639" s="24"/>
      <c r="H639" s="24"/>
    </row>
    <row r="640">
      <c r="G640" s="24"/>
      <c r="H640" s="24"/>
    </row>
    <row r="641">
      <c r="G641" s="24"/>
      <c r="H641" s="24"/>
    </row>
    <row r="642">
      <c r="G642" s="24"/>
      <c r="H642" s="24"/>
    </row>
    <row r="643">
      <c r="G643" s="24"/>
      <c r="H643" s="24"/>
    </row>
    <row r="644">
      <c r="G644" s="24"/>
      <c r="H644" s="24"/>
    </row>
    <row r="645">
      <c r="G645" s="24"/>
      <c r="H645" s="24"/>
    </row>
    <row r="646">
      <c r="G646" s="24"/>
      <c r="H646" s="24"/>
    </row>
    <row r="647">
      <c r="G647" s="24"/>
      <c r="H647" s="24"/>
    </row>
    <row r="648">
      <c r="G648" s="24"/>
      <c r="H648" s="24"/>
    </row>
    <row r="649">
      <c r="G649" s="24"/>
      <c r="H649" s="24"/>
    </row>
    <row r="650">
      <c r="G650" s="24"/>
      <c r="H650" s="24"/>
    </row>
    <row r="651">
      <c r="G651" s="24"/>
      <c r="H651" s="24"/>
    </row>
    <row r="652">
      <c r="G652" s="24"/>
      <c r="H652" s="24"/>
    </row>
    <row r="653">
      <c r="G653" s="24"/>
      <c r="H653" s="24"/>
    </row>
    <row r="654">
      <c r="G654" s="24"/>
      <c r="H654" s="24"/>
    </row>
    <row r="655">
      <c r="G655" s="24"/>
      <c r="H655" s="24"/>
    </row>
    <row r="656">
      <c r="G656" s="24"/>
      <c r="H656" s="24"/>
    </row>
    <row r="657">
      <c r="G657" s="24"/>
      <c r="H657" s="24"/>
    </row>
    <row r="658">
      <c r="G658" s="24"/>
      <c r="H658" s="24"/>
    </row>
    <row r="659">
      <c r="G659" s="24"/>
      <c r="H659" s="24"/>
    </row>
    <row r="660">
      <c r="G660" s="24"/>
      <c r="H660" s="24"/>
    </row>
    <row r="661">
      <c r="G661" s="24"/>
      <c r="H661" s="24"/>
    </row>
    <row r="662">
      <c r="G662" s="24"/>
      <c r="H662" s="24"/>
    </row>
    <row r="663">
      <c r="G663" s="24"/>
      <c r="H663" s="24"/>
    </row>
    <row r="664">
      <c r="G664" s="24"/>
      <c r="H664" s="24"/>
    </row>
    <row r="665">
      <c r="G665" s="24"/>
      <c r="H665" s="24"/>
    </row>
    <row r="666">
      <c r="G666" s="24"/>
      <c r="H666" s="24"/>
    </row>
    <row r="667">
      <c r="G667" s="24"/>
      <c r="H667" s="24"/>
    </row>
    <row r="668">
      <c r="G668" s="24"/>
      <c r="H668" s="24"/>
    </row>
    <row r="669">
      <c r="G669" s="24"/>
      <c r="H669" s="24"/>
    </row>
    <row r="670">
      <c r="G670" s="24"/>
      <c r="H670" s="24"/>
    </row>
    <row r="671">
      <c r="G671" s="24"/>
      <c r="H671" s="24"/>
    </row>
    <row r="672">
      <c r="G672" s="24"/>
      <c r="H672" s="24"/>
    </row>
    <row r="673">
      <c r="G673" s="24"/>
      <c r="H673" s="24"/>
    </row>
    <row r="674">
      <c r="G674" s="24"/>
      <c r="H674" s="24"/>
    </row>
    <row r="675">
      <c r="G675" s="24"/>
      <c r="H675" s="24"/>
    </row>
    <row r="676">
      <c r="G676" s="24"/>
      <c r="H676" s="24"/>
    </row>
    <row r="677">
      <c r="G677" s="24"/>
      <c r="H677" s="24"/>
    </row>
    <row r="678">
      <c r="G678" s="24"/>
      <c r="H678" s="24"/>
    </row>
    <row r="679">
      <c r="G679" s="24"/>
      <c r="H679" s="24"/>
    </row>
    <row r="680">
      <c r="G680" s="24"/>
      <c r="H680" s="24"/>
    </row>
    <row r="681">
      <c r="G681" s="24"/>
      <c r="H681" s="24"/>
    </row>
    <row r="682">
      <c r="G682" s="24"/>
      <c r="H682" s="24"/>
    </row>
    <row r="683">
      <c r="G683" s="24"/>
      <c r="H683" s="24"/>
    </row>
    <row r="684">
      <c r="G684" s="24"/>
      <c r="H684" s="24"/>
    </row>
    <row r="685">
      <c r="G685" s="24"/>
      <c r="H685" s="24"/>
    </row>
    <row r="686">
      <c r="G686" s="24"/>
      <c r="H686" s="24"/>
    </row>
    <row r="687">
      <c r="G687" s="24"/>
      <c r="H687" s="24"/>
    </row>
    <row r="688">
      <c r="G688" s="24"/>
      <c r="H688" s="24"/>
    </row>
    <row r="689">
      <c r="G689" s="24"/>
      <c r="H689" s="24"/>
    </row>
    <row r="690">
      <c r="G690" s="24"/>
      <c r="H690" s="24"/>
    </row>
    <row r="691">
      <c r="G691" s="24"/>
      <c r="H691" s="24"/>
    </row>
    <row r="692">
      <c r="G692" s="24"/>
      <c r="H692" s="24"/>
    </row>
    <row r="693">
      <c r="G693" s="24"/>
      <c r="H693" s="24"/>
    </row>
    <row r="694">
      <c r="G694" s="24"/>
      <c r="H694" s="24"/>
    </row>
    <row r="695">
      <c r="G695" s="24"/>
      <c r="H695" s="24"/>
    </row>
    <row r="696">
      <c r="G696" s="24"/>
      <c r="H696" s="24"/>
    </row>
    <row r="697">
      <c r="G697" s="24"/>
      <c r="H697" s="24"/>
    </row>
    <row r="698">
      <c r="G698" s="24"/>
      <c r="H698" s="24"/>
    </row>
    <row r="699">
      <c r="G699" s="24"/>
      <c r="H699" s="24"/>
    </row>
    <row r="700">
      <c r="G700" s="24"/>
      <c r="H700" s="24"/>
    </row>
    <row r="701">
      <c r="G701" s="24"/>
      <c r="H701" s="24"/>
    </row>
    <row r="702">
      <c r="G702" s="24"/>
      <c r="H702" s="24"/>
    </row>
    <row r="703">
      <c r="G703" s="24"/>
      <c r="H703" s="24"/>
    </row>
    <row r="704">
      <c r="G704" s="24"/>
      <c r="H704" s="24"/>
    </row>
    <row r="705">
      <c r="G705" s="24"/>
      <c r="H705" s="24"/>
    </row>
    <row r="706">
      <c r="G706" s="24"/>
      <c r="H706" s="24"/>
    </row>
    <row r="707">
      <c r="G707" s="24"/>
      <c r="H707" s="24"/>
    </row>
    <row r="708">
      <c r="G708" s="24"/>
      <c r="H708" s="24"/>
    </row>
    <row r="709">
      <c r="G709" s="24"/>
      <c r="H709" s="24"/>
    </row>
    <row r="710">
      <c r="G710" s="24"/>
      <c r="H710" s="24"/>
    </row>
    <row r="711">
      <c r="G711" s="24"/>
      <c r="H711" s="24"/>
    </row>
    <row r="712">
      <c r="G712" s="24"/>
      <c r="H712" s="24"/>
    </row>
    <row r="713">
      <c r="G713" s="24"/>
      <c r="H713" s="24"/>
    </row>
    <row r="714">
      <c r="G714" s="24"/>
      <c r="H714" s="24"/>
    </row>
    <row r="715">
      <c r="G715" s="24"/>
      <c r="H715" s="24"/>
    </row>
    <row r="716">
      <c r="G716" s="24"/>
      <c r="H716" s="24"/>
    </row>
    <row r="717">
      <c r="G717" s="24"/>
      <c r="H717" s="24"/>
    </row>
    <row r="718">
      <c r="G718" s="24"/>
      <c r="H718" s="24"/>
    </row>
    <row r="719">
      <c r="G719" s="24"/>
      <c r="H719" s="24"/>
    </row>
    <row r="720">
      <c r="G720" s="24"/>
      <c r="H720" s="24"/>
    </row>
    <row r="721">
      <c r="G721" s="24"/>
      <c r="H721" s="24"/>
    </row>
    <row r="722">
      <c r="G722" s="24"/>
      <c r="H722" s="24"/>
    </row>
    <row r="723">
      <c r="G723" s="24"/>
      <c r="H723" s="24"/>
    </row>
    <row r="724">
      <c r="G724" s="24"/>
      <c r="H724" s="24"/>
    </row>
    <row r="725">
      <c r="G725" s="24"/>
      <c r="H725" s="24"/>
    </row>
    <row r="726">
      <c r="G726" s="24"/>
      <c r="H726" s="24"/>
    </row>
    <row r="727">
      <c r="G727" s="24"/>
      <c r="H727" s="24"/>
    </row>
    <row r="728">
      <c r="G728" s="24"/>
      <c r="H728" s="24"/>
    </row>
    <row r="729">
      <c r="G729" s="24"/>
      <c r="H729" s="24"/>
    </row>
    <row r="730">
      <c r="G730" s="24"/>
      <c r="H730" s="24"/>
    </row>
    <row r="731">
      <c r="G731" s="24"/>
      <c r="H731" s="24"/>
    </row>
    <row r="732">
      <c r="G732" s="24"/>
      <c r="H732" s="24"/>
    </row>
    <row r="733">
      <c r="G733" s="24"/>
      <c r="H733" s="24"/>
    </row>
    <row r="734">
      <c r="G734" s="24"/>
      <c r="H734" s="24"/>
    </row>
    <row r="735">
      <c r="G735" s="24"/>
      <c r="H735" s="24"/>
    </row>
    <row r="736">
      <c r="G736" s="24"/>
      <c r="H736" s="24"/>
    </row>
    <row r="737">
      <c r="G737" s="24"/>
      <c r="H737" s="24"/>
    </row>
    <row r="738">
      <c r="G738" s="24"/>
      <c r="H738" s="24"/>
    </row>
    <row r="739">
      <c r="G739" s="24"/>
      <c r="H739" s="24"/>
    </row>
    <row r="740">
      <c r="G740" s="24"/>
      <c r="H740" s="24"/>
    </row>
    <row r="741">
      <c r="G741" s="24"/>
      <c r="H741" s="24"/>
    </row>
    <row r="742">
      <c r="G742" s="24"/>
      <c r="H742" s="24"/>
    </row>
    <row r="743">
      <c r="G743" s="24"/>
      <c r="H743" s="24"/>
    </row>
    <row r="744">
      <c r="G744" s="24"/>
      <c r="H744" s="24"/>
    </row>
    <row r="745">
      <c r="G745" s="24"/>
      <c r="H745" s="24"/>
    </row>
    <row r="746">
      <c r="G746" s="24"/>
      <c r="H746" s="24"/>
    </row>
    <row r="747">
      <c r="G747" s="24"/>
      <c r="H747" s="24"/>
    </row>
    <row r="748">
      <c r="G748" s="24"/>
      <c r="H748" s="24"/>
    </row>
    <row r="749">
      <c r="G749" s="24"/>
      <c r="H749" s="24"/>
    </row>
    <row r="750">
      <c r="G750" s="24"/>
      <c r="H750" s="24"/>
    </row>
    <row r="751">
      <c r="G751" s="24"/>
      <c r="H751" s="24"/>
    </row>
    <row r="752">
      <c r="G752" s="24"/>
      <c r="H752" s="24"/>
    </row>
    <row r="753">
      <c r="G753" s="24"/>
      <c r="H753" s="24"/>
    </row>
    <row r="754">
      <c r="G754" s="24"/>
      <c r="H754" s="24"/>
    </row>
    <row r="755">
      <c r="G755" s="24"/>
      <c r="H755" s="24"/>
    </row>
    <row r="756">
      <c r="G756" s="24"/>
      <c r="H756" s="24"/>
    </row>
    <row r="757">
      <c r="G757" s="24"/>
      <c r="H757" s="24"/>
    </row>
    <row r="758">
      <c r="G758" s="24"/>
      <c r="H758" s="24"/>
    </row>
    <row r="759">
      <c r="G759" s="24"/>
      <c r="H759" s="24"/>
    </row>
    <row r="760">
      <c r="G760" s="24"/>
      <c r="H760" s="24"/>
    </row>
    <row r="761">
      <c r="G761" s="24"/>
      <c r="H761" s="24"/>
    </row>
    <row r="762">
      <c r="G762" s="24"/>
      <c r="H762" s="24"/>
    </row>
    <row r="763">
      <c r="G763" s="24"/>
      <c r="H763" s="24"/>
    </row>
    <row r="764">
      <c r="G764" s="24"/>
      <c r="H764" s="24"/>
    </row>
    <row r="765">
      <c r="G765" s="24"/>
      <c r="H765" s="24"/>
    </row>
    <row r="766">
      <c r="G766" s="24"/>
      <c r="H766" s="24"/>
    </row>
    <row r="767">
      <c r="G767" s="24"/>
      <c r="H767" s="24"/>
    </row>
    <row r="768">
      <c r="G768" s="24"/>
      <c r="H768" s="24"/>
    </row>
    <row r="769">
      <c r="G769" s="24"/>
      <c r="H769" s="24"/>
    </row>
    <row r="770">
      <c r="G770" s="24"/>
      <c r="H770" s="24"/>
    </row>
    <row r="771">
      <c r="G771" s="24"/>
      <c r="H771" s="24"/>
    </row>
    <row r="772">
      <c r="G772" s="24"/>
      <c r="H772" s="24"/>
    </row>
    <row r="773">
      <c r="G773" s="24"/>
      <c r="H773" s="24"/>
    </row>
    <row r="774">
      <c r="G774" s="24"/>
      <c r="H774" s="24"/>
    </row>
    <row r="775">
      <c r="G775" s="24"/>
      <c r="H775" s="24"/>
    </row>
    <row r="776">
      <c r="G776" s="24"/>
      <c r="H776" s="24"/>
    </row>
    <row r="777">
      <c r="G777" s="24"/>
      <c r="H777" s="24"/>
    </row>
    <row r="778">
      <c r="G778" s="24"/>
      <c r="H778" s="24"/>
    </row>
    <row r="779">
      <c r="G779" s="24"/>
      <c r="H779" s="24"/>
    </row>
    <row r="780">
      <c r="G780" s="24"/>
      <c r="H780" s="24"/>
    </row>
    <row r="781">
      <c r="G781" s="24"/>
      <c r="H781" s="24"/>
    </row>
    <row r="782">
      <c r="G782" s="24"/>
      <c r="H782" s="24"/>
    </row>
    <row r="783">
      <c r="G783" s="24"/>
      <c r="H783" s="24"/>
    </row>
    <row r="784">
      <c r="G784" s="24"/>
      <c r="H784" s="24"/>
    </row>
    <row r="785">
      <c r="G785" s="24"/>
      <c r="H785" s="24"/>
    </row>
    <row r="786">
      <c r="G786" s="24"/>
      <c r="H786" s="24"/>
    </row>
    <row r="787">
      <c r="G787" s="24"/>
      <c r="H787" s="24"/>
    </row>
    <row r="788">
      <c r="G788" s="24"/>
      <c r="H788" s="24"/>
    </row>
    <row r="789">
      <c r="G789" s="24"/>
      <c r="H789" s="24"/>
    </row>
    <row r="790">
      <c r="G790" s="24"/>
      <c r="H790" s="24"/>
    </row>
    <row r="791">
      <c r="G791" s="24"/>
      <c r="H791" s="24"/>
    </row>
    <row r="792">
      <c r="G792" s="24"/>
      <c r="H792" s="24"/>
    </row>
    <row r="793">
      <c r="G793" s="24"/>
      <c r="H793" s="24"/>
    </row>
    <row r="794">
      <c r="G794" s="24"/>
      <c r="H794" s="24"/>
    </row>
    <row r="795">
      <c r="G795" s="24"/>
      <c r="H795" s="24"/>
    </row>
    <row r="796">
      <c r="G796" s="24"/>
      <c r="H796" s="24"/>
    </row>
    <row r="797">
      <c r="G797" s="24"/>
      <c r="H797" s="24"/>
    </row>
    <row r="798">
      <c r="G798" s="24"/>
      <c r="H798" s="24"/>
    </row>
    <row r="799">
      <c r="G799" s="24"/>
      <c r="H799" s="24"/>
    </row>
    <row r="800">
      <c r="G800" s="24"/>
      <c r="H800" s="24"/>
    </row>
    <row r="801">
      <c r="G801" s="24"/>
      <c r="H801" s="24"/>
    </row>
    <row r="802">
      <c r="G802" s="24"/>
      <c r="H802" s="24"/>
    </row>
    <row r="803">
      <c r="G803" s="24"/>
      <c r="H803" s="24"/>
    </row>
    <row r="804">
      <c r="G804" s="24"/>
      <c r="H804" s="24"/>
    </row>
    <row r="805">
      <c r="G805" s="24"/>
      <c r="H805" s="24"/>
    </row>
    <row r="806">
      <c r="G806" s="24"/>
      <c r="H806" s="24"/>
    </row>
    <row r="807">
      <c r="G807" s="24"/>
      <c r="H807" s="24"/>
    </row>
    <row r="808">
      <c r="G808" s="24"/>
      <c r="H808" s="24"/>
    </row>
    <row r="809">
      <c r="G809" s="24"/>
      <c r="H809" s="24"/>
    </row>
    <row r="810">
      <c r="G810" s="24"/>
      <c r="H810" s="24"/>
    </row>
    <row r="811">
      <c r="G811" s="24"/>
      <c r="H811" s="24"/>
    </row>
    <row r="812">
      <c r="G812" s="24"/>
      <c r="H812" s="24"/>
    </row>
    <row r="813">
      <c r="G813" s="24"/>
      <c r="H813" s="24"/>
    </row>
    <row r="814">
      <c r="G814" s="24"/>
      <c r="H814" s="24"/>
    </row>
    <row r="815">
      <c r="G815" s="24"/>
      <c r="H815" s="24"/>
    </row>
    <row r="816">
      <c r="G816" s="24"/>
      <c r="H816" s="24"/>
    </row>
    <row r="817">
      <c r="G817" s="24"/>
      <c r="H817" s="24"/>
    </row>
    <row r="818">
      <c r="G818" s="24"/>
      <c r="H818" s="24"/>
    </row>
    <row r="819">
      <c r="G819" s="24"/>
      <c r="H819" s="24"/>
    </row>
    <row r="820">
      <c r="G820" s="24"/>
      <c r="H820" s="24"/>
    </row>
    <row r="821">
      <c r="G821" s="24"/>
      <c r="H821" s="24"/>
    </row>
    <row r="822">
      <c r="G822" s="24"/>
      <c r="H822" s="24"/>
    </row>
    <row r="823">
      <c r="G823" s="24"/>
      <c r="H823" s="24"/>
    </row>
    <row r="824">
      <c r="G824" s="24"/>
      <c r="H824" s="24"/>
    </row>
    <row r="825">
      <c r="G825" s="24"/>
      <c r="H825" s="24"/>
    </row>
    <row r="826">
      <c r="G826" s="24"/>
      <c r="H826" s="24"/>
    </row>
    <row r="827">
      <c r="G827" s="24"/>
      <c r="H827" s="24"/>
    </row>
    <row r="828">
      <c r="G828" s="24"/>
      <c r="H828" s="24"/>
    </row>
    <row r="829">
      <c r="G829" s="24"/>
      <c r="H829" s="24"/>
    </row>
    <row r="830">
      <c r="G830" s="24"/>
      <c r="H830" s="24"/>
    </row>
    <row r="831">
      <c r="G831" s="24"/>
      <c r="H831" s="24"/>
    </row>
    <row r="832">
      <c r="G832" s="24"/>
      <c r="H832" s="24"/>
    </row>
    <row r="833">
      <c r="G833" s="24"/>
      <c r="H833" s="24"/>
    </row>
    <row r="834">
      <c r="G834" s="24"/>
      <c r="H834" s="24"/>
    </row>
    <row r="835">
      <c r="G835" s="24"/>
      <c r="H835" s="24"/>
    </row>
    <row r="836">
      <c r="G836" s="24"/>
      <c r="H836" s="24"/>
    </row>
    <row r="837">
      <c r="G837" s="24"/>
      <c r="H837" s="24"/>
    </row>
    <row r="838">
      <c r="G838" s="24"/>
      <c r="H838" s="24"/>
    </row>
    <row r="839">
      <c r="G839" s="24"/>
      <c r="H839" s="24"/>
    </row>
    <row r="840">
      <c r="G840" s="24"/>
      <c r="H840" s="24"/>
    </row>
    <row r="841">
      <c r="G841" s="24"/>
      <c r="H841" s="24"/>
    </row>
    <row r="842">
      <c r="G842" s="24"/>
      <c r="H842" s="24"/>
    </row>
    <row r="843">
      <c r="G843" s="24"/>
      <c r="H843" s="24"/>
    </row>
    <row r="844">
      <c r="G844" s="24"/>
      <c r="H844" s="24"/>
    </row>
    <row r="845">
      <c r="G845" s="24"/>
      <c r="H845" s="24"/>
    </row>
    <row r="846">
      <c r="G846" s="24"/>
      <c r="H846" s="24"/>
    </row>
    <row r="847">
      <c r="G847" s="24"/>
      <c r="H847" s="24"/>
    </row>
    <row r="848">
      <c r="G848" s="24"/>
      <c r="H848" s="24"/>
    </row>
    <row r="849">
      <c r="G849" s="24"/>
      <c r="H849" s="24"/>
    </row>
    <row r="850">
      <c r="G850" s="24"/>
      <c r="H850" s="24"/>
    </row>
    <row r="851">
      <c r="G851" s="24"/>
      <c r="H851" s="24"/>
    </row>
    <row r="852">
      <c r="G852" s="24"/>
      <c r="H852" s="24"/>
    </row>
    <row r="853">
      <c r="G853" s="24"/>
      <c r="H853" s="24"/>
    </row>
    <row r="854">
      <c r="G854" s="24"/>
      <c r="H854" s="24"/>
    </row>
    <row r="855">
      <c r="G855" s="24"/>
      <c r="H855" s="24"/>
    </row>
    <row r="856">
      <c r="G856" s="24"/>
      <c r="H856" s="24"/>
    </row>
    <row r="857">
      <c r="G857" s="24"/>
      <c r="H857" s="24"/>
    </row>
    <row r="858">
      <c r="G858" s="24"/>
      <c r="H858" s="24"/>
    </row>
    <row r="859">
      <c r="G859" s="24"/>
      <c r="H859" s="24"/>
    </row>
    <row r="860">
      <c r="G860" s="24"/>
      <c r="H860" s="24"/>
    </row>
    <row r="861">
      <c r="G861" s="24"/>
      <c r="H861" s="24"/>
    </row>
    <row r="862">
      <c r="G862" s="24"/>
      <c r="H862" s="24"/>
    </row>
    <row r="863">
      <c r="G863" s="24"/>
      <c r="H863" s="24"/>
    </row>
    <row r="864">
      <c r="G864" s="24"/>
      <c r="H864" s="24"/>
    </row>
    <row r="865">
      <c r="G865" s="24"/>
      <c r="H865" s="24"/>
    </row>
    <row r="866">
      <c r="G866" s="24"/>
      <c r="H866" s="24"/>
    </row>
    <row r="867">
      <c r="G867" s="24"/>
      <c r="H867" s="24"/>
    </row>
    <row r="868">
      <c r="G868" s="24"/>
      <c r="H868" s="24"/>
    </row>
    <row r="869">
      <c r="G869" s="24"/>
      <c r="H869" s="24"/>
    </row>
    <row r="870">
      <c r="G870" s="24"/>
      <c r="H870" s="24"/>
    </row>
    <row r="871">
      <c r="G871" s="24"/>
      <c r="H871" s="24"/>
    </row>
    <row r="872">
      <c r="G872" s="24"/>
      <c r="H872" s="24"/>
    </row>
    <row r="873">
      <c r="G873" s="24"/>
      <c r="H873" s="24"/>
    </row>
    <row r="874">
      <c r="G874" s="24"/>
      <c r="H874" s="24"/>
    </row>
    <row r="875">
      <c r="G875" s="24"/>
      <c r="H875" s="24"/>
    </row>
    <row r="876">
      <c r="G876" s="24"/>
      <c r="H876" s="24"/>
    </row>
    <row r="877">
      <c r="G877" s="24"/>
      <c r="H877" s="24"/>
    </row>
    <row r="878">
      <c r="G878" s="24"/>
      <c r="H878" s="24"/>
    </row>
    <row r="879">
      <c r="G879" s="24"/>
      <c r="H879" s="24"/>
    </row>
    <row r="880">
      <c r="G880" s="24"/>
      <c r="H880" s="24"/>
    </row>
    <row r="881">
      <c r="G881" s="24"/>
      <c r="H881" s="24"/>
    </row>
    <row r="882">
      <c r="G882" s="24"/>
      <c r="H882" s="24"/>
    </row>
    <row r="883">
      <c r="G883" s="24"/>
      <c r="H883" s="24"/>
    </row>
    <row r="884">
      <c r="G884" s="24"/>
      <c r="H884" s="24"/>
    </row>
    <row r="885">
      <c r="G885" s="24"/>
      <c r="H885" s="24"/>
    </row>
    <row r="886">
      <c r="G886" s="24"/>
      <c r="H886" s="24"/>
    </row>
    <row r="887">
      <c r="G887" s="24"/>
      <c r="H887" s="24"/>
    </row>
    <row r="888">
      <c r="G888" s="24"/>
      <c r="H888" s="24"/>
    </row>
    <row r="889">
      <c r="G889" s="24"/>
      <c r="H889" s="24"/>
    </row>
    <row r="890">
      <c r="G890" s="24"/>
      <c r="H890" s="24"/>
    </row>
    <row r="891">
      <c r="G891" s="24"/>
      <c r="H891" s="24"/>
    </row>
    <row r="892">
      <c r="G892" s="24"/>
      <c r="H892" s="24"/>
    </row>
    <row r="893">
      <c r="G893" s="24"/>
      <c r="H893" s="24"/>
    </row>
    <row r="894">
      <c r="G894" s="24"/>
      <c r="H894" s="24"/>
    </row>
    <row r="895">
      <c r="G895" s="24"/>
      <c r="H895" s="24"/>
    </row>
    <row r="896">
      <c r="G896" s="24"/>
      <c r="H896" s="24"/>
    </row>
    <row r="897">
      <c r="G897" s="24"/>
      <c r="H897" s="24"/>
    </row>
    <row r="898">
      <c r="G898" s="24"/>
      <c r="H898" s="24"/>
    </row>
    <row r="899">
      <c r="G899" s="24"/>
      <c r="H899" s="24"/>
    </row>
    <row r="900">
      <c r="G900" s="24"/>
      <c r="H900" s="24"/>
    </row>
    <row r="901">
      <c r="G901" s="24"/>
      <c r="H901" s="24"/>
    </row>
    <row r="902">
      <c r="G902" s="24"/>
      <c r="H902" s="24"/>
    </row>
    <row r="903">
      <c r="G903" s="24"/>
      <c r="H903" s="24"/>
    </row>
    <row r="904">
      <c r="G904" s="24"/>
      <c r="H904" s="24"/>
    </row>
    <row r="905">
      <c r="G905" s="24"/>
      <c r="H905" s="24"/>
    </row>
    <row r="906">
      <c r="G906" s="24"/>
      <c r="H906" s="24"/>
    </row>
    <row r="907">
      <c r="G907" s="24"/>
      <c r="H907" s="24"/>
    </row>
    <row r="908">
      <c r="G908" s="24"/>
      <c r="H908" s="24"/>
    </row>
    <row r="909">
      <c r="G909" s="24"/>
      <c r="H909" s="24"/>
    </row>
    <row r="910">
      <c r="G910" s="24"/>
      <c r="H910" s="24"/>
    </row>
    <row r="911">
      <c r="G911" s="24"/>
      <c r="H911" s="24"/>
    </row>
    <row r="912">
      <c r="G912" s="24"/>
      <c r="H912" s="24"/>
    </row>
    <row r="913">
      <c r="G913" s="24"/>
      <c r="H913" s="24"/>
    </row>
    <row r="914">
      <c r="G914" s="24"/>
      <c r="H914" s="24"/>
    </row>
    <row r="915">
      <c r="G915" s="24"/>
      <c r="H915" s="24"/>
    </row>
    <row r="916">
      <c r="G916" s="24"/>
      <c r="H916" s="24"/>
    </row>
    <row r="917">
      <c r="G917" s="24"/>
      <c r="H917" s="24"/>
    </row>
    <row r="918">
      <c r="G918" s="24"/>
      <c r="H918" s="24"/>
    </row>
    <row r="919">
      <c r="G919" s="24"/>
      <c r="H919" s="24"/>
    </row>
    <row r="920">
      <c r="G920" s="24"/>
      <c r="H920" s="24"/>
    </row>
    <row r="921">
      <c r="G921" s="24"/>
      <c r="H921" s="24"/>
    </row>
    <row r="922">
      <c r="G922" s="24"/>
      <c r="H922" s="24"/>
    </row>
    <row r="923">
      <c r="G923" s="24"/>
      <c r="H923" s="24"/>
    </row>
    <row r="924">
      <c r="G924" s="24"/>
      <c r="H924" s="24"/>
    </row>
    <row r="925">
      <c r="G925" s="24"/>
      <c r="H925" s="24"/>
    </row>
    <row r="926">
      <c r="G926" s="24"/>
      <c r="H926" s="24"/>
    </row>
    <row r="927">
      <c r="G927" s="24"/>
      <c r="H927" s="24"/>
    </row>
    <row r="928">
      <c r="G928" s="24"/>
      <c r="H928" s="24"/>
    </row>
    <row r="929">
      <c r="G929" s="24"/>
      <c r="H929" s="24"/>
    </row>
    <row r="930">
      <c r="G930" s="24"/>
      <c r="H930" s="24"/>
    </row>
    <row r="931">
      <c r="G931" s="24"/>
      <c r="H931" s="24"/>
    </row>
    <row r="932">
      <c r="G932" s="24"/>
      <c r="H932" s="24"/>
    </row>
    <row r="933">
      <c r="G933" s="24"/>
      <c r="H933" s="24"/>
    </row>
    <row r="934">
      <c r="G934" s="24"/>
      <c r="H934" s="24"/>
    </row>
    <row r="935">
      <c r="G935" s="24"/>
      <c r="H935" s="24"/>
    </row>
    <row r="936">
      <c r="G936" s="24"/>
      <c r="H936" s="24"/>
    </row>
    <row r="937">
      <c r="G937" s="24"/>
      <c r="H937" s="24"/>
    </row>
    <row r="938">
      <c r="G938" s="24"/>
      <c r="H938" s="24"/>
    </row>
    <row r="939">
      <c r="G939" s="24"/>
      <c r="H939" s="24"/>
    </row>
    <row r="940">
      <c r="G940" s="24"/>
      <c r="H940" s="24"/>
    </row>
    <row r="941">
      <c r="G941" s="24"/>
      <c r="H941" s="24"/>
    </row>
    <row r="942">
      <c r="G942" s="24"/>
      <c r="H942" s="24"/>
    </row>
    <row r="943">
      <c r="G943" s="24"/>
      <c r="H943" s="24"/>
    </row>
    <row r="944">
      <c r="G944" s="24"/>
      <c r="H944" s="24"/>
    </row>
    <row r="945">
      <c r="G945" s="24"/>
      <c r="H945" s="24"/>
    </row>
    <row r="946">
      <c r="G946" s="24"/>
      <c r="H946" s="24"/>
    </row>
    <row r="947">
      <c r="G947" s="24"/>
      <c r="H947" s="24"/>
    </row>
    <row r="948">
      <c r="G948" s="24"/>
      <c r="H948" s="24"/>
    </row>
    <row r="949">
      <c r="G949" s="24"/>
      <c r="H949" s="24"/>
    </row>
    <row r="950">
      <c r="G950" s="24"/>
      <c r="H950" s="24"/>
    </row>
    <row r="951">
      <c r="G951" s="24"/>
      <c r="H951" s="24"/>
    </row>
    <row r="952">
      <c r="G952" s="24"/>
      <c r="H952" s="24"/>
    </row>
    <row r="953">
      <c r="G953" s="24"/>
      <c r="H953" s="24"/>
    </row>
    <row r="954">
      <c r="G954" s="24"/>
      <c r="H954" s="24"/>
    </row>
    <row r="955">
      <c r="G955" s="24"/>
      <c r="H955" s="24"/>
    </row>
    <row r="956">
      <c r="G956" s="24"/>
      <c r="H956" s="24"/>
    </row>
    <row r="957">
      <c r="G957" s="24"/>
      <c r="H957" s="24"/>
    </row>
    <row r="958">
      <c r="G958" s="24"/>
      <c r="H958" s="24"/>
    </row>
    <row r="959">
      <c r="G959" s="24"/>
      <c r="H959" s="24"/>
    </row>
    <row r="960">
      <c r="G960" s="24"/>
      <c r="H960" s="24"/>
    </row>
    <row r="961">
      <c r="G961" s="24"/>
      <c r="H961" s="24"/>
    </row>
    <row r="962">
      <c r="G962" s="24"/>
      <c r="H962" s="24"/>
    </row>
    <row r="963">
      <c r="G963" s="24"/>
      <c r="H963" s="24"/>
    </row>
    <row r="964">
      <c r="G964" s="24"/>
      <c r="H964" s="24"/>
    </row>
    <row r="965">
      <c r="G965" s="24"/>
      <c r="H965" s="24"/>
    </row>
    <row r="966">
      <c r="G966" s="24"/>
      <c r="H966" s="24"/>
    </row>
    <row r="967">
      <c r="G967" s="24"/>
      <c r="H967" s="24"/>
    </row>
    <row r="968">
      <c r="G968" s="24"/>
      <c r="H968" s="24"/>
    </row>
    <row r="969">
      <c r="G969" s="24"/>
      <c r="H969" s="24"/>
    </row>
    <row r="970">
      <c r="G970" s="24"/>
      <c r="H970" s="24"/>
    </row>
    <row r="971">
      <c r="G971" s="24"/>
      <c r="H971" s="24"/>
    </row>
    <row r="972">
      <c r="G972" s="24"/>
      <c r="H972" s="24"/>
    </row>
    <row r="973">
      <c r="G973" s="24"/>
      <c r="H973" s="24"/>
    </row>
    <row r="974">
      <c r="G974" s="24"/>
      <c r="H974" s="24"/>
    </row>
    <row r="975">
      <c r="G975" s="24"/>
      <c r="H975" s="24"/>
    </row>
    <row r="976">
      <c r="G976" s="24"/>
      <c r="H976" s="24"/>
    </row>
    <row r="977">
      <c r="G977" s="24"/>
      <c r="H977" s="24"/>
    </row>
    <row r="978">
      <c r="G978" s="24"/>
      <c r="H978" s="24"/>
    </row>
    <row r="979">
      <c r="G979" s="24"/>
      <c r="H979" s="24"/>
    </row>
    <row r="980">
      <c r="G980" s="24"/>
      <c r="H980" s="24"/>
    </row>
  </sheetData>
  <hyperlinks>
    <hyperlink r:id="rId2" ref="A5"/>
    <hyperlink r:id="rId3" ref="A9"/>
    <hyperlink r:id="rId4" ref="A13"/>
    <hyperlink r:id="rId5" ref="A14"/>
    <hyperlink r:id="rId6" ref="A16"/>
    <hyperlink r:id="rId7" ref="A21"/>
    <hyperlink r:id="rId8" ref="A22"/>
    <hyperlink r:id="rId9" ref="A23"/>
    <hyperlink r:id="rId10" ref="A29"/>
  </hyperlinks>
  <drawing r:id="rId11"/>
  <legacyDrawing r:id="rId1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3" width="23.0"/>
    <col customWidth="1" min="4" max="4" width="14.86"/>
    <col customWidth="1" min="5" max="5" width="15.71"/>
    <col customWidth="1" min="6" max="11" width="12.57"/>
    <col customWidth="1" min="12" max="12" width="15.29"/>
    <col customWidth="1" min="13" max="13" width="15.57"/>
    <col customWidth="1" min="14" max="14" width="78.0"/>
    <col customWidth="1" min="15" max="29" width="23.0"/>
  </cols>
  <sheetData>
    <row r="1">
      <c r="A1" s="45" t="s">
        <v>182</v>
      </c>
      <c r="B1" s="46" t="s">
        <v>183</v>
      </c>
      <c r="C1" s="46" t="s">
        <v>184</v>
      </c>
      <c r="D1" s="46" t="s">
        <v>185</v>
      </c>
      <c r="E1" s="46" t="s">
        <v>186</v>
      </c>
      <c r="F1" s="46" t="s">
        <v>187</v>
      </c>
      <c r="G1" s="46" t="s">
        <v>188</v>
      </c>
      <c r="H1" s="46" t="s">
        <v>189</v>
      </c>
      <c r="I1" s="46" t="s">
        <v>190</v>
      </c>
      <c r="J1" s="47" t="s">
        <v>191</v>
      </c>
      <c r="K1" s="47" t="s">
        <v>192</v>
      </c>
      <c r="L1" s="46" t="s">
        <v>193</v>
      </c>
      <c r="M1" s="46" t="s">
        <v>194</v>
      </c>
      <c r="N1" s="45" t="s">
        <v>195</v>
      </c>
      <c r="O1" s="48"/>
      <c r="P1" s="48"/>
      <c r="Q1" s="48"/>
      <c r="R1" s="48"/>
      <c r="S1" s="48"/>
      <c r="T1" s="48"/>
      <c r="U1" s="48"/>
      <c r="V1" s="48"/>
      <c r="W1" s="48"/>
      <c r="X1" s="48"/>
      <c r="Y1" s="48"/>
      <c r="Z1" s="48"/>
      <c r="AA1" s="48"/>
      <c r="AB1" s="48"/>
      <c r="AC1" s="48"/>
    </row>
    <row r="2">
      <c r="A2" s="49" t="s">
        <v>196</v>
      </c>
      <c r="B2" s="49" t="s">
        <v>197</v>
      </c>
      <c r="C2" s="50" t="s">
        <v>198</v>
      </c>
      <c r="D2" s="50"/>
      <c r="E2" s="51" t="s">
        <v>199</v>
      </c>
      <c r="F2" s="51" t="s">
        <v>199</v>
      </c>
      <c r="G2" s="50"/>
      <c r="H2" s="50" t="str">
        <f t="shared" ref="H2:H550" si="1">F2-E2</f>
        <v>#VALUE!</v>
      </c>
      <c r="I2" s="51">
        <v>-15.7</v>
      </c>
      <c r="J2" s="52" t="str">
        <f t="shared" ref="J2:J343" si="2">I2*100/E2</f>
        <v>#VALUE!</v>
      </c>
      <c r="K2" s="52" t="str">
        <f t="shared" ref="K2:K81" si="3">IFERROR(I2*100/E2,"error")</f>
        <v>error</v>
      </c>
      <c r="L2" s="50"/>
      <c r="M2" s="50"/>
      <c r="N2" s="51" t="s">
        <v>200</v>
      </c>
      <c r="O2" s="53"/>
      <c r="P2" s="53"/>
      <c r="Q2" s="53"/>
      <c r="R2" s="53"/>
      <c r="S2" s="53"/>
      <c r="T2" s="53"/>
      <c r="U2" s="53"/>
      <c r="V2" s="53"/>
      <c r="W2" s="53"/>
      <c r="X2" s="53"/>
      <c r="Y2" s="53"/>
      <c r="Z2" s="53"/>
      <c r="AA2" s="53"/>
      <c r="AB2" s="53"/>
      <c r="AC2" s="53"/>
    </row>
    <row r="3">
      <c r="A3" s="49" t="s">
        <v>196</v>
      </c>
      <c r="B3" s="49" t="s">
        <v>201</v>
      </c>
      <c r="C3" s="50" t="s">
        <v>198</v>
      </c>
      <c r="D3" s="50"/>
      <c r="E3" s="51" t="s">
        <v>199</v>
      </c>
      <c r="F3" s="51" t="s">
        <v>199</v>
      </c>
      <c r="G3" s="50"/>
      <c r="H3" s="50" t="str">
        <f t="shared" si="1"/>
        <v>#VALUE!</v>
      </c>
      <c r="I3" s="51">
        <v>-11.0</v>
      </c>
      <c r="J3" s="52" t="str">
        <f t="shared" si="2"/>
        <v>#VALUE!</v>
      </c>
      <c r="K3" s="52" t="str">
        <f t="shared" si="3"/>
        <v>error</v>
      </c>
      <c r="L3" s="50"/>
      <c r="M3" s="50"/>
      <c r="N3" s="51" t="s">
        <v>202</v>
      </c>
      <c r="O3" s="53"/>
      <c r="P3" s="53"/>
      <c r="Q3" s="53"/>
      <c r="R3" s="53"/>
      <c r="S3" s="53"/>
      <c r="T3" s="53"/>
      <c r="U3" s="53"/>
      <c r="V3" s="53"/>
      <c r="W3" s="53"/>
      <c r="X3" s="53"/>
      <c r="Y3" s="53"/>
      <c r="Z3" s="53"/>
      <c r="AA3" s="53"/>
      <c r="AB3" s="53"/>
      <c r="AC3" s="53"/>
    </row>
    <row r="4">
      <c r="A4" s="49" t="s">
        <v>203</v>
      </c>
      <c r="B4" s="49" t="s">
        <v>204</v>
      </c>
      <c r="C4" s="50" t="s">
        <v>205</v>
      </c>
      <c r="D4" s="50"/>
      <c r="E4" s="51" t="s">
        <v>199</v>
      </c>
      <c r="F4" s="51" t="s">
        <v>199</v>
      </c>
      <c r="G4" s="51">
        <v>-20.0</v>
      </c>
      <c r="H4" s="51" t="str">
        <f t="shared" si="1"/>
        <v>#VALUE!</v>
      </c>
      <c r="I4" s="51">
        <f t="shared" ref="I4:I343" si="4">iferror(H4,G4)</f>
        <v>-20</v>
      </c>
      <c r="J4" s="54" t="str">
        <f t="shared" si="2"/>
        <v>#VALUE!</v>
      </c>
      <c r="K4" s="54" t="str">
        <f t="shared" si="3"/>
        <v>error</v>
      </c>
      <c r="L4" s="50"/>
      <c r="M4" s="50"/>
      <c r="N4" s="51" t="s">
        <v>206</v>
      </c>
      <c r="O4" s="53"/>
      <c r="P4" s="53"/>
      <c r="Q4" s="53"/>
      <c r="R4" s="53"/>
      <c r="S4" s="53"/>
      <c r="T4" s="53"/>
      <c r="U4" s="53"/>
      <c r="V4" s="53"/>
      <c r="W4" s="53"/>
      <c r="X4" s="53"/>
      <c r="Y4" s="53"/>
      <c r="Z4" s="53"/>
      <c r="AA4" s="53"/>
      <c r="AB4" s="53"/>
      <c r="AC4" s="53"/>
    </row>
    <row r="5">
      <c r="A5" s="55" t="s">
        <v>207</v>
      </c>
      <c r="B5" s="56" t="s">
        <v>208</v>
      </c>
      <c r="C5" s="57" t="s">
        <v>209</v>
      </c>
      <c r="D5" s="57"/>
      <c r="E5" s="58" t="s">
        <v>199</v>
      </c>
      <c r="F5" s="58" t="s">
        <v>199</v>
      </c>
      <c r="G5" s="58" t="s">
        <v>199</v>
      </c>
      <c r="H5" s="58" t="str">
        <f t="shared" si="1"/>
        <v>#VALUE!</v>
      </c>
      <c r="I5" s="58" t="str">
        <f t="shared" si="4"/>
        <v>-</v>
      </c>
      <c r="J5" s="59" t="str">
        <f t="shared" si="2"/>
        <v>#VALUE!</v>
      </c>
      <c r="K5" s="59" t="str">
        <f t="shared" si="3"/>
        <v>error</v>
      </c>
      <c r="L5" s="58" t="s">
        <v>210</v>
      </c>
      <c r="M5" s="58"/>
      <c r="N5" s="57" t="s">
        <v>211</v>
      </c>
      <c r="O5" s="53"/>
      <c r="P5" s="53"/>
      <c r="Q5" s="53"/>
      <c r="R5" s="53"/>
      <c r="S5" s="53"/>
      <c r="T5" s="53"/>
      <c r="U5" s="53"/>
      <c r="V5" s="53"/>
      <c r="W5" s="53"/>
      <c r="X5" s="53"/>
      <c r="Y5" s="53"/>
      <c r="Z5" s="53"/>
      <c r="AA5" s="53"/>
      <c r="AB5" s="53"/>
      <c r="AC5" s="53"/>
    </row>
    <row r="6">
      <c r="A6" s="55" t="s">
        <v>212</v>
      </c>
      <c r="B6" s="55" t="s">
        <v>208</v>
      </c>
      <c r="C6" s="57" t="s">
        <v>213</v>
      </c>
      <c r="D6" s="57"/>
      <c r="E6" s="60">
        <v>94.98</v>
      </c>
      <c r="F6" s="60">
        <v>94.8</v>
      </c>
      <c r="G6" s="58">
        <v>-0.18</v>
      </c>
      <c r="H6" s="58">
        <f t="shared" si="1"/>
        <v>-0.18</v>
      </c>
      <c r="I6" s="58">
        <f t="shared" si="4"/>
        <v>-0.18</v>
      </c>
      <c r="J6" s="61">
        <f t="shared" si="2"/>
        <v>-0.1895135818</v>
      </c>
      <c r="K6" s="61">
        <f t="shared" si="3"/>
        <v>-0.1895135818</v>
      </c>
      <c r="L6" s="57"/>
      <c r="M6" s="57"/>
      <c r="N6" s="57" t="s">
        <v>214</v>
      </c>
      <c r="O6" s="53"/>
      <c r="P6" s="53"/>
      <c r="Q6" s="53"/>
      <c r="R6" s="53"/>
      <c r="S6" s="53"/>
      <c r="T6" s="53"/>
      <c r="U6" s="53"/>
      <c r="V6" s="53"/>
      <c r="W6" s="53"/>
      <c r="X6" s="53"/>
      <c r="Y6" s="53"/>
      <c r="Z6" s="53"/>
      <c r="AA6" s="53"/>
      <c r="AB6" s="53"/>
      <c r="AC6" s="53"/>
    </row>
    <row r="7">
      <c r="A7" s="55" t="s">
        <v>215</v>
      </c>
      <c r="B7" s="55" t="s">
        <v>208</v>
      </c>
      <c r="C7" s="57" t="s">
        <v>216</v>
      </c>
      <c r="D7" s="57"/>
      <c r="E7" s="58" t="s">
        <v>199</v>
      </c>
      <c r="F7" s="58" t="s">
        <v>199</v>
      </c>
      <c r="G7" s="58" t="s">
        <v>199</v>
      </c>
      <c r="H7" s="58" t="str">
        <f t="shared" si="1"/>
        <v>#VALUE!</v>
      </c>
      <c r="I7" s="58" t="str">
        <f t="shared" si="4"/>
        <v>-</v>
      </c>
      <c r="J7" s="59" t="str">
        <f t="shared" si="2"/>
        <v>#VALUE!</v>
      </c>
      <c r="K7" s="59" t="str">
        <f t="shared" si="3"/>
        <v>error</v>
      </c>
      <c r="L7" s="58" t="s">
        <v>210</v>
      </c>
      <c r="M7" s="58"/>
      <c r="N7" s="57" t="s">
        <v>217</v>
      </c>
      <c r="O7" s="53"/>
      <c r="P7" s="53"/>
      <c r="Q7" s="53"/>
      <c r="R7" s="53"/>
      <c r="S7" s="53"/>
      <c r="T7" s="53"/>
      <c r="U7" s="53"/>
      <c r="V7" s="53"/>
      <c r="W7" s="53"/>
      <c r="X7" s="53"/>
      <c r="Y7" s="53"/>
      <c r="Z7" s="53"/>
      <c r="AA7" s="53"/>
      <c r="AB7" s="53"/>
      <c r="AC7" s="53"/>
    </row>
    <row r="8">
      <c r="A8" s="62" t="s">
        <v>215</v>
      </c>
      <c r="B8" s="62" t="s">
        <v>208</v>
      </c>
      <c r="C8" s="62" t="s">
        <v>216</v>
      </c>
      <c r="D8" s="62"/>
      <c r="E8" s="63" t="s">
        <v>199</v>
      </c>
      <c r="F8" s="63" t="s">
        <v>199</v>
      </c>
      <c r="G8" s="58" t="s">
        <v>199</v>
      </c>
      <c r="H8" s="58" t="str">
        <f t="shared" si="1"/>
        <v>#VALUE!</v>
      </c>
      <c r="I8" s="58" t="str">
        <f t="shared" si="4"/>
        <v>-</v>
      </c>
      <c r="J8" s="64" t="str">
        <f t="shared" si="2"/>
        <v>#VALUE!</v>
      </c>
      <c r="K8" s="64" t="str">
        <f t="shared" si="3"/>
        <v>error</v>
      </c>
      <c r="L8" s="63" t="s">
        <v>210</v>
      </c>
      <c r="M8" s="63"/>
      <c r="N8" s="62" t="s">
        <v>217</v>
      </c>
      <c r="O8" s="65"/>
      <c r="P8" s="65"/>
      <c r="Q8" s="65"/>
      <c r="R8" s="65"/>
      <c r="S8" s="65"/>
      <c r="T8" s="65"/>
      <c r="U8" s="65"/>
      <c r="V8" s="65"/>
      <c r="W8" s="65"/>
      <c r="X8" s="65"/>
      <c r="Y8" s="65"/>
      <c r="Z8" s="65"/>
      <c r="AA8" s="65"/>
      <c r="AB8" s="65"/>
      <c r="AC8" s="65"/>
    </row>
    <row r="9">
      <c r="A9" s="62" t="s">
        <v>215</v>
      </c>
      <c r="B9" s="62" t="s">
        <v>208</v>
      </c>
      <c r="C9" s="62" t="s">
        <v>216</v>
      </c>
      <c r="D9" s="62"/>
      <c r="E9" s="63" t="s">
        <v>199</v>
      </c>
      <c r="F9" s="63" t="s">
        <v>199</v>
      </c>
      <c r="G9" s="58" t="s">
        <v>199</v>
      </c>
      <c r="H9" s="58" t="str">
        <f t="shared" si="1"/>
        <v>#VALUE!</v>
      </c>
      <c r="I9" s="58" t="str">
        <f t="shared" si="4"/>
        <v>-</v>
      </c>
      <c r="J9" s="64" t="str">
        <f t="shared" si="2"/>
        <v>#VALUE!</v>
      </c>
      <c r="K9" s="64" t="str">
        <f t="shared" si="3"/>
        <v>error</v>
      </c>
      <c r="L9" s="63" t="s">
        <v>210</v>
      </c>
      <c r="M9" s="63"/>
      <c r="N9" s="62" t="s">
        <v>217</v>
      </c>
      <c r="O9" s="65"/>
      <c r="P9" s="65"/>
      <c r="Q9" s="65"/>
      <c r="R9" s="65"/>
      <c r="S9" s="65"/>
      <c r="T9" s="65"/>
      <c r="U9" s="65"/>
      <c r="V9" s="65"/>
      <c r="W9" s="65"/>
      <c r="X9" s="65"/>
      <c r="Y9" s="65"/>
      <c r="Z9" s="65"/>
      <c r="AA9" s="65"/>
      <c r="AB9" s="65"/>
      <c r="AC9" s="65"/>
    </row>
    <row r="10">
      <c r="A10" s="55" t="s">
        <v>218</v>
      </c>
      <c r="B10" s="55" t="s">
        <v>208</v>
      </c>
      <c r="C10" s="57" t="s">
        <v>219</v>
      </c>
      <c r="D10" s="57"/>
      <c r="E10" s="60">
        <v>91.1</v>
      </c>
      <c r="F10" s="60">
        <v>91.1</v>
      </c>
      <c r="G10" s="58">
        <v>0.0</v>
      </c>
      <c r="H10" s="58">
        <f t="shared" si="1"/>
        <v>0</v>
      </c>
      <c r="I10" s="58">
        <f t="shared" si="4"/>
        <v>0</v>
      </c>
      <c r="J10" s="61">
        <f t="shared" si="2"/>
        <v>0</v>
      </c>
      <c r="K10" s="61">
        <f t="shared" si="3"/>
        <v>0</v>
      </c>
      <c r="L10" s="57"/>
      <c r="M10" s="57"/>
      <c r="N10" s="57" t="s">
        <v>220</v>
      </c>
      <c r="O10" s="53"/>
      <c r="P10" s="53"/>
      <c r="Q10" s="53"/>
      <c r="R10" s="53"/>
      <c r="S10" s="53"/>
      <c r="T10" s="53"/>
      <c r="U10" s="53"/>
      <c r="V10" s="53"/>
      <c r="W10" s="53"/>
      <c r="X10" s="53"/>
      <c r="Y10" s="53"/>
      <c r="Z10" s="53"/>
      <c r="AA10" s="53"/>
      <c r="AB10" s="53"/>
      <c r="AC10" s="53"/>
    </row>
    <row r="11">
      <c r="A11" s="62" t="s">
        <v>218</v>
      </c>
      <c r="B11" s="62" t="s">
        <v>208</v>
      </c>
      <c r="C11" s="62" t="s">
        <v>219</v>
      </c>
      <c r="D11" s="62"/>
      <c r="E11" s="66">
        <v>95.0</v>
      </c>
      <c r="F11" s="66">
        <v>95.0</v>
      </c>
      <c r="G11" s="63">
        <v>0.0</v>
      </c>
      <c r="H11" s="58">
        <f t="shared" si="1"/>
        <v>0</v>
      </c>
      <c r="I11" s="58">
        <f t="shared" si="4"/>
        <v>0</v>
      </c>
      <c r="J11" s="67">
        <f t="shared" si="2"/>
        <v>0</v>
      </c>
      <c r="K11" s="67">
        <f t="shared" si="3"/>
        <v>0</v>
      </c>
      <c r="L11" s="62"/>
      <c r="M11" s="62"/>
      <c r="N11" s="62" t="s">
        <v>220</v>
      </c>
      <c r="O11" s="65"/>
      <c r="P11" s="65"/>
      <c r="Q11" s="65"/>
      <c r="R11" s="65"/>
      <c r="S11" s="65"/>
      <c r="T11" s="65"/>
      <c r="U11" s="65"/>
      <c r="V11" s="65"/>
      <c r="W11" s="65"/>
      <c r="X11" s="65"/>
      <c r="Y11" s="65"/>
      <c r="Z11" s="65"/>
      <c r="AA11" s="65"/>
      <c r="AB11" s="65"/>
      <c r="AC11" s="65"/>
    </row>
    <row r="12">
      <c r="A12" s="55" t="s">
        <v>221</v>
      </c>
      <c r="B12" s="55" t="s">
        <v>208</v>
      </c>
      <c r="C12" s="58" t="s">
        <v>222</v>
      </c>
      <c r="D12" s="57"/>
      <c r="E12" s="58" t="s">
        <v>199</v>
      </c>
      <c r="F12" s="58" t="s">
        <v>199</v>
      </c>
      <c r="G12" s="58" t="s">
        <v>199</v>
      </c>
      <c r="H12" s="58" t="str">
        <f t="shared" si="1"/>
        <v>#VALUE!</v>
      </c>
      <c r="I12" s="58" t="str">
        <f t="shared" si="4"/>
        <v>-</v>
      </c>
      <c r="J12" s="59" t="str">
        <f t="shared" si="2"/>
        <v>#VALUE!</v>
      </c>
      <c r="K12" s="59" t="str">
        <f t="shared" si="3"/>
        <v>error</v>
      </c>
      <c r="L12" s="58" t="s">
        <v>210</v>
      </c>
      <c r="M12" s="58"/>
      <c r="N12" s="57" t="s">
        <v>223</v>
      </c>
      <c r="O12" s="53"/>
      <c r="P12" s="53"/>
      <c r="Q12" s="53"/>
      <c r="R12" s="53"/>
      <c r="S12" s="53"/>
      <c r="T12" s="53"/>
      <c r="U12" s="53"/>
      <c r="V12" s="53"/>
      <c r="W12" s="53"/>
      <c r="X12" s="53"/>
      <c r="Y12" s="53"/>
      <c r="Z12" s="53"/>
      <c r="AA12" s="53"/>
      <c r="AB12" s="53"/>
      <c r="AC12" s="53"/>
    </row>
    <row r="13">
      <c r="A13" s="62" t="s">
        <v>221</v>
      </c>
      <c r="B13" s="62" t="s">
        <v>208</v>
      </c>
      <c r="C13" s="63" t="s">
        <v>222</v>
      </c>
      <c r="D13" s="62"/>
      <c r="E13" s="63" t="s">
        <v>199</v>
      </c>
      <c r="F13" s="63" t="s">
        <v>199</v>
      </c>
      <c r="G13" s="58" t="s">
        <v>199</v>
      </c>
      <c r="H13" s="58" t="str">
        <f t="shared" si="1"/>
        <v>#VALUE!</v>
      </c>
      <c r="I13" s="58" t="str">
        <f t="shared" si="4"/>
        <v>-</v>
      </c>
      <c r="J13" s="64" t="str">
        <f t="shared" si="2"/>
        <v>#VALUE!</v>
      </c>
      <c r="K13" s="64" t="str">
        <f t="shared" si="3"/>
        <v>error</v>
      </c>
      <c r="L13" s="63" t="s">
        <v>210</v>
      </c>
      <c r="M13" s="63"/>
      <c r="N13" s="62" t="s">
        <v>223</v>
      </c>
      <c r="O13" s="65"/>
      <c r="P13" s="65"/>
      <c r="Q13" s="65"/>
      <c r="R13" s="65"/>
      <c r="S13" s="65"/>
      <c r="T13" s="65"/>
      <c r="U13" s="65"/>
      <c r="V13" s="65"/>
      <c r="W13" s="65"/>
      <c r="X13" s="65"/>
      <c r="Y13" s="65"/>
      <c r="Z13" s="65"/>
      <c r="AA13" s="65"/>
      <c r="AB13" s="65"/>
      <c r="AC13" s="65"/>
    </row>
    <row r="14">
      <c r="A14" s="62" t="s">
        <v>221</v>
      </c>
      <c r="B14" s="62" t="s">
        <v>208</v>
      </c>
      <c r="C14" s="63" t="s">
        <v>222</v>
      </c>
      <c r="D14" s="62"/>
      <c r="E14" s="63" t="s">
        <v>199</v>
      </c>
      <c r="F14" s="63" t="s">
        <v>199</v>
      </c>
      <c r="G14" s="58" t="s">
        <v>199</v>
      </c>
      <c r="H14" s="58" t="str">
        <f t="shared" si="1"/>
        <v>#VALUE!</v>
      </c>
      <c r="I14" s="58" t="str">
        <f t="shared" si="4"/>
        <v>-</v>
      </c>
      <c r="J14" s="64" t="str">
        <f t="shared" si="2"/>
        <v>#VALUE!</v>
      </c>
      <c r="K14" s="64" t="str">
        <f t="shared" si="3"/>
        <v>error</v>
      </c>
      <c r="L14" s="63" t="s">
        <v>210</v>
      </c>
      <c r="M14" s="63"/>
      <c r="N14" s="62" t="s">
        <v>223</v>
      </c>
      <c r="O14" s="65"/>
      <c r="P14" s="65"/>
      <c r="Q14" s="65"/>
      <c r="R14" s="65"/>
      <c r="S14" s="65"/>
      <c r="T14" s="65"/>
      <c r="U14" s="65"/>
      <c r="V14" s="65"/>
      <c r="W14" s="65"/>
      <c r="X14" s="65"/>
      <c r="Y14" s="65"/>
      <c r="Z14" s="65"/>
      <c r="AA14" s="65"/>
      <c r="AB14" s="65"/>
      <c r="AC14" s="65"/>
    </row>
    <row r="15">
      <c r="A15" s="62" t="s">
        <v>221</v>
      </c>
      <c r="B15" s="62" t="s">
        <v>208</v>
      </c>
      <c r="C15" s="63" t="s">
        <v>222</v>
      </c>
      <c r="D15" s="62"/>
      <c r="E15" s="63" t="s">
        <v>199</v>
      </c>
      <c r="F15" s="63" t="s">
        <v>199</v>
      </c>
      <c r="G15" s="58" t="s">
        <v>199</v>
      </c>
      <c r="H15" s="58" t="str">
        <f t="shared" si="1"/>
        <v>#VALUE!</v>
      </c>
      <c r="I15" s="58" t="str">
        <f t="shared" si="4"/>
        <v>-</v>
      </c>
      <c r="J15" s="64" t="str">
        <f t="shared" si="2"/>
        <v>#VALUE!</v>
      </c>
      <c r="K15" s="64" t="str">
        <f t="shared" si="3"/>
        <v>error</v>
      </c>
      <c r="L15" s="63" t="s">
        <v>210</v>
      </c>
      <c r="M15" s="63"/>
      <c r="N15" s="62" t="s">
        <v>223</v>
      </c>
      <c r="O15" s="65"/>
      <c r="P15" s="65"/>
      <c r="Q15" s="65"/>
      <c r="R15" s="65"/>
      <c r="S15" s="65"/>
      <c r="T15" s="65"/>
      <c r="U15" s="65"/>
      <c r="V15" s="65"/>
      <c r="W15" s="65"/>
      <c r="X15" s="65"/>
      <c r="Y15" s="65"/>
      <c r="Z15" s="65"/>
      <c r="AA15" s="65"/>
      <c r="AB15" s="65"/>
      <c r="AC15" s="65"/>
    </row>
    <row r="16">
      <c r="A16" s="62" t="s">
        <v>221</v>
      </c>
      <c r="B16" s="62" t="s">
        <v>208</v>
      </c>
      <c r="C16" s="63" t="s">
        <v>222</v>
      </c>
      <c r="D16" s="62"/>
      <c r="E16" s="63" t="s">
        <v>199</v>
      </c>
      <c r="F16" s="63" t="s">
        <v>199</v>
      </c>
      <c r="G16" s="58" t="s">
        <v>199</v>
      </c>
      <c r="H16" s="58" t="str">
        <f t="shared" si="1"/>
        <v>#VALUE!</v>
      </c>
      <c r="I16" s="58" t="str">
        <f t="shared" si="4"/>
        <v>-</v>
      </c>
      <c r="J16" s="64" t="str">
        <f t="shared" si="2"/>
        <v>#VALUE!</v>
      </c>
      <c r="K16" s="64" t="str">
        <f t="shared" si="3"/>
        <v>error</v>
      </c>
      <c r="L16" s="63" t="s">
        <v>210</v>
      </c>
      <c r="M16" s="63"/>
      <c r="N16" s="62" t="s">
        <v>223</v>
      </c>
      <c r="O16" s="65"/>
      <c r="P16" s="65"/>
      <c r="Q16" s="65"/>
      <c r="R16" s="65"/>
      <c r="S16" s="65"/>
      <c r="T16" s="65"/>
      <c r="U16" s="65"/>
      <c r="V16" s="65"/>
      <c r="W16" s="65"/>
      <c r="X16" s="65"/>
      <c r="Y16" s="65"/>
      <c r="Z16" s="65"/>
      <c r="AA16" s="65"/>
      <c r="AB16" s="65"/>
      <c r="AC16" s="65"/>
    </row>
    <row r="17">
      <c r="A17" s="62" t="s">
        <v>221</v>
      </c>
      <c r="B17" s="62" t="s">
        <v>208</v>
      </c>
      <c r="C17" s="63" t="s">
        <v>222</v>
      </c>
      <c r="D17" s="62"/>
      <c r="E17" s="63" t="s">
        <v>199</v>
      </c>
      <c r="F17" s="63" t="s">
        <v>199</v>
      </c>
      <c r="G17" s="58" t="s">
        <v>199</v>
      </c>
      <c r="H17" s="58" t="str">
        <f t="shared" si="1"/>
        <v>#VALUE!</v>
      </c>
      <c r="I17" s="58" t="str">
        <f t="shared" si="4"/>
        <v>-</v>
      </c>
      <c r="J17" s="64" t="str">
        <f t="shared" si="2"/>
        <v>#VALUE!</v>
      </c>
      <c r="K17" s="64" t="str">
        <f t="shared" si="3"/>
        <v>error</v>
      </c>
      <c r="L17" s="63" t="s">
        <v>210</v>
      </c>
      <c r="M17" s="63"/>
      <c r="N17" s="62" t="s">
        <v>223</v>
      </c>
      <c r="O17" s="65"/>
      <c r="P17" s="65"/>
      <c r="Q17" s="65"/>
      <c r="R17" s="65"/>
      <c r="S17" s="65"/>
      <c r="T17" s="65"/>
      <c r="U17" s="65"/>
      <c r="V17" s="65"/>
      <c r="W17" s="65"/>
      <c r="X17" s="65"/>
      <c r="Y17" s="65"/>
      <c r="Z17" s="65"/>
      <c r="AA17" s="65"/>
      <c r="AB17" s="65"/>
      <c r="AC17" s="65"/>
    </row>
    <row r="18">
      <c r="A18" s="62" t="s">
        <v>221</v>
      </c>
      <c r="B18" s="62" t="s">
        <v>208</v>
      </c>
      <c r="C18" s="63" t="s">
        <v>222</v>
      </c>
      <c r="D18" s="62"/>
      <c r="E18" s="63" t="s">
        <v>199</v>
      </c>
      <c r="F18" s="63" t="s">
        <v>199</v>
      </c>
      <c r="G18" s="58" t="s">
        <v>199</v>
      </c>
      <c r="H18" s="58" t="str">
        <f t="shared" si="1"/>
        <v>#VALUE!</v>
      </c>
      <c r="I18" s="58" t="str">
        <f t="shared" si="4"/>
        <v>-</v>
      </c>
      <c r="J18" s="64" t="str">
        <f t="shared" si="2"/>
        <v>#VALUE!</v>
      </c>
      <c r="K18" s="64" t="str">
        <f t="shared" si="3"/>
        <v>error</v>
      </c>
      <c r="L18" s="63" t="s">
        <v>210</v>
      </c>
      <c r="M18" s="63"/>
      <c r="N18" s="62" t="s">
        <v>223</v>
      </c>
      <c r="O18" s="65"/>
      <c r="P18" s="65"/>
      <c r="Q18" s="65"/>
      <c r="R18" s="65"/>
      <c r="S18" s="65"/>
      <c r="T18" s="65"/>
      <c r="U18" s="65"/>
      <c r="V18" s="65"/>
      <c r="W18" s="65"/>
      <c r="X18" s="65"/>
      <c r="Y18" s="65"/>
      <c r="Z18" s="65"/>
      <c r="AA18" s="65"/>
      <c r="AB18" s="65"/>
      <c r="AC18" s="65"/>
    </row>
    <row r="19">
      <c r="A19" s="55" t="s">
        <v>224</v>
      </c>
      <c r="B19" s="55" t="s">
        <v>208</v>
      </c>
      <c r="C19" s="57" t="s">
        <v>225</v>
      </c>
      <c r="D19" s="57"/>
      <c r="E19" s="60">
        <v>80.94</v>
      </c>
      <c r="F19" s="60">
        <v>80.94</v>
      </c>
      <c r="G19" s="68">
        <v>0.0</v>
      </c>
      <c r="H19" s="58">
        <f t="shared" si="1"/>
        <v>0</v>
      </c>
      <c r="I19" s="58">
        <f t="shared" si="4"/>
        <v>0</v>
      </c>
      <c r="J19" s="69">
        <f t="shared" si="2"/>
        <v>0</v>
      </c>
      <c r="K19" s="69">
        <f t="shared" si="3"/>
        <v>0</v>
      </c>
      <c r="L19" s="57"/>
      <c r="M19" s="57"/>
      <c r="N19" s="57" t="s">
        <v>226</v>
      </c>
      <c r="O19" s="53"/>
      <c r="P19" s="53"/>
      <c r="Q19" s="53"/>
      <c r="R19" s="53"/>
      <c r="S19" s="53"/>
      <c r="T19" s="53"/>
      <c r="U19" s="53"/>
      <c r="V19" s="53"/>
      <c r="W19" s="53"/>
      <c r="X19" s="53"/>
      <c r="Y19" s="53"/>
      <c r="Z19" s="53"/>
      <c r="AA19" s="53"/>
      <c r="AB19" s="53"/>
      <c r="AC19" s="53"/>
    </row>
    <row r="20">
      <c r="A20" s="62" t="s">
        <v>224</v>
      </c>
      <c r="B20" s="62" t="s">
        <v>208</v>
      </c>
      <c r="C20" s="62" t="s">
        <v>225</v>
      </c>
      <c r="D20" s="62"/>
      <c r="E20" s="66">
        <v>80.31</v>
      </c>
      <c r="F20" s="66">
        <v>80.31</v>
      </c>
      <c r="G20" s="70">
        <v>0.0</v>
      </c>
      <c r="H20" s="58">
        <f t="shared" si="1"/>
        <v>0</v>
      </c>
      <c r="I20" s="58">
        <f t="shared" si="4"/>
        <v>0</v>
      </c>
      <c r="J20" s="71">
        <f t="shared" si="2"/>
        <v>0</v>
      </c>
      <c r="K20" s="71">
        <f t="shared" si="3"/>
        <v>0</v>
      </c>
      <c r="L20" s="62"/>
      <c r="M20" s="62"/>
      <c r="N20" s="62" t="s">
        <v>226</v>
      </c>
      <c r="O20" s="65"/>
      <c r="P20" s="65"/>
      <c r="Q20" s="65"/>
      <c r="R20" s="65"/>
      <c r="S20" s="65"/>
      <c r="T20" s="65"/>
      <c r="U20" s="65"/>
      <c r="V20" s="65"/>
      <c r="W20" s="65"/>
      <c r="X20" s="65"/>
      <c r="Y20" s="65"/>
      <c r="Z20" s="65"/>
      <c r="AA20" s="65"/>
      <c r="AB20" s="65"/>
      <c r="AC20" s="65"/>
    </row>
    <row r="21">
      <c r="A21" s="62" t="s">
        <v>224</v>
      </c>
      <c r="B21" s="62" t="s">
        <v>208</v>
      </c>
      <c r="C21" s="62" t="s">
        <v>225</v>
      </c>
      <c r="D21" s="62"/>
      <c r="E21" s="66">
        <v>88.7</v>
      </c>
      <c r="F21" s="66">
        <v>88.7</v>
      </c>
      <c r="G21" s="70">
        <v>0.0</v>
      </c>
      <c r="H21" s="58">
        <f t="shared" si="1"/>
        <v>0</v>
      </c>
      <c r="I21" s="58">
        <f t="shared" si="4"/>
        <v>0</v>
      </c>
      <c r="J21" s="71">
        <f t="shared" si="2"/>
        <v>0</v>
      </c>
      <c r="K21" s="71">
        <f t="shared" si="3"/>
        <v>0</v>
      </c>
      <c r="L21" s="62"/>
      <c r="M21" s="62"/>
      <c r="N21" s="62" t="s">
        <v>226</v>
      </c>
      <c r="O21" s="65"/>
      <c r="P21" s="65"/>
      <c r="Q21" s="65"/>
      <c r="R21" s="65"/>
      <c r="S21" s="65"/>
      <c r="T21" s="65"/>
      <c r="U21" s="65"/>
      <c r="V21" s="65"/>
      <c r="W21" s="65"/>
      <c r="X21" s="65"/>
      <c r="Y21" s="65"/>
      <c r="Z21" s="65"/>
      <c r="AA21" s="65"/>
      <c r="AB21" s="65"/>
      <c r="AC21" s="65"/>
    </row>
    <row r="22">
      <c r="A22" s="62" t="s">
        <v>224</v>
      </c>
      <c r="B22" s="62" t="s">
        <v>208</v>
      </c>
      <c r="C22" s="62" t="s">
        <v>225</v>
      </c>
      <c r="D22" s="62"/>
      <c r="E22" s="66">
        <v>77.87</v>
      </c>
      <c r="F22" s="66">
        <v>77.87</v>
      </c>
      <c r="G22" s="70">
        <v>0.0</v>
      </c>
      <c r="H22" s="58">
        <f t="shared" si="1"/>
        <v>0</v>
      </c>
      <c r="I22" s="58">
        <f t="shared" si="4"/>
        <v>0</v>
      </c>
      <c r="J22" s="71">
        <f t="shared" si="2"/>
        <v>0</v>
      </c>
      <c r="K22" s="71">
        <f t="shared" si="3"/>
        <v>0</v>
      </c>
      <c r="L22" s="62"/>
      <c r="M22" s="62"/>
      <c r="N22" s="62" t="s">
        <v>226</v>
      </c>
      <c r="O22" s="65"/>
      <c r="P22" s="65"/>
      <c r="Q22" s="65"/>
      <c r="R22" s="65"/>
      <c r="S22" s="65"/>
      <c r="T22" s="65"/>
      <c r="U22" s="65"/>
      <c r="V22" s="65"/>
      <c r="W22" s="65"/>
      <c r="X22" s="65"/>
      <c r="Y22" s="65"/>
      <c r="Z22" s="65"/>
      <c r="AA22" s="65"/>
      <c r="AB22" s="65"/>
      <c r="AC22" s="65"/>
    </row>
    <row r="23">
      <c r="A23" s="62" t="s">
        <v>224</v>
      </c>
      <c r="B23" s="62" t="s">
        <v>208</v>
      </c>
      <c r="C23" s="62" t="s">
        <v>225</v>
      </c>
      <c r="D23" s="62"/>
      <c r="E23" s="66">
        <v>80.71</v>
      </c>
      <c r="F23" s="66">
        <v>80.71</v>
      </c>
      <c r="G23" s="70">
        <v>0.0</v>
      </c>
      <c r="H23" s="58">
        <f t="shared" si="1"/>
        <v>0</v>
      </c>
      <c r="I23" s="58">
        <f t="shared" si="4"/>
        <v>0</v>
      </c>
      <c r="J23" s="71">
        <f t="shared" si="2"/>
        <v>0</v>
      </c>
      <c r="K23" s="71">
        <f t="shared" si="3"/>
        <v>0</v>
      </c>
      <c r="L23" s="62"/>
      <c r="M23" s="62"/>
      <c r="N23" s="62" t="s">
        <v>226</v>
      </c>
      <c r="O23" s="65"/>
      <c r="P23" s="65"/>
      <c r="Q23" s="65"/>
      <c r="R23" s="65"/>
      <c r="S23" s="65"/>
      <c r="T23" s="65"/>
      <c r="U23" s="65"/>
      <c r="V23" s="65"/>
      <c r="W23" s="65"/>
      <c r="X23" s="65"/>
      <c r="Y23" s="65"/>
      <c r="Z23" s="65"/>
      <c r="AA23" s="65"/>
      <c r="AB23" s="65"/>
      <c r="AC23" s="65"/>
    </row>
    <row r="24">
      <c r="A24" s="62" t="s">
        <v>224</v>
      </c>
      <c r="B24" s="62" t="s">
        <v>208</v>
      </c>
      <c r="C24" s="62" t="s">
        <v>225</v>
      </c>
      <c r="D24" s="62"/>
      <c r="E24" s="66">
        <v>79.91</v>
      </c>
      <c r="F24" s="66">
        <v>79.91</v>
      </c>
      <c r="G24" s="70">
        <v>0.0</v>
      </c>
      <c r="H24" s="58">
        <f t="shared" si="1"/>
        <v>0</v>
      </c>
      <c r="I24" s="58">
        <f t="shared" si="4"/>
        <v>0</v>
      </c>
      <c r="J24" s="71">
        <f t="shared" si="2"/>
        <v>0</v>
      </c>
      <c r="K24" s="71">
        <f t="shared" si="3"/>
        <v>0</v>
      </c>
      <c r="L24" s="62"/>
      <c r="M24" s="62"/>
      <c r="N24" s="62" t="s">
        <v>226</v>
      </c>
      <c r="O24" s="65"/>
      <c r="P24" s="65"/>
      <c r="Q24" s="65"/>
      <c r="R24" s="65"/>
      <c r="S24" s="65"/>
      <c r="T24" s="65"/>
      <c r="U24" s="65"/>
      <c r="V24" s="65"/>
      <c r="W24" s="65"/>
      <c r="X24" s="65"/>
      <c r="Y24" s="65"/>
      <c r="Z24" s="65"/>
      <c r="AA24" s="65"/>
      <c r="AB24" s="65"/>
      <c r="AC24" s="65"/>
    </row>
    <row r="25">
      <c r="A25" s="62" t="s">
        <v>224</v>
      </c>
      <c r="B25" s="62" t="s">
        <v>208</v>
      </c>
      <c r="C25" s="62" t="s">
        <v>225</v>
      </c>
      <c r="D25" s="62"/>
      <c r="E25" s="66">
        <v>88.69</v>
      </c>
      <c r="F25" s="66">
        <v>88.69</v>
      </c>
      <c r="G25" s="70">
        <v>0.0</v>
      </c>
      <c r="H25" s="58">
        <f t="shared" si="1"/>
        <v>0</v>
      </c>
      <c r="I25" s="58">
        <f t="shared" si="4"/>
        <v>0</v>
      </c>
      <c r="J25" s="71">
        <f t="shared" si="2"/>
        <v>0</v>
      </c>
      <c r="K25" s="71">
        <f t="shared" si="3"/>
        <v>0</v>
      </c>
      <c r="L25" s="62"/>
      <c r="M25" s="62"/>
      <c r="N25" s="62" t="s">
        <v>226</v>
      </c>
      <c r="O25" s="65"/>
      <c r="P25" s="65"/>
      <c r="Q25" s="65"/>
      <c r="R25" s="65"/>
      <c r="S25" s="65"/>
      <c r="T25" s="65"/>
      <c r="U25" s="65"/>
      <c r="V25" s="65"/>
      <c r="W25" s="65"/>
      <c r="X25" s="65"/>
      <c r="Y25" s="65"/>
      <c r="Z25" s="65"/>
      <c r="AA25" s="65"/>
      <c r="AB25" s="65"/>
      <c r="AC25" s="65"/>
    </row>
    <row r="26">
      <c r="A26" s="62" t="s">
        <v>224</v>
      </c>
      <c r="B26" s="62" t="s">
        <v>208</v>
      </c>
      <c r="C26" s="62" t="s">
        <v>225</v>
      </c>
      <c r="D26" s="62"/>
      <c r="E26" s="66">
        <v>90.51</v>
      </c>
      <c r="F26" s="66">
        <v>90.51</v>
      </c>
      <c r="G26" s="70">
        <v>0.0</v>
      </c>
      <c r="H26" s="58">
        <f t="shared" si="1"/>
        <v>0</v>
      </c>
      <c r="I26" s="58">
        <f t="shared" si="4"/>
        <v>0</v>
      </c>
      <c r="J26" s="71">
        <f t="shared" si="2"/>
        <v>0</v>
      </c>
      <c r="K26" s="71">
        <f t="shared" si="3"/>
        <v>0</v>
      </c>
      <c r="L26" s="62"/>
      <c r="M26" s="62"/>
      <c r="N26" s="62" t="s">
        <v>226</v>
      </c>
      <c r="O26" s="65"/>
      <c r="P26" s="65"/>
      <c r="Q26" s="65"/>
      <c r="R26" s="65"/>
      <c r="S26" s="65"/>
      <c r="T26" s="65"/>
      <c r="U26" s="65"/>
      <c r="V26" s="65"/>
      <c r="W26" s="65"/>
      <c r="X26" s="65"/>
      <c r="Y26" s="65"/>
      <c r="Z26" s="65"/>
      <c r="AA26" s="65"/>
      <c r="AB26" s="65"/>
      <c r="AC26" s="65"/>
    </row>
    <row r="27">
      <c r="A27" s="62" t="s">
        <v>224</v>
      </c>
      <c r="B27" s="62" t="s">
        <v>208</v>
      </c>
      <c r="C27" s="62" t="s">
        <v>225</v>
      </c>
      <c r="D27" s="62"/>
      <c r="E27" s="66">
        <v>81.74</v>
      </c>
      <c r="F27" s="66">
        <v>81.74</v>
      </c>
      <c r="G27" s="70">
        <v>0.0</v>
      </c>
      <c r="H27" s="58">
        <f t="shared" si="1"/>
        <v>0</v>
      </c>
      <c r="I27" s="58">
        <f t="shared" si="4"/>
        <v>0</v>
      </c>
      <c r="J27" s="71">
        <f t="shared" si="2"/>
        <v>0</v>
      </c>
      <c r="K27" s="71">
        <f t="shared" si="3"/>
        <v>0</v>
      </c>
      <c r="L27" s="62"/>
      <c r="M27" s="62"/>
      <c r="N27" s="62" t="s">
        <v>226</v>
      </c>
      <c r="O27" s="65"/>
      <c r="P27" s="65"/>
      <c r="Q27" s="65"/>
      <c r="R27" s="65"/>
      <c r="S27" s="65"/>
      <c r="T27" s="65"/>
      <c r="U27" s="65"/>
      <c r="V27" s="65"/>
      <c r="W27" s="65"/>
      <c r="X27" s="65"/>
      <c r="Y27" s="65"/>
      <c r="Z27" s="65"/>
      <c r="AA27" s="65"/>
      <c r="AB27" s="65"/>
      <c r="AC27" s="65"/>
    </row>
    <row r="28">
      <c r="A28" s="62" t="s">
        <v>224</v>
      </c>
      <c r="B28" s="62" t="s">
        <v>208</v>
      </c>
      <c r="C28" s="62" t="s">
        <v>225</v>
      </c>
      <c r="D28" s="62"/>
      <c r="E28" s="63" t="s">
        <v>199</v>
      </c>
      <c r="F28" s="63" t="s">
        <v>199</v>
      </c>
      <c r="G28" s="63" t="s">
        <v>199</v>
      </c>
      <c r="H28" s="58" t="str">
        <f t="shared" si="1"/>
        <v>#VALUE!</v>
      </c>
      <c r="I28" s="58" t="str">
        <f t="shared" si="4"/>
        <v>-</v>
      </c>
      <c r="J28" s="67" t="str">
        <f t="shared" si="2"/>
        <v>#VALUE!</v>
      </c>
      <c r="K28" s="67" t="str">
        <f t="shared" si="3"/>
        <v>error</v>
      </c>
      <c r="L28" s="63" t="s">
        <v>210</v>
      </c>
      <c r="M28" s="62"/>
      <c r="N28" s="62" t="s">
        <v>226</v>
      </c>
      <c r="O28" s="65"/>
      <c r="P28" s="65"/>
      <c r="Q28" s="65"/>
      <c r="R28" s="65"/>
      <c r="S28" s="65"/>
      <c r="T28" s="65"/>
      <c r="U28" s="65"/>
      <c r="V28" s="65"/>
      <c r="W28" s="65"/>
      <c r="X28" s="65"/>
      <c r="Y28" s="65"/>
      <c r="Z28" s="65"/>
      <c r="AA28" s="65"/>
      <c r="AB28" s="65"/>
      <c r="AC28" s="65"/>
    </row>
    <row r="29">
      <c r="A29" s="62" t="s">
        <v>224</v>
      </c>
      <c r="B29" s="62" t="s">
        <v>208</v>
      </c>
      <c r="C29" s="62" t="s">
        <v>225</v>
      </c>
      <c r="D29" s="62"/>
      <c r="E29" s="63" t="s">
        <v>199</v>
      </c>
      <c r="F29" s="63" t="s">
        <v>199</v>
      </c>
      <c r="G29" s="63" t="s">
        <v>199</v>
      </c>
      <c r="H29" s="58" t="str">
        <f t="shared" si="1"/>
        <v>#VALUE!</v>
      </c>
      <c r="I29" s="58" t="str">
        <f t="shared" si="4"/>
        <v>-</v>
      </c>
      <c r="J29" s="67" t="str">
        <f t="shared" si="2"/>
        <v>#VALUE!</v>
      </c>
      <c r="K29" s="67" t="str">
        <f t="shared" si="3"/>
        <v>error</v>
      </c>
      <c r="L29" s="63" t="s">
        <v>210</v>
      </c>
      <c r="M29" s="62"/>
      <c r="N29" s="62" t="s">
        <v>226</v>
      </c>
      <c r="O29" s="65"/>
      <c r="P29" s="65"/>
      <c r="Q29" s="65"/>
      <c r="R29" s="65"/>
      <c r="S29" s="65"/>
      <c r="T29" s="65"/>
      <c r="U29" s="65"/>
      <c r="V29" s="65"/>
      <c r="W29" s="65"/>
      <c r="X29" s="65"/>
      <c r="Y29" s="65"/>
      <c r="Z29" s="65"/>
      <c r="AA29" s="65"/>
      <c r="AB29" s="65"/>
      <c r="AC29" s="65"/>
    </row>
    <row r="30">
      <c r="A30" s="62" t="s">
        <v>224</v>
      </c>
      <c r="B30" s="62" t="s">
        <v>208</v>
      </c>
      <c r="C30" s="62" t="s">
        <v>225</v>
      </c>
      <c r="D30" s="62"/>
      <c r="E30" s="63" t="s">
        <v>199</v>
      </c>
      <c r="F30" s="63" t="s">
        <v>199</v>
      </c>
      <c r="G30" s="63" t="s">
        <v>199</v>
      </c>
      <c r="H30" s="58" t="str">
        <f t="shared" si="1"/>
        <v>#VALUE!</v>
      </c>
      <c r="I30" s="58" t="str">
        <f t="shared" si="4"/>
        <v>-</v>
      </c>
      <c r="J30" s="67" t="str">
        <f t="shared" si="2"/>
        <v>#VALUE!</v>
      </c>
      <c r="K30" s="67" t="str">
        <f t="shared" si="3"/>
        <v>error</v>
      </c>
      <c r="L30" s="63" t="s">
        <v>210</v>
      </c>
      <c r="M30" s="62"/>
      <c r="N30" s="62" t="s">
        <v>226</v>
      </c>
      <c r="O30" s="65"/>
      <c r="P30" s="65"/>
      <c r="Q30" s="65"/>
      <c r="R30" s="65"/>
      <c r="S30" s="65"/>
      <c r="T30" s="65"/>
      <c r="U30" s="65"/>
      <c r="V30" s="65"/>
      <c r="W30" s="65"/>
      <c r="X30" s="65"/>
      <c r="Y30" s="65"/>
      <c r="Z30" s="65"/>
      <c r="AA30" s="65"/>
      <c r="AB30" s="65"/>
      <c r="AC30" s="65"/>
    </row>
    <row r="31">
      <c r="A31" s="62" t="s">
        <v>224</v>
      </c>
      <c r="B31" s="62" t="s">
        <v>208</v>
      </c>
      <c r="C31" s="62" t="s">
        <v>225</v>
      </c>
      <c r="D31" s="62"/>
      <c r="E31" s="63" t="s">
        <v>199</v>
      </c>
      <c r="F31" s="63" t="s">
        <v>199</v>
      </c>
      <c r="G31" s="63" t="s">
        <v>199</v>
      </c>
      <c r="H31" s="58" t="str">
        <f t="shared" si="1"/>
        <v>#VALUE!</v>
      </c>
      <c r="I31" s="58" t="str">
        <f t="shared" si="4"/>
        <v>-</v>
      </c>
      <c r="J31" s="67" t="str">
        <f t="shared" si="2"/>
        <v>#VALUE!</v>
      </c>
      <c r="K31" s="67" t="str">
        <f t="shared" si="3"/>
        <v>error</v>
      </c>
      <c r="L31" s="63" t="s">
        <v>210</v>
      </c>
      <c r="M31" s="62"/>
      <c r="N31" s="62" t="s">
        <v>226</v>
      </c>
      <c r="O31" s="65"/>
      <c r="P31" s="65"/>
      <c r="Q31" s="65"/>
      <c r="R31" s="65"/>
      <c r="S31" s="65"/>
      <c r="T31" s="65"/>
      <c r="U31" s="65"/>
      <c r="V31" s="65"/>
      <c r="W31" s="65"/>
      <c r="X31" s="65"/>
      <c r="Y31" s="65"/>
      <c r="Z31" s="65"/>
      <c r="AA31" s="65"/>
      <c r="AB31" s="65"/>
      <c r="AC31" s="65"/>
    </row>
    <row r="32">
      <c r="A32" s="62" t="s">
        <v>224</v>
      </c>
      <c r="B32" s="62" t="s">
        <v>208</v>
      </c>
      <c r="C32" s="62" t="s">
        <v>225</v>
      </c>
      <c r="D32" s="62"/>
      <c r="E32" s="63" t="s">
        <v>199</v>
      </c>
      <c r="F32" s="63" t="s">
        <v>199</v>
      </c>
      <c r="G32" s="63" t="s">
        <v>199</v>
      </c>
      <c r="H32" s="58" t="str">
        <f t="shared" si="1"/>
        <v>#VALUE!</v>
      </c>
      <c r="I32" s="58" t="str">
        <f t="shared" si="4"/>
        <v>-</v>
      </c>
      <c r="J32" s="67" t="str">
        <f t="shared" si="2"/>
        <v>#VALUE!</v>
      </c>
      <c r="K32" s="67" t="str">
        <f t="shared" si="3"/>
        <v>error</v>
      </c>
      <c r="L32" s="63" t="s">
        <v>210</v>
      </c>
      <c r="M32" s="62"/>
      <c r="N32" s="62" t="s">
        <v>226</v>
      </c>
      <c r="O32" s="65"/>
      <c r="P32" s="65"/>
      <c r="Q32" s="65"/>
      <c r="R32" s="65"/>
      <c r="S32" s="65"/>
      <c r="T32" s="65"/>
      <c r="U32" s="65"/>
      <c r="V32" s="65"/>
      <c r="W32" s="65"/>
      <c r="X32" s="65"/>
      <c r="Y32" s="65"/>
      <c r="Z32" s="65"/>
      <c r="AA32" s="65"/>
      <c r="AB32" s="65"/>
      <c r="AC32" s="65"/>
    </row>
    <row r="33">
      <c r="A33" s="62" t="s">
        <v>224</v>
      </c>
      <c r="B33" s="62" t="s">
        <v>208</v>
      </c>
      <c r="C33" s="62" t="s">
        <v>225</v>
      </c>
      <c r="D33" s="62"/>
      <c r="E33" s="63" t="s">
        <v>199</v>
      </c>
      <c r="F33" s="63" t="s">
        <v>199</v>
      </c>
      <c r="G33" s="63" t="s">
        <v>199</v>
      </c>
      <c r="H33" s="58" t="str">
        <f t="shared" si="1"/>
        <v>#VALUE!</v>
      </c>
      <c r="I33" s="58" t="str">
        <f t="shared" si="4"/>
        <v>-</v>
      </c>
      <c r="J33" s="67" t="str">
        <f t="shared" si="2"/>
        <v>#VALUE!</v>
      </c>
      <c r="K33" s="67" t="str">
        <f t="shared" si="3"/>
        <v>error</v>
      </c>
      <c r="L33" s="63" t="s">
        <v>210</v>
      </c>
      <c r="M33" s="62"/>
      <c r="N33" s="62" t="s">
        <v>226</v>
      </c>
      <c r="O33" s="65"/>
      <c r="P33" s="65"/>
      <c r="Q33" s="65"/>
      <c r="R33" s="65"/>
      <c r="S33" s="65"/>
      <c r="T33" s="65"/>
      <c r="U33" s="65"/>
      <c r="V33" s="65"/>
      <c r="W33" s="65"/>
      <c r="X33" s="65"/>
      <c r="Y33" s="65"/>
      <c r="Z33" s="65"/>
      <c r="AA33" s="65"/>
      <c r="AB33" s="65"/>
      <c r="AC33" s="65"/>
    </row>
    <row r="34">
      <c r="A34" s="62" t="s">
        <v>224</v>
      </c>
      <c r="B34" s="62" t="s">
        <v>208</v>
      </c>
      <c r="C34" s="62" t="s">
        <v>225</v>
      </c>
      <c r="D34" s="62"/>
      <c r="E34" s="63" t="s">
        <v>199</v>
      </c>
      <c r="F34" s="63" t="s">
        <v>199</v>
      </c>
      <c r="G34" s="63" t="s">
        <v>199</v>
      </c>
      <c r="H34" s="58" t="str">
        <f t="shared" si="1"/>
        <v>#VALUE!</v>
      </c>
      <c r="I34" s="58" t="str">
        <f t="shared" si="4"/>
        <v>-</v>
      </c>
      <c r="J34" s="67" t="str">
        <f t="shared" si="2"/>
        <v>#VALUE!</v>
      </c>
      <c r="K34" s="67" t="str">
        <f t="shared" si="3"/>
        <v>error</v>
      </c>
      <c r="L34" s="63" t="s">
        <v>210</v>
      </c>
      <c r="M34" s="62"/>
      <c r="N34" s="62" t="s">
        <v>226</v>
      </c>
      <c r="O34" s="65"/>
      <c r="P34" s="65"/>
      <c r="Q34" s="65"/>
      <c r="R34" s="65"/>
      <c r="S34" s="65"/>
      <c r="T34" s="65"/>
      <c r="U34" s="65"/>
      <c r="V34" s="65"/>
      <c r="W34" s="65"/>
      <c r="X34" s="65"/>
      <c r="Y34" s="65"/>
      <c r="Z34" s="65"/>
      <c r="AA34" s="65"/>
      <c r="AB34" s="65"/>
      <c r="AC34" s="65"/>
    </row>
    <row r="35">
      <c r="A35" s="62" t="s">
        <v>224</v>
      </c>
      <c r="B35" s="62" t="s">
        <v>208</v>
      </c>
      <c r="C35" s="62" t="s">
        <v>225</v>
      </c>
      <c r="D35" s="62"/>
      <c r="E35" s="63" t="s">
        <v>199</v>
      </c>
      <c r="F35" s="63" t="s">
        <v>199</v>
      </c>
      <c r="G35" s="63" t="s">
        <v>199</v>
      </c>
      <c r="H35" s="58" t="str">
        <f t="shared" si="1"/>
        <v>#VALUE!</v>
      </c>
      <c r="I35" s="58" t="str">
        <f t="shared" si="4"/>
        <v>-</v>
      </c>
      <c r="J35" s="67" t="str">
        <f t="shared" si="2"/>
        <v>#VALUE!</v>
      </c>
      <c r="K35" s="67" t="str">
        <f t="shared" si="3"/>
        <v>error</v>
      </c>
      <c r="L35" s="63" t="s">
        <v>210</v>
      </c>
      <c r="M35" s="62"/>
      <c r="N35" s="62" t="s">
        <v>226</v>
      </c>
      <c r="O35" s="65"/>
      <c r="P35" s="65"/>
      <c r="Q35" s="65"/>
      <c r="R35" s="65"/>
      <c r="S35" s="65"/>
      <c r="T35" s="65"/>
      <c r="U35" s="65"/>
      <c r="V35" s="65"/>
      <c r="W35" s="65"/>
      <c r="X35" s="65"/>
      <c r="Y35" s="65"/>
      <c r="Z35" s="65"/>
      <c r="AA35" s="65"/>
      <c r="AB35" s="65"/>
      <c r="AC35" s="65"/>
    </row>
    <row r="36">
      <c r="A36" s="62" t="s">
        <v>224</v>
      </c>
      <c r="B36" s="62" t="s">
        <v>208</v>
      </c>
      <c r="C36" s="62" t="s">
        <v>225</v>
      </c>
      <c r="D36" s="62"/>
      <c r="E36" s="63" t="s">
        <v>199</v>
      </c>
      <c r="F36" s="63" t="s">
        <v>199</v>
      </c>
      <c r="G36" s="63" t="s">
        <v>199</v>
      </c>
      <c r="H36" s="58" t="str">
        <f t="shared" si="1"/>
        <v>#VALUE!</v>
      </c>
      <c r="I36" s="58" t="str">
        <f t="shared" si="4"/>
        <v>-</v>
      </c>
      <c r="J36" s="61" t="str">
        <f t="shared" si="2"/>
        <v>#VALUE!</v>
      </c>
      <c r="K36" s="61" t="str">
        <f t="shared" si="3"/>
        <v>error</v>
      </c>
      <c r="L36" s="63" t="s">
        <v>210</v>
      </c>
      <c r="M36" s="62"/>
      <c r="N36" s="62" t="s">
        <v>226</v>
      </c>
      <c r="O36" s="65"/>
      <c r="P36" s="65"/>
      <c r="Q36" s="65"/>
      <c r="R36" s="65"/>
      <c r="S36" s="65"/>
      <c r="T36" s="65"/>
      <c r="U36" s="65"/>
      <c r="V36" s="65"/>
      <c r="W36" s="65"/>
      <c r="X36" s="65"/>
      <c r="Y36" s="65"/>
      <c r="Z36" s="65"/>
      <c r="AA36" s="65"/>
      <c r="AB36" s="65"/>
      <c r="AC36" s="65"/>
    </row>
    <row r="37">
      <c r="A37" s="55" t="s">
        <v>227</v>
      </c>
      <c r="B37" s="56" t="s">
        <v>208</v>
      </c>
      <c r="C37" s="58" t="s">
        <v>228</v>
      </c>
      <c r="D37" s="57"/>
      <c r="E37" s="66">
        <v>67.7</v>
      </c>
      <c r="F37" s="66">
        <v>67.4</v>
      </c>
      <c r="G37" s="70">
        <v>0.29999999999999716</v>
      </c>
      <c r="H37" s="58">
        <f t="shared" si="1"/>
        <v>-0.3</v>
      </c>
      <c r="I37" s="58">
        <f t="shared" si="4"/>
        <v>-0.3</v>
      </c>
      <c r="J37" s="71">
        <f t="shared" si="2"/>
        <v>-0.4431314623</v>
      </c>
      <c r="K37" s="71">
        <f t="shared" si="3"/>
        <v>-0.4431314623</v>
      </c>
      <c r="L37" s="57"/>
      <c r="M37" s="57"/>
      <c r="N37" s="58" t="s">
        <v>229</v>
      </c>
      <c r="O37" s="53"/>
      <c r="P37" s="53"/>
      <c r="Q37" s="53"/>
      <c r="R37" s="53"/>
      <c r="S37" s="53"/>
      <c r="T37" s="53"/>
      <c r="U37" s="53"/>
      <c r="V37" s="53"/>
      <c r="W37" s="53"/>
      <c r="X37" s="53"/>
      <c r="Y37" s="53"/>
      <c r="Z37" s="53"/>
      <c r="AA37" s="53"/>
      <c r="AB37" s="53"/>
      <c r="AC37" s="53"/>
    </row>
    <row r="38">
      <c r="A38" s="62" t="s">
        <v>227</v>
      </c>
      <c r="B38" s="63" t="s">
        <v>208</v>
      </c>
      <c r="C38" s="63" t="s">
        <v>228</v>
      </c>
      <c r="D38" s="62"/>
      <c r="E38" s="66">
        <v>89.6</v>
      </c>
      <c r="F38" s="66">
        <v>89.6</v>
      </c>
      <c r="G38" s="70">
        <v>0.0</v>
      </c>
      <c r="H38" s="58">
        <f t="shared" si="1"/>
        <v>0</v>
      </c>
      <c r="I38" s="58">
        <f t="shared" si="4"/>
        <v>0</v>
      </c>
      <c r="J38" s="71">
        <f t="shared" si="2"/>
        <v>0</v>
      </c>
      <c r="K38" s="71">
        <f t="shared" si="3"/>
        <v>0</v>
      </c>
      <c r="L38" s="62"/>
      <c r="M38" s="62"/>
      <c r="N38" s="63" t="s">
        <v>229</v>
      </c>
      <c r="O38" s="65"/>
      <c r="P38" s="65"/>
      <c r="Q38" s="65"/>
      <c r="R38" s="65"/>
      <c r="S38" s="65"/>
      <c r="T38" s="65"/>
      <c r="U38" s="65"/>
      <c r="V38" s="65"/>
      <c r="W38" s="65"/>
      <c r="X38" s="65"/>
      <c r="Y38" s="65"/>
      <c r="Z38" s="65"/>
      <c r="AA38" s="65"/>
      <c r="AB38" s="65"/>
      <c r="AC38" s="65"/>
    </row>
    <row r="39">
      <c r="A39" s="62" t="s">
        <v>227</v>
      </c>
      <c r="B39" s="63" t="s">
        <v>208</v>
      </c>
      <c r="C39" s="63" t="s">
        <v>228</v>
      </c>
      <c r="D39" s="62"/>
      <c r="E39" s="66">
        <v>90.3</v>
      </c>
      <c r="F39" s="66">
        <v>89.6</v>
      </c>
      <c r="G39" s="70">
        <v>0.7000000000000028</v>
      </c>
      <c r="H39" s="58">
        <f t="shared" si="1"/>
        <v>-0.7</v>
      </c>
      <c r="I39" s="58">
        <f t="shared" si="4"/>
        <v>-0.7</v>
      </c>
      <c r="J39" s="71">
        <f t="shared" si="2"/>
        <v>-0.7751937984</v>
      </c>
      <c r="K39" s="71">
        <f t="shared" si="3"/>
        <v>-0.7751937984</v>
      </c>
      <c r="L39" s="62"/>
      <c r="M39" s="62"/>
      <c r="N39" s="63" t="s">
        <v>229</v>
      </c>
      <c r="O39" s="65"/>
      <c r="P39" s="65"/>
      <c r="Q39" s="65"/>
      <c r="R39" s="65"/>
      <c r="S39" s="65"/>
      <c r="T39" s="65"/>
      <c r="U39" s="65"/>
      <c r="V39" s="65"/>
      <c r="W39" s="65"/>
      <c r="X39" s="65"/>
      <c r="Y39" s="65"/>
      <c r="Z39" s="65"/>
      <c r="AA39" s="65"/>
      <c r="AB39" s="65"/>
      <c r="AC39" s="65"/>
    </row>
    <row r="40">
      <c r="A40" s="62" t="s">
        <v>227</v>
      </c>
      <c r="B40" s="63" t="s">
        <v>208</v>
      </c>
      <c r="C40" s="63" t="s">
        <v>228</v>
      </c>
      <c r="D40" s="62"/>
      <c r="E40" s="66">
        <v>70.7</v>
      </c>
      <c r="F40" s="66">
        <v>69.0</v>
      </c>
      <c r="G40" s="70">
        <v>1.7000000000000028</v>
      </c>
      <c r="H40" s="58">
        <f t="shared" si="1"/>
        <v>-1.7</v>
      </c>
      <c r="I40" s="58">
        <f t="shared" si="4"/>
        <v>-1.7</v>
      </c>
      <c r="J40" s="71">
        <f t="shared" si="2"/>
        <v>-2.404526167</v>
      </c>
      <c r="K40" s="71">
        <f t="shared" si="3"/>
        <v>-2.404526167</v>
      </c>
      <c r="L40" s="62"/>
      <c r="M40" s="62"/>
      <c r="N40" s="63" t="s">
        <v>229</v>
      </c>
      <c r="O40" s="65"/>
      <c r="P40" s="65"/>
      <c r="Q40" s="65"/>
      <c r="R40" s="65"/>
      <c r="S40" s="65"/>
      <c r="T40" s="65"/>
      <c r="U40" s="65"/>
      <c r="V40" s="65"/>
      <c r="W40" s="65"/>
      <c r="X40" s="65"/>
      <c r="Y40" s="65"/>
      <c r="Z40" s="65"/>
      <c r="AA40" s="65"/>
      <c r="AB40" s="65"/>
      <c r="AC40" s="65"/>
    </row>
    <row r="41">
      <c r="A41" s="62" t="s">
        <v>227</v>
      </c>
      <c r="B41" s="63" t="s">
        <v>208</v>
      </c>
      <c r="C41" s="63" t="s">
        <v>228</v>
      </c>
      <c r="D41" s="62"/>
      <c r="E41" s="66">
        <v>94.8</v>
      </c>
      <c r="F41" s="66">
        <v>94.8</v>
      </c>
      <c r="G41" s="70">
        <v>0.0</v>
      </c>
      <c r="H41" s="58">
        <f t="shared" si="1"/>
        <v>0</v>
      </c>
      <c r="I41" s="58">
        <f t="shared" si="4"/>
        <v>0</v>
      </c>
      <c r="J41" s="71">
        <f t="shared" si="2"/>
        <v>0</v>
      </c>
      <c r="K41" s="71">
        <f t="shared" si="3"/>
        <v>0</v>
      </c>
      <c r="L41" s="62"/>
      <c r="M41" s="62"/>
      <c r="N41" s="63" t="s">
        <v>229</v>
      </c>
      <c r="O41" s="65"/>
      <c r="P41" s="65"/>
      <c r="Q41" s="65"/>
      <c r="R41" s="65"/>
      <c r="S41" s="65"/>
      <c r="T41" s="65"/>
      <c r="U41" s="65"/>
      <c r="V41" s="65"/>
      <c r="W41" s="65"/>
      <c r="X41" s="65"/>
      <c r="Y41" s="65"/>
      <c r="Z41" s="65"/>
      <c r="AA41" s="65"/>
      <c r="AB41" s="65"/>
      <c r="AC41" s="65"/>
    </row>
    <row r="42">
      <c r="A42" s="62" t="s">
        <v>227</v>
      </c>
      <c r="B42" s="63" t="s">
        <v>208</v>
      </c>
      <c r="C42" s="63" t="s">
        <v>228</v>
      </c>
      <c r="D42" s="62"/>
      <c r="E42" s="66">
        <v>94.8</v>
      </c>
      <c r="F42" s="66">
        <v>94.8</v>
      </c>
      <c r="G42" s="70">
        <v>0.0</v>
      </c>
      <c r="H42" s="58">
        <f t="shared" si="1"/>
        <v>0</v>
      </c>
      <c r="I42" s="58">
        <f t="shared" si="4"/>
        <v>0</v>
      </c>
      <c r="J42" s="71">
        <f t="shared" si="2"/>
        <v>0</v>
      </c>
      <c r="K42" s="71">
        <f t="shared" si="3"/>
        <v>0</v>
      </c>
      <c r="L42" s="62"/>
      <c r="M42" s="62"/>
      <c r="N42" s="63" t="s">
        <v>229</v>
      </c>
      <c r="O42" s="65"/>
      <c r="P42" s="65"/>
      <c r="Q42" s="65"/>
      <c r="R42" s="65"/>
      <c r="S42" s="65"/>
      <c r="T42" s="65"/>
      <c r="U42" s="65"/>
      <c r="V42" s="65"/>
      <c r="W42" s="65"/>
      <c r="X42" s="65"/>
      <c r="Y42" s="65"/>
      <c r="Z42" s="65"/>
      <c r="AA42" s="65"/>
      <c r="AB42" s="65"/>
      <c r="AC42" s="65"/>
    </row>
    <row r="43">
      <c r="A43" s="62" t="s">
        <v>227</v>
      </c>
      <c r="B43" s="63" t="s">
        <v>208</v>
      </c>
      <c r="C43" s="63" t="s">
        <v>228</v>
      </c>
      <c r="D43" s="62"/>
      <c r="E43" s="66">
        <v>46.7</v>
      </c>
      <c r="F43" s="66">
        <v>33.3</v>
      </c>
      <c r="G43" s="70">
        <v>13.400000000000006</v>
      </c>
      <c r="H43" s="58">
        <f t="shared" si="1"/>
        <v>-13.4</v>
      </c>
      <c r="I43" s="58">
        <f t="shared" si="4"/>
        <v>-13.4</v>
      </c>
      <c r="J43" s="71">
        <f t="shared" si="2"/>
        <v>-28.69379015</v>
      </c>
      <c r="K43" s="71">
        <f t="shared" si="3"/>
        <v>-28.69379015</v>
      </c>
      <c r="L43" s="62"/>
      <c r="M43" s="62"/>
      <c r="N43" s="63" t="s">
        <v>229</v>
      </c>
      <c r="O43" s="65"/>
      <c r="P43" s="65"/>
      <c r="Q43" s="65"/>
      <c r="R43" s="65"/>
      <c r="S43" s="65"/>
      <c r="T43" s="65"/>
      <c r="U43" s="65"/>
      <c r="V43" s="65"/>
      <c r="W43" s="65"/>
      <c r="X43" s="65"/>
      <c r="Y43" s="65"/>
      <c r="Z43" s="65"/>
      <c r="AA43" s="65"/>
      <c r="AB43" s="65"/>
      <c r="AC43" s="65"/>
    </row>
    <row r="44">
      <c r="A44" s="62" t="s">
        <v>227</v>
      </c>
      <c r="B44" s="63" t="s">
        <v>208</v>
      </c>
      <c r="C44" s="63" t="s">
        <v>228</v>
      </c>
      <c r="D44" s="62"/>
      <c r="E44" s="66">
        <v>73.3</v>
      </c>
      <c r="F44" s="66">
        <v>73.3</v>
      </c>
      <c r="G44" s="70">
        <v>0.0</v>
      </c>
      <c r="H44" s="58">
        <f t="shared" si="1"/>
        <v>0</v>
      </c>
      <c r="I44" s="58">
        <f t="shared" si="4"/>
        <v>0</v>
      </c>
      <c r="J44" s="71">
        <f t="shared" si="2"/>
        <v>0</v>
      </c>
      <c r="K44" s="71">
        <f t="shared" si="3"/>
        <v>0</v>
      </c>
      <c r="L44" s="62"/>
      <c r="M44" s="62"/>
      <c r="N44" s="63" t="s">
        <v>229</v>
      </c>
      <c r="O44" s="65"/>
      <c r="P44" s="65"/>
      <c r="Q44" s="65"/>
      <c r="R44" s="65"/>
      <c r="S44" s="65"/>
      <c r="T44" s="65"/>
      <c r="U44" s="65"/>
      <c r="V44" s="65"/>
      <c r="W44" s="65"/>
      <c r="X44" s="65"/>
      <c r="Y44" s="65"/>
      <c r="Z44" s="65"/>
      <c r="AA44" s="65"/>
      <c r="AB44" s="65"/>
      <c r="AC44" s="65"/>
    </row>
    <row r="45">
      <c r="A45" s="62" t="s">
        <v>227</v>
      </c>
      <c r="B45" s="63" t="s">
        <v>208</v>
      </c>
      <c r="C45" s="63" t="s">
        <v>228</v>
      </c>
      <c r="D45" s="62"/>
      <c r="E45" s="66">
        <v>86.7</v>
      </c>
      <c r="F45" s="66">
        <v>86.7</v>
      </c>
      <c r="G45" s="70">
        <v>0.0</v>
      </c>
      <c r="H45" s="58">
        <f t="shared" si="1"/>
        <v>0</v>
      </c>
      <c r="I45" s="58">
        <f t="shared" si="4"/>
        <v>0</v>
      </c>
      <c r="J45" s="71">
        <f t="shared" si="2"/>
        <v>0</v>
      </c>
      <c r="K45" s="71">
        <f t="shared" si="3"/>
        <v>0</v>
      </c>
      <c r="L45" s="62"/>
      <c r="M45" s="62"/>
      <c r="N45" s="63" t="s">
        <v>229</v>
      </c>
      <c r="O45" s="65"/>
      <c r="P45" s="65"/>
      <c r="Q45" s="65"/>
      <c r="R45" s="65"/>
      <c r="S45" s="65"/>
      <c r="T45" s="65"/>
      <c r="U45" s="65"/>
      <c r="V45" s="65"/>
      <c r="W45" s="65"/>
      <c r="X45" s="65"/>
      <c r="Y45" s="65"/>
      <c r="Z45" s="65"/>
      <c r="AA45" s="65"/>
      <c r="AB45" s="65"/>
      <c r="AC45" s="65"/>
    </row>
    <row r="46">
      <c r="A46" s="62" t="s">
        <v>227</v>
      </c>
      <c r="B46" s="63" t="s">
        <v>208</v>
      </c>
      <c r="C46" s="63" t="s">
        <v>228</v>
      </c>
      <c r="D46" s="62"/>
      <c r="E46" s="66">
        <v>72.3</v>
      </c>
      <c r="F46" s="66">
        <v>66.0</v>
      </c>
      <c r="G46" s="70">
        <v>6.299999999999997</v>
      </c>
      <c r="H46" s="58">
        <f t="shared" si="1"/>
        <v>-6.3</v>
      </c>
      <c r="I46" s="58">
        <f t="shared" si="4"/>
        <v>-6.3</v>
      </c>
      <c r="J46" s="71">
        <f t="shared" si="2"/>
        <v>-8.713692946</v>
      </c>
      <c r="K46" s="71">
        <f t="shared" si="3"/>
        <v>-8.713692946</v>
      </c>
      <c r="L46" s="62"/>
      <c r="M46" s="62"/>
      <c r="N46" s="63" t="s">
        <v>229</v>
      </c>
      <c r="O46" s="65"/>
      <c r="P46" s="65"/>
      <c r="Q46" s="65"/>
      <c r="R46" s="65"/>
      <c r="S46" s="65"/>
      <c r="T46" s="65"/>
      <c r="U46" s="65"/>
      <c r="V46" s="65"/>
      <c r="W46" s="65"/>
      <c r="X46" s="65"/>
      <c r="Y46" s="65"/>
      <c r="Z46" s="65"/>
      <c r="AA46" s="65"/>
      <c r="AB46" s="65"/>
      <c r="AC46" s="65"/>
    </row>
    <row r="47">
      <c r="A47" s="62" t="s">
        <v>227</v>
      </c>
      <c r="B47" s="63" t="s">
        <v>208</v>
      </c>
      <c r="C47" s="63" t="s">
        <v>228</v>
      </c>
      <c r="D47" s="62"/>
      <c r="E47" s="66">
        <v>100.0</v>
      </c>
      <c r="F47" s="66">
        <v>100.0</v>
      </c>
      <c r="G47" s="70">
        <v>0.0</v>
      </c>
      <c r="H47" s="58">
        <f t="shared" si="1"/>
        <v>0</v>
      </c>
      <c r="I47" s="58">
        <f t="shared" si="4"/>
        <v>0</v>
      </c>
      <c r="J47" s="71">
        <f t="shared" si="2"/>
        <v>0</v>
      </c>
      <c r="K47" s="71">
        <f t="shared" si="3"/>
        <v>0</v>
      </c>
      <c r="L47" s="62"/>
      <c r="M47" s="62"/>
      <c r="N47" s="63" t="s">
        <v>229</v>
      </c>
      <c r="O47" s="65"/>
      <c r="P47" s="65"/>
      <c r="Q47" s="65"/>
      <c r="R47" s="65"/>
      <c r="S47" s="65"/>
      <c r="T47" s="65"/>
      <c r="U47" s="65"/>
      <c r="V47" s="65"/>
      <c r="W47" s="65"/>
      <c r="X47" s="65"/>
      <c r="Y47" s="65"/>
      <c r="Z47" s="65"/>
      <c r="AA47" s="65"/>
      <c r="AB47" s="65"/>
      <c r="AC47" s="65"/>
    </row>
    <row r="48">
      <c r="A48" s="62" t="s">
        <v>227</v>
      </c>
      <c r="B48" s="63" t="s">
        <v>208</v>
      </c>
      <c r="C48" s="63" t="s">
        <v>228</v>
      </c>
      <c r="D48" s="62"/>
      <c r="E48" s="66">
        <v>100.0</v>
      </c>
      <c r="F48" s="66">
        <v>100.0</v>
      </c>
      <c r="G48" s="70">
        <v>0.0</v>
      </c>
      <c r="H48" s="58">
        <f t="shared" si="1"/>
        <v>0</v>
      </c>
      <c r="I48" s="58">
        <f t="shared" si="4"/>
        <v>0</v>
      </c>
      <c r="J48" s="71">
        <f t="shared" si="2"/>
        <v>0</v>
      </c>
      <c r="K48" s="71">
        <f t="shared" si="3"/>
        <v>0</v>
      </c>
      <c r="L48" s="62"/>
      <c r="M48" s="62"/>
      <c r="N48" s="63" t="s">
        <v>229</v>
      </c>
      <c r="O48" s="65"/>
      <c r="P48" s="65"/>
      <c r="Q48" s="65"/>
      <c r="R48" s="65"/>
      <c r="S48" s="65"/>
      <c r="T48" s="65"/>
      <c r="U48" s="65"/>
      <c r="V48" s="65"/>
      <c r="W48" s="65"/>
      <c r="X48" s="65"/>
      <c r="Y48" s="65"/>
      <c r="Z48" s="65"/>
      <c r="AA48" s="65"/>
      <c r="AB48" s="65"/>
      <c r="AC48" s="65"/>
    </row>
    <row r="49">
      <c r="A49" s="62" t="s">
        <v>227</v>
      </c>
      <c r="B49" s="63" t="s">
        <v>208</v>
      </c>
      <c r="C49" s="63" t="s">
        <v>228</v>
      </c>
      <c r="D49" s="62"/>
      <c r="E49" s="66">
        <v>69.0</v>
      </c>
      <c r="F49" s="66">
        <v>72.4</v>
      </c>
      <c r="G49" s="70">
        <v>-3.4000000000000057</v>
      </c>
      <c r="H49" s="58">
        <f t="shared" si="1"/>
        <v>3.4</v>
      </c>
      <c r="I49" s="58">
        <f t="shared" si="4"/>
        <v>3.4</v>
      </c>
      <c r="J49" s="71">
        <f t="shared" si="2"/>
        <v>4.927536232</v>
      </c>
      <c r="K49" s="71">
        <f t="shared" si="3"/>
        <v>4.927536232</v>
      </c>
      <c r="L49" s="62"/>
      <c r="M49" s="62"/>
      <c r="N49" s="63" t="s">
        <v>229</v>
      </c>
      <c r="O49" s="65"/>
      <c r="P49" s="65"/>
      <c r="Q49" s="65"/>
      <c r="R49" s="65"/>
      <c r="S49" s="65"/>
      <c r="T49" s="65"/>
      <c r="U49" s="65"/>
      <c r="V49" s="65"/>
      <c r="W49" s="65"/>
      <c r="X49" s="65"/>
      <c r="Y49" s="65"/>
      <c r="Z49" s="65"/>
      <c r="AA49" s="65"/>
      <c r="AB49" s="65"/>
      <c r="AC49" s="65"/>
    </row>
    <row r="50">
      <c r="A50" s="62" t="s">
        <v>227</v>
      </c>
      <c r="B50" s="63" t="s">
        <v>208</v>
      </c>
      <c r="C50" s="63" t="s">
        <v>228</v>
      </c>
      <c r="D50" s="62"/>
      <c r="E50" s="66">
        <v>93.1</v>
      </c>
      <c r="F50" s="66">
        <v>93.1</v>
      </c>
      <c r="G50" s="70">
        <v>0.0</v>
      </c>
      <c r="H50" s="58">
        <f t="shared" si="1"/>
        <v>0</v>
      </c>
      <c r="I50" s="58">
        <f t="shared" si="4"/>
        <v>0</v>
      </c>
      <c r="J50" s="71">
        <f t="shared" si="2"/>
        <v>0</v>
      </c>
      <c r="K50" s="71">
        <f t="shared" si="3"/>
        <v>0</v>
      </c>
      <c r="L50" s="62"/>
      <c r="M50" s="62"/>
      <c r="N50" s="63" t="s">
        <v>229</v>
      </c>
      <c r="O50" s="65"/>
      <c r="P50" s="65"/>
      <c r="Q50" s="65"/>
      <c r="R50" s="65"/>
      <c r="S50" s="65"/>
      <c r="T50" s="65"/>
      <c r="U50" s="65"/>
      <c r="V50" s="65"/>
      <c r="W50" s="65"/>
      <c r="X50" s="65"/>
      <c r="Y50" s="65"/>
      <c r="Z50" s="65"/>
      <c r="AA50" s="65"/>
      <c r="AB50" s="65"/>
      <c r="AC50" s="65"/>
    </row>
    <row r="51">
      <c r="A51" s="62" t="s">
        <v>227</v>
      </c>
      <c r="B51" s="63" t="s">
        <v>208</v>
      </c>
      <c r="C51" s="63" t="s">
        <v>228</v>
      </c>
      <c r="D51" s="62"/>
      <c r="E51" s="66">
        <v>93.1</v>
      </c>
      <c r="F51" s="66">
        <v>89.7</v>
      </c>
      <c r="G51" s="70">
        <v>3.3999999999999915</v>
      </c>
      <c r="H51" s="58">
        <f t="shared" si="1"/>
        <v>-3.4</v>
      </c>
      <c r="I51" s="58">
        <f t="shared" si="4"/>
        <v>-3.4</v>
      </c>
      <c r="J51" s="71">
        <f t="shared" si="2"/>
        <v>-3.651987111</v>
      </c>
      <c r="K51" s="71">
        <f t="shared" si="3"/>
        <v>-3.651987111</v>
      </c>
      <c r="L51" s="62"/>
      <c r="M51" s="62"/>
      <c r="N51" s="63" t="s">
        <v>229</v>
      </c>
      <c r="O51" s="65"/>
      <c r="P51" s="65"/>
      <c r="Q51" s="65"/>
      <c r="R51" s="65"/>
      <c r="S51" s="65"/>
      <c r="T51" s="65"/>
      <c r="U51" s="65"/>
      <c r="V51" s="65"/>
      <c r="W51" s="65"/>
      <c r="X51" s="65"/>
      <c r="Y51" s="65"/>
      <c r="Z51" s="65"/>
      <c r="AA51" s="65"/>
      <c r="AB51" s="65"/>
      <c r="AC51" s="65"/>
    </row>
    <row r="52">
      <c r="A52" s="62" t="s">
        <v>227</v>
      </c>
      <c r="B52" s="63" t="s">
        <v>208</v>
      </c>
      <c r="C52" s="63" t="s">
        <v>228</v>
      </c>
      <c r="D52" s="62"/>
      <c r="E52" s="66">
        <v>16.7</v>
      </c>
      <c r="F52" s="66">
        <v>16.7</v>
      </c>
      <c r="G52" s="70">
        <v>0.0</v>
      </c>
      <c r="H52" s="58">
        <f t="shared" si="1"/>
        <v>0</v>
      </c>
      <c r="I52" s="58">
        <f t="shared" si="4"/>
        <v>0</v>
      </c>
      <c r="J52" s="71">
        <f t="shared" si="2"/>
        <v>0</v>
      </c>
      <c r="K52" s="71">
        <f t="shared" si="3"/>
        <v>0</v>
      </c>
      <c r="L52" s="62"/>
      <c r="M52" s="62"/>
      <c r="N52" s="63" t="s">
        <v>229</v>
      </c>
      <c r="O52" s="65"/>
      <c r="P52" s="65"/>
      <c r="Q52" s="65"/>
      <c r="R52" s="65"/>
      <c r="S52" s="65"/>
      <c r="T52" s="65"/>
      <c r="U52" s="65"/>
      <c r="V52" s="65"/>
      <c r="W52" s="65"/>
      <c r="X52" s="65"/>
      <c r="Y52" s="65"/>
      <c r="Z52" s="65"/>
      <c r="AA52" s="65"/>
      <c r="AB52" s="65"/>
      <c r="AC52" s="65"/>
    </row>
    <row r="53">
      <c r="A53" s="62" t="s">
        <v>227</v>
      </c>
      <c r="B53" s="63" t="s">
        <v>208</v>
      </c>
      <c r="C53" s="63" t="s">
        <v>228</v>
      </c>
      <c r="D53" s="62"/>
      <c r="E53" s="66">
        <v>83.3</v>
      </c>
      <c r="F53" s="66">
        <v>83.3</v>
      </c>
      <c r="G53" s="70">
        <v>0.0</v>
      </c>
      <c r="H53" s="58">
        <f t="shared" si="1"/>
        <v>0</v>
      </c>
      <c r="I53" s="58">
        <f t="shared" si="4"/>
        <v>0</v>
      </c>
      <c r="J53" s="71">
        <f t="shared" si="2"/>
        <v>0</v>
      </c>
      <c r="K53" s="71">
        <f t="shared" si="3"/>
        <v>0</v>
      </c>
      <c r="L53" s="62"/>
      <c r="M53" s="62"/>
      <c r="N53" s="63" t="s">
        <v>229</v>
      </c>
      <c r="O53" s="65"/>
      <c r="P53" s="65"/>
      <c r="Q53" s="65"/>
      <c r="R53" s="65"/>
      <c r="S53" s="65"/>
      <c r="T53" s="65"/>
      <c r="U53" s="65"/>
      <c r="V53" s="65"/>
      <c r="W53" s="65"/>
      <c r="X53" s="65"/>
      <c r="Y53" s="65"/>
      <c r="Z53" s="65"/>
      <c r="AA53" s="65"/>
      <c r="AB53" s="65"/>
      <c r="AC53" s="65"/>
    </row>
    <row r="54">
      <c r="A54" s="62" t="s">
        <v>227</v>
      </c>
      <c r="B54" s="63" t="s">
        <v>208</v>
      </c>
      <c r="C54" s="63" t="s">
        <v>228</v>
      </c>
      <c r="D54" s="62"/>
      <c r="E54" s="66">
        <v>83.3</v>
      </c>
      <c r="F54" s="66">
        <v>100.0</v>
      </c>
      <c r="G54" s="70">
        <v>-16.700000000000003</v>
      </c>
      <c r="H54" s="58">
        <f t="shared" si="1"/>
        <v>16.7</v>
      </c>
      <c r="I54" s="58">
        <f t="shared" si="4"/>
        <v>16.7</v>
      </c>
      <c r="J54" s="71">
        <f t="shared" si="2"/>
        <v>20.04801921</v>
      </c>
      <c r="K54" s="71">
        <f t="shared" si="3"/>
        <v>20.04801921</v>
      </c>
      <c r="L54" s="62"/>
      <c r="M54" s="62"/>
      <c r="N54" s="63" t="s">
        <v>229</v>
      </c>
      <c r="O54" s="65"/>
      <c r="P54" s="65"/>
      <c r="Q54" s="65"/>
      <c r="R54" s="65"/>
      <c r="S54" s="65"/>
      <c r="T54" s="65"/>
      <c r="U54" s="65"/>
      <c r="V54" s="65"/>
      <c r="W54" s="65"/>
      <c r="X54" s="65"/>
      <c r="Y54" s="65"/>
      <c r="Z54" s="65"/>
      <c r="AA54" s="65"/>
      <c r="AB54" s="65"/>
      <c r="AC54" s="65"/>
    </row>
    <row r="55">
      <c r="A55" s="62" t="s">
        <v>227</v>
      </c>
      <c r="B55" s="63" t="s">
        <v>208</v>
      </c>
      <c r="C55" s="63" t="s">
        <v>228</v>
      </c>
      <c r="D55" s="62"/>
      <c r="E55" s="66">
        <v>85.7</v>
      </c>
      <c r="F55" s="66">
        <v>95.1</v>
      </c>
      <c r="G55" s="70">
        <v>-9.399999999999991</v>
      </c>
      <c r="H55" s="58">
        <f t="shared" si="1"/>
        <v>9.4</v>
      </c>
      <c r="I55" s="58">
        <f t="shared" si="4"/>
        <v>9.4</v>
      </c>
      <c r="J55" s="71">
        <f t="shared" si="2"/>
        <v>10.96849475</v>
      </c>
      <c r="K55" s="71">
        <f t="shared" si="3"/>
        <v>10.96849475</v>
      </c>
      <c r="L55" s="62"/>
      <c r="M55" s="62"/>
      <c r="N55" s="63" t="s">
        <v>229</v>
      </c>
      <c r="O55" s="65"/>
      <c r="P55" s="65"/>
      <c r="Q55" s="65"/>
      <c r="R55" s="65"/>
      <c r="S55" s="65"/>
      <c r="T55" s="65"/>
      <c r="U55" s="65"/>
      <c r="V55" s="65"/>
      <c r="W55" s="65"/>
      <c r="X55" s="65"/>
      <c r="Y55" s="65"/>
      <c r="Z55" s="65"/>
      <c r="AA55" s="65"/>
      <c r="AB55" s="65"/>
      <c r="AC55" s="65"/>
    </row>
    <row r="56">
      <c r="A56" s="62" t="s">
        <v>227</v>
      </c>
      <c r="B56" s="63" t="s">
        <v>208</v>
      </c>
      <c r="C56" s="63" t="s">
        <v>228</v>
      </c>
      <c r="D56" s="62"/>
      <c r="E56" s="66">
        <v>100.0</v>
      </c>
      <c r="F56" s="66">
        <v>100.0</v>
      </c>
      <c r="G56" s="70">
        <v>0.0</v>
      </c>
      <c r="H56" s="58">
        <f t="shared" si="1"/>
        <v>0</v>
      </c>
      <c r="I56" s="58">
        <f t="shared" si="4"/>
        <v>0</v>
      </c>
      <c r="J56" s="71">
        <f t="shared" si="2"/>
        <v>0</v>
      </c>
      <c r="K56" s="71">
        <f t="shared" si="3"/>
        <v>0</v>
      </c>
      <c r="L56" s="62"/>
      <c r="M56" s="62"/>
      <c r="N56" s="63" t="s">
        <v>229</v>
      </c>
      <c r="O56" s="65"/>
      <c r="P56" s="65"/>
      <c r="Q56" s="65"/>
      <c r="R56" s="65"/>
      <c r="S56" s="65"/>
      <c r="T56" s="65"/>
      <c r="U56" s="65"/>
      <c r="V56" s="65"/>
      <c r="W56" s="65"/>
      <c r="X56" s="65"/>
      <c r="Y56" s="65"/>
      <c r="Z56" s="65"/>
      <c r="AA56" s="65"/>
      <c r="AB56" s="65"/>
      <c r="AC56" s="65"/>
    </row>
    <row r="57">
      <c r="A57" s="62" t="s">
        <v>227</v>
      </c>
      <c r="B57" s="63" t="s">
        <v>208</v>
      </c>
      <c r="C57" s="63" t="s">
        <v>228</v>
      </c>
      <c r="D57" s="62"/>
      <c r="E57" s="66">
        <v>89.3</v>
      </c>
      <c r="F57" s="66">
        <v>89.3</v>
      </c>
      <c r="G57" s="70">
        <v>0.0</v>
      </c>
      <c r="H57" s="58">
        <f t="shared" si="1"/>
        <v>0</v>
      </c>
      <c r="I57" s="58">
        <f t="shared" si="4"/>
        <v>0</v>
      </c>
      <c r="J57" s="71">
        <f t="shared" si="2"/>
        <v>0</v>
      </c>
      <c r="K57" s="71">
        <f t="shared" si="3"/>
        <v>0</v>
      </c>
      <c r="L57" s="62"/>
      <c r="M57" s="62"/>
      <c r="N57" s="63" t="s">
        <v>229</v>
      </c>
      <c r="O57" s="65"/>
      <c r="P57" s="65"/>
      <c r="Q57" s="65"/>
      <c r="R57" s="65"/>
      <c r="S57" s="65"/>
      <c r="T57" s="65"/>
      <c r="U57" s="65"/>
      <c r="V57" s="65"/>
      <c r="W57" s="65"/>
      <c r="X57" s="65"/>
      <c r="Y57" s="65"/>
      <c r="Z57" s="65"/>
      <c r="AA57" s="65"/>
      <c r="AB57" s="65"/>
      <c r="AC57" s="65"/>
    </row>
    <row r="58">
      <c r="A58" s="62" t="s">
        <v>227</v>
      </c>
      <c r="B58" s="63" t="s">
        <v>208</v>
      </c>
      <c r="C58" s="63" t="s">
        <v>228</v>
      </c>
      <c r="D58" s="62"/>
      <c r="E58" s="66">
        <v>69.2</v>
      </c>
      <c r="F58" s="66">
        <v>69.2</v>
      </c>
      <c r="G58" s="70">
        <v>0.0</v>
      </c>
      <c r="H58" s="58">
        <f t="shared" si="1"/>
        <v>0</v>
      </c>
      <c r="I58" s="58">
        <f t="shared" si="4"/>
        <v>0</v>
      </c>
      <c r="J58" s="71">
        <f t="shared" si="2"/>
        <v>0</v>
      </c>
      <c r="K58" s="71">
        <f t="shared" si="3"/>
        <v>0</v>
      </c>
      <c r="L58" s="62"/>
      <c r="M58" s="62"/>
      <c r="N58" s="63" t="s">
        <v>229</v>
      </c>
      <c r="O58" s="65"/>
      <c r="P58" s="65"/>
      <c r="Q58" s="65"/>
      <c r="R58" s="65"/>
      <c r="S58" s="65"/>
      <c r="T58" s="65"/>
      <c r="U58" s="65"/>
      <c r="V58" s="65"/>
      <c r="W58" s="65"/>
      <c r="X58" s="65"/>
      <c r="Y58" s="65"/>
      <c r="Z58" s="65"/>
      <c r="AA58" s="65"/>
      <c r="AB58" s="65"/>
      <c r="AC58" s="65"/>
    </row>
    <row r="59">
      <c r="A59" s="62" t="s">
        <v>227</v>
      </c>
      <c r="B59" s="63" t="s">
        <v>208</v>
      </c>
      <c r="C59" s="63" t="s">
        <v>228</v>
      </c>
      <c r="D59" s="62"/>
      <c r="E59" s="66">
        <v>92.3</v>
      </c>
      <c r="F59" s="66">
        <v>92.3</v>
      </c>
      <c r="G59" s="70">
        <v>0.0</v>
      </c>
      <c r="H59" s="58">
        <f t="shared" si="1"/>
        <v>0</v>
      </c>
      <c r="I59" s="58">
        <f t="shared" si="4"/>
        <v>0</v>
      </c>
      <c r="J59" s="71">
        <f t="shared" si="2"/>
        <v>0</v>
      </c>
      <c r="K59" s="71">
        <f t="shared" si="3"/>
        <v>0</v>
      </c>
      <c r="L59" s="62"/>
      <c r="M59" s="62"/>
      <c r="N59" s="63" t="s">
        <v>229</v>
      </c>
      <c r="O59" s="65"/>
      <c r="P59" s="65"/>
      <c r="Q59" s="65"/>
      <c r="R59" s="65"/>
      <c r="S59" s="65"/>
      <c r="T59" s="65"/>
      <c r="U59" s="65"/>
      <c r="V59" s="65"/>
      <c r="W59" s="65"/>
      <c r="X59" s="65"/>
      <c r="Y59" s="65"/>
      <c r="Z59" s="65"/>
      <c r="AA59" s="65"/>
      <c r="AB59" s="65"/>
      <c r="AC59" s="65"/>
    </row>
    <row r="60">
      <c r="A60" s="62" t="s">
        <v>227</v>
      </c>
      <c r="B60" s="63" t="s">
        <v>208</v>
      </c>
      <c r="C60" s="63" t="s">
        <v>228</v>
      </c>
      <c r="D60" s="62"/>
      <c r="E60" s="66">
        <v>92.3</v>
      </c>
      <c r="F60" s="66">
        <v>92.3</v>
      </c>
      <c r="G60" s="70">
        <v>0.0</v>
      </c>
      <c r="H60" s="58">
        <f t="shared" si="1"/>
        <v>0</v>
      </c>
      <c r="I60" s="58">
        <f t="shared" si="4"/>
        <v>0</v>
      </c>
      <c r="J60" s="71">
        <f t="shared" si="2"/>
        <v>0</v>
      </c>
      <c r="K60" s="71">
        <f t="shared" si="3"/>
        <v>0</v>
      </c>
      <c r="L60" s="62"/>
      <c r="M60" s="62"/>
      <c r="N60" s="63" t="s">
        <v>229</v>
      </c>
      <c r="O60" s="65"/>
      <c r="P60" s="65"/>
      <c r="Q60" s="65"/>
      <c r="R60" s="65"/>
      <c r="S60" s="65"/>
      <c r="T60" s="65"/>
      <c r="U60" s="65"/>
      <c r="V60" s="65"/>
      <c r="W60" s="65"/>
      <c r="X60" s="65"/>
      <c r="Y60" s="65"/>
      <c r="Z60" s="65"/>
      <c r="AA60" s="65"/>
      <c r="AB60" s="65"/>
      <c r="AC60" s="65"/>
    </row>
    <row r="61">
      <c r="A61" s="62" t="s">
        <v>227</v>
      </c>
      <c r="B61" s="63" t="s">
        <v>208</v>
      </c>
      <c r="C61" s="63" t="s">
        <v>228</v>
      </c>
      <c r="D61" s="62"/>
      <c r="E61" s="66">
        <v>82.8</v>
      </c>
      <c r="F61" s="66">
        <v>86.2</v>
      </c>
      <c r="G61" s="70">
        <v>-3.4000000000000057</v>
      </c>
      <c r="H61" s="58">
        <f t="shared" si="1"/>
        <v>3.4</v>
      </c>
      <c r="I61" s="58">
        <f t="shared" si="4"/>
        <v>3.4</v>
      </c>
      <c r="J61" s="71">
        <f t="shared" si="2"/>
        <v>4.106280193</v>
      </c>
      <c r="K61" s="71">
        <f t="shared" si="3"/>
        <v>4.106280193</v>
      </c>
      <c r="L61" s="62"/>
      <c r="M61" s="62"/>
      <c r="N61" s="63" t="s">
        <v>229</v>
      </c>
      <c r="O61" s="65"/>
      <c r="P61" s="65"/>
      <c r="Q61" s="65"/>
      <c r="R61" s="65"/>
      <c r="S61" s="65"/>
      <c r="T61" s="65"/>
      <c r="U61" s="65"/>
      <c r="V61" s="65"/>
      <c r="W61" s="65"/>
      <c r="X61" s="65"/>
      <c r="Y61" s="65"/>
      <c r="Z61" s="65"/>
      <c r="AA61" s="65"/>
      <c r="AB61" s="65"/>
      <c r="AC61" s="65"/>
    </row>
    <row r="62">
      <c r="A62" s="62" t="s">
        <v>227</v>
      </c>
      <c r="B62" s="63" t="s">
        <v>208</v>
      </c>
      <c r="C62" s="63" t="s">
        <v>228</v>
      </c>
      <c r="D62" s="62"/>
      <c r="E62" s="66">
        <v>96.6</v>
      </c>
      <c r="F62" s="66">
        <v>96.6</v>
      </c>
      <c r="G62" s="70">
        <v>0.0</v>
      </c>
      <c r="H62" s="58">
        <f t="shared" si="1"/>
        <v>0</v>
      </c>
      <c r="I62" s="58">
        <f t="shared" si="4"/>
        <v>0</v>
      </c>
      <c r="J62" s="71">
        <f t="shared" si="2"/>
        <v>0</v>
      </c>
      <c r="K62" s="71">
        <f t="shared" si="3"/>
        <v>0</v>
      </c>
      <c r="L62" s="62"/>
      <c r="M62" s="62"/>
      <c r="N62" s="63" t="s">
        <v>229</v>
      </c>
      <c r="O62" s="65"/>
      <c r="P62" s="65"/>
      <c r="Q62" s="65"/>
      <c r="R62" s="65"/>
      <c r="S62" s="65"/>
      <c r="T62" s="65"/>
      <c r="U62" s="65"/>
      <c r="V62" s="65"/>
      <c r="W62" s="65"/>
      <c r="X62" s="65"/>
      <c r="Y62" s="65"/>
      <c r="Z62" s="65"/>
      <c r="AA62" s="65"/>
      <c r="AB62" s="65"/>
      <c r="AC62" s="65"/>
    </row>
    <row r="63">
      <c r="A63" s="62" t="s">
        <v>227</v>
      </c>
      <c r="B63" s="63" t="s">
        <v>208</v>
      </c>
      <c r="C63" s="63" t="s">
        <v>228</v>
      </c>
      <c r="D63" s="62"/>
      <c r="E63" s="66">
        <v>96.6</v>
      </c>
      <c r="F63" s="66">
        <v>96.6</v>
      </c>
      <c r="G63" s="70">
        <v>0.0</v>
      </c>
      <c r="H63" s="58">
        <f t="shared" si="1"/>
        <v>0</v>
      </c>
      <c r="I63" s="58">
        <f t="shared" si="4"/>
        <v>0</v>
      </c>
      <c r="J63" s="71">
        <f t="shared" si="2"/>
        <v>0</v>
      </c>
      <c r="K63" s="71">
        <f t="shared" si="3"/>
        <v>0</v>
      </c>
      <c r="L63" s="62"/>
      <c r="M63" s="62"/>
      <c r="N63" s="63" t="s">
        <v>229</v>
      </c>
      <c r="O63" s="65"/>
      <c r="P63" s="65"/>
      <c r="Q63" s="65"/>
      <c r="R63" s="65"/>
      <c r="S63" s="65"/>
      <c r="T63" s="65"/>
      <c r="U63" s="65"/>
      <c r="V63" s="65"/>
      <c r="W63" s="65"/>
      <c r="X63" s="65"/>
      <c r="Y63" s="65"/>
      <c r="Z63" s="65"/>
      <c r="AA63" s="65"/>
      <c r="AB63" s="65"/>
      <c r="AC63" s="65"/>
    </row>
    <row r="64">
      <c r="A64" s="62" t="s">
        <v>227</v>
      </c>
      <c r="B64" s="63" t="s">
        <v>208</v>
      </c>
      <c r="C64" s="63" t="s">
        <v>228</v>
      </c>
      <c r="D64" s="62"/>
      <c r="E64" s="66">
        <v>37.9</v>
      </c>
      <c r="F64" s="66">
        <v>44.8</v>
      </c>
      <c r="G64" s="70">
        <v>-6.899999999999999</v>
      </c>
      <c r="H64" s="58">
        <f t="shared" si="1"/>
        <v>6.9</v>
      </c>
      <c r="I64" s="58">
        <f t="shared" si="4"/>
        <v>6.9</v>
      </c>
      <c r="J64" s="71">
        <f t="shared" si="2"/>
        <v>18.20580475</v>
      </c>
      <c r="K64" s="71">
        <f t="shared" si="3"/>
        <v>18.20580475</v>
      </c>
      <c r="L64" s="62"/>
      <c r="M64" s="62"/>
      <c r="N64" s="63" t="s">
        <v>229</v>
      </c>
      <c r="O64" s="65"/>
      <c r="P64" s="65"/>
      <c r="Q64" s="65"/>
      <c r="R64" s="65"/>
      <c r="S64" s="65"/>
      <c r="T64" s="65"/>
      <c r="U64" s="65"/>
      <c r="V64" s="65"/>
      <c r="W64" s="65"/>
      <c r="X64" s="65"/>
      <c r="Y64" s="65"/>
      <c r="Z64" s="65"/>
      <c r="AA64" s="65"/>
      <c r="AB64" s="65"/>
      <c r="AC64" s="65"/>
    </row>
    <row r="65">
      <c r="A65" s="62" t="s">
        <v>227</v>
      </c>
      <c r="B65" s="63" t="s">
        <v>208</v>
      </c>
      <c r="C65" s="63" t="s">
        <v>228</v>
      </c>
      <c r="D65" s="62"/>
      <c r="E65" s="66">
        <v>58.6</v>
      </c>
      <c r="F65" s="66">
        <v>58.6</v>
      </c>
      <c r="G65" s="70">
        <v>0.0</v>
      </c>
      <c r="H65" s="58">
        <f t="shared" si="1"/>
        <v>0</v>
      </c>
      <c r="I65" s="58">
        <f t="shared" si="4"/>
        <v>0</v>
      </c>
      <c r="J65" s="71">
        <f t="shared" si="2"/>
        <v>0</v>
      </c>
      <c r="K65" s="71">
        <f t="shared" si="3"/>
        <v>0</v>
      </c>
      <c r="L65" s="62"/>
      <c r="M65" s="62"/>
      <c r="N65" s="63" t="s">
        <v>229</v>
      </c>
      <c r="O65" s="65"/>
      <c r="P65" s="65"/>
      <c r="Q65" s="65"/>
      <c r="R65" s="65"/>
      <c r="S65" s="65"/>
      <c r="T65" s="65"/>
      <c r="U65" s="65"/>
      <c r="V65" s="65"/>
      <c r="W65" s="65"/>
      <c r="X65" s="65"/>
      <c r="Y65" s="65"/>
      <c r="Z65" s="65"/>
      <c r="AA65" s="65"/>
      <c r="AB65" s="65"/>
      <c r="AC65" s="65"/>
    </row>
    <row r="66">
      <c r="A66" s="62" t="s">
        <v>227</v>
      </c>
      <c r="B66" s="63" t="s">
        <v>208</v>
      </c>
      <c r="C66" s="63" t="s">
        <v>228</v>
      </c>
      <c r="D66" s="62"/>
      <c r="E66" s="66">
        <v>75.9</v>
      </c>
      <c r="F66" s="66">
        <v>65.5</v>
      </c>
      <c r="G66" s="70">
        <v>10.400000000000006</v>
      </c>
      <c r="H66" s="58">
        <f t="shared" si="1"/>
        <v>-10.4</v>
      </c>
      <c r="I66" s="58">
        <f t="shared" si="4"/>
        <v>-10.4</v>
      </c>
      <c r="J66" s="71">
        <f t="shared" si="2"/>
        <v>-13.70223979</v>
      </c>
      <c r="K66" s="71">
        <f t="shared" si="3"/>
        <v>-13.70223979</v>
      </c>
      <c r="L66" s="62"/>
      <c r="M66" s="62"/>
      <c r="N66" s="63" t="s">
        <v>229</v>
      </c>
      <c r="O66" s="65"/>
      <c r="P66" s="65"/>
      <c r="Q66" s="65"/>
      <c r="R66" s="65"/>
      <c r="S66" s="65"/>
      <c r="T66" s="65"/>
      <c r="U66" s="65"/>
      <c r="V66" s="65"/>
      <c r="W66" s="65"/>
      <c r="X66" s="65"/>
      <c r="Y66" s="65"/>
      <c r="Z66" s="65"/>
      <c r="AA66" s="65"/>
      <c r="AB66" s="65"/>
      <c r="AC66" s="65"/>
    </row>
    <row r="67">
      <c r="A67" s="62" t="s">
        <v>227</v>
      </c>
      <c r="B67" s="63" t="s">
        <v>208</v>
      </c>
      <c r="C67" s="63" t="s">
        <v>228</v>
      </c>
      <c r="D67" s="62"/>
      <c r="E67" s="66">
        <v>90.0</v>
      </c>
      <c r="F67" s="66">
        <v>90.0</v>
      </c>
      <c r="G67" s="70">
        <v>0.0</v>
      </c>
      <c r="H67" s="58">
        <f t="shared" si="1"/>
        <v>0</v>
      </c>
      <c r="I67" s="58">
        <f t="shared" si="4"/>
        <v>0</v>
      </c>
      <c r="J67" s="71">
        <f t="shared" si="2"/>
        <v>0</v>
      </c>
      <c r="K67" s="71">
        <f t="shared" si="3"/>
        <v>0</v>
      </c>
      <c r="L67" s="62"/>
      <c r="M67" s="62"/>
      <c r="N67" s="63" t="s">
        <v>229</v>
      </c>
      <c r="O67" s="65"/>
      <c r="P67" s="65"/>
      <c r="Q67" s="65"/>
      <c r="R67" s="65"/>
      <c r="S67" s="65"/>
      <c r="T67" s="65"/>
      <c r="U67" s="65"/>
      <c r="V67" s="65"/>
      <c r="W67" s="65"/>
      <c r="X67" s="65"/>
      <c r="Y67" s="65"/>
      <c r="Z67" s="65"/>
      <c r="AA67" s="65"/>
      <c r="AB67" s="65"/>
      <c r="AC67" s="65"/>
    </row>
    <row r="68">
      <c r="A68" s="62" t="s">
        <v>227</v>
      </c>
      <c r="B68" s="63" t="s">
        <v>208</v>
      </c>
      <c r="C68" s="63" t="s">
        <v>228</v>
      </c>
      <c r="D68" s="62"/>
      <c r="E68" s="66">
        <v>90.0</v>
      </c>
      <c r="F68" s="66">
        <v>90.0</v>
      </c>
      <c r="G68" s="70">
        <v>0.0</v>
      </c>
      <c r="H68" s="58">
        <f t="shared" si="1"/>
        <v>0</v>
      </c>
      <c r="I68" s="58">
        <f t="shared" si="4"/>
        <v>0</v>
      </c>
      <c r="J68" s="71">
        <f t="shared" si="2"/>
        <v>0</v>
      </c>
      <c r="K68" s="71">
        <f t="shared" si="3"/>
        <v>0</v>
      </c>
      <c r="L68" s="62"/>
      <c r="M68" s="62"/>
      <c r="N68" s="63" t="s">
        <v>229</v>
      </c>
      <c r="O68" s="65"/>
      <c r="P68" s="65"/>
      <c r="Q68" s="65"/>
      <c r="R68" s="65"/>
      <c r="S68" s="65"/>
      <c r="T68" s="65"/>
      <c r="U68" s="65"/>
      <c r="V68" s="65"/>
      <c r="W68" s="65"/>
      <c r="X68" s="65"/>
      <c r="Y68" s="65"/>
      <c r="Z68" s="65"/>
      <c r="AA68" s="65"/>
      <c r="AB68" s="65"/>
      <c r="AC68" s="65"/>
    </row>
    <row r="69">
      <c r="A69" s="62" t="s">
        <v>227</v>
      </c>
      <c r="B69" s="63" t="s">
        <v>208</v>
      </c>
      <c r="C69" s="63" t="s">
        <v>228</v>
      </c>
      <c r="D69" s="62"/>
      <c r="E69" s="66">
        <v>80.0</v>
      </c>
      <c r="F69" s="66">
        <v>90.0</v>
      </c>
      <c r="G69" s="70">
        <v>-10.0</v>
      </c>
      <c r="H69" s="58">
        <f t="shared" si="1"/>
        <v>10</v>
      </c>
      <c r="I69" s="58">
        <f t="shared" si="4"/>
        <v>10</v>
      </c>
      <c r="J69" s="71">
        <f t="shared" si="2"/>
        <v>12.5</v>
      </c>
      <c r="K69" s="71">
        <f t="shared" si="3"/>
        <v>12.5</v>
      </c>
      <c r="L69" s="62"/>
      <c r="M69" s="62"/>
      <c r="N69" s="63" t="s">
        <v>229</v>
      </c>
      <c r="O69" s="65"/>
      <c r="P69" s="65"/>
      <c r="Q69" s="65"/>
      <c r="R69" s="65"/>
      <c r="S69" s="65"/>
      <c r="T69" s="65"/>
      <c r="U69" s="65"/>
      <c r="V69" s="65"/>
      <c r="W69" s="65"/>
      <c r="X69" s="65"/>
      <c r="Y69" s="65"/>
      <c r="Z69" s="65"/>
      <c r="AA69" s="65"/>
      <c r="AB69" s="65"/>
      <c r="AC69" s="65"/>
    </row>
    <row r="70">
      <c r="A70" s="62" t="s">
        <v>227</v>
      </c>
      <c r="B70" s="63" t="s">
        <v>208</v>
      </c>
      <c r="C70" s="63" t="s">
        <v>228</v>
      </c>
      <c r="D70" s="62"/>
      <c r="E70" s="66">
        <v>60.0</v>
      </c>
      <c r="F70" s="66">
        <v>73.3</v>
      </c>
      <c r="G70" s="70">
        <v>-13.299999999999997</v>
      </c>
      <c r="H70" s="58">
        <f t="shared" si="1"/>
        <v>13.3</v>
      </c>
      <c r="I70" s="58">
        <f t="shared" si="4"/>
        <v>13.3</v>
      </c>
      <c r="J70" s="71">
        <f t="shared" si="2"/>
        <v>22.16666667</v>
      </c>
      <c r="K70" s="71">
        <f t="shared" si="3"/>
        <v>22.16666667</v>
      </c>
      <c r="L70" s="62"/>
      <c r="M70" s="62"/>
      <c r="N70" s="63" t="s">
        <v>229</v>
      </c>
      <c r="O70" s="65"/>
      <c r="P70" s="65"/>
      <c r="Q70" s="65"/>
      <c r="R70" s="65"/>
      <c r="S70" s="65"/>
      <c r="T70" s="65"/>
      <c r="U70" s="65"/>
      <c r="V70" s="65"/>
      <c r="W70" s="65"/>
      <c r="X70" s="65"/>
      <c r="Y70" s="65"/>
      <c r="Z70" s="65"/>
      <c r="AA70" s="65"/>
      <c r="AB70" s="65"/>
      <c r="AC70" s="65"/>
    </row>
    <row r="71">
      <c r="A71" s="62" t="s">
        <v>227</v>
      </c>
      <c r="B71" s="63" t="s">
        <v>208</v>
      </c>
      <c r="C71" s="63" t="s">
        <v>228</v>
      </c>
      <c r="D71" s="62"/>
      <c r="E71" s="66">
        <v>73.3</v>
      </c>
      <c r="F71" s="66">
        <v>73.3</v>
      </c>
      <c r="G71" s="70">
        <v>0.0</v>
      </c>
      <c r="H71" s="58">
        <f t="shared" si="1"/>
        <v>0</v>
      </c>
      <c r="I71" s="58">
        <f t="shared" si="4"/>
        <v>0</v>
      </c>
      <c r="J71" s="71">
        <f t="shared" si="2"/>
        <v>0</v>
      </c>
      <c r="K71" s="71">
        <f t="shared" si="3"/>
        <v>0</v>
      </c>
      <c r="L71" s="62"/>
      <c r="M71" s="62"/>
      <c r="N71" s="63" t="s">
        <v>229</v>
      </c>
      <c r="O71" s="65"/>
      <c r="P71" s="65"/>
      <c r="Q71" s="65"/>
      <c r="R71" s="65"/>
      <c r="S71" s="65"/>
      <c r="T71" s="65"/>
      <c r="U71" s="65"/>
      <c r="V71" s="65"/>
      <c r="W71" s="65"/>
      <c r="X71" s="65"/>
      <c r="Y71" s="65"/>
      <c r="Z71" s="65"/>
      <c r="AA71" s="65"/>
      <c r="AB71" s="65"/>
      <c r="AC71" s="65"/>
    </row>
    <row r="72">
      <c r="A72" s="62" t="s">
        <v>227</v>
      </c>
      <c r="B72" s="63" t="s">
        <v>208</v>
      </c>
      <c r="C72" s="63" t="s">
        <v>228</v>
      </c>
      <c r="D72" s="62"/>
      <c r="E72" s="66">
        <v>66.7</v>
      </c>
      <c r="F72" s="66">
        <v>66.7</v>
      </c>
      <c r="G72" s="70">
        <v>0.0</v>
      </c>
      <c r="H72" s="58">
        <f t="shared" si="1"/>
        <v>0</v>
      </c>
      <c r="I72" s="58">
        <f t="shared" si="4"/>
        <v>0</v>
      </c>
      <c r="J72" s="71">
        <f t="shared" si="2"/>
        <v>0</v>
      </c>
      <c r="K72" s="71">
        <f t="shared" si="3"/>
        <v>0</v>
      </c>
      <c r="L72" s="62"/>
      <c r="M72" s="62"/>
      <c r="N72" s="63" t="s">
        <v>229</v>
      </c>
      <c r="O72" s="65"/>
      <c r="P72" s="65"/>
      <c r="Q72" s="65"/>
      <c r="R72" s="65"/>
      <c r="S72" s="65"/>
      <c r="T72" s="65"/>
      <c r="U72" s="65"/>
      <c r="V72" s="65"/>
      <c r="W72" s="65"/>
      <c r="X72" s="65"/>
      <c r="Y72" s="65"/>
      <c r="Z72" s="65"/>
      <c r="AA72" s="65"/>
      <c r="AB72" s="65"/>
      <c r="AC72" s="65"/>
    </row>
    <row r="73">
      <c r="A73" s="62" t="s">
        <v>227</v>
      </c>
      <c r="B73" s="63" t="s">
        <v>208</v>
      </c>
      <c r="C73" s="63" t="s">
        <v>228</v>
      </c>
      <c r="D73" s="62"/>
      <c r="E73" s="66">
        <v>9.0</v>
      </c>
      <c r="F73" s="66">
        <v>10.0</v>
      </c>
      <c r="G73" s="70">
        <v>-1.0</v>
      </c>
      <c r="H73" s="58">
        <f t="shared" si="1"/>
        <v>1</v>
      </c>
      <c r="I73" s="58">
        <f t="shared" si="4"/>
        <v>1</v>
      </c>
      <c r="J73" s="71">
        <f t="shared" si="2"/>
        <v>11.11111111</v>
      </c>
      <c r="K73" s="71">
        <f t="shared" si="3"/>
        <v>11.11111111</v>
      </c>
      <c r="L73" s="62"/>
      <c r="M73" s="62"/>
      <c r="N73" s="63" t="s">
        <v>229</v>
      </c>
      <c r="O73" s="65"/>
      <c r="P73" s="65"/>
      <c r="Q73" s="65"/>
      <c r="R73" s="65"/>
      <c r="S73" s="65"/>
      <c r="T73" s="65"/>
      <c r="U73" s="65"/>
      <c r="V73" s="65"/>
      <c r="W73" s="65"/>
      <c r="X73" s="65"/>
      <c r="Y73" s="65"/>
      <c r="Z73" s="65"/>
      <c r="AA73" s="65"/>
      <c r="AB73" s="65"/>
      <c r="AC73" s="65"/>
    </row>
    <row r="74">
      <c r="A74" s="62" t="s">
        <v>227</v>
      </c>
      <c r="B74" s="63" t="s">
        <v>208</v>
      </c>
      <c r="C74" s="63" t="s">
        <v>228</v>
      </c>
      <c r="D74" s="62"/>
      <c r="E74" s="66">
        <v>60.2</v>
      </c>
      <c r="F74" s="66">
        <v>60.2</v>
      </c>
      <c r="G74" s="70">
        <v>0.0</v>
      </c>
      <c r="H74" s="58">
        <f t="shared" si="1"/>
        <v>0</v>
      </c>
      <c r="I74" s="58">
        <f t="shared" si="4"/>
        <v>0</v>
      </c>
      <c r="J74" s="71">
        <f t="shared" si="2"/>
        <v>0</v>
      </c>
      <c r="K74" s="71">
        <f t="shared" si="3"/>
        <v>0</v>
      </c>
      <c r="L74" s="62"/>
      <c r="M74" s="62"/>
      <c r="N74" s="63" t="s">
        <v>229</v>
      </c>
      <c r="O74" s="65"/>
      <c r="P74" s="65"/>
      <c r="Q74" s="65"/>
      <c r="R74" s="65"/>
      <c r="S74" s="65"/>
      <c r="T74" s="65"/>
      <c r="U74" s="65"/>
      <c r="V74" s="65"/>
      <c r="W74" s="65"/>
      <c r="X74" s="65"/>
      <c r="Y74" s="65"/>
      <c r="Z74" s="65"/>
      <c r="AA74" s="65"/>
      <c r="AB74" s="65"/>
      <c r="AC74" s="65"/>
    </row>
    <row r="75">
      <c r="A75" s="62" t="s">
        <v>227</v>
      </c>
      <c r="B75" s="63" t="s">
        <v>208</v>
      </c>
      <c r="C75" s="63" t="s">
        <v>228</v>
      </c>
      <c r="D75" s="62"/>
      <c r="E75" s="66">
        <v>71.7</v>
      </c>
      <c r="F75" s="66">
        <v>70.6</v>
      </c>
      <c r="G75" s="70">
        <v>1.1000000000000085</v>
      </c>
      <c r="H75" s="58">
        <f t="shared" si="1"/>
        <v>-1.1</v>
      </c>
      <c r="I75" s="58">
        <f t="shared" si="4"/>
        <v>-1.1</v>
      </c>
      <c r="J75" s="71">
        <f t="shared" si="2"/>
        <v>-1.534170153</v>
      </c>
      <c r="K75" s="71">
        <f t="shared" si="3"/>
        <v>-1.534170153</v>
      </c>
      <c r="L75" s="62"/>
      <c r="M75" s="62"/>
      <c r="N75" s="63" t="s">
        <v>229</v>
      </c>
      <c r="O75" s="65"/>
      <c r="P75" s="65"/>
      <c r="Q75" s="65"/>
      <c r="R75" s="65"/>
      <c r="S75" s="65"/>
      <c r="T75" s="65"/>
      <c r="U75" s="65"/>
      <c r="V75" s="65"/>
      <c r="W75" s="65"/>
      <c r="X75" s="65"/>
      <c r="Y75" s="65"/>
      <c r="Z75" s="65"/>
      <c r="AA75" s="65"/>
      <c r="AB75" s="65"/>
      <c r="AC75" s="65"/>
    </row>
    <row r="76">
      <c r="A76" s="62" t="s">
        <v>227</v>
      </c>
      <c r="B76" s="63" t="s">
        <v>208</v>
      </c>
      <c r="C76" s="63" t="s">
        <v>228</v>
      </c>
      <c r="D76" s="62"/>
      <c r="E76" s="66">
        <v>12.1</v>
      </c>
      <c r="F76" s="66">
        <v>6.9</v>
      </c>
      <c r="G76" s="70">
        <v>5.199999999999999</v>
      </c>
      <c r="H76" s="58">
        <f t="shared" si="1"/>
        <v>-5.2</v>
      </c>
      <c r="I76" s="58">
        <f t="shared" si="4"/>
        <v>-5.2</v>
      </c>
      <c r="J76" s="71">
        <f t="shared" si="2"/>
        <v>-42.97520661</v>
      </c>
      <c r="K76" s="71">
        <f t="shared" si="3"/>
        <v>-42.97520661</v>
      </c>
      <c r="L76" s="62"/>
      <c r="M76" s="62"/>
      <c r="N76" s="63" t="s">
        <v>229</v>
      </c>
      <c r="O76" s="65"/>
      <c r="P76" s="65"/>
      <c r="Q76" s="65"/>
      <c r="R76" s="65"/>
      <c r="S76" s="65"/>
      <c r="T76" s="65"/>
      <c r="U76" s="65"/>
      <c r="V76" s="65"/>
      <c r="W76" s="65"/>
      <c r="X76" s="65"/>
      <c r="Y76" s="65"/>
      <c r="Z76" s="65"/>
      <c r="AA76" s="65"/>
      <c r="AB76" s="65"/>
      <c r="AC76" s="65"/>
    </row>
    <row r="77">
      <c r="A77" s="62" t="s">
        <v>227</v>
      </c>
      <c r="B77" s="63" t="s">
        <v>208</v>
      </c>
      <c r="C77" s="63" t="s">
        <v>228</v>
      </c>
      <c r="D77" s="62"/>
      <c r="E77" s="66">
        <v>82.8</v>
      </c>
      <c r="F77" s="66">
        <v>82.8</v>
      </c>
      <c r="G77" s="70">
        <v>0.0</v>
      </c>
      <c r="H77" s="58">
        <f t="shared" si="1"/>
        <v>0</v>
      </c>
      <c r="I77" s="58">
        <f t="shared" si="4"/>
        <v>0</v>
      </c>
      <c r="J77" s="71">
        <f t="shared" si="2"/>
        <v>0</v>
      </c>
      <c r="K77" s="71">
        <f t="shared" si="3"/>
        <v>0</v>
      </c>
      <c r="L77" s="62"/>
      <c r="M77" s="62"/>
      <c r="N77" s="63" t="s">
        <v>229</v>
      </c>
      <c r="O77" s="65"/>
      <c r="P77" s="65"/>
      <c r="Q77" s="65"/>
      <c r="R77" s="65"/>
      <c r="S77" s="65"/>
      <c r="T77" s="65"/>
      <c r="U77" s="65"/>
      <c r="V77" s="65"/>
      <c r="W77" s="65"/>
      <c r="X77" s="65"/>
      <c r="Y77" s="65"/>
      <c r="Z77" s="65"/>
      <c r="AA77" s="65"/>
      <c r="AB77" s="65"/>
      <c r="AC77" s="65"/>
    </row>
    <row r="78">
      <c r="A78" s="62" t="s">
        <v>227</v>
      </c>
      <c r="B78" s="63" t="s">
        <v>208</v>
      </c>
      <c r="C78" s="63" t="s">
        <v>228</v>
      </c>
      <c r="D78" s="62"/>
      <c r="E78" s="66">
        <v>91.4</v>
      </c>
      <c r="F78" s="66">
        <v>91.4</v>
      </c>
      <c r="G78" s="70">
        <v>0.0</v>
      </c>
      <c r="H78" s="58">
        <f t="shared" si="1"/>
        <v>0</v>
      </c>
      <c r="I78" s="58">
        <f t="shared" si="4"/>
        <v>0</v>
      </c>
      <c r="J78" s="71">
        <f t="shared" si="2"/>
        <v>0</v>
      </c>
      <c r="K78" s="71">
        <f t="shared" si="3"/>
        <v>0</v>
      </c>
      <c r="L78" s="62"/>
      <c r="M78" s="62"/>
      <c r="N78" s="63" t="s">
        <v>229</v>
      </c>
      <c r="O78" s="65"/>
      <c r="P78" s="65"/>
      <c r="Q78" s="65"/>
      <c r="R78" s="65"/>
      <c r="S78" s="65"/>
      <c r="T78" s="65"/>
      <c r="U78" s="65"/>
      <c r="V78" s="65"/>
      <c r="W78" s="65"/>
      <c r="X78" s="65"/>
      <c r="Y78" s="65"/>
      <c r="Z78" s="65"/>
      <c r="AA78" s="65"/>
      <c r="AB78" s="65"/>
      <c r="AC78" s="65"/>
    </row>
    <row r="79">
      <c r="A79" s="62" t="s">
        <v>227</v>
      </c>
      <c r="B79" s="63" t="s">
        <v>208</v>
      </c>
      <c r="C79" s="63" t="s">
        <v>228</v>
      </c>
      <c r="D79" s="62"/>
      <c r="E79" s="66">
        <v>13.3</v>
      </c>
      <c r="F79" s="66">
        <v>6.7</v>
      </c>
      <c r="G79" s="70">
        <v>6.6000000000000005</v>
      </c>
      <c r="H79" s="58">
        <f t="shared" si="1"/>
        <v>-6.6</v>
      </c>
      <c r="I79" s="58">
        <f t="shared" si="4"/>
        <v>-6.6</v>
      </c>
      <c r="J79" s="71">
        <f t="shared" si="2"/>
        <v>-49.62406015</v>
      </c>
      <c r="K79" s="71">
        <f t="shared" si="3"/>
        <v>-49.62406015</v>
      </c>
      <c r="L79" s="62"/>
      <c r="M79" s="62"/>
      <c r="N79" s="63" t="s">
        <v>229</v>
      </c>
      <c r="O79" s="65"/>
      <c r="P79" s="65"/>
      <c r="Q79" s="65"/>
      <c r="R79" s="65"/>
      <c r="S79" s="65"/>
      <c r="T79" s="65"/>
      <c r="U79" s="65"/>
      <c r="V79" s="65"/>
      <c r="W79" s="65"/>
      <c r="X79" s="65"/>
      <c r="Y79" s="65"/>
      <c r="Z79" s="65"/>
      <c r="AA79" s="65"/>
      <c r="AB79" s="65"/>
      <c r="AC79" s="65"/>
    </row>
    <row r="80">
      <c r="A80" s="62" t="s">
        <v>227</v>
      </c>
      <c r="B80" s="63" t="s">
        <v>208</v>
      </c>
      <c r="C80" s="63" t="s">
        <v>228</v>
      </c>
      <c r="D80" s="62"/>
      <c r="E80" s="66">
        <v>60.0</v>
      </c>
      <c r="F80" s="66">
        <v>60.0</v>
      </c>
      <c r="G80" s="70">
        <v>0.0</v>
      </c>
      <c r="H80" s="58">
        <f t="shared" si="1"/>
        <v>0</v>
      </c>
      <c r="I80" s="58">
        <f t="shared" si="4"/>
        <v>0</v>
      </c>
      <c r="J80" s="71">
        <f t="shared" si="2"/>
        <v>0</v>
      </c>
      <c r="K80" s="71">
        <f t="shared" si="3"/>
        <v>0</v>
      </c>
      <c r="L80" s="62"/>
      <c r="M80" s="62"/>
      <c r="N80" s="63" t="s">
        <v>229</v>
      </c>
      <c r="O80" s="65"/>
      <c r="P80" s="65"/>
      <c r="Q80" s="65"/>
      <c r="R80" s="65"/>
      <c r="S80" s="65"/>
      <c r="T80" s="65"/>
      <c r="U80" s="65"/>
      <c r="V80" s="65"/>
      <c r="W80" s="65"/>
      <c r="X80" s="65"/>
      <c r="Y80" s="65"/>
      <c r="Z80" s="65"/>
      <c r="AA80" s="65"/>
      <c r="AB80" s="65"/>
      <c r="AC80" s="65"/>
    </row>
    <row r="81">
      <c r="A81" s="62" t="s">
        <v>227</v>
      </c>
      <c r="B81" s="63" t="s">
        <v>208</v>
      </c>
      <c r="C81" s="63" t="s">
        <v>228</v>
      </c>
      <c r="D81" s="62"/>
      <c r="E81" s="66">
        <v>33.3</v>
      </c>
      <c r="F81" s="66">
        <v>33.3</v>
      </c>
      <c r="G81" s="70">
        <v>0.0</v>
      </c>
      <c r="H81" s="58">
        <f t="shared" si="1"/>
        <v>0</v>
      </c>
      <c r="I81" s="58">
        <f t="shared" si="4"/>
        <v>0</v>
      </c>
      <c r="J81" s="71">
        <f t="shared" si="2"/>
        <v>0</v>
      </c>
      <c r="K81" s="71">
        <f t="shared" si="3"/>
        <v>0</v>
      </c>
      <c r="L81" s="62"/>
      <c r="M81" s="62"/>
      <c r="N81" s="63" t="s">
        <v>229</v>
      </c>
      <c r="O81" s="65"/>
      <c r="P81" s="65"/>
      <c r="Q81" s="65"/>
      <c r="R81" s="65"/>
      <c r="S81" s="65"/>
      <c r="T81" s="65"/>
      <c r="U81" s="65"/>
      <c r="V81" s="65"/>
      <c r="W81" s="65"/>
      <c r="X81" s="65"/>
      <c r="Y81" s="65"/>
      <c r="Z81" s="65"/>
      <c r="AA81" s="65"/>
      <c r="AB81" s="65"/>
      <c r="AC81" s="65"/>
    </row>
    <row r="82">
      <c r="A82" s="62" t="s">
        <v>227</v>
      </c>
      <c r="B82" s="63" t="s">
        <v>208</v>
      </c>
      <c r="C82" s="63" t="s">
        <v>228</v>
      </c>
      <c r="D82" s="62"/>
      <c r="E82" s="66">
        <v>2.1</v>
      </c>
      <c r="F82" s="66">
        <v>17.02</v>
      </c>
      <c r="G82" s="70">
        <v>-14.92</v>
      </c>
      <c r="H82" s="58">
        <f t="shared" si="1"/>
        <v>14.92</v>
      </c>
      <c r="I82" s="58">
        <f t="shared" si="4"/>
        <v>14.92</v>
      </c>
      <c r="J82" s="71">
        <f t="shared" si="2"/>
        <v>710.4761905</v>
      </c>
      <c r="K82" s="67" t="s">
        <v>230</v>
      </c>
      <c r="L82" s="62"/>
      <c r="M82" s="62"/>
      <c r="N82" s="63" t="s">
        <v>229</v>
      </c>
      <c r="O82" s="65"/>
      <c r="P82" s="65"/>
      <c r="Q82" s="65"/>
      <c r="R82" s="65"/>
      <c r="S82" s="65"/>
      <c r="T82" s="65"/>
      <c r="U82" s="65"/>
      <c r="V82" s="65"/>
      <c r="W82" s="65"/>
      <c r="X82" s="65"/>
      <c r="Y82" s="65"/>
      <c r="Z82" s="65"/>
      <c r="AA82" s="65"/>
      <c r="AB82" s="65"/>
      <c r="AC82" s="65"/>
    </row>
    <row r="83">
      <c r="A83" s="62" t="s">
        <v>227</v>
      </c>
      <c r="B83" s="63" t="s">
        <v>208</v>
      </c>
      <c r="C83" s="63" t="s">
        <v>228</v>
      </c>
      <c r="D83" s="62"/>
      <c r="E83" s="66">
        <v>87.2</v>
      </c>
      <c r="F83" s="66">
        <v>87.2</v>
      </c>
      <c r="G83" s="70">
        <v>0.0</v>
      </c>
      <c r="H83" s="58">
        <f t="shared" si="1"/>
        <v>0</v>
      </c>
      <c r="I83" s="58">
        <f t="shared" si="4"/>
        <v>0</v>
      </c>
      <c r="J83" s="71">
        <f t="shared" si="2"/>
        <v>0</v>
      </c>
      <c r="K83" s="71">
        <f t="shared" ref="K83:K87" si="5">IFERROR(I83*100/E83,"error")</f>
        <v>0</v>
      </c>
      <c r="L83" s="62"/>
      <c r="M83" s="62"/>
      <c r="N83" s="63" t="s">
        <v>229</v>
      </c>
      <c r="O83" s="65"/>
      <c r="P83" s="65"/>
      <c r="Q83" s="65"/>
      <c r="R83" s="65"/>
      <c r="S83" s="65"/>
      <c r="T83" s="65"/>
      <c r="U83" s="65"/>
      <c r="V83" s="65"/>
      <c r="W83" s="65"/>
      <c r="X83" s="65"/>
      <c r="Y83" s="65"/>
      <c r="Z83" s="65"/>
      <c r="AA83" s="65"/>
      <c r="AB83" s="65"/>
      <c r="AC83" s="65"/>
    </row>
    <row r="84">
      <c r="A84" s="62" t="s">
        <v>227</v>
      </c>
      <c r="B84" s="63" t="s">
        <v>208</v>
      </c>
      <c r="C84" s="63" t="s">
        <v>228</v>
      </c>
      <c r="D84" s="62"/>
      <c r="E84" s="66">
        <v>87.2</v>
      </c>
      <c r="F84" s="66">
        <v>87.2</v>
      </c>
      <c r="G84" s="70">
        <v>0.0</v>
      </c>
      <c r="H84" s="58">
        <f t="shared" si="1"/>
        <v>0</v>
      </c>
      <c r="I84" s="58">
        <f t="shared" si="4"/>
        <v>0</v>
      </c>
      <c r="J84" s="71">
        <f t="shared" si="2"/>
        <v>0</v>
      </c>
      <c r="K84" s="71">
        <f t="shared" si="5"/>
        <v>0</v>
      </c>
      <c r="L84" s="62"/>
      <c r="M84" s="62"/>
      <c r="N84" s="63" t="s">
        <v>229</v>
      </c>
      <c r="O84" s="65"/>
      <c r="P84" s="65"/>
      <c r="Q84" s="65"/>
      <c r="R84" s="65"/>
      <c r="S84" s="65"/>
      <c r="T84" s="65"/>
      <c r="U84" s="65"/>
      <c r="V84" s="65"/>
      <c r="W84" s="65"/>
      <c r="X84" s="65"/>
      <c r="Y84" s="65"/>
      <c r="Z84" s="65"/>
      <c r="AA84" s="65"/>
      <c r="AB84" s="65"/>
      <c r="AC84" s="65"/>
    </row>
    <row r="85">
      <c r="A85" s="62" t="s">
        <v>227</v>
      </c>
      <c r="B85" s="63" t="s">
        <v>208</v>
      </c>
      <c r="C85" s="63" t="s">
        <v>228</v>
      </c>
      <c r="D85" s="62"/>
      <c r="E85" s="66">
        <v>10.3</v>
      </c>
      <c r="F85" s="66">
        <v>3.45</v>
      </c>
      <c r="G85" s="70">
        <v>6.8500000000000005</v>
      </c>
      <c r="H85" s="58">
        <f t="shared" si="1"/>
        <v>-6.85</v>
      </c>
      <c r="I85" s="58">
        <f t="shared" si="4"/>
        <v>-6.85</v>
      </c>
      <c r="J85" s="71">
        <f t="shared" si="2"/>
        <v>-66.50485437</v>
      </c>
      <c r="K85" s="71">
        <f t="shared" si="5"/>
        <v>-66.50485437</v>
      </c>
      <c r="L85" s="62"/>
      <c r="M85" s="62"/>
      <c r="N85" s="63" t="s">
        <v>229</v>
      </c>
      <c r="O85" s="65"/>
      <c r="P85" s="65"/>
      <c r="Q85" s="65"/>
      <c r="R85" s="65"/>
      <c r="S85" s="65"/>
      <c r="T85" s="65"/>
      <c r="U85" s="65"/>
      <c r="V85" s="65"/>
      <c r="W85" s="65"/>
      <c r="X85" s="65"/>
      <c r="Y85" s="65"/>
      <c r="Z85" s="65"/>
      <c r="AA85" s="65"/>
      <c r="AB85" s="65"/>
      <c r="AC85" s="65"/>
    </row>
    <row r="86">
      <c r="A86" s="62" t="s">
        <v>227</v>
      </c>
      <c r="B86" s="63" t="s">
        <v>208</v>
      </c>
      <c r="C86" s="63" t="s">
        <v>228</v>
      </c>
      <c r="D86" s="62"/>
      <c r="E86" s="66">
        <v>58.6</v>
      </c>
      <c r="F86" s="66">
        <v>58.6</v>
      </c>
      <c r="G86" s="70">
        <v>0.0</v>
      </c>
      <c r="H86" s="58">
        <f t="shared" si="1"/>
        <v>0</v>
      </c>
      <c r="I86" s="58">
        <f t="shared" si="4"/>
        <v>0</v>
      </c>
      <c r="J86" s="71">
        <f t="shared" si="2"/>
        <v>0</v>
      </c>
      <c r="K86" s="71">
        <f t="shared" si="5"/>
        <v>0</v>
      </c>
      <c r="L86" s="62"/>
      <c r="M86" s="62"/>
      <c r="N86" s="63" t="s">
        <v>229</v>
      </c>
      <c r="O86" s="65"/>
      <c r="P86" s="65"/>
      <c r="Q86" s="65"/>
      <c r="R86" s="65"/>
      <c r="S86" s="65"/>
      <c r="T86" s="65"/>
      <c r="U86" s="65"/>
      <c r="V86" s="65"/>
      <c r="W86" s="65"/>
      <c r="X86" s="65"/>
      <c r="Y86" s="65"/>
      <c r="Z86" s="65"/>
      <c r="AA86" s="65"/>
      <c r="AB86" s="65"/>
      <c r="AC86" s="65"/>
    </row>
    <row r="87">
      <c r="A87" s="62" t="s">
        <v>227</v>
      </c>
      <c r="B87" s="63" t="s">
        <v>208</v>
      </c>
      <c r="C87" s="63" t="s">
        <v>228</v>
      </c>
      <c r="D87" s="62"/>
      <c r="E87" s="66">
        <v>72.4</v>
      </c>
      <c r="F87" s="66">
        <v>72.4</v>
      </c>
      <c r="G87" s="70">
        <v>0.0</v>
      </c>
      <c r="H87" s="58">
        <f t="shared" si="1"/>
        <v>0</v>
      </c>
      <c r="I87" s="58">
        <f t="shared" si="4"/>
        <v>0</v>
      </c>
      <c r="J87" s="71">
        <f t="shared" si="2"/>
        <v>0</v>
      </c>
      <c r="K87" s="71">
        <f t="shared" si="5"/>
        <v>0</v>
      </c>
      <c r="L87" s="62"/>
      <c r="M87" s="62"/>
      <c r="N87" s="63" t="s">
        <v>229</v>
      </c>
      <c r="O87" s="65"/>
      <c r="P87" s="65"/>
      <c r="Q87" s="65"/>
      <c r="R87" s="65"/>
      <c r="S87" s="65"/>
      <c r="T87" s="65"/>
      <c r="U87" s="65"/>
      <c r="V87" s="65"/>
      <c r="W87" s="65"/>
      <c r="X87" s="65"/>
      <c r="Y87" s="65"/>
      <c r="Z87" s="65"/>
      <c r="AA87" s="65"/>
      <c r="AB87" s="65"/>
      <c r="AC87" s="65"/>
    </row>
    <row r="88">
      <c r="A88" s="62" t="s">
        <v>227</v>
      </c>
      <c r="B88" s="63" t="s">
        <v>208</v>
      </c>
      <c r="C88" s="63" t="s">
        <v>228</v>
      </c>
      <c r="D88" s="62"/>
      <c r="E88" s="72">
        <v>16.7</v>
      </c>
      <c r="F88" s="72">
        <v>0.0</v>
      </c>
      <c r="G88" s="73">
        <v>16.7</v>
      </c>
      <c r="H88" s="51">
        <f t="shared" si="1"/>
        <v>-16.7</v>
      </c>
      <c r="I88" s="51">
        <f t="shared" si="4"/>
        <v>-16.7</v>
      </c>
      <c r="J88" s="74">
        <f t="shared" si="2"/>
        <v>-100</v>
      </c>
      <c r="K88" s="75" t="s">
        <v>231</v>
      </c>
      <c r="L88" s="62"/>
      <c r="M88" s="62"/>
      <c r="N88" s="63" t="s">
        <v>229</v>
      </c>
      <c r="O88" s="65"/>
      <c r="P88" s="65"/>
      <c r="Q88" s="65"/>
      <c r="R88" s="65"/>
      <c r="S88" s="65"/>
      <c r="T88" s="65"/>
      <c r="U88" s="65"/>
      <c r="V88" s="65"/>
      <c r="W88" s="65"/>
      <c r="X88" s="65"/>
      <c r="Y88" s="65"/>
      <c r="Z88" s="65"/>
      <c r="AA88" s="65"/>
      <c r="AB88" s="65"/>
      <c r="AC88" s="65"/>
    </row>
    <row r="89">
      <c r="A89" s="62" t="s">
        <v>227</v>
      </c>
      <c r="B89" s="63" t="s">
        <v>208</v>
      </c>
      <c r="C89" s="63" t="s">
        <v>228</v>
      </c>
      <c r="D89" s="62"/>
      <c r="E89" s="66">
        <v>50.0</v>
      </c>
      <c r="F89" s="66">
        <v>50.0</v>
      </c>
      <c r="G89" s="70">
        <v>0.0</v>
      </c>
      <c r="H89" s="58">
        <f t="shared" si="1"/>
        <v>0</v>
      </c>
      <c r="I89" s="58">
        <f t="shared" si="4"/>
        <v>0</v>
      </c>
      <c r="J89" s="71">
        <f t="shared" si="2"/>
        <v>0</v>
      </c>
      <c r="K89" s="71">
        <f t="shared" ref="K89:K90" si="6">IFERROR(I89*100/E89,"error")</f>
        <v>0</v>
      </c>
      <c r="L89" s="62"/>
      <c r="M89" s="62"/>
      <c r="N89" s="63" t="s">
        <v>229</v>
      </c>
      <c r="O89" s="65"/>
      <c r="P89" s="65"/>
      <c r="Q89" s="65"/>
      <c r="R89" s="65"/>
      <c r="S89" s="65"/>
      <c r="T89" s="65"/>
      <c r="U89" s="65"/>
      <c r="V89" s="65"/>
      <c r="W89" s="65"/>
      <c r="X89" s="65"/>
      <c r="Y89" s="65"/>
      <c r="Z89" s="65"/>
      <c r="AA89" s="65"/>
      <c r="AB89" s="65"/>
      <c r="AC89" s="65"/>
    </row>
    <row r="90">
      <c r="A90" s="62" t="s">
        <v>227</v>
      </c>
      <c r="B90" s="63" t="s">
        <v>208</v>
      </c>
      <c r="C90" s="63" t="s">
        <v>228</v>
      </c>
      <c r="D90" s="62"/>
      <c r="E90" s="66">
        <v>83.3</v>
      </c>
      <c r="F90" s="66">
        <v>66.7</v>
      </c>
      <c r="G90" s="70">
        <v>16.599999999999994</v>
      </c>
      <c r="H90" s="58">
        <f t="shared" si="1"/>
        <v>-16.6</v>
      </c>
      <c r="I90" s="58">
        <f t="shared" si="4"/>
        <v>-16.6</v>
      </c>
      <c r="J90" s="71">
        <f t="shared" si="2"/>
        <v>-19.92797119</v>
      </c>
      <c r="K90" s="71">
        <f t="shared" si="6"/>
        <v>-19.92797119</v>
      </c>
      <c r="L90" s="62"/>
      <c r="M90" s="62"/>
      <c r="N90" s="63" t="s">
        <v>229</v>
      </c>
      <c r="O90" s="65"/>
      <c r="P90" s="65"/>
      <c r="Q90" s="65"/>
      <c r="R90" s="65"/>
      <c r="S90" s="65"/>
      <c r="T90" s="65"/>
      <c r="U90" s="65"/>
      <c r="V90" s="65"/>
      <c r="W90" s="65"/>
      <c r="X90" s="65"/>
      <c r="Y90" s="65"/>
      <c r="Z90" s="65"/>
      <c r="AA90" s="65"/>
      <c r="AB90" s="65"/>
      <c r="AC90" s="65"/>
    </row>
    <row r="91">
      <c r="A91" s="62" t="s">
        <v>227</v>
      </c>
      <c r="B91" s="63" t="s">
        <v>208</v>
      </c>
      <c r="C91" s="63" t="s">
        <v>228</v>
      </c>
      <c r="D91" s="62"/>
      <c r="E91" s="66">
        <v>3.6</v>
      </c>
      <c r="F91" s="66">
        <v>17.86</v>
      </c>
      <c r="G91" s="70">
        <v>-14.26</v>
      </c>
      <c r="H91" s="58">
        <f t="shared" si="1"/>
        <v>14.26</v>
      </c>
      <c r="I91" s="58">
        <f t="shared" si="4"/>
        <v>14.26</v>
      </c>
      <c r="J91" s="71">
        <f t="shared" si="2"/>
        <v>396.1111111</v>
      </c>
      <c r="K91" s="67" t="s">
        <v>230</v>
      </c>
      <c r="L91" s="62"/>
      <c r="M91" s="62"/>
      <c r="N91" s="63" t="s">
        <v>229</v>
      </c>
      <c r="O91" s="65"/>
      <c r="P91" s="65"/>
      <c r="Q91" s="65"/>
      <c r="R91" s="65"/>
      <c r="S91" s="65"/>
      <c r="T91" s="65"/>
      <c r="U91" s="65"/>
      <c r="V91" s="65"/>
      <c r="W91" s="65"/>
      <c r="X91" s="65"/>
      <c r="Y91" s="65"/>
      <c r="Z91" s="65"/>
      <c r="AA91" s="65"/>
      <c r="AB91" s="65"/>
      <c r="AC91" s="65"/>
    </row>
    <row r="92">
      <c r="A92" s="62" t="s">
        <v>227</v>
      </c>
      <c r="B92" s="63" t="s">
        <v>208</v>
      </c>
      <c r="C92" s="63" t="s">
        <v>228</v>
      </c>
      <c r="D92" s="62"/>
      <c r="E92" s="66">
        <v>39.3</v>
      </c>
      <c r="F92" s="66">
        <v>39.3</v>
      </c>
      <c r="G92" s="70">
        <v>0.0</v>
      </c>
      <c r="H92" s="58">
        <f t="shared" si="1"/>
        <v>0</v>
      </c>
      <c r="I92" s="58">
        <f t="shared" si="4"/>
        <v>0</v>
      </c>
      <c r="J92" s="71">
        <f t="shared" si="2"/>
        <v>0</v>
      </c>
      <c r="K92" s="71">
        <f t="shared" ref="K92:K96" si="7">IFERROR(I92*100/E92,"error")</f>
        <v>0</v>
      </c>
      <c r="L92" s="62"/>
      <c r="M92" s="62"/>
      <c r="N92" s="63" t="s">
        <v>229</v>
      </c>
      <c r="O92" s="65"/>
      <c r="P92" s="65"/>
      <c r="Q92" s="65"/>
      <c r="R92" s="65"/>
      <c r="S92" s="65"/>
      <c r="T92" s="65"/>
      <c r="U92" s="65"/>
      <c r="V92" s="65"/>
      <c r="W92" s="65"/>
      <c r="X92" s="65"/>
      <c r="Y92" s="65"/>
      <c r="Z92" s="65"/>
      <c r="AA92" s="65"/>
      <c r="AB92" s="65"/>
      <c r="AC92" s="65"/>
    </row>
    <row r="93">
      <c r="A93" s="62" t="s">
        <v>227</v>
      </c>
      <c r="B93" s="63" t="s">
        <v>208</v>
      </c>
      <c r="C93" s="63" t="s">
        <v>228</v>
      </c>
      <c r="D93" s="62"/>
      <c r="E93" s="66">
        <v>46.4</v>
      </c>
      <c r="F93" s="66">
        <v>46.4</v>
      </c>
      <c r="G93" s="70">
        <v>0.0</v>
      </c>
      <c r="H93" s="58">
        <f t="shared" si="1"/>
        <v>0</v>
      </c>
      <c r="I93" s="58">
        <f t="shared" si="4"/>
        <v>0</v>
      </c>
      <c r="J93" s="71">
        <f t="shared" si="2"/>
        <v>0</v>
      </c>
      <c r="K93" s="71">
        <f t="shared" si="7"/>
        <v>0</v>
      </c>
      <c r="L93" s="62"/>
      <c r="M93" s="62"/>
      <c r="N93" s="63" t="s">
        <v>229</v>
      </c>
      <c r="O93" s="65"/>
      <c r="P93" s="65"/>
      <c r="Q93" s="65"/>
      <c r="R93" s="65"/>
      <c r="S93" s="65"/>
      <c r="T93" s="65"/>
      <c r="U93" s="65"/>
      <c r="V93" s="65"/>
      <c r="W93" s="65"/>
      <c r="X93" s="65"/>
      <c r="Y93" s="65"/>
      <c r="Z93" s="65"/>
      <c r="AA93" s="65"/>
      <c r="AB93" s="65"/>
      <c r="AC93" s="65"/>
    </row>
    <row r="94">
      <c r="A94" s="62" t="s">
        <v>227</v>
      </c>
      <c r="B94" s="63" t="s">
        <v>208</v>
      </c>
      <c r="C94" s="63" t="s">
        <v>228</v>
      </c>
      <c r="D94" s="62"/>
      <c r="E94" s="66">
        <v>7.7</v>
      </c>
      <c r="F94" s="66">
        <v>7.7</v>
      </c>
      <c r="G94" s="70">
        <v>0.0</v>
      </c>
      <c r="H94" s="58">
        <f t="shared" si="1"/>
        <v>0</v>
      </c>
      <c r="I94" s="58">
        <f t="shared" si="4"/>
        <v>0</v>
      </c>
      <c r="J94" s="71">
        <f t="shared" si="2"/>
        <v>0</v>
      </c>
      <c r="K94" s="71">
        <f t="shared" si="7"/>
        <v>0</v>
      </c>
      <c r="L94" s="62"/>
      <c r="M94" s="62"/>
      <c r="N94" s="63" t="s">
        <v>229</v>
      </c>
      <c r="O94" s="65"/>
      <c r="P94" s="65"/>
      <c r="Q94" s="65"/>
      <c r="R94" s="65"/>
      <c r="S94" s="65"/>
      <c r="T94" s="65"/>
      <c r="U94" s="65"/>
      <c r="V94" s="65"/>
      <c r="W94" s="65"/>
      <c r="X94" s="65"/>
      <c r="Y94" s="65"/>
      <c r="Z94" s="65"/>
      <c r="AA94" s="65"/>
      <c r="AB94" s="65"/>
      <c r="AC94" s="65"/>
    </row>
    <row r="95">
      <c r="A95" s="62" t="s">
        <v>227</v>
      </c>
      <c r="B95" s="63" t="s">
        <v>208</v>
      </c>
      <c r="C95" s="63" t="s">
        <v>228</v>
      </c>
      <c r="D95" s="62"/>
      <c r="E95" s="66">
        <v>46.2</v>
      </c>
      <c r="F95" s="66">
        <v>46.2</v>
      </c>
      <c r="G95" s="70">
        <v>0.0</v>
      </c>
      <c r="H95" s="58">
        <f t="shared" si="1"/>
        <v>0</v>
      </c>
      <c r="I95" s="58">
        <f t="shared" si="4"/>
        <v>0</v>
      </c>
      <c r="J95" s="71">
        <f t="shared" si="2"/>
        <v>0</v>
      </c>
      <c r="K95" s="71">
        <f t="shared" si="7"/>
        <v>0</v>
      </c>
      <c r="L95" s="62"/>
      <c r="M95" s="62"/>
      <c r="N95" s="63" t="s">
        <v>229</v>
      </c>
      <c r="O95" s="65"/>
      <c r="P95" s="65"/>
      <c r="Q95" s="65"/>
      <c r="R95" s="65"/>
      <c r="S95" s="65"/>
      <c r="T95" s="65"/>
      <c r="U95" s="65"/>
      <c r="V95" s="65"/>
      <c r="W95" s="65"/>
      <c r="X95" s="65"/>
      <c r="Y95" s="65"/>
      <c r="Z95" s="65"/>
      <c r="AA95" s="65"/>
      <c r="AB95" s="65"/>
      <c r="AC95" s="65"/>
    </row>
    <row r="96">
      <c r="A96" s="62" t="s">
        <v>227</v>
      </c>
      <c r="B96" s="63" t="s">
        <v>208</v>
      </c>
      <c r="C96" s="63" t="s">
        <v>228</v>
      </c>
      <c r="D96" s="62"/>
      <c r="E96" s="66">
        <v>84.6</v>
      </c>
      <c r="F96" s="66">
        <v>92.3</v>
      </c>
      <c r="G96" s="70">
        <v>-7.700000000000003</v>
      </c>
      <c r="H96" s="58">
        <f t="shared" si="1"/>
        <v>7.7</v>
      </c>
      <c r="I96" s="58">
        <f t="shared" si="4"/>
        <v>7.7</v>
      </c>
      <c r="J96" s="71">
        <f t="shared" si="2"/>
        <v>9.101654846</v>
      </c>
      <c r="K96" s="71">
        <f t="shared" si="7"/>
        <v>9.101654846</v>
      </c>
      <c r="L96" s="62"/>
      <c r="M96" s="62"/>
      <c r="N96" s="63" t="s">
        <v>229</v>
      </c>
      <c r="O96" s="65"/>
      <c r="P96" s="65"/>
      <c r="Q96" s="65"/>
      <c r="R96" s="65"/>
      <c r="S96" s="65"/>
      <c r="T96" s="65"/>
      <c r="U96" s="65"/>
      <c r="V96" s="65"/>
      <c r="W96" s="65"/>
      <c r="X96" s="65"/>
      <c r="Y96" s="65"/>
      <c r="Z96" s="65"/>
      <c r="AA96" s="65"/>
      <c r="AB96" s="65"/>
      <c r="AC96" s="65"/>
    </row>
    <row r="97">
      <c r="A97" s="62" t="s">
        <v>227</v>
      </c>
      <c r="B97" s="63" t="s">
        <v>208</v>
      </c>
      <c r="C97" s="63" t="s">
        <v>228</v>
      </c>
      <c r="D97" s="62"/>
      <c r="E97" s="72">
        <v>10.3</v>
      </c>
      <c r="F97" s="72">
        <v>0.0</v>
      </c>
      <c r="G97" s="73">
        <v>10.3</v>
      </c>
      <c r="H97" s="51">
        <f t="shared" si="1"/>
        <v>-10.3</v>
      </c>
      <c r="I97" s="51">
        <f t="shared" si="4"/>
        <v>-10.3</v>
      </c>
      <c r="J97" s="74">
        <f t="shared" si="2"/>
        <v>-100</v>
      </c>
      <c r="K97" s="75" t="s">
        <v>231</v>
      </c>
      <c r="L97" s="62"/>
      <c r="M97" s="62"/>
      <c r="N97" s="63" t="s">
        <v>229</v>
      </c>
      <c r="O97" s="65"/>
      <c r="P97" s="65"/>
      <c r="Q97" s="65"/>
      <c r="R97" s="65"/>
      <c r="S97" s="65"/>
      <c r="T97" s="65"/>
      <c r="U97" s="65"/>
      <c r="V97" s="65"/>
      <c r="W97" s="65"/>
      <c r="X97" s="65"/>
      <c r="Y97" s="65"/>
      <c r="Z97" s="65"/>
      <c r="AA97" s="65"/>
      <c r="AB97" s="65"/>
      <c r="AC97" s="65"/>
    </row>
    <row r="98">
      <c r="A98" s="62" t="s">
        <v>227</v>
      </c>
      <c r="B98" s="63" t="s">
        <v>208</v>
      </c>
      <c r="C98" s="63" t="s">
        <v>228</v>
      </c>
      <c r="D98" s="62"/>
      <c r="E98" s="66">
        <v>41.4</v>
      </c>
      <c r="F98" s="66">
        <v>41.4</v>
      </c>
      <c r="G98" s="70">
        <v>0.0</v>
      </c>
      <c r="H98" s="58">
        <f t="shared" si="1"/>
        <v>0</v>
      </c>
      <c r="I98" s="58">
        <f t="shared" si="4"/>
        <v>0</v>
      </c>
      <c r="J98" s="71">
        <f t="shared" si="2"/>
        <v>0</v>
      </c>
      <c r="K98" s="71">
        <f t="shared" ref="K98:K194" si="8">IFERROR(I98*100/E98,"error")</f>
        <v>0</v>
      </c>
      <c r="L98" s="62"/>
      <c r="M98" s="62"/>
      <c r="N98" s="63" t="s">
        <v>229</v>
      </c>
      <c r="O98" s="65"/>
      <c r="P98" s="65"/>
      <c r="Q98" s="65"/>
      <c r="R98" s="65"/>
      <c r="S98" s="65"/>
      <c r="T98" s="65"/>
      <c r="U98" s="65"/>
      <c r="V98" s="65"/>
      <c r="W98" s="65"/>
      <c r="X98" s="65"/>
      <c r="Y98" s="65"/>
      <c r="Z98" s="65"/>
      <c r="AA98" s="65"/>
      <c r="AB98" s="65"/>
      <c r="AC98" s="65"/>
    </row>
    <row r="99">
      <c r="A99" s="62" t="s">
        <v>227</v>
      </c>
      <c r="B99" s="63" t="s">
        <v>208</v>
      </c>
      <c r="C99" s="63" t="s">
        <v>228</v>
      </c>
      <c r="D99" s="62"/>
      <c r="E99" s="66">
        <v>51.7</v>
      </c>
      <c r="F99" s="66">
        <v>51.7</v>
      </c>
      <c r="G99" s="70">
        <v>0.0</v>
      </c>
      <c r="H99" s="58">
        <f t="shared" si="1"/>
        <v>0</v>
      </c>
      <c r="I99" s="58">
        <f t="shared" si="4"/>
        <v>0</v>
      </c>
      <c r="J99" s="71">
        <f t="shared" si="2"/>
        <v>0</v>
      </c>
      <c r="K99" s="71">
        <f t="shared" si="8"/>
        <v>0</v>
      </c>
      <c r="L99" s="62"/>
      <c r="M99" s="62"/>
      <c r="N99" s="63" t="s">
        <v>229</v>
      </c>
      <c r="O99" s="65"/>
      <c r="P99" s="65"/>
      <c r="Q99" s="65"/>
      <c r="R99" s="65"/>
      <c r="S99" s="65"/>
      <c r="T99" s="65"/>
      <c r="U99" s="65"/>
      <c r="V99" s="65"/>
      <c r="W99" s="65"/>
      <c r="X99" s="65"/>
      <c r="Y99" s="65"/>
      <c r="Z99" s="65"/>
      <c r="AA99" s="65"/>
      <c r="AB99" s="65"/>
      <c r="AC99" s="65"/>
    </row>
    <row r="100">
      <c r="A100" s="62" t="s">
        <v>227</v>
      </c>
      <c r="B100" s="63" t="s">
        <v>208</v>
      </c>
      <c r="C100" s="63" t="s">
        <v>228</v>
      </c>
      <c r="D100" s="62"/>
      <c r="E100" s="66">
        <v>10.3</v>
      </c>
      <c r="F100" s="66">
        <v>6.9</v>
      </c>
      <c r="G100" s="70">
        <v>3.4000000000000004</v>
      </c>
      <c r="H100" s="58">
        <f t="shared" si="1"/>
        <v>-3.4</v>
      </c>
      <c r="I100" s="58">
        <f t="shared" si="4"/>
        <v>-3.4</v>
      </c>
      <c r="J100" s="71">
        <f t="shared" si="2"/>
        <v>-33.00970874</v>
      </c>
      <c r="K100" s="71">
        <f t="shared" si="8"/>
        <v>-33.00970874</v>
      </c>
      <c r="L100" s="62"/>
      <c r="M100" s="62"/>
      <c r="N100" s="63" t="s">
        <v>229</v>
      </c>
      <c r="O100" s="65"/>
      <c r="P100" s="65"/>
      <c r="Q100" s="65"/>
      <c r="R100" s="65"/>
      <c r="S100" s="65"/>
      <c r="T100" s="65"/>
      <c r="U100" s="65"/>
      <c r="V100" s="65"/>
      <c r="W100" s="65"/>
      <c r="X100" s="65"/>
      <c r="Y100" s="65"/>
      <c r="Z100" s="65"/>
      <c r="AA100" s="65"/>
      <c r="AB100" s="65"/>
      <c r="AC100" s="65"/>
    </row>
    <row r="101">
      <c r="A101" s="62" t="s">
        <v>227</v>
      </c>
      <c r="B101" s="63" t="s">
        <v>208</v>
      </c>
      <c r="C101" s="63" t="s">
        <v>228</v>
      </c>
      <c r="D101" s="62"/>
      <c r="E101" s="66">
        <v>48.3</v>
      </c>
      <c r="F101" s="66">
        <v>48.3</v>
      </c>
      <c r="G101" s="70">
        <v>0.0</v>
      </c>
      <c r="H101" s="58">
        <f t="shared" si="1"/>
        <v>0</v>
      </c>
      <c r="I101" s="58">
        <f t="shared" si="4"/>
        <v>0</v>
      </c>
      <c r="J101" s="71">
        <f t="shared" si="2"/>
        <v>0</v>
      </c>
      <c r="K101" s="71">
        <f t="shared" si="8"/>
        <v>0</v>
      </c>
      <c r="L101" s="62"/>
      <c r="M101" s="62"/>
      <c r="N101" s="63" t="s">
        <v>229</v>
      </c>
      <c r="O101" s="65"/>
      <c r="P101" s="65"/>
      <c r="Q101" s="65"/>
      <c r="R101" s="65"/>
      <c r="S101" s="65"/>
      <c r="T101" s="65"/>
      <c r="U101" s="65"/>
      <c r="V101" s="65"/>
      <c r="W101" s="65"/>
      <c r="X101" s="65"/>
      <c r="Y101" s="65"/>
      <c r="Z101" s="65"/>
      <c r="AA101" s="65"/>
      <c r="AB101" s="65"/>
      <c r="AC101" s="65"/>
    </row>
    <row r="102">
      <c r="A102" s="62" t="s">
        <v>227</v>
      </c>
      <c r="B102" s="63" t="s">
        <v>208</v>
      </c>
      <c r="C102" s="63" t="s">
        <v>228</v>
      </c>
      <c r="D102" s="62"/>
      <c r="E102" s="66">
        <v>65.5</v>
      </c>
      <c r="F102" s="66">
        <v>58.6</v>
      </c>
      <c r="G102" s="70">
        <v>6.899999999999999</v>
      </c>
      <c r="H102" s="58">
        <f t="shared" si="1"/>
        <v>-6.9</v>
      </c>
      <c r="I102" s="58">
        <f t="shared" si="4"/>
        <v>-6.9</v>
      </c>
      <c r="J102" s="71">
        <f t="shared" si="2"/>
        <v>-10.53435115</v>
      </c>
      <c r="K102" s="71">
        <f t="shared" si="8"/>
        <v>-10.53435115</v>
      </c>
      <c r="L102" s="62"/>
      <c r="M102" s="62"/>
      <c r="N102" s="63" t="s">
        <v>229</v>
      </c>
      <c r="O102" s="65"/>
      <c r="P102" s="65"/>
      <c r="Q102" s="65"/>
      <c r="R102" s="65"/>
      <c r="S102" s="65"/>
      <c r="T102" s="65"/>
      <c r="U102" s="65"/>
      <c r="V102" s="65"/>
      <c r="W102" s="65"/>
      <c r="X102" s="65"/>
      <c r="Y102" s="65"/>
      <c r="Z102" s="65"/>
      <c r="AA102" s="65"/>
      <c r="AB102" s="65"/>
      <c r="AC102" s="65"/>
    </row>
    <row r="103">
      <c r="A103" s="62" t="s">
        <v>227</v>
      </c>
      <c r="B103" s="63" t="s">
        <v>208</v>
      </c>
      <c r="C103" s="63" t="s">
        <v>228</v>
      </c>
      <c r="D103" s="62"/>
      <c r="E103" s="66">
        <v>20.0</v>
      </c>
      <c r="F103" s="66">
        <v>10.0</v>
      </c>
      <c r="G103" s="70">
        <v>10.0</v>
      </c>
      <c r="H103" s="58">
        <f t="shared" si="1"/>
        <v>-10</v>
      </c>
      <c r="I103" s="58">
        <f t="shared" si="4"/>
        <v>-10</v>
      </c>
      <c r="J103" s="71">
        <f t="shared" si="2"/>
        <v>-50</v>
      </c>
      <c r="K103" s="71">
        <f t="shared" si="8"/>
        <v>-50</v>
      </c>
      <c r="L103" s="62"/>
      <c r="M103" s="62"/>
      <c r="N103" s="63" t="s">
        <v>229</v>
      </c>
      <c r="O103" s="65"/>
      <c r="P103" s="65"/>
      <c r="Q103" s="65"/>
      <c r="R103" s="65"/>
      <c r="S103" s="65"/>
      <c r="T103" s="65"/>
      <c r="U103" s="65"/>
      <c r="V103" s="65"/>
      <c r="W103" s="65"/>
      <c r="X103" s="65"/>
      <c r="Y103" s="65"/>
      <c r="Z103" s="65"/>
      <c r="AA103" s="65"/>
      <c r="AB103" s="65"/>
      <c r="AC103" s="65"/>
    </row>
    <row r="104">
      <c r="A104" s="62" t="s">
        <v>227</v>
      </c>
      <c r="B104" s="63" t="s">
        <v>208</v>
      </c>
      <c r="C104" s="63" t="s">
        <v>228</v>
      </c>
      <c r="D104" s="62"/>
      <c r="E104" s="66">
        <v>10.0</v>
      </c>
      <c r="F104" s="66">
        <v>10.0</v>
      </c>
      <c r="G104" s="70">
        <v>0.0</v>
      </c>
      <c r="H104" s="58">
        <f t="shared" si="1"/>
        <v>0</v>
      </c>
      <c r="I104" s="58">
        <f t="shared" si="4"/>
        <v>0</v>
      </c>
      <c r="J104" s="71">
        <f t="shared" si="2"/>
        <v>0</v>
      </c>
      <c r="K104" s="71">
        <f t="shared" si="8"/>
        <v>0</v>
      </c>
      <c r="L104" s="62"/>
      <c r="M104" s="62"/>
      <c r="N104" s="63" t="s">
        <v>229</v>
      </c>
      <c r="O104" s="65"/>
      <c r="P104" s="65"/>
      <c r="Q104" s="65"/>
      <c r="R104" s="65"/>
      <c r="S104" s="65"/>
      <c r="T104" s="65"/>
      <c r="U104" s="65"/>
      <c r="V104" s="65"/>
      <c r="W104" s="65"/>
      <c r="X104" s="65"/>
      <c r="Y104" s="65"/>
      <c r="Z104" s="65"/>
      <c r="AA104" s="65"/>
      <c r="AB104" s="65"/>
      <c r="AC104" s="65"/>
    </row>
    <row r="105">
      <c r="A105" s="62" t="s">
        <v>227</v>
      </c>
      <c r="B105" s="63" t="s">
        <v>208</v>
      </c>
      <c r="C105" s="63" t="s">
        <v>228</v>
      </c>
      <c r="D105" s="62"/>
      <c r="E105" s="66">
        <v>80.0</v>
      </c>
      <c r="F105" s="66">
        <v>80.0</v>
      </c>
      <c r="G105" s="70">
        <v>0.0</v>
      </c>
      <c r="H105" s="58">
        <f t="shared" si="1"/>
        <v>0</v>
      </c>
      <c r="I105" s="58">
        <f t="shared" si="4"/>
        <v>0</v>
      </c>
      <c r="J105" s="71">
        <f t="shared" si="2"/>
        <v>0</v>
      </c>
      <c r="K105" s="71">
        <f t="shared" si="8"/>
        <v>0</v>
      </c>
      <c r="L105" s="62"/>
      <c r="M105" s="62"/>
      <c r="N105" s="63" t="s">
        <v>229</v>
      </c>
      <c r="O105" s="65"/>
      <c r="P105" s="65"/>
      <c r="Q105" s="65"/>
      <c r="R105" s="65"/>
      <c r="S105" s="65"/>
      <c r="T105" s="65"/>
      <c r="U105" s="65"/>
      <c r="V105" s="65"/>
      <c r="W105" s="65"/>
      <c r="X105" s="65"/>
      <c r="Y105" s="65"/>
      <c r="Z105" s="65"/>
      <c r="AA105" s="65"/>
      <c r="AB105" s="65"/>
      <c r="AC105" s="65"/>
    </row>
    <row r="106">
      <c r="A106" s="62" t="s">
        <v>227</v>
      </c>
      <c r="B106" s="63" t="s">
        <v>208</v>
      </c>
      <c r="C106" s="63" t="s">
        <v>228</v>
      </c>
      <c r="D106" s="62"/>
      <c r="E106" s="66">
        <v>6.7</v>
      </c>
      <c r="F106" s="66">
        <v>6.7</v>
      </c>
      <c r="G106" s="70">
        <v>0.0</v>
      </c>
      <c r="H106" s="58">
        <f t="shared" si="1"/>
        <v>0</v>
      </c>
      <c r="I106" s="58">
        <f t="shared" si="4"/>
        <v>0</v>
      </c>
      <c r="J106" s="71">
        <f t="shared" si="2"/>
        <v>0</v>
      </c>
      <c r="K106" s="71">
        <f t="shared" si="8"/>
        <v>0</v>
      </c>
      <c r="L106" s="62"/>
      <c r="M106" s="62"/>
      <c r="N106" s="63" t="s">
        <v>229</v>
      </c>
      <c r="O106" s="65"/>
      <c r="P106" s="65"/>
      <c r="Q106" s="65"/>
      <c r="R106" s="65"/>
      <c r="S106" s="65"/>
      <c r="T106" s="65"/>
      <c r="U106" s="65"/>
      <c r="V106" s="65"/>
      <c r="W106" s="65"/>
      <c r="X106" s="65"/>
      <c r="Y106" s="65"/>
      <c r="Z106" s="65"/>
      <c r="AA106" s="65"/>
      <c r="AB106" s="65"/>
      <c r="AC106" s="65"/>
    </row>
    <row r="107">
      <c r="A107" s="62" t="s">
        <v>227</v>
      </c>
      <c r="B107" s="63" t="s">
        <v>208</v>
      </c>
      <c r="C107" s="63" t="s">
        <v>228</v>
      </c>
      <c r="D107" s="62"/>
      <c r="E107" s="66">
        <v>40.0</v>
      </c>
      <c r="F107" s="66">
        <v>40.0</v>
      </c>
      <c r="G107" s="70">
        <v>0.0</v>
      </c>
      <c r="H107" s="58">
        <f t="shared" si="1"/>
        <v>0</v>
      </c>
      <c r="I107" s="58">
        <f t="shared" si="4"/>
        <v>0</v>
      </c>
      <c r="J107" s="71">
        <f t="shared" si="2"/>
        <v>0</v>
      </c>
      <c r="K107" s="71">
        <f t="shared" si="8"/>
        <v>0</v>
      </c>
      <c r="L107" s="62"/>
      <c r="M107" s="62"/>
      <c r="N107" s="63" t="s">
        <v>229</v>
      </c>
      <c r="O107" s="65"/>
      <c r="P107" s="65"/>
      <c r="Q107" s="65"/>
      <c r="R107" s="65"/>
      <c r="S107" s="65"/>
      <c r="T107" s="65"/>
      <c r="U107" s="65"/>
      <c r="V107" s="65"/>
      <c r="W107" s="65"/>
      <c r="X107" s="65"/>
      <c r="Y107" s="65"/>
      <c r="Z107" s="65"/>
      <c r="AA107" s="65"/>
      <c r="AB107" s="65"/>
      <c r="AC107" s="65"/>
    </row>
    <row r="108">
      <c r="A108" s="62" t="s">
        <v>227</v>
      </c>
      <c r="B108" s="63" t="s">
        <v>208</v>
      </c>
      <c r="C108" s="63" t="s">
        <v>228</v>
      </c>
      <c r="D108" s="62"/>
      <c r="E108" s="66">
        <v>60.0</v>
      </c>
      <c r="F108" s="66">
        <v>60.0</v>
      </c>
      <c r="G108" s="70">
        <v>0.0</v>
      </c>
      <c r="H108" s="58">
        <f t="shared" si="1"/>
        <v>0</v>
      </c>
      <c r="I108" s="58">
        <f t="shared" si="4"/>
        <v>0</v>
      </c>
      <c r="J108" s="71">
        <f t="shared" si="2"/>
        <v>0</v>
      </c>
      <c r="K108" s="71">
        <f t="shared" si="8"/>
        <v>0</v>
      </c>
      <c r="L108" s="62"/>
      <c r="M108" s="62"/>
      <c r="N108" s="63" t="s">
        <v>229</v>
      </c>
      <c r="O108" s="65"/>
      <c r="P108" s="65"/>
      <c r="Q108" s="65"/>
      <c r="R108" s="65"/>
      <c r="S108" s="65"/>
      <c r="T108" s="65"/>
      <c r="U108" s="65"/>
      <c r="V108" s="65"/>
      <c r="W108" s="65"/>
      <c r="X108" s="65"/>
      <c r="Y108" s="65"/>
      <c r="Z108" s="65"/>
      <c r="AA108" s="65"/>
      <c r="AB108" s="65"/>
      <c r="AC108" s="65"/>
    </row>
    <row r="109">
      <c r="A109" s="55" t="s">
        <v>232</v>
      </c>
      <c r="B109" s="55" t="s">
        <v>208</v>
      </c>
      <c r="C109" s="57" t="s">
        <v>233</v>
      </c>
      <c r="D109" s="57"/>
      <c r="E109" s="60">
        <v>89.3</v>
      </c>
      <c r="F109" s="60">
        <v>89.1</v>
      </c>
      <c r="G109" s="68">
        <v>0.20000000000000284</v>
      </c>
      <c r="H109" s="58">
        <f t="shared" si="1"/>
        <v>-0.2</v>
      </c>
      <c r="I109" s="58">
        <f t="shared" si="4"/>
        <v>-0.2</v>
      </c>
      <c r="J109" s="69">
        <f t="shared" si="2"/>
        <v>-0.2239641657</v>
      </c>
      <c r="K109" s="69">
        <f t="shared" si="8"/>
        <v>-0.2239641657</v>
      </c>
      <c r="L109" s="57"/>
      <c r="M109" s="57"/>
      <c r="N109" s="57" t="s">
        <v>234</v>
      </c>
      <c r="O109" s="53"/>
      <c r="P109" s="53"/>
      <c r="Q109" s="53"/>
      <c r="R109" s="53"/>
      <c r="S109" s="53"/>
      <c r="T109" s="53"/>
      <c r="U109" s="53"/>
      <c r="V109" s="53"/>
      <c r="W109" s="53"/>
      <c r="X109" s="53"/>
      <c r="Y109" s="53"/>
      <c r="Z109" s="53"/>
      <c r="AA109" s="53"/>
      <c r="AB109" s="53"/>
      <c r="AC109" s="53"/>
    </row>
    <row r="110">
      <c r="A110" s="62" t="s">
        <v>232</v>
      </c>
      <c r="B110" s="62" t="s">
        <v>208</v>
      </c>
      <c r="C110" s="62" t="s">
        <v>233</v>
      </c>
      <c r="D110" s="62"/>
      <c r="E110" s="66">
        <v>88.8</v>
      </c>
      <c r="F110" s="66">
        <v>88.8</v>
      </c>
      <c r="G110" s="70">
        <v>0.0</v>
      </c>
      <c r="H110" s="58">
        <f t="shared" si="1"/>
        <v>0</v>
      </c>
      <c r="I110" s="58">
        <f t="shared" si="4"/>
        <v>0</v>
      </c>
      <c r="J110" s="71">
        <f t="shared" si="2"/>
        <v>0</v>
      </c>
      <c r="K110" s="71">
        <f t="shared" si="8"/>
        <v>0</v>
      </c>
      <c r="L110" s="62"/>
      <c r="M110" s="62"/>
      <c r="N110" s="62" t="s">
        <v>234</v>
      </c>
      <c r="O110" s="65"/>
      <c r="P110" s="65"/>
      <c r="Q110" s="65"/>
      <c r="R110" s="65"/>
      <c r="S110" s="65"/>
      <c r="T110" s="65"/>
      <c r="U110" s="65"/>
      <c r="V110" s="65"/>
      <c r="W110" s="65"/>
      <c r="X110" s="65"/>
      <c r="Y110" s="65"/>
      <c r="Z110" s="65"/>
      <c r="AA110" s="65"/>
      <c r="AB110" s="65"/>
      <c r="AC110" s="65"/>
    </row>
    <row r="111">
      <c r="A111" s="55" t="s">
        <v>235</v>
      </c>
      <c r="B111" s="55" t="s">
        <v>208</v>
      </c>
      <c r="C111" s="58" t="s">
        <v>236</v>
      </c>
      <c r="D111" s="57"/>
      <c r="E111" s="66">
        <v>98.5</v>
      </c>
      <c r="F111" s="66">
        <v>94.8</v>
      </c>
      <c r="G111" s="70">
        <v>3.700000000000003</v>
      </c>
      <c r="H111" s="58">
        <f t="shared" si="1"/>
        <v>-3.7</v>
      </c>
      <c r="I111" s="58">
        <f t="shared" si="4"/>
        <v>-3.7</v>
      </c>
      <c r="J111" s="71">
        <f t="shared" si="2"/>
        <v>-3.756345178</v>
      </c>
      <c r="K111" s="71">
        <f t="shared" si="8"/>
        <v>-3.756345178</v>
      </c>
      <c r="L111" s="57"/>
      <c r="M111" s="57"/>
      <c r="N111" s="58" t="s">
        <v>237</v>
      </c>
      <c r="O111" s="53"/>
      <c r="P111" s="53"/>
      <c r="Q111" s="53"/>
      <c r="R111" s="53"/>
      <c r="S111" s="53"/>
      <c r="T111" s="53"/>
      <c r="U111" s="53"/>
      <c r="V111" s="53"/>
      <c r="W111" s="53"/>
      <c r="X111" s="53"/>
      <c r="Y111" s="53"/>
      <c r="Z111" s="53"/>
      <c r="AA111" s="53"/>
      <c r="AB111" s="53"/>
      <c r="AC111" s="53"/>
    </row>
    <row r="112">
      <c r="A112" s="62" t="s">
        <v>235</v>
      </c>
      <c r="B112" s="62" t="s">
        <v>208</v>
      </c>
      <c r="C112" s="63" t="s">
        <v>236</v>
      </c>
      <c r="D112" s="62"/>
      <c r="E112" s="66">
        <v>82.3</v>
      </c>
      <c r="F112" s="66">
        <v>80.75</v>
      </c>
      <c r="G112" s="66">
        <v>1.5499999999999972</v>
      </c>
      <c r="H112" s="58">
        <f t="shared" si="1"/>
        <v>-1.55</v>
      </c>
      <c r="I112" s="58">
        <f t="shared" si="4"/>
        <v>-1.55</v>
      </c>
      <c r="J112" s="76">
        <f t="shared" si="2"/>
        <v>-1.883353584</v>
      </c>
      <c r="K112" s="76">
        <f t="shared" si="8"/>
        <v>-1.883353584</v>
      </c>
      <c r="L112" s="62"/>
      <c r="M112" s="62"/>
      <c r="N112" s="63" t="s">
        <v>237</v>
      </c>
      <c r="O112" s="65"/>
      <c r="P112" s="65"/>
      <c r="Q112" s="65"/>
      <c r="R112" s="65"/>
      <c r="S112" s="65"/>
      <c r="T112" s="65"/>
      <c r="U112" s="65"/>
      <c r="V112" s="65"/>
      <c r="W112" s="65"/>
      <c r="X112" s="65"/>
      <c r="Y112" s="65"/>
      <c r="Z112" s="65"/>
      <c r="AA112" s="65"/>
      <c r="AB112" s="65"/>
      <c r="AC112" s="65"/>
    </row>
    <row r="113">
      <c r="A113" s="62" t="s">
        <v>235</v>
      </c>
      <c r="B113" s="62" t="s">
        <v>208</v>
      </c>
      <c r="C113" s="63" t="s">
        <v>236</v>
      </c>
      <c r="D113" s="62"/>
      <c r="E113" s="63" t="s">
        <v>199</v>
      </c>
      <c r="F113" s="63" t="s">
        <v>199</v>
      </c>
      <c r="G113" s="63" t="s">
        <v>199</v>
      </c>
      <c r="H113" s="58" t="str">
        <f t="shared" si="1"/>
        <v>#VALUE!</v>
      </c>
      <c r="I113" s="58" t="str">
        <f t="shared" si="4"/>
        <v>-</v>
      </c>
      <c r="J113" s="64" t="str">
        <f t="shared" si="2"/>
        <v>#VALUE!</v>
      </c>
      <c r="K113" s="64" t="str">
        <f t="shared" si="8"/>
        <v>error</v>
      </c>
      <c r="L113" s="63" t="s">
        <v>210</v>
      </c>
      <c r="M113" s="63"/>
      <c r="N113" s="63" t="s">
        <v>237</v>
      </c>
      <c r="O113" s="65"/>
      <c r="P113" s="65"/>
      <c r="Q113" s="65"/>
      <c r="R113" s="65"/>
      <c r="S113" s="65"/>
      <c r="T113" s="65"/>
      <c r="U113" s="65"/>
      <c r="V113" s="65"/>
      <c r="W113" s="65"/>
      <c r="X113" s="65"/>
      <c r="Y113" s="65"/>
      <c r="Z113" s="65"/>
      <c r="AA113" s="65"/>
      <c r="AB113" s="65"/>
      <c r="AC113" s="65"/>
    </row>
    <row r="114">
      <c r="A114" s="62" t="s">
        <v>235</v>
      </c>
      <c r="B114" s="62" t="s">
        <v>208</v>
      </c>
      <c r="C114" s="63" t="s">
        <v>236</v>
      </c>
      <c r="D114" s="62"/>
      <c r="E114" s="63" t="s">
        <v>199</v>
      </c>
      <c r="F114" s="63" t="s">
        <v>199</v>
      </c>
      <c r="G114" s="63" t="s">
        <v>199</v>
      </c>
      <c r="H114" s="58" t="str">
        <f t="shared" si="1"/>
        <v>#VALUE!</v>
      </c>
      <c r="I114" s="58" t="str">
        <f t="shared" si="4"/>
        <v>-</v>
      </c>
      <c r="J114" s="64" t="str">
        <f t="shared" si="2"/>
        <v>#VALUE!</v>
      </c>
      <c r="K114" s="64" t="str">
        <f t="shared" si="8"/>
        <v>error</v>
      </c>
      <c r="L114" s="63" t="s">
        <v>210</v>
      </c>
      <c r="M114" s="63" t="s">
        <v>238</v>
      </c>
      <c r="N114" s="63" t="s">
        <v>237</v>
      </c>
      <c r="O114" s="65"/>
      <c r="P114" s="65"/>
      <c r="Q114" s="65"/>
      <c r="R114" s="65"/>
      <c r="S114" s="65"/>
      <c r="T114" s="65"/>
      <c r="U114" s="65"/>
      <c r="V114" s="65"/>
      <c r="W114" s="65"/>
      <c r="X114" s="65"/>
      <c r="Y114" s="65"/>
      <c r="Z114" s="65"/>
      <c r="AA114" s="65"/>
      <c r="AB114" s="65"/>
      <c r="AC114" s="65"/>
    </row>
    <row r="115">
      <c r="A115" s="62" t="s">
        <v>235</v>
      </c>
      <c r="B115" s="62" t="s">
        <v>208</v>
      </c>
      <c r="C115" s="63" t="s">
        <v>236</v>
      </c>
      <c r="D115" s="62"/>
      <c r="E115" s="63" t="s">
        <v>199</v>
      </c>
      <c r="F115" s="63" t="s">
        <v>199</v>
      </c>
      <c r="G115" s="63" t="s">
        <v>199</v>
      </c>
      <c r="H115" s="58" t="str">
        <f t="shared" si="1"/>
        <v>#VALUE!</v>
      </c>
      <c r="I115" s="58" t="str">
        <f t="shared" si="4"/>
        <v>-</v>
      </c>
      <c r="J115" s="64" t="str">
        <f t="shared" si="2"/>
        <v>#VALUE!</v>
      </c>
      <c r="K115" s="64" t="str">
        <f t="shared" si="8"/>
        <v>error</v>
      </c>
      <c r="L115" s="63" t="s">
        <v>210</v>
      </c>
      <c r="M115" s="63" t="s">
        <v>238</v>
      </c>
      <c r="N115" s="63" t="s">
        <v>237</v>
      </c>
      <c r="O115" s="65"/>
      <c r="P115" s="65"/>
      <c r="Q115" s="65"/>
      <c r="R115" s="65"/>
      <c r="S115" s="65"/>
      <c r="T115" s="65"/>
      <c r="U115" s="65"/>
      <c r="V115" s="65"/>
      <c r="W115" s="65"/>
      <c r="X115" s="65"/>
      <c r="Y115" s="65"/>
      <c r="Z115" s="65"/>
      <c r="AA115" s="65"/>
      <c r="AB115" s="65"/>
      <c r="AC115" s="65"/>
    </row>
    <row r="116">
      <c r="A116" s="62" t="s">
        <v>235</v>
      </c>
      <c r="B116" s="62" t="s">
        <v>208</v>
      </c>
      <c r="C116" s="63" t="s">
        <v>236</v>
      </c>
      <c r="D116" s="62"/>
      <c r="E116" s="63" t="s">
        <v>199</v>
      </c>
      <c r="F116" s="63" t="s">
        <v>199</v>
      </c>
      <c r="G116" s="63" t="s">
        <v>199</v>
      </c>
      <c r="H116" s="58" t="str">
        <f t="shared" si="1"/>
        <v>#VALUE!</v>
      </c>
      <c r="I116" s="58" t="str">
        <f t="shared" si="4"/>
        <v>-</v>
      </c>
      <c r="J116" s="64" t="str">
        <f t="shared" si="2"/>
        <v>#VALUE!</v>
      </c>
      <c r="K116" s="64" t="str">
        <f t="shared" si="8"/>
        <v>error</v>
      </c>
      <c r="L116" s="63" t="s">
        <v>210</v>
      </c>
      <c r="M116" s="63" t="s">
        <v>238</v>
      </c>
      <c r="N116" s="63" t="s">
        <v>237</v>
      </c>
      <c r="O116" s="65"/>
      <c r="P116" s="65"/>
      <c r="Q116" s="65"/>
      <c r="R116" s="65"/>
      <c r="S116" s="65"/>
      <c r="T116" s="65"/>
      <c r="U116" s="65"/>
      <c r="V116" s="65"/>
      <c r="W116" s="65"/>
      <c r="X116" s="65"/>
      <c r="Y116" s="65"/>
      <c r="Z116" s="65"/>
      <c r="AA116" s="65"/>
      <c r="AB116" s="65"/>
      <c r="AC116" s="65"/>
    </row>
    <row r="117">
      <c r="A117" s="62" t="s">
        <v>235</v>
      </c>
      <c r="B117" s="62" t="s">
        <v>208</v>
      </c>
      <c r="C117" s="63" t="s">
        <v>236</v>
      </c>
      <c r="D117" s="62"/>
      <c r="E117" s="63" t="s">
        <v>199</v>
      </c>
      <c r="F117" s="63" t="s">
        <v>199</v>
      </c>
      <c r="G117" s="63" t="s">
        <v>199</v>
      </c>
      <c r="H117" s="58" t="str">
        <f t="shared" si="1"/>
        <v>#VALUE!</v>
      </c>
      <c r="I117" s="58" t="str">
        <f t="shared" si="4"/>
        <v>-</v>
      </c>
      <c r="J117" s="64" t="str">
        <f t="shared" si="2"/>
        <v>#VALUE!</v>
      </c>
      <c r="K117" s="64" t="str">
        <f t="shared" si="8"/>
        <v>error</v>
      </c>
      <c r="L117" s="63" t="s">
        <v>210</v>
      </c>
      <c r="M117" s="63" t="s">
        <v>238</v>
      </c>
      <c r="N117" s="63" t="s">
        <v>237</v>
      </c>
      <c r="O117" s="65"/>
      <c r="P117" s="65"/>
      <c r="Q117" s="65"/>
      <c r="R117" s="65"/>
      <c r="S117" s="65"/>
      <c r="T117" s="65"/>
      <c r="U117" s="65"/>
      <c r="V117" s="65"/>
      <c r="W117" s="65"/>
      <c r="X117" s="65"/>
      <c r="Y117" s="65"/>
      <c r="Z117" s="65"/>
      <c r="AA117" s="65"/>
      <c r="AB117" s="65"/>
      <c r="AC117" s="65"/>
    </row>
    <row r="118">
      <c r="A118" s="62" t="s">
        <v>235</v>
      </c>
      <c r="B118" s="62" t="s">
        <v>208</v>
      </c>
      <c r="C118" s="63" t="s">
        <v>236</v>
      </c>
      <c r="D118" s="62"/>
      <c r="E118" s="63" t="s">
        <v>199</v>
      </c>
      <c r="F118" s="63" t="s">
        <v>199</v>
      </c>
      <c r="G118" s="63" t="s">
        <v>199</v>
      </c>
      <c r="H118" s="58" t="str">
        <f t="shared" si="1"/>
        <v>#VALUE!</v>
      </c>
      <c r="I118" s="58" t="str">
        <f t="shared" si="4"/>
        <v>-</v>
      </c>
      <c r="J118" s="59" t="str">
        <f t="shared" si="2"/>
        <v>#VALUE!</v>
      </c>
      <c r="K118" s="59" t="str">
        <f t="shared" si="8"/>
        <v>error</v>
      </c>
      <c r="L118" s="63" t="s">
        <v>210</v>
      </c>
      <c r="M118" s="63" t="s">
        <v>238</v>
      </c>
      <c r="N118" s="63" t="s">
        <v>237</v>
      </c>
      <c r="O118" s="65"/>
      <c r="P118" s="65"/>
      <c r="Q118" s="65"/>
      <c r="R118" s="65"/>
      <c r="S118" s="65"/>
      <c r="T118" s="65"/>
      <c r="U118" s="65"/>
      <c r="V118" s="65"/>
      <c r="W118" s="65"/>
      <c r="X118" s="65"/>
      <c r="Y118" s="65"/>
      <c r="Z118" s="65"/>
      <c r="AA118" s="65"/>
      <c r="AB118" s="65"/>
      <c r="AC118" s="65"/>
    </row>
    <row r="119">
      <c r="A119" s="55" t="s">
        <v>239</v>
      </c>
      <c r="B119" s="55" t="s">
        <v>208</v>
      </c>
      <c r="C119" s="57" t="s">
        <v>240</v>
      </c>
      <c r="D119" s="57"/>
      <c r="E119" s="60">
        <v>0.51</v>
      </c>
      <c r="F119" s="60">
        <v>0.51</v>
      </c>
      <c r="G119" s="60">
        <v>0.0</v>
      </c>
      <c r="H119" s="58">
        <f t="shared" si="1"/>
        <v>0</v>
      </c>
      <c r="I119" s="58">
        <f t="shared" si="4"/>
        <v>0</v>
      </c>
      <c r="J119" s="77">
        <f t="shared" si="2"/>
        <v>0</v>
      </c>
      <c r="K119" s="77">
        <f t="shared" si="8"/>
        <v>0</v>
      </c>
      <c r="L119" s="57"/>
      <c r="M119" s="57"/>
      <c r="N119" s="58" t="s">
        <v>241</v>
      </c>
      <c r="O119" s="53"/>
      <c r="P119" s="53"/>
      <c r="Q119" s="53"/>
      <c r="R119" s="53"/>
      <c r="S119" s="53"/>
      <c r="T119" s="53"/>
      <c r="U119" s="53"/>
      <c r="V119" s="53"/>
      <c r="W119" s="53"/>
      <c r="X119" s="53"/>
      <c r="Y119" s="53"/>
      <c r="Z119" s="53"/>
      <c r="AA119" s="53"/>
      <c r="AB119" s="53"/>
      <c r="AC119" s="53"/>
    </row>
    <row r="120">
      <c r="A120" s="62" t="s">
        <v>239</v>
      </c>
      <c r="B120" s="62" t="s">
        <v>208</v>
      </c>
      <c r="C120" s="62" t="s">
        <v>240</v>
      </c>
      <c r="D120" s="62"/>
      <c r="E120" s="66">
        <v>0.49</v>
      </c>
      <c r="F120" s="66">
        <v>0.49</v>
      </c>
      <c r="G120" s="66">
        <v>0.0</v>
      </c>
      <c r="H120" s="58">
        <f t="shared" si="1"/>
        <v>0</v>
      </c>
      <c r="I120" s="58">
        <f t="shared" si="4"/>
        <v>0</v>
      </c>
      <c r="J120" s="76">
        <f t="shared" si="2"/>
        <v>0</v>
      </c>
      <c r="K120" s="76">
        <f t="shared" si="8"/>
        <v>0</v>
      </c>
      <c r="L120" s="62"/>
      <c r="M120" s="62"/>
      <c r="N120" s="63" t="s">
        <v>241</v>
      </c>
      <c r="O120" s="65"/>
      <c r="P120" s="65"/>
      <c r="Q120" s="65"/>
      <c r="R120" s="65"/>
      <c r="S120" s="65"/>
      <c r="T120" s="65"/>
      <c r="U120" s="65"/>
      <c r="V120" s="65"/>
      <c r="W120" s="65"/>
      <c r="X120" s="65"/>
      <c r="Y120" s="65"/>
      <c r="Z120" s="65"/>
      <c r="AA120" s="65"/>
      <c r="AB120" s="65"/>
      <c r="AC120" s="65"/>
    </row>
    <row r="121">
      <c r="A121" s="62" t="s">
        <v>239</v>
      </c>
      <c r="B121" s="62" t="s">
        <v>208</v>
      </c>
      <c r="C121" s="62" t="s">
        <v>240</v>
      </c>
      <c r="D121" s="62"/>
      <c r="E121" s="66">
        <v>0.41</v>
      </c>
      <c r="F121" s="66">
        <v>0.42</v>
      </c>
      <c r="G121" s="66">
        <v>-0.010000000000000009</v>
      </c>
      <c r="H121" s="58">
        <f t="shared" si="1"/>
        <v>0.01</v>
      </c>
      <c r="I121" s="58">
        <f t="shared" si="4"/>
        <v>0.01</v>
      </c>
      <c r="J121" s="76">
        <f t="shared" si="2"/>
        <v>2.43902439</v>
      </c>
      <c r="K121" s="76">
        <f t="shared" si="8"/>
        <v>2.43902439</v>
      </c>
      <c r="L121" s="62"/>
      <c r="M121" s="62"/>
      <c r="N121" s="63" t="s">
        <v>241</v>
      </c>
      <c r="O121" s="65"/>
      <c r="P121" s="65"/>
      <c r="Q121" s="65"/>
      <c r="R121" s="65"/>
      <c r="S121" s="65"/>
      <c r="T121" s="65"/>
      <c r="U121" s="65"/>
      <c r="V121" s="65"/>
      <c r="W121" s="65"/>
      <c r="X121" s="65"/>
      <c r="Y121" s="65"/>
      <c r="Z121" s="65"/>
      <c r="AA121" s="65"/>
      <c r="AB121" s="65"/>
      <c r="AC121" s="65"/>
    </row>
    <row r="122">
      <c r="A122" s="62" t="s">
        <v>239</v>
      </c>
      <c r="B122" s="62" t="s">
        <v>208</v>
      </c>
      <c r="C122" s="62" t="s">
        <v>240</v>
      </c>
      <c r="D122" s="62"/>
      <c r="E122" s="66">
        <v>81.2</v>
      </c>
      <c r="F122" s="66">
        <v>81.1</v>
      </c>
      <c r="G122" s="66">
        <v>0.10000000000000853</v>
      </c>
      <c r="H122" s="58">
        <f t="shared" si="1"/>
        <v>-0.1</v>
      </c>
      <c r="I122" s="58">
        <f t="shared" si="4"/>
        <v>-0.1</v>
      </c>
      <c r="J122" s="76">
        <f t="shared" si="2"/>
        <v>-0.1231527094</v>
      </c>
      <c r="K122" s="76">
        <f t="shared" si="8"/>
        <v>-0.1231527094</v>
      </c>
      <c r="L122" s="62"/>
      <c r="M122" s="62"/>
      <c r="N122" s="63" t="s">
        <v>241</v>
      </c>
      <c r="O122" s="65"/>
      <c r="P122" s="65"/>
      <c r="Q122" s="65"/>
      <c r="R122" s="65"/>
      <c r="S122" s="65"/>
      <c r="T122" s="65"/>
      <c r="U122" s="65"/>
      <c r="V122" s="65"/>
      <c r="W122" s="65"/>
      <c r="X122" s="65"/>
      <c r="Y122" s="65"/>
      <c r="Z122" s="65"/>
      <c r="AA122" s="65"/>
      <c r="AB122" s="65"/>
      <c r="AC122" s="65"/>
    </row>
    <row r="123">
      <c r="A123" s="62" t="s">
        <v>239</v>
      </c>
      <c r="B123" s="62" t="s">
        <v>208</v>
      </c>
      <c r="C123" s="62" t="s">
        <v>240</v>
      </c>
      <c r="D123" s="62"/>
      <c r="E123" s="66">
        <v>0.5</v>
      </c>
      <c r="F123" s="66">
        <v>0.5</v>
      </c>
      <c r="G123" s="66">
        <v>0.0</v>
      </c>
      <c r="H123" s="58">
        <f t="shared" si="1"/>
        <v>0</v>
      </c>
      <c r="I123" s="58">
        <f t="shared" si="4"/>
        <v>0</v>
      </c>
      <c r="J123" s="76">
        <f t="shared" si="2"/>
        <v>0</v>
      </c>
      <c r="K123" s="76">
        <f t="shared" si="8"/>
        <v>0</v>
      </c>
      <c r="L123" s="62"/>
      <c r="M123" s="62"/>
      <c r="N123" s="63" t="s">
        <v>241</v>
      </c>
      <c r="O123" s="65"/>
      <c r="P123" s="65"/>
      <c r="Q123" s="65"/>
      <c r="R123" s="65"/>
      <c r="S123" s="65"/>
      <c r="T123" s="65"/>
      <c r="U123" s="65"/>
      <c r="V123" s="65"/>
      <c r="W123" s="65"/>
      <c r="X123" s="65"/>
      <c r="Y123" s="65"/>
      <c r="Z123" s="65"/>
      <c r="AA123" s="65"/>
      <c r="AB123" s="65"/>
      <c r="AC123" s="65"/>
    </row>
    <row r="124">
      <c r="A124" s="62" t="s">
        <v>239</v>
      </c>
      <c r="B124" s="62" t="s">
        <v>208</v>
      </c>
      <c r="C124" s="62" t="s">
        <v>240</v>
      </c>
      <c r="D124" s="62"/>
      <c r="E124" s="66">
        <v>0.6</v>
      </c>
      <c r="F124" s="66">
        <v>0.6</v>
      </c>
      <c r="G124" s="66">
        <v>0.0</v>
      </c>
      <c r="H124" s="58">
        <f t="shared" si="1"/>
        <v>0</v>
      </c>
      <c r="I124" s="58">
        <f t="shared" si="4"/>
        <v>0</v>
      </c>
      <c r="J124" s="76">
        <f t="shared" si="2"/>
        <v>0</v>
      </c>
      <c r="K124" s="76">
        <f t="shared" si="8"/>
        <v>0</v>
      </c>
      <c r="L124" s="62"/>
      <c r="M124" s="62"/>
      <c r="N124" s="63" t="s">
        <v>241</v>
      </c>
      <c r="O124" s="65"/>
      <c r="P124" s="65"/>
      <c r="Q124" s="65"/>
      <c r="R124" s="65"/>
      <c r="S124" s="65"/>
      <c r="T124" s="65"/>
      <c r="U124" s="65"/>
      <c r="V124" s="65"/>
      <c r="W124" s="65"/>
      <c r="X124" s="65"/>
      <c r="Y124" s="65"/>
      <c r="Z124" s="65"/>
      <c r="AA124" s="65"/>
      <c r="AB124" s="65"/>
      <c r="AC124" s="65"/>
    </row>
    <row r="125">
      <c r="A125" s="78" t="s">
        <v>242</v>
      </c>
      <c r="B125" s="78" t="s">
        <v>243</v>
      </c>
      <c r="C125" s="79" t="s">
        <v>244</v>
      </c>
      <c r="D125" s="79"/>
      <c r="E125" s="80" t="s">
        <v>199</v>
      </c>
      <c r="F125" s="80" t="s">
        <v>199</v>
      </c>
      <c r="G125" s="80" t="s">
        <v>199</v>
      </c>
      <c r="H125" s="79" t="str">
        <f t="shared" si="1"/>
        <v>#VALUE!</v>
      </c>
      <c r="I125" s="79" t="str">
        <f t="shared" si="4"/>
        <v>-</v>
      </c>
      <c r="J125" s="81" t="str">
        <f t="shared" si="2"/>
        <v>#VALUE!</v>
      </c>
      <c r="K125" s="81" t="str">
        <f t="shared" si="8"/>
        <v>error</v>
      </c>
      <c r="L125" s="80" t="s">
        <v>210</v>
      </c>
      <c r="M125" s="79"/>
      <c r="N125" s="80" t="s">
        <v>245</v>
      </c>
      <c r="O125" s="53"/>
      <c r="P125" s="53"/>
      <c r="Q125" s="53"/>
      <c r="R125" s="53"/>
      <c r="S125" s="53"/>
      <c r="T125" s="53"/>
      <c r="U125" s="53"/>
      <c r="V125" s="53"/>
      <c r="W125" s="53"/>
      <c r="X125" s="53"/>
      <c r="Y125" s="53"/>
      <c r="Z125" s="53"/>
      <c r="AA125" s="53"/>
      <c r="AB125" s="53"/>
      <c r="AC125" s="53"/>
    </row>
    <row r="126">
      <c r="A126" s="82" t="s">
        <v>242</v>
      </c>
      <c r="B126" s="82" t="s">
        <v>243</v>
      </c>
      <c r="C126" s="82" t="s">
        <v>244</v>
      </c>
      <c r="D126" s="82"/>
      <c r="E126" s="83" t="s">
        <v>199</v>
      </c>
      <c r="F126" s="83" t="s">
        <v>199</v>
      </c>
      <c r="G126" s="83" t="s">
        <v>199</v>
      </c>
      <c r="H126" s="79" t="str">
        <f t="shared" si="1"/>
        <v>#VALUE!</v>
      </c>
      <c r="I126" s="79" t="str">
        <f t="shared" si="4"/>
        <v>-</v>
      </c>
      <c r="J126" s="84" t="str">
        <f t="shared" si="2"/>
        <v>#VALUE!</v>
      </c>
      <c r="K126" s="84" t="str">
        <f t="shared" si="8"/>
        <v>error</v>
      </c>
      <c r="L126" s="83" t="s">
        <v>210</v>
      </c>
      <c r="M126" s="82"/>
      <c r="N126" s="83" t="s">
        <v>245</v>
      </c>
      <c r="O126" s="65"/>
      <c r="P126" s="65"/>
      <c r="Q126" s="65"/>
      <c r="R126" s="65"/>
      <c r="S126" s="65"/>
      <c r="T126" s="65"/>
      <c r="U126" s="65"/>
      <c r="V126" s="65"/>
      <c r="W126" s="65"/>
      <c r="X126" s="65"/>
      <c r="Y126" s="65"/>
      <c r="Z126" s="65"/>
      <c r="AA126" s="65"/>
      <c r="AB126" s="65"/>
      <c r="AC126" s="65"/>
    </row>
    <row r="127">
      <c r="A127" s="85" t="s">
        <v>246</v>
      </c>
      <c r="B127" s="85" t="s">
        <v>247</v>
      </c>
      <c r="C127" s="86" t="s">
        <v>248</v>
      </c>
      <c r="D127" s="87" t="s">
        <v>249</v>
      </c>
      <c r="E127" s="87">
        <v>0.712</v>
      </c>
      <c r="F127" s="87">
        <v>0.714</v>
      </c>
      <c r="G127" s="86"/>
      <c r="H127" s="86">
        <f t="shared" si="1"/>
        <v>0.002</v>
      </c>
      <c r="I127" s="86">
        <f t="shared" si="4"/>
        <v>0.002</v>
      </c>
      <c r="J127" s="88">
        <f t="shared" si="2"/>
        <v>0.2808988764</v>
      </c>
      <c r="K127" s="88">
        <f t="shared" si="8"/>
        <v>0.2808988764</v>
      </c>
      <c r="L127" s="86"/>
      <c r="M127" s="86"/>
      <c r="N127" s="86" t="s">
        <v>250</v>
      </c>
      <c r="O127" s="53"/>
      <c r="P127" s="53"/>
      <c r="Q127" s="53"/>
      <c r="R127" s="53"/>
      <c r="S127" s="53"/>
      <c r="T127" s="53"/>
      <c r="U127" s="53"/>
      <c r="V127" s="53"/>
      <c r="W127" s="53"/>
      <c r="X127" s="53"/>
      <c r="Y127" s="53"/>
      <c r="Z127" s="53"/>
      <c r="AA127" s="53"/>
      <c r="AB127" s="53"/>
      <c r="AC127" s="53"/>
    </row>
    <row r="128">
      <c r="A128" s="85" t="s">
        <v>251</v>
      </c>
      <c r="B128" s="85" t="s">
        <v>247</v>
      </c>
      <c r="C128" s="86" t="s">
        <v>248</v>
      </c>
      <c r="D128" s="87" t="s">
        <v>249</v>
      </c>
      <c r="E128" s="87">
        <v>0.606</v>
      </c>
      <c r="F128" s="87">
        <v>0.642</v>
      </c>
      <c r="G128" s="86"/>
      <c r="H128" s="86">
        <f t="shared" si="1"/>
        <v>0.036</v>
      </c>
      <c r="I128" s="86">
        <f t="shared" si="4"/>
        <v>0.036</v>
      </c>
      <c r="J128" s="88">
        <f t="shared" si="2"/>
        <v>5.940594059</v>
      </c>
      <c r="K128" s="88">
        <f t="shared" si="8"/>
        <v>5.940594059</v>
      </c>
      <c r="L128" s="86"/>
      <c r="M128" s="86"/>
      <c r="N128" s="86" t="s">
        <v>252</v>
      </c>
      <c r="O128" s="53"/>
      <c r="P128" s="53"/>
      <c r="Q128" s="53"/>
      <c r="R128" s="53"/>
      <c r="S128" s="53"/>
      <c r="T128" s="53"/>
      <c r="U128" s="53"/>
      <c r="V128" s="53"/>
      <c r="W128" s="53"/>
      <c r="X128" s="53"/>
      <c r="Y128" s="53"/>
      <c r="Z128" s="53"/>
      <c r="AA128" s="53"/>
      <c r="AB128" s="53"/>
      <c r="AC128" s="53"/>
    </row>
    <row r="129">
      <c r="A129" s="85" t="s">
        <v>253</v>
      </c>
      <c r="B129" s="85" t="s">
        <v>247</v>
      </c>
      <c r="C129" s="86" t="s">
        <v>248</v>
      </c>
      <c r="D129" s="87" t="s">
        <v>249</v>
      </c>
      <c r="E129" s="87">
        <v>0.604</v>
      </c>
      <c r="F129" s="87">
        <v>0.583</v>
      </c>
      <c r="G129" s="86"/>
      <c r="H129" s="86">
        <f t="shared" si="1"/>
        <v>-0.021</v>
      </c>
      <c r="I129" s="86">
        <f t="shared" si="4"/>
        <v>-0.021</v>
      </c>
      <c r="J129" s="88">
        <f t="shared" si="2"/>
        <v>-3.476821192</v>
      </c>
      <c r="K129" s="88">
        <f t="shared" si="8"/>
        <v>-3.476821192</v>
      </c>
      <c r="L129" s="86"/>
      <c r="M129" s="86"/>
      <c r="N129" s="86" t="s">
        <v>254</v>
      </c>
      <c r="O129" s="53"/>
      <c r="P129" s="53"/>
      <c r="Q129" s="53"/>
      <c r="R129" s="53"/>
      <c r="S129" s="53"/>
      <c r="T129" s="53"/>
      <c r="U129" s="53"/>
      <c r="V129" s="53"/>
      <c r="W129" s="53"/>
      <c r="X129" s="53"/>
      <c r="Y129" s="53"/>
      <c r="Z129" s="53"/>
      <c r="AA129" s="53"/>
      <c r="AB129" s="53"/>
      <c r="AC129" s="53"/>
    </row>
    <row r="130">
      <c r="A130" s="85" t="s">
        <v>255</v>
      </c>
      <c r="B130" s="85" t="s">
        <v>247</v>
      </c>
      <c r="C130" s="86" t="s">
        <v>248</v>
      </c>
      <c r="D130" s="87" t="s">
        <v>249</v>
      </c>
      <c r="E130" s="87">
        <v>0.59</v>
      </c>
      <c r="F130" s="87">
        <v>0.623</v>
      </c>
      <c r="G130" s="86"/>
      <c r="H130" s="86">
        <f t="shared" si="1"/>
        <v>0.033</v>
      </c>
      <c r="I130" s="86">
        <f t="shared" si="4"/>
        <v>0.033</v>
      </c>
      <c r="J130" s="88">
        <f t="shared" si="2"/>
        <v>5.593220339</v>
      </c>
      <c r="K130" s="88">
        <f t="shared" si="8"/>
        <v>5.593220339</v>
      </c>
      <c r="L130" s="86"/>
      <c r="M130" s="86"/>
      <c r="N130" s="86" t="s">
        <v>256</v>
      </c>
      <c r="O130" s="53"/>
      <c r="P130" s="53"/>
      <c r="Q130" s="53"/>
      <c r="R130" s="53"/>
      <c r="S130" s="53"/>
      <c r="T130" s="53"/>
      <c r="U130" s="53"/>
      <c r="V130" s="53"/>
      <c r="W130" s="53"/>
      <c r="X130" s="53"/>
      <c r="Y130" s="53"/>
      <c r="Z130" s="53"/>
      <c r="AA130" s="53"/>
      <c r="AB130" s="53"/>
      <c r="AC130" s="53"/>
    </row>
    <row r="131">
      <c r="A131" s="85" t="s">
        <v>257</v>
      </c>
      <c r="B131" s="85" t="s">
        <v>247</v>
      </c>
      <c r="C131" s="86" t="s">
        <v>248</v>
      </c>
      <c r="D131" s="87" t="s">
        <v>249</v>
      </c>
      <c r="E131" s="87">
        <v>0.565</v>
      </c>
      <c r="F131" s="87">
        <v>0.543</v>
      </c>
      <c r="G131" s="86"/>
      <c r="H131" s="86">
        <f t="shared" si="1"/>
        <v>-0.022</v>
      </c>
      <c r="I131" s="86">
        <f t="shared" si="4"/>
        <v>-0.022</v>
      </c>
      <c r="J131" s="88">
        <f t="shared" si="2"/>
        <v>-3.89380531</v>
      </c>
      <c r="K131" s="88">
        <f t="shared" si="8"/>
        <v>-3.89380531</v>
      </c>
      <c r="L131" s="86"/>
      <c r="M131" s="86"/>
      <c r="N131" s="86" t="s">
        <v>258</v>
      </c>
      <c r="O131" s="53"/>
      <c r="P131" s="53"/>
      <c r="Q131" s="53"/>
      <c r="R131" s="53"/>
      <c r="S131" s="53"/>
      <c r="T131" s="53"/>
      <c r="U131" s="53"/>
      <c r="V131" s="53"/>
      <c r="W131" s="53"/>
      <c r="X131" s="53"/>
      <c r="Y131" s="53"/>
      <c r="Z131" s="53"/>
      <c r="AA131" s="53"/>
      <c r="AB131" s="53"/>
      <c r="AC131" s="53"/>
    </row>
    <row r="132">
      <c r="A132" s="85" t="s">
        <v>259</v>
      </c>
      <c r="B132" s="85" t="s">
        <v>247</v>
      </c>
      <c r="C132" s="86" t="s">
        <v>248</v>
      </c>
      <c r="D132" s="87" t="s">
        <v>249</v>
      </c>
      <c r="E132" s="87">
        <v>0.541</v>
      </c>
      <c r="F132" s="87">
        <v>0.541</v>
      </c>
      <c r="G132" s="86"/>
      <c r="H132" s="86">
        <f t="shared" si="1"/>
        <v>0</v>
      </c>
      <c r="I132" s="86">
        <f t="shared" si="4"/>
        <v>0</v>
      </c>
      <c r="J132" s="88">
        <f t="shared" si="2"/>
        <v>0</v>
      </c>
      <c r="K132" s="88">
        <f t="shared" si="8"/>
        <v>0</v>
      </c>
      <c r="L132" s="86"/>
      <c r="M132" s="86"/>
      <c r="N132" s="86" t="s">
        <v>260</v>
      </c>
      <c r="O132" s="53"/>
      <c r="P132" s="53"/>
      <c r="Q132" s="53"/>
      <c r="R132" s="53"/>
      <c r="S132" s="53"/>
      <c r="T132" s="53"/>
      <c r="U132" s="53"/>
      <c r="V132" s="53"/>
      <c r="W132" s="53"/>
      <c r="X132" s="53"/>
      <c r="Y132" s="53"/>
      <c r="Z132" s="53"/>
      <c r="AA132" s="53"/>
      <c r="AB132" s="53"/>
      <c r="AC132" s="53"/>
    </row>
    <row r="133">
      <c r="A133" s="85" t="s">
        <v>261</v>
      </c>
      <c r="B133" s="85" t="s">
        <v>262</v>
      </c>
      <c r="C133" s="87" t="s">
        <v>263</v>
      </c>
      <c r="D133" s="89" t="s">
        <v>264</v>
      </c>
      <c r="E133" s="90">
        <v>48.5</v>
      </c>
      <c r="F133" s="90">
        <v>48.5</v>
      </c>
      <c r="G133" s="86"/>
      <c r="H133" s="86">
        <f t="shared" si="1"/>
        <v>0</v>
      </c>
      <c r="I133" s="86">
        <f t="shared" si="4"/>
        <v>0</v>
      </c>
      <c r="J133" s="88">
        <f t="shared" si="2"/>
        <v>0</v>
      </c>
      <c r="K133" s="88">
        <f t="shared" si="8"/>
        <v>0</v>
      </c>
      <c r="L133" s="86"/>
      <c r="M133" s="86"/>
      <c r="N133" s="87" t="s">
        <v>265</v>
      </c>
      <c r="O133" s="53"/>
      <c r="P133" s="53"/>
      <c r="Q133" s="53"/>
      <c r="R133" s="53"/>
      <c r="S133" s="53"/>
      <c r="T133" s="53"/>
      <c r="U133" s="53"/>
      <c r="V133" s="53"/>
      <c r="W133" s="53"/>
      <c r="X133" s="53"/>
      <c r="Y133" s="53"/>
      <c r="Z133" s="53"/>
      <c r="AA133" s="53"/>
      <c r="AB133" s="53"/>
      <c r="AC133" s="53"/>
    </row>
    <row r="134">
      <c r="A134" s="91" t="s">
        <v>261</v>
      </c>
      <c r="B134" s="91" t="s">
        <v>262</v>
      </c>
      <c r="C134" s="92" t="s">
        <v>263</v>
      </c>
      <c r="D134" s="93" t="s">
        <v>264</v>
      </c>
      <c r="E134" s="94">
        <v>37.6</v>
      </c>
      <c r="F134" s="94">
        <v>37.8</v>
      </c>
      <c r="G134" s="91"/>
      <c r="H134" s="86">
        <f t="shared" si="1"/>
        <v>0.2</v>
      </c>
      <c r="I134" s="86">
        <f t="shared" si="4"/>
        <v>0.2</v>
      </c>
      <c r="J134" s="95">
        <f t="shared" si="2"/>
        <v>0.5319148936</v>
      </c>
      <c r="K134" s="95">
        <f t="shared" si="8"/>
        <v>0.5319148936</v>
      </c>
      <c r="L134" s="91"/>
      <c r="M134" s="91"/>
      <c r="N134" s="92" t="s">
        <v>265</v>
      </c>
      <c r="O134" s="65"/>
      <c r="P134" s="65"/>
      <c r="Q134" s="65"/>
      <c r="R134" s="65"/>
      <c r="S134" s="65"/>
      <c r="T134" s="65"/>
      <c r="U134" s="65"/>
      <c r="V134" s="65"/>
      <c r="W134" s="65"/>
      <c r="X134" s="65"/>
      <c r="Y134" s="65"/>
      <c r="Z134" s="65"/>
      <c r="AA134" s="65"/>
      <c r="AB134" s="65"/>
      <c r="AC134" s="65"/>
    </row>
    <row r="135">
      <c r="A135" s="91" t="s">
        <v>261</v>
      </c>
      <c r="B135" s="91" t="s">
        <v>262</v>
      </c>
      <c r="C135" s="92" t="s">
        <v>263</v>
      </c>
      <c r="D135" s="93" t="s">
        <v>264</v>
      </c>
      <c r="E135" s="94">
        <v>33.5</v>
      </c>
      <c r="F135" s="94">
        <v>33.7</v>
      </c>
      <c r="G135" s="91"/>
      <c r="H135" s="86">
        <f t="shared" si="1"/>
        <v>0.2</v>
      </c>
      <c r="I135" s="86">
        <f t="shared" si="4"/>
        <v>0.2</v>
      </c>
      <c r="J135" s="95">
        <f t="shared" si="2"/>
        <v>0.5970149254</v>
      </c>
      <c r="K135" s="95">
        <f t="shared" si="8"/>
        <v>0.5970149254</v>
      </c>
      <c r="L135" s="91"/>
      <c r="M135" s="91"/>
      <c r="N135" s="92" t="s">
        <v>265</v>
      </c>
      <c r="O135" s="65"/>
      <c r="P135" s="65"/>
      <c r="Q135" s="65"/>
      <c r="R135" s="65"/>
      <c r="S135" s="65"/>
      <c r="T135" s="65"/>
      <c r="U135" s="65"/>
      <c r="V135" s="65"/>
      <c r="W135" s="65"/>
      <c r="X135" s="65"/>
      <c r="Y135" s="65"/>
      <c r="Z135" s="65"/>
      <c r="AA135" s="65"/>
      <c r="AB135" s="65"/>
      <c r="AC135" s="65"/>
    </row>
    <row r="136">
      <c r="A136" s="91" t="s">
        <v>261</v>
      </c>
      <c r="B136" s="91" t="s">
        <v>262</v>
      </c>
      <c r="C136" s="92" t="s">
        <v>263</v>
      </c>
      <c r="D136" s="93" t="s">
        <v>264</v>
      </c>
      <c r="E136" s="94">
        <v>48.5</v>
      </c>
      <c r="F136" s="94">
        <v>48.5</v>
      </c>
      <c r="G136" s="91"/>
      <c r="H136" s="86">
        <f t="shared" si="1"/>
        <v>0</v>
      </c>
      <c r="I136" s="86">
        <f t="shared" si="4"/>
        <v>0</v>
      </c>
      <c r="J136" s="95">
        <f t="shared" si="2"/>
        <v>0</v>
      </c>
      <c r="K136" s="95">
        <f t="shared" si="8"/>
        <v>0</v>
      </c>
      <c r="L136" s="91"/>
      <c r="M136" s="91"/>
      <c r="N136" s="92" t="s">
        <v>265</v>
      </c>
      <c r="O136" s="65"/>
      <c r="P136" s="65"/>
      <c r="Q136" s="65"/>
      <c r="R136" s="65"/>
      <c r="S136" s="65"/>
      <c r="T136" s="65"/>
      <c r="U136" s="65"/>
      <c r="V136" s="65"/>
      <c r="W136" s="65"/>
      <c r="X136" s="65"/>
      <c r="Y136" s="65"/>
      <c r="Z136" s="65"/>
      <c r="AA136" s="65"/>
      <c r="AB136" s="65"/>
      <c r="AC136" s="65"/>
    </row>
    <row r="137">
      <c r="A137" s="91" t="s">
        <v>261</v>
      </c>
      <c r="B137" s="91" t="s">
        <v>262</v>
      </c>
      <c r="C137" s="92" t="s">
        <v>263</v>
      </c>
      <c r="D137" s="93" t="s">
        <v>266</v>
      </c>
      <c r="E137" s="94">
        <v>48.2</v>
      </c>
      <c r="F137" s="94">
        <v>48.3</v>
      </c>
      <c r="G137" s="91"/>
      <c r="H137" s="86">
        <f t="shared" si="1"/>
        <v>0.1</v>
      </c>
      <c r="I137" s="86">
        <f t="shared" si="4"/>
        <v>0.1</v>
      </c>
      <c r="J137" s="95">
        <f t="shared" si="2"/>
        <v>0.2074688797</v>
      </c>
      <c r="K137" s="95">
        <f t="shared" si="8"/>
        <v>0.2074688797</v>
      </c>
      <c r="L137" s="91"/>
      <c r="M137" s="91"/>
      <c r="N137" s="92" t="s">
        <v>265</v>
      </c>
      <c r="O137" s="65"/>
      <c r="P137" s="65"/>
      <c r="Q137" s="65"/>
      <c r="R137" s="65"/>
      <c r="S137" s="65"/>
      <c r="T137" s="65"/>
      <c r="U137" s="65"/>
      <c r="V137" s="65"/>
      <c r="W137" s="65"/>
      <c r="X137" s="65"/>
      <c r="Y137" s="65"/>
      <c r="Z137" s="65"/>
      <c r="AA137" s="65"/>
      <c r="AB137" s="65"/>
      <c r="AC137" s="65"/>
    </row>
    <row r="138">
      <c r="A138" s="91" t="s">
        <v>261</v>
      </c>
      <c r="B138" s="91" t="s">
        <v>262</v>
      </c>
      <c r="C138" s="92" t="s">
        <v>263</v>
      </c>
      <c r="D138" s="93" t="s">
        <v>266</v>
      </c>
      <c r="E138" s="94">
        <v>37.3</v>
      </c>
      <c r="F138" s="94">
        <v>37.2</v>
      </c>
      <c r="G138" s="91"/>
      <c r="H138" s="86">
        <f t="shared" si="1"/>
        <v>-0.1</v>
      </c>
      <c r="I138" s="86">
        <f t="shared" si="4"/>
        <v>-0.1</v>
      </c>
      <c r="J138" s="95">
        <f t="shared" si="2"/>
        <v>-0.2680965147</v>
      </c>
      <c r="K138" s="95">
        <f t="shared" si="8"/>
        <v>-0.2680965147</v>
      </c>
      <c r="L138" s="91"/>
      <c r="M138" s="91"/>
      <c r="N138" s="92" t="s">
        <v>265</v>
      </c>
      <c r="O138" s="65"/>
      <c r="P138" s="65"/>
      <c r="Q138" s="65"/>
      <c r="R138" s="65"/>
      <c r="S138" s="65"/>
      <c r="T138" s="65"/>
      <c r="U138" s="65"/>
      <c r="V138" s="65"/>
      <c r="W138" s="65"/>
      <c r="X138" s="65"/>
      <c r="Y138" s="65"/>
      <c r="Z138" s="65"/>
      <c r="AA138" s="65"/>
      <c r="AB138" s="65"/>
      <c r="AC138" s="65"/>
    </row>
    <row r="139">
      <c r="A139" s="91" t="s">
        <v>261</v>
      </c>
      <c r="B139" s="91" t="s">
        <v>262</v>
      </c>
      <c r="C139" s="92" t="s">
        <v>263</v>
      </c>
      <c r="D139" s="93" t="s">
        <v>266</v>
      </c>
      <c r="E139" s="94">
        <v>32.6</v>
      </c>
      <c r="F139" s="94">
        <v>32.9</v>
      </c>
      <c r="G139" s="91"/>
      <c r="H139" s="86">
        <f t="shared" si="1"/>
        <v>0.3</v>
      </c>
      <c r="I139" s="86">
        <f t="shared" si="4"/>
        <v>0.3</v>
      </c>
      <c r="J139" s="95">
        <f t="shared" si="2"/>
        <v>0.9202453988</v>
      </c>
      <c r="K139" s="95">
        <f t="shared" si="8"/>
        <v>0.9202453988</v>
      </c>
      <c r="L139" s="91"/>
      <c r="M139" s="91"/>
      <c r="N139" s="92" t="s">
        <v>265</v>
      </c>
      <c r="O139" s="65"/>
      <c r="P139" s="65"/>
      <c r="Q139" s="65"/>
      <c r="R139" s="65"/>
      <c r="S139" s="65"/>
      <c r="T139" s="65"/>
      <c r="U139" s="65"/>
      <c r="V139" s="65"/>
      <c r="W139" s="65"/>
      <c r="X139" s="65"/>
      <c r="Y139" s="65"/>
      <c r="Z139" s="65"/>
      <c r="AA139" s="65"/>
      <c r="AB139" s="65"/>
      <c r="AC139" s="65"/>
    </row>
    <row r="140">
      <c r="A140" s="91" t="s">
        <v>261</v>
      </c>
      <c r="B140" s="91" t="s">
        <v>262</v>
      </c>
      <c r="C140" s="92" t="s">
        <v>263</v>
      </c>
      <c r="D140" s="93" t="s">
        <v>266</v>
      </c>
      <c r="E140" s="94">
        <v>48.1</v>
      </c>
      <c r="F140" s="94">
        <v>48.2</v>
      </c>
      <c r="G140" s="91"/>
      <c r="H140" s="86">
        <f t="shared" si="1"/>
        <v>0.1</v>
      </c>
      <c r="I140" s="86">
        <f t="shared" si="4"/>
        <v>0.1</v>
      </c>
      <c r="J140" s="95">
        <f t="shared" si="2"/>
        <v>0.2079002079</v>
      </c>
      <c r="K140" s="95">
        <f t="shared" si="8"/>
        <v>0.2079002079</v>
      </c>
      <c r="L140" s="91"/>
      <c r="M140" s="91"/>
      <c r="N140" s="92" t="s">
        <v>265</v>
      </c>
      <c r="O140" s="65"/>
      <c r="P140" s="65"/>
      <c r="Q140" s="65"/>
      <c r="R140" s="65"/>
      <c r="S140" s="65"/>
      <c r="T140" s="65"/>
      <c r="U140" s="65"/>
      <c r="V140" s="65"/>
      <c r="W140" s="65"/>
      <c r="X140" s="65"/>
      <c r="Y140" s="65"/>
      <c r="Z140" s="65"/>
      <c r="AA140" s="65"/>
      <c r="AB140" s="65"/>
      <c r="AC140" s="65"/>
    </row>
    <row r="141">
      <c r="A141" s="91" t="s">
        <v>261</v>
      </c>
      <c r="B141" s="91" t="s">
        <v>262</v>
      </c>
      <c r="C141" s="92" t="s">
        <v>267</v>
      </c>
      <c r="D141" s="93" t="s">
        <v>268</v>
      </c>
      <c r="E141" s="94">
        <v>48.1</v>
      </c>
      <c r="F141" s="94">
        <v>48.1</v>
      </c>
      <c r="G141" s="86"/>
      <c r="H141" s="86">
        <f t="shared" si="1"/>
        <v>0</v>
      </c>
      <c r="I141" s="86">
        <f t="shared" si="4"/>
        <v>0</v>
      </c>
      <c r="J141" s="88">
        <f t="shared" si="2"/>
        <v>0</v>
      </c>
      <c r="K141" s="88">
        <f t="shared" si="8"/>
        <v>0</v>
      </c>
      <c r="L141" s="86"/>
      <c r="M141" s="86"/>
      <c r="N141" s="87" t="s">
        <v>265</v>
      </c>
      <c r="O141" s="53"/>
      <c r="P141" s="53"/>
      <c r="Q141" s="53"/>
      <c r="R141" s="53"/>
      <c r="S141" s="53"/>
      <c r="T141" s="53"/>
      <c r="U141" s="53"/>
      <c r="V141" s="53"/>
      <c r="W141" s="53"/>
      <c r="X141" s="53"/>
      <c r="Y141" s="53"/>
      <c r="Z141" s="53"/>
      <c r="AA141" s="53"/>
      <c r="AB141" s="53"/>
      <c r="AC141" s="53"/>
    </row>
    <row r="142">
      <c r="A142" s="91" t="s">
        <v>261</v>
      </c>
      <c r="B142" s="91" t="s">
        <v>262</v>
      </c>
      <c r="C142" s="92" t="s">
        <v>267</v>
      </c>
      <c r="D142" s="93" t="s">
        <v>268</v>
      </c>
      <c r="E142" s="94">
        <v>37.8</v>
      </c>
      <c r="F142" s="94">
        <v>38.1</v>
      </c>
      <c r="G142" s="91"/>
      <c r="H142" s="86">
        <f t="shared" si="1"/>
        <v>0.3</v>
      </c>
      <c r="I142" s="86">
        <f t="shared" si="4"/>
        <v>0.3</v>
      </c>
      <c r="J142" s="95">
        <f t="shared" si="2"/>
        <v>0.7936507937</v>
      </c>
      <c r="K142" s="95">
        <f t="shared" si="8"/>
        <v>0.7936507937</v>
      </c>
      <c r="L142" s="91"/>
      <c r="M142" s="91"/>
      <c r="N142" s="92" t="s">
        <v>265</v>
      </c>
      <c r="O142" s="65"/>
      <c r="P142" s="65"/>
      <c r="Q142" s="65"/>
      <c r="R142" s="65"/>
      <c r="S142" s="65"/>
      <c r="T142" s="65"/>
      <c r="U142" s="65"/>
      <c r="V142" s="65"/>
      <c r="W142" s="65"/>
      <c r="X142" s="65"/>
      <c r="Y142" s="65"/>
      <c r="Z142" s="65"/>
      <c r="AA142" s="65"/>
      <c r="AB142" s="65"/>
      <c r="AC142" s="65"/>
    </row>
    <row r="143">
      <c r="A143" s="91" t="s">
        <v>261</v>
      </c>
      <c r="B143" s="91" t="s">
        <v>262</v>
      </c>
      <c r="C143" s="92" t="s">
        <v>267</v>
      </c>
      <c r="D143" s="93" t="s">
        <v>268</v>
      </c>
      <c r="E143" s="94">
        <v>0.3</v>
      </c>
      <c r="F143" s="94">
        <v>0.1</v>
      </c>
      <c r="G143" s="91"/>
      <c r="H143" s="86">
        <f t="shared" si="1"/>
        <v>-0.2</v>
      </c>
      <c r="I143" s="86">
        <f t="shared" si="4"/>
        <v>-0.2</v>
      </c>
      <c r="J143" s="95">
        <f t="shared" si="2"/>
        <v>-66.66666667</v>
      </c>
      <c r="K143" s="95">
        <f t="shared" si="8"/>
        <v>-66.66666667</v>
      </c>
      <c r="L143" s="91"/>
      <c r="M143" s="91"/>
      <c r="N143" s="92" t="s">
        <v>265</v>
      </c>
      <c r="O143" s="65"/>
      <c r="P143" s="65"/>
      <c r="Q143" s="65"/>
      <c r="R143" s="65"/>
      <c r="S143" s="65"/>
      <c r="T143" s="65"/>
      <c r="U143" s="65"/>
      <c r="V143" s="65"/>
      <c r="W143" s="65"/>
      <c r="X143" s="65"/>
      <c r="Y143" s="65"/>
      <c r="Z143" s="65"/>
      <c r="AA143" s="65"/>
      <c r="AB143" s="65"/>
      <c r="AC143" s="65"/>
    </row>
    <row r="144">
      <c r="A144" s="91" t="s">
        <v>261</v>
      </c>
      <c r="B144" s="91" t="s">
        <v>262</v>
      </c>
      <c r="C144" s="92" t="s">
        <v>267</v>
      </c>
      <c r="D144" s="93" t="s">
        <v>268</v>
      </c>
      <c r="E144" s="94">
        <v>48.2</v>
      </c>
      <c r="F144" s="94">
        <v>48.1</v>
      </c>
      <c r="G144" s="91"/>
      <c r="H144" s="86">
        <f t="shared" si="1"/>
        <v>-0.1</v>
      </c>
      <c r="I144" s="86">
        <f t="shared" si="4"/>
        <v>-0.1</v>
      </c>
      <c r="J144" s="95">
        <f t="shared" si="2"/>
        <v>-0.2074688797</v>
      </c>
      <c r="K144" s="95">
        <f t="shared" si="8"/>
        <v>-0.2074688797</v>
      </c>
      <c r="L144" s="91"/>
      <c r="M144" s="91"/>
      <c r="N144" s="92" t="s">
        <v>265</v>
      </c>
      <c r="O144" s="65"/>
      <c r="P144" s="65"/>
      <c r="Q144" s="65"/>
      <c r="R144" s="65"/>
      <c r="S144" s="65"/>
      <c r="T144" s="65"/>
      <c r="U144" s="65"/>
      <c r="V144" s="65"/>
      <c r="W144" s="65"/>
      <c r="X144" s="65"/>
      <c r="Y144" s="65"/>
      <c r="Z144" s="65"/>
      <c r="AA144" s="65"/>
      <c r="AB144" s="65"/>
      <c r="AC144" s="65"/>
    </row>
    <row r="145">
      <c r="A145" s="91" t="s">
        <v>261</v>
      </c>
      <c r="B145" s="91" t="s">
        <v>262</v>
      </c>
      <c r="C145" s="92" t="s">
        <v>267</v>
      </c>
      <c r="D145" s="93" t="s">
        <v>269</v>
      </c>
      <c r="E145" s="94">
        <v>48.1</v>
      </c>
      <c r="F145" s="94">
        <v>48.1</v>
      </c>
      <c r="G145" s="91"/>
      <c r="H145" s="86">
        <f t="shared" si="1"/>
        <v>0</v>
      </c>
      <c r="I145" s="86">
        <f t="shared" si="4"/>
        <v>0</v>
      </c>
      <c r="J145" s="95">
        <f t="shared" si="2"/>
        <v>0</v>
      </c>
      <c r="K145" s="95">
        <f t="shared" si="8"/>
        <v>0</v>
      </c>
      <c r="L145" s="91"/>
      <c r="M145" s="91"/>
      <c r="N145" s="92" t="s">
        <v>265</v>
      </c>
      <c r="O145" s="65"/>
      <c r="P145" s="65"/>
      <c r="Q145" s="65"/>
      <c r="R145" s="65"/>
      <c r="S145" s="65"/>
      <c r="T145" s="65"/>
      <c r="U145" s="65"/>
      <c r="V145" s="65"/>
      <c r="W145" s="65"/>
      <c r="X145" s="65"/>
      <c r="Y145" s="65"/>
      <c r="Z145" s="65"/>
      <c r="AA145" s="65"/>
      <c r="AB145" s="65"/>
      <c r="AC145" s="65"/>
    </row>
    <row r="146">
      <c r="A146" s="91" t="s">
        <v>261</v>
      </c>
      <c r="B146" s="91" t="s">
        <v>262</v>
      </c>
      <c r="C146" s="92" t="s">
        <v>267</v>
      </c>
      <c r="D146" s="93" t="s">
        <v>269</v>
      </c>
      <c r="E146" s="94">
        <v>37.8</v>
      </c>
      <c r="F146" s="94">
        <v>38.1</v>
      </c>
      <c r="G146" s="91"/>
      <c r="H146" s="86">
        <f t="shared" si="1"/>
        <v>0.3</v>
      </c>
      <c r="I146" s="86">
        <f t="shared" si="4"/>
        <v>0.3</v>
      </c>
      <c r="J146" s="95">
        <f t="shared" si="2"/>
        <v>0.7936507937</v>
      </c>
      <c r="K146" s="95">
        <f t="shared" si="8"/>
        <v>0.7936507937</v>
      </c>
      <c r="L146" s="91"/>
      <c r="M146" s="91"/>
      <c r="N146" s="92" t="s">
        <v>265</v>
      </c>
      <c r="O146" s="65"/>
      <c r="P146" s="65"/>
      <c r="Q146" s="65"/>
      <c r="R146" s="65"/>
      <c r="S146" s="65"/>
      <c r="T146" s="65"/>
      <c r="U146" s="65"/>
      <c r="V146" s="65"/>
      <c r="W146" s="65"/>
      <c r="X146" s="65"/>
      <c r="Y146" s="65"/>
      <c r="Z146" s="65"/>
      <c r="AA146" s="65"/>
      <c r="AB146" s="65"/>
      <c r="AC146" s="65"/>
    </row>
    <row r="147">
      <c r="A147" s="91" t="s">
        <v>261</v>
      </c>
      <c r="B147" s="91" t="s">
        <v>262</v>
      </c>
      <c r="C147" s="92" t="s">
        <v>267</v>
      </c>
      <c r="D147" s="93" t="s">
        <v>269</v>
      </c>
      <c r="E147" s="94">
        <v>0.3</v>
      </c>
      <c r="F147" s="94">
        <v>0.1</v>
      </c>
      <c r="G147" s="91"/>
      <c r="H147" s="86">
        <f t="shared" si="1"/>
        <v>-0.2</v>
      </c>
      <c r="I147" s="86">
        <f t="shared" si="4"/>
        <v>-0.2</v>
      </c>
      <c r="J147" s="95">
        <f t="shared" si="2"/>
        <v>-66.66666667</v>
      </c>
      <c r="K147" s="95">
        <f t="shared" si="8"/>
        <v>-66.66666667</v>
      </c>
      <c r="L147" s="91"/>
      <c r="M147" s="91"/>
      <c r="N147" s="92" t="s">
        <v>265</v>
      </c>
      <c r="O147" s="65"/>
      <c r="P147" s="65"/>
      <c r="Q147" s="65"/>
      <c r="R147" s="65"/>
      <c r="S147" s="65"/>
      <c r="T147" s="65"/>
      <c r="U147" s="65"/>
      <c r="V147" s="65"/>
      <c r="W147" s="65"/>
      <c r="X147" s="65"/>
      <c r="Y147" s="65"/>
      <c r="Z147" s="65"/>
      <c r="AA147" s="65"/>
      <c r="AB147" s="65"/>
      <c r="AC147" s="65"/>
    </row>
    <row r="148">
      <c r="A148" s="91" t="s">
        <v>261</v>
      </c>
      <c r="B148" s="91" t="s">
        <v>262</v>
      </c>
      <c r="C148" s="92" t="s">
        <v>267</v>
      </c>
      <c r="D148" s="93" t="s">
        <v>269</v>
      </c>
      <c r="E148" s="94">
        <v>48.2</v>
      </c>
      <c r="F148" s="94">
        <v>48.1</v>
      </c>
      <c r="G148" s="91"/>
      <c r="H148" s="86">
        <f t="shared" si="1"/>
        <v>-0.1</v>
      </c>
      <c r="I148" s="86">
        <f t="shared" si="4"/>
        <v>-0.1</v>
      </c>
      <c r="J148" s="95">
        <f t="shared" si="2"/>
        <v>-0.2074688797</v>
      </c>
      <c r="K148" s="95">
        <f t="shared" si="8"/>
        <v>-0.2074688797</v>
      </c>
      <c r="L148" s="91"/>
      <c r="M148" s="91"/>
      <c r="N148" s="92" t="s">
        <v>265</v>
      </c>
      <c r="O148" s="65"/>
      <c r="P148" s="65"/>
      <c r="Q148" s="65"/>
      <c r="R148" s="65"/>
      <c r="S148" s="65"/>
      <c r="T148" s="65"/>
      <c r="U148" s="65"/>
      <c r="V148" s="65"/>
      <c r="W148" s="65"/>
      <c r="X148" s="65"/>
      <c r="Y148" s="65"/>
      <c r="Z148" s="65"/>
      <c r="AA148" s="65"/>
      <c r="AB148" s="65"/>
      <c r="AC148" s="65"/>
    </row>
    <row r="149">
      <c r="A149" s="91" t="s">
        <v>261</v>
      </c>
      <c r="B149" s="91" t="s">
        <v>262</v>
      </c>
      <c r="C149" s="92" t="s">
        <v>267</v>
      </c>
      <c r="D149" s="93" t="s">
        <v>268</v>
      </c>
      <c r="E149" s="94">
        <v>48.3</v>
      </c>
      <c r="F149" s="96" t="s">
        <v>199</v>
      </c>
      <c r="G149" s="92" t="s">
        <v>199</v>
      </c>
      <c r="H149" s="86" t="str">
        <f t="shared" si="1"/>
        <v>#VALUE!</v>
      </c>
      <c r="I149" s="86" t="str">
        <f t="shared" si="4"/>
        <v>-</v>
      </c>
      <c r="J149" s="95" t="str">
        <f t="shared" si="2"/>
        <v>#VALUE!</v>
      </c>
      <c r="K149" s="95" t="str">
        <f t="shared" si="8"/>
        <v>error</v>
      </c>
      <c r="L149" s="92" t="s">
        <v>210</v>
      </c>
      <c r="M149" s="97" t="s">
        <v>270</v>
      </c>
      <c r="N149" s="92" t="s">
        <v>265</v>
      </c>
      <c r="O149" s="65"/>
      <c r="P149" s="65"/>
      <c r="Q149" s="65"/>
      <c r="R149" s="65"/>
      <c r="S149" s="65"/>
      <c r="T149" s="65"/>
      <c r="U149" s="65"/>
      <c r="V149" s="65"/>
      <c r="W149" s="65"/>
      <c r="X149" s="65"/>
      <c r="Y149" s="65"/>
      <c r="Z149" s="65"/>
      <c r="AA149" s="65"/>
      <c r="AB149" s="65"/>
      <c r="AC149" s="65"/>
    </row>
    <row r="150">
      <c r="A150" s="91" t="s">
        <v>261</v>
      </c>
      <c r="B150" s="91" t="s">
        <v>262</v>
      </c>
      <c r="C150" s="92" t="s">
        <v>267</v>
      </c>
      <c r="D150" s="93" t="s">
        <v>268</v>
      </c>
      <c r="E150" s="94">
        <v>35.5</v>
      </c>
      <c r="F150" s="96" t="s">
        <v>199</v>
      </c>
      <c r="G150" s="92" t="s">
        <v>199</v>
      </c>
      <c r="H150" s="86" t="str">
        <f t="shared" si="1"/>
        <v>#VALUE!</v>
      </c>
      <c r="I150" s="86" t="str">
        <f t="shared" si="4"/>
        <v>-</v>
      </c>
      <c r="J150" s="95" t="str">
        <f t="shared" si="2"/>
        <v>#VALUE!</v>
      </c>
      <c r="K150" s="95" t="str">
        <f t="shared" si="8"/>
        <v>error</v>
      </c>
      <c r="L150" s="92" t="s">
        <v>210</v>
      </c>
      <c r="M150" s="93" t="s">
        <v>270</v>
      </c>
      <c r="N150" s="92" t="s">
        <v>265</v>
      </c>
      <c r="O150" s="65"/>
      <c r="P150" s="65"/>
      <c r="Q150" s="65"/>
      <c r="R150" s="65"/>
      <c r="S150" s="65"/>
      <c r="T150" s="65"/>
      <c r="U150" s="65"/>
      <c r="V150" s="65"/>
      <c r="W150" s="65"/>
      <c r="X150" s="65"/>
      <c r="Y150" s="65"/>
      <c r="Z150" s="65"/>
      <c r="AA150" s="65"/>
      <c r="AB150" s="65"/>
      <c r="AC150" s="65"/>
    </row>
    <row r="151">
      <c r="A151" s="91" t="s">
        <v>261</v>
      </c>
      <c r="B151" s="91" t="s">
        <v>262</v>
      </c>
      <c r="C151" s="92" t="s">
        <v>267</v>
      </c>
      <c r="D151" s="93" t="s">
        <v>268</v>
      </c>
      <c r="E151" s="94">
        <v>31.9</v>
      </c>
      <c r="F151" s="96" t="s">
        <v>199</v>
      </c>
      <c r="G151" s="92" t="s">
        <v>199</v>
      </c>
      <c r="H151" s="86" t="str">
        <f t="shared" si="1"/>
        <v>#VALUE!</v>
      </c>
      <c r="I151" s="86" t="str">
        <f t="shared" si="4"/>
        <v>-</v>
      </c>
      <c r="J151" s="95" t="str">
        <f t="shared" si="2"/>
        <v>#VALUE!</v>
      </c>
      <c r="K151" s="95" t="str">
        <f t="shared" si="8"/>
        <v>error</v>
      </c>
      <c r="L151" s="92" t="s">
        <v>210</v>
      </c>
      <c r="M151" s="93" t="s">
        <v>270</v>
      </c>
      <c r="N151" s="92" t="s">
        <v>265</v>
      </c>
      <c r="O151" s="65"/>
      <c r="P151" s="65"/>
      <c r="Q151" s="65"/>
      <c r="R151" s="65"/>
      <c r="S151" s="65"/>
      <c r="T151" s="65"/>
      <c r="U151" s="65"/>
      <c r="V151" s="65"/>
      <c r="W151" s="65"/>
      <c r="X151" s="65"/>
      <c r="Y151" s="65"/>
      <c r="Z151" s="65"/>
      <c r="AA151" s="65"/>
      <c r="AB151" s="65"/>
      <c r="AC151" s="65"/>
    </row>
    <row r="152">
      <c r="A152" s="91" t="s">
        <v>261</v>
      </c>
      <c r="B152" s="91" t="s">
        <v>262</v>
      </c>
      <c r="C152" s="92" t="s">
        <v>267</v>
      </c>
      <c r="D152" s="93" t="s">
        <v>268</v>
      </c>
      <c r="E152" s="94">
        <v>46.9</v>
      </c>
      <c r="F152" s="96" t="s">
        <v>199</v>
      </c>
      <c r="G152" s="92" t="s">
        <v>199</v>
      </c>
      <c r="H152" s="86" t="str">
        <f t="shared" si="1"/>
        <v>#VALUE!</v>
      </c>
      <c r="I152" s="86" t="str">
        <f t="shared" si="4"/>
        <v>-</v>
      </c>
      <c r="J152" s="95" t="str">
        <f t="shared" si="2"/>
        <v>#VALUE!</v>
      </c>
      <c r="K152" s="95" t="str">
        <f t="shared" si="8"/>
        <v>error</v>
      </c>
      <c r="L152" s="92" t="s">
        <v>210</v>
      </c>
      <c r="M152" s="93" t="s">
        <v>270</v>
      </c>
      <c r="N152" s="92" t="s">
        <v>265</v>
      </c>
      <c r="O152" s="65"/>
      <c r="P152" s="65"/>
      <c r="Q152" s="65"/>
      <c r="R152" s="65"/>
      <c r="S152" s="65"/>
      <c r="T152" s="65"/>
      <c r="U152" s="65"/>
      <c r="V152" s="65"/>
      <c r="W152" s="65"/>
      <c r="X152" s="65"/>
      <c r="Y152" s="65"/>
      <c r="Z152" s="65"/>
      <c r="AA152" s="65"/>
      <c r="AB152" s="65"/>
      <c r="AC152" s="65"/>
    </row>
    <row r="153">
      <c r="A153" s="91" t="s">
        <v>261</v>
      </c>
      <c r="B153" s="91" t="s">
        <v>262</v>
      </c>
      <c r="C153" s="92" t="s">
        <v>267</v>
      </c>
      <c r="D153" s="93" t="s">
        <v>269</v>
      </c>
      <c r="E153" s="94">
        <v>48.1</v>
      </c>
      <c r="F153" s="96" t="s">
        <v>199</v>
      </c>
      <c r="G153" s="92" t="s">
        <v>199</v>
      </c>
      <c r="H153" s="86" t="str">
        <f t="shared" si="1"/>
        <v>#VALUE!</v>
      </c>
      <c r="I153" s="86" t="str">
        <f t="shared" si="4"/>
        <v>-</v>
      </c>
      <c r="J153" s="95" t="str">
        <f t="shared" si="2"/>
        <v>#VALUE!</v>
      </c>
      <c r="K153" s="95" t="str">
        <f t="shared" si="8"/>
        <v>error</v>
      </c>
      <c r="L153" s="92" t="s">
        <v>210</v>
      </c>
      <c r="M153" s="93" t="s">
        <v>270</v>
      </c>
      <c r="N153" s="92" t="s">
        <v>265</v>
      </c>
      <c r="O153" s="65"/>
      <c r="P153" s="65"/>
      <c r="Q153" s="65"/>
      <c r="R153" s="65"/>
      <c r="S153" s="65"/>
      <c r="T153" s="65"/>
      <c r="U153" s="65"/>
      <c r="V153" s="65"/>
      <c r="W153" s="65"/>
      <c r="X153" s="65"/>
      <c r="Y153" s="65"/>
      <c r="Z153" s="65"/>
      <c r="AA153" s="65"/>
      <c r="AB153" s="65"/>
      <c r="AC153" s="65"/>
    </row>
    <row r="154">
      <c r="A154" s="91" t="s">
        <v>261</v>
      </c>
      <c r="B154" s="91" t="s">
        <v>262</v>
      </c>
      <c r="C154" s="92" t="s">
        <v>267</v>
      </c>
      <c r="D154" s="93" t="s">
        <v>269</v>
      </c>
      <c r="E154" s="94">
        <v>34.9</v>
      </c>
      <c r="F154" s="96" t="s">
        <v>199</v>
      </c>
      <c r="G154" s="92" t="s">
        <v>199</v>
      </c>
      <c r="H154" s="86" t="str">
        <f t="shared" si="1"/>
        <v>#VALUE!</v>
      </c>
      <c r="I154" s="86" t="str">
        <f t="shared" si="4"/>
        <v>-</v>
      </c>
      <c r="J154" s="95" t="str">
        <f t="shared" si="2"/>
        <v>#VALUE!</v>
      </c>
      <c r="K154" s="95" t="str">
        <f t="shared" si="8"/>
        <v>error</v>
      </c>
      <c r="L154" s="92" t="s">
        <v>210</v>
      </c>
      <c r="M154" s="93" t="s">
        <v>270</v>
      </c>
      <c r="N154" s="92" t="s">
        <v>265</v>
      </c>
      <c r="O154" s="65"/>
      <c r="P154" s="65"/>
      <c r="Q154" s="65"/>
      <c r="R154" s="65"/>
      <c r="S154" s="65"/>
      <c r="T154" s="65"/>
      <c r="U154" s="65"/>
      <c r="V154" s="65"/>
      <c r="W154" s="65"/>
      <c r="X154" s="65"/>
      <c r="Y154" s="65"/>
      <c r="Z154" s="65"/>
      <c r="AA154" s="65"/>
      <c r="AB154" s="65"/>
      <c r="AC154" s="65"/>
    </row>
    <row r="155">
      <c r="A155" s="91" t="s">
        <v>261</v>
      </c>
      <c r="B155" s="91" t="s">
        <v>262</v>
      </c>
      <c r="C155" s="92" t="s">
        <v>267</v>
      </c>
      <c r="D155" s="93" t="s">
        <v>269</v>
      </c>
      <c r="E155" s="94">
        <v>30.8</v>
      </c>
      <c r="F155" s="96" t="s">
        <v>199</v>
      </c>
      <c r="G155" s="92" t="s">
        <v>199</v>
      </c>
      <c r="H155" s="86" t="str">
        <f t="shared" si="1"/>
        <v>#VALUE!</v>
      </c>
      <c r="I155" s="86" t="str">
        <f t="shared" si="4"/>
        <v>-</v>
      </c>
      <c r="J155" s="95" t="str">
        <f t="shared" si="2"/>
        <v>#VALUE!</v>
      </c>
      <c r="K155" s="95" t="str">
        <f t="shared" si="8"/>
        <v>error</v>
      </c>
      <c r="L155" s="92" t="s">
        <v>210</v>
      </c>
      <c r="M155" s="93" t="s">
        <v>270</v>
      </c>
      <c r="N155" s="92" t="s">
        <v>265</v>
      </c>
      <c r="O155" s="65"/>
      <c r="P155" s="65"/>
      <c r="Q155" s="65"/>
      <c r="R155" s="65"/>
      <c r="S155" s="65"/>
      <c r="T155" s="65"/>
      <c r="U155" s="65"/>
      <c r="V155" s="65"/>
      <c r="W155" s="65"/>
      <c r="X155" s="65"/>
      <c r="Y155" s="65"/>
      <c r="Z155" s="65"/>
      <c r="AA155" s="65"/>
      <c r="AB155" s="65"/>
      <c r="AC155" s="65"/>
    </row>
    <row r="156">
      <c r="A156" s="91" t="s">
        <v>261</v>
      </c>
      <c r="B156" s="91" t="s">
        <v>262</v>
      </c>
      <c r="C156" s="92" t="s">
        <v>267</v>
      </c>
      <c r="D156" s="93" t="s">
        <v>269</v>
      </c>
      <c r="E156" s="94">
        <v>46.5</v>
      </c>
      <c r="F156" s="96" t="s">
        <v>199</v>
      </c>
      <c r="G156" s="92" t="s">
        <v>199</v>
      </c>
      <c r="H156" s="86" t="str">
        <f t="shared" si="1"/>
        <v>#VALUE!</v>
      </c>
      <c r="I156" s="86" t="str">
        <f t="shared" si="4"/>
        <v>-</v>
      </c>
      <c r="J156" s="95" t="str">
        <f t="shared" si="2"/>
        <v>#VALUE!</v>
      </c>
      <c r="K156" s="95" t="str">
        <f t="shared" si="8"/>
        <v>error</v>
      </c>
      <c r="L156" s="92" t="s">
        <v>210</v>
      </c>
      <c r="M156" s="93" t="s">
        <v>270</v>
      </c>
      <c r="N156" s="92" t="s">
        <v>265</v>
      </c>
      <c r="O156" s="65"/>
      <c r="P156" s="65"/>
      <c r="Q156" s="65"/>
      <c r="R156" s="65"/>
      <c r="S156" s="65"/>
      <c r="T156" s="65"/>
      <c r="U156" s="65"/>
      <c r="V156" s="65"/>
      <c r="W156" s="65"/>
      <c r="X156" s="65"/>
      <c r="Y156" s="65"/>
      <c r="Z156" s="65"/>
      <c r="AA156" s="65"/>
      <c r="AB156" s="65"/>
      <c r="AC156" s="65"/>
    </row>
    <row r="157">
      <c r="A157" s="91" t="s">
        <v>261</v>
      </c>
      <c r="B157" s="91" t="s">
        <v>262</v>
      </c>
      <c r="C157" s="92" t="s">
        <v>267</v>
      </c>
      <c r="D157" s="93" t="s">
        <v>268</v>
      </c>
      <c r="E157" s="94">
        <v>0.0</v>
      </c>
      <c r="F157" s="94">
        <v>43.1</v>
      </c>
      <c r="G157" s="91"/>
      <c r="H157" s="86">
        <f t="shared" si="1"/>
        <v>43.1</v>
      </c>
      <c r="I157" s="86">
        <f t="shared" si="4"/>
        <v>43.1</v>
      </c>
      <c r="J157" s="95" t="str">
        <f t="shared" si="2"/>
        <v>#DIV/0!</v>
      </c>
      <c r="K157" s="95" t="str">
        <f t="shared" si="8"/>
        <v>error</v>
      </c>
      <c r="L157" s="91"/>
      <c r="M157" s="91"/>
      <c r="N157" s="92" t="s">
        <v>265</v>
      </c>
      <c r="O157" s="65"/>
      <c r="P157" s="65"/>
      <c r="Q157" s="65"/>
      <c r="R157" s="65"/>
      <c r="S157" s="65"/>
      <c r="T157" s="65"/>
      <c r="U157" s="65"/>
      <c r="V157" s="65"/>
      <c r="W157" s="65"/>
      <c r="X157" s="65"/>
      <c r="Y157" s="65"/>
      <c r="Z157" s="65"/>
      <c r="AA157" s="65"/>
      <c r="AB157" s="65"/>
      <c r="AC157" s="65"/>
    </row>
    <row r="158">
      <c r="A158" s="91" t="s">
        <v>261</v>
      </c>
      <c r="B158" s="91" t="s">
        <v>262</v>
      </c>
      <c r="C158" s="92" t="s">
        <v>267</v>
      </c>
      <c r="D158" s="93" t="s">
        <v>268</v>
      </c>
      <c r="E158" s="94">
        <v>0.0</v>
      </c>
      <c r="F158" s="94">
        <v>32.9</v>
      </c>
      <c r="G158" s="91"/>
      <c r="H158" s="86">
        <f t="shared" si="1"/>
        <v>32.9</v>
      </c>
      <c r="I158" s="86">
        <f t="shared" si="4"/>
        <v>32.9</v>
      </c>
      <c r="J158" s="95" t="str">
        <f t="shared" si="2"/>
        <v>#DIV/0!</v>
      </c>
      <c r="K158" s="95" t="str">
        <f t="shared" si="8"/>
        <v>error</v>
      </c>
      <c r="L158" s="91"/>
      <c r="M158" s="91"/>
      <c r="N158" s="92" t="s">
        <v>265</v>
      </c>
      <c r="O158" s="65"/>
      <c r="P158" s="65"/>
      <c r="Q158" s="65"/>
      <c r="R158" s="65"/>
      <c r="S158" s="65"/>
      <c r="T158" s="65"/>
      <c r="U158" s="65"/>
      <c r="V158" s="65"/>
      <c r="W158" s="65"/>
      <c r="X158" s="65"/>
      <c r="Y158" s="65"/>
      <c r="Z158" s="65"/>
      <c r="AA158" s="65"/>
      <c r="AB158" s="65"/>
      <c r="AC158" s="65"/>
    </row>
    <row r="159">
      <c r="A159" s="91" t="s">
        <v>261</v>
      </c>
      <c r="B159" s="91" t="s">
        <v>262</v>
      </c>
      <c r="C159" s="92" t="s">
        <v>267</v>
      </c>
      <c r="D159" s="93" t="s">
        <v>268</v>
      </c>
      <c r="E159" s="94">
        <v>0.0</v>
      </c>
      <c r="F159" s="94">
        <v>28.0</v>
      </c>
      <c r="G159" s="91"/>
      <c r="H159" s="86">
        <f t="shared" si="1"/>
        <v>28</v>
      </c>
      <c r="I159" s="86">
        <f t="shared" si="4"/>
        <v>28</v>
      </c>
      <c r="J159" s="95" t="str">
        <f t="shared" si="2"/>
        <v>#DIV/0!</v>
      </c>
      <c r="K159" s="95" t="str">
        <f t="shared" si="8"/>
        <v>error</v>
      </c>
      <c r="L159" s="91"/>
      <c r="M159" s="91"/>
      <c r="N159" s="92" t="s">
        <v>265</v>
      </c>
      <c r="O159" s="65"/>
      <c r="P159" s="65"/>
      <c r="Q159" s="65"/>
      <c r="R159" s="65"/>
      <c r="S159" s="65"/>
      <c r="T159" s="65"/>
      <c r="U159" s="65"/>
      <c r="V159" s="65"/>
      <c r="W159" s="65"/>
      <c r="X159" s="65"/>
      <c r="Y159" s="65"/>
      <c r="Z159" s="65"/>
      <c r="AA159" s="65"/>
      <c r="AB159" s="65"/>
      <c r="AC159" s="65"/>
    </row>
    <row r="160">
      <c r="A160" s="91" t="s">
        <v>261</v>
      </c>
      <c r="B160" s="91" t="s">
        <v>262</v>
      </c>
      <c r="C160" s="92" t="s">
        <v>267</v>
      </c>
      <c r="D160" s="93" t="s">
        <v>268</v>
      </c>
      <c r="E160" s="94">
        <v>0.0</v>
      </c>
      <c r="F160" s="94">
        <v>42.9</v>
      </c>
      <c r="G160" s="91"/>
      <c r="H160" s="86">
        <f t="shared" si="1"/>
        <v>42.9</v>
      </c>
      <c r="I160" s="86">
        <f t="shared" si="4"/>
        <v>42.9</v>
      </c>
      <c r="J160" s="95" t="str">
        <f t="shared" si="2"/>
        <v>#DIV/0!</v>
      </c>
      <c r="K160" s="95" t="str">
        <f t="shared" si="8"/>
        <v>error</v>
      </c>
      <c r="L160" s="91"/>
      <c r="M160" s="91"/>
      <c r="N160" s="92" t="s">
        <v>265</v>
      </c>
      <c r="O160" s="65"/>
      <c r="P160" s="65"/>
      <c r="Q160" s="65"/>
      <c r="R160" s="65"/>
      <c r="S160" s="65"/>
      <c r="T160" s="65"/>
      <c r="U160" s="65"/>
      <c r="V160" s="65"/>
      <c r="W160" s="65"/>
      <c r="X160" s="65"/>
      <c r="Y160" s="65"/>
      <c r="Z160" s="65"/>
      <c r="AA160" s="65"/>
      <c r="AB160" s="65"/>
      <c r="AC160" s="65"/>
    </row>
    <row r="161">
      <c r="A161" s="91" t="s">
        <v>261</v>
      </c>
      <c r="B161" s="91" t="s">
        <v>262</v>
      </c>
      <c r="C161" s="92" t="s">
        <v>267</v>
      </c>
      <c r="D161" s="93" t="s">
        <v>269</v>
      </c>
      <c r="E161" s="94">
        <v>0.0</v>
      </c>
      <c r="F161" s="94">
        <v>42.8</v>
      </c>
      <c r="G161" s="91"/>
      <c r="H161" s="86">
        <f t="shared" si="1"/>
        <v>42.8</v>
      </c>
      <c r="I161" s="86">
        <f t="shared" si="4"/>
        <v>42.8</v>
      </c>
      <c r="J161" s="95" t="str">
        <f t="shared" si="2"/>
        <v>#DIV/0!</v>
      </c>
      <c r="K161" s="95" t="str">
        <f t="shared" si="8"/>
        <v>error</v>
      </c>
      <c r="L161" s="91"/>
      <c r="M161" s="91"/>
      <c r="N161" s="92" t="s">
        <v>265</v>
      </c>
      <c r="O161" s="65"/>
      <c r="P161" s="65"/>
      <c r="Q161" s="65"/>
      <c r="R161" s="65"/>
      <c r="S161" s="65"/>
      <c r="T161" s="65"/>
      <c r="U161" s="65"/>
      <c r="V161" s="65"/>
      <c r="W161" s="65"/>
      <c r="X161" s="65"/>
      <c r="Y161" s="65"/>
      <c r="Z161" s="65"/>
      <c r="AA161" s="65"/>
      <c r="AB161" s="65"/>
      <c r="AC161" s="65"/>
    </row>
    <row r="162">
      <c r="A162" s="91" t="s">
        <v>261</v>
      </c>
      <c r="B162" s="91" t="s">
        <v>262</v>
      </c>
      <c r="C162" s="92" t="s">
        <v>267</v>
      </c>
      <c r="D162" s="93" t="s">
        <v>269</v>
      </c>
      <c r="E162" s="94">
        <v>0.0</v>
      </c>
      <c r="F162" s="94">
        <v>32.7</v>
      </c>
      <c r="G162" s="91"/>
      <c r="H162" s="86">
        <f t="shared" si="1"/>
        <v>32.7</v>
      </c>
      <c r="I162" s="86">
        <f t="shared" si="4"/>
        <v>32.7</v>
      </c>
      <c r="J162" s="95" t="str">
        <f t="shared" si="2"/>
        <v>#DIV/0!</v>
      </c>
      <c r="K162" s="95" t="str">
        <f t="shared" si="8"/>
        <v>error</v>
      </c>
      <c r="L162" s="91"/>
      <c r="M162" s="91"/>
      <c r="N162" s="92" t="s">
        <v>265</v>
      </c>
      <c r="O162" s="65"/>
      <c r="P162" s="65"/>
      <c r="Q162" s="65"/>
      <c r="R162" s="65"/>
      <c r="S162" s="65"/>
      <c r="T162" s="65"/>
      <c r="U162" s="65"/>
      <c r="V162" s="65"/>
      <c r="W162" s="65"/>
      <c r="X162" s="65"/>
      <c r="Y162" s="65"/>
      <c r="Z162" s="65"/>
      <c r="AA162" s="65"/>
      <c r="AB162" s="65"/>
      <c r="AC162" s="65"/>
    </row>
    <row r="163">
      <c r="A163" s="91" t="s">
        <v>261</v>
      </c>
      <c r="B163" s="91" t="s">
        <v>262</v>
      </c>
      <c r="C163" s="92" t="s">
        <v>267</v>
      </c>
      <c r="D163" s="93" t="s">
        <v>269</v>
      </c>
      <c r="E163" s="94">
        <v>0.0</v>
      </c>
      <c r="F163" s="94">
        <v>26.9</v>
      </c>
      <c r="G163" s="91"/>
      <c r="H163" s="86">
        <f t="shared" si="1"/>
        <v>26.9</v>
      </c>
      <c r="I163" s="86">
        <f t="shared" si="4"/>
        <v>26.9</v>
      </c>
      <c r="J163" s="95" t="str">
        <f t="shared" si="2"/>
        <v>#DIV/0!</v>
      </c>
      <c r="K163" s="95" t="str">
        <f t="shared" si="8"/>
        <v>error</v>
      </c>
      <c r="L163" s="91"/>
      <c r="M163" s="91"/>
      <c r="N163" s="92" t="s">
        <v>265</v>
      </c>
      <c r="O163" s="65"/>
      <c r="P163" s="65"/>
      <c r="Q163" s="65"/>
      <c r="R163" s="65"/>
      <c r="S163" s="65"/>
      <c r="T163" s="65"/>
      <c r="U163" s="65"/>
      <c r="V163" s="65"/>
      <c r="W163" s="65"/>
      <c r="X163" s="65"/>
      <c r="Y163" s="65"/>
      <c r="Z163" s="65"/>
      <c r="AA163" s="65"/>
      <c r="AB163" s="65"/>
      <c r="AC163" s="65"/>
    </row>
    <row r="164">
      <c r="A164" s="91" t="s">
        <v>261</v>
      </c>
      <c r="B164" s="91" t="s">
        <v>262</v>
      </c>
      <c r="C164" s="92" t="s">
        <v>267</v>
      </c>
      <c r="D164" s="93" t="s">
        <v>269</v>
      </c>
      <c r="E164" s="94">
        <v>0.0</v>
      </c>
      <c r="F164" s="94">
        <v>42.5</v>
      </c>
      <c r="G164" s="91"/>
      <c r="H164" s="86">
        <f t="shared" si="1"/>
        <v>42.5</v>
      </c>
      <c r="I164" s="86">
        <f t="shared" si="4"/>
        <v>42.5</v>
      </c>
      <c r="J164" s="95" t="str">
        <f t="shared" si="2"/>
        <v>#DIV/0!</v>
      </c>
      <c r="K164" s="95" t="str">
        <f t="shared" si="8"/>
        <v>error</v>
      </c>
      <c r="L164" s="91"/>
      <c r="M164" s="91"/>
      <c r="N164" s="92" t="s">
        <v>265</v>
      </c>
      <c r="O164" s="65"/>
      <c r="P164" s="65"/>
      <c r="Q164" s="65"/>
      <c r="R164" s="65"/>
      <c r="S164" s="65"/>
      <c r="T164" s="65"/>
      <c r="U164" s="65"/>
      <c r="V164" s="65"/>
      <c r="W164" s="65"/>
      <c r="X164" s="65"/>
      <c r="Y164" s="65"/>
      <c r="Z164" s="65"/>
      <c r="AA164" s="65"/>
      <c r="AB164" s="65"/>
      <c r="AC164" s="65"/>
    </row>
    <row r="165">
      <c r="A165" s="91" t="s">
        <v>261</v>
      </c>
      <c r="B165" s="91" t="s">
        <v>262</v>
      </c>
      <c r="C165" s="92" t="s">
        <v>267</v>
      </c>
      <c r="D165" s="93" t="s">
        <v>268</v>
      </c>
      <c r="E165" s="94">
        <v>48.3</v>
      </c>
      <c r="F165" s="94">
        <v>49.1</v>
      </c>
      <c r="G165" s="91"/>
      <c r="H165" s="86">
        <f t="shared" si="1"/>
        <v>0.8</v>
      </c>
      <c r="I165" s="86">
        <f t="shared" si="4"/>
        <v>0.8</v>
      </c>
      <c r="J165" s="95">
        <f t="shared" si="2"/>
        <v>1.6563147</v>
      </c>
      <c r="K165" s="95">
        <f t="shared" si="8"/>
        <v>1.6563147</v>
      </c>
      <c r="L165" s="91"/>
      <c r="M165" s="91"/>
      <c r="N165" s="92" t="s">
        <v>265</v>
      </c>
      <c r="O165" s="65"/>
      <c r="P165" s="65"/>
      <c r="Q165" s="65"/>
      <c r="R165" s="65"/>
      <c r="S165" s="65"/>
      <c r="T165" s="65"/>
      <c r="U165" s="65"/>
      <c r="V165" s="65"/>
      <c r="W165" s="65"/>
      <c r="X165" s="65"/>
      <c r="Y165" s="65"/>
      <c r="Z165" s="65"/>
      <c r="AA165" s="65"/>
      <c r="AB165" s="65"/>
      <c r="AC165" s="65"/>
    </row>
    <row r="166">
      <c r="A166" s="91" t="s">
        <v>261</v>
      </c>
      <c r="B166" s="91" t="s">
        <v>262</v>
      </c>
      <c r="C166" s="92" t="s">
        <v>267</v>
      </c>
      <c r="D166" s="93" t="s">
        <v>268</v>
      </c>
      <c r="E166" s="94">
        <v>36.2</v>
      </c>
      <c r="F166" s="94">
        <v>37.3</v>
      </c>
      <c r="G166" s="91"/>
      <c r="H166" s="86">
        <f t="shared" si="1"/>
        <v>1.1</v>
      </c>
      <c r="I166" s="86">
        <f t="shared" si="4"/>
        <v>1.1</v>
      </c>
      <c r="J166" s="95">
        <f t="shared" si="2"/>
        <v>3.038674033</v>
      </c>
      <c r="K166" s="95">
        <f t="shared" si="8"/>
        <v>3.038674033</v>
      </c>
      <c r="L166" s="91"/>
      <c r="M166" s="91"/>
      <c r="N166" s="92" t="s">
        <v>265</v>
      </c>
      <c r="O166" s="65"/>
      <c r="P166" s="65"/>
      <c r="Q166" s="65"/>
      <c r="R166" s="65"/>
      <c r="S166" s="65"/>
      <c r="T166" s="65"/>
      <c r="U166" s="65"/>
      <c r="V166" s="65"/>
      <c r="W166" s="65"/>
      <c r="X166" s="65"/>
      <c r="Y166" s="65"/>
      <c r="Z166" s="65"/>
      <c r="AA166" s="65"/>
      <c r="AB166" s="65"/>
      <c r="AC166" s="65"/>
    </row>
    <row r="167">
      <c r="A167" s="91" t="s">
        <v>261</v>
      </c>
      <c r="B167" s="91" t="s">
        <v>262</v>
      </c>
      <c r="C167" s="92" t="s">
        <v>267</v>
      </c>
      <c r="D167" s="93" t="s">
        <v>268</v>
      </c>
      <c r="E167" s="94">
        <v>31.4</v>
      </c>
      <c r="F167" s="94">
        <v>33.1</v>
      </c>
      <c r="G167" s="91"/>
      <c r="H167" s="86">
        <f t="shared" si="1"/>
        <v>1.7</v>
      </c>
      <c r="I167" s="86">
        <f t="shared" si="4"/>
        <v>1.7</v>
      </c>
      <c r="J167" s="95">
        <f t="shared" si="2"/>
        <v>5.414012739</v>
      </c>
      <c r="K167" s="95">
        <f t="shared" si="8"/>
        <v>5.414012739</v>
      </c>
      <c r="L167" s="91"/>
      <c r="M167" s="91"/>
      <c r="N167" s="92" t="s">
        <v>265</v>
      </c>
      <c r="O167" s="65"/>
      <c r="P167" s="65"/>
      <c r="Q167" s="65"/>
      <c r="R167" s="65"/>
      <c r="S167" s="65"/>
      <c r="T167" s="65"/>
      <c r="U167" s="65"/>
      <c r="V167" s="65"/>
      <c r="W167" s="65"/>
      <c r="X167" s="65"/>
      <c r="Y167" s="65"/>
      <c r="Z167" s="65"/>
      <c r="AA167" s="65"/>
      <c r="AB167" s="65"/>
      <c r="AC167" s="65"/>
    </row>
    <row r="168">
      <c r="A168" s="91" t="s">
        <v>261</v>
      </c>
      <c r="B168" s="91" t="s">
        <v>262</v>
      </c>
      <c r="C168" s="92" t="s">
        <v>267</v>
      </c>
      <c r="D168" s="93" t="s">
        <v>268</v>
      </c>
      <c r="E168" s="94">
        <v>46.0</v>
      </c>
      <c r="F168" s="94">
        <v>47.5</v>
      </c>
      <c r="G168" s="91"/>
      <c r="H168" s="86">
        <f t="shared" si="1"/>
        <v>1.5</v>
      </c>
      <c r="I168" s="86">
        <f t="shared" si="4"/>
        <v>1.5</v>
      </c>
      <c r="J168" s="95">
        <f t="shared" si="2"/>
        <v>3.260869565</v>
      </c>
      <c r="K168" s="95">
        <f t="shared" si="8"/>
        <v>3.260869565</v>
      </c>
      <c r="L168" s="91"/>
      <c r="M168" s="91"/>
      <c r="N168" s="92" t="s">
        <v>265</v>
      </c>
      <c r="O168" s="65"/>
      <c r="P168" s="65"/>
      <c r="Q168" s="65"/>
      <c r="R168" s="65"/>
      <c r="S168" s="65"/>
      <c r="T168" s="65"/>
      <c r="U168" s="65"/>
      <c r="V168" s="65"/>
      <c r="W168" s="65"/>
      <c r="X168" s="65"/>
      <c r="Y168" s="65"/>
      <c r="Z168" s="65"/>
      <c r="AA168" s="65"/>
      <c r="AB168" s="65"/>
      <c r="AC168" s="65"/>
    </row>
    <row r="169">
      <c r="A169" s="91" t="s">
        <v>261</v>
      </c>
      <c r="B169" s="91" t="s">
        <v>262</v>
      </c>
      <c r="C169" s="92" t="s">
        <v>267</v>
      </c>
      <c r="D169" s="93" t="s">
        <v>269</v>
      </c>
      <c r="E169" s="94">
        <v>48.0</v>
      </c>
      <c r="F169" s="94">
        <v>48.6</v>
      </c>
      <c r="G169" s="91"/>
      <c r="H169" s="86">
        <f t="shared" si="1"/>
        <v>0.6</v>
      </c>
      <c r="I169" s="86">
        <f t="shared" si="4"/>
        <v>0.6</v>
      </c>
      <c r="J169" s="95">
        <f t="shared" si="2"/>
        <v>1.25</v>
      </c>
      <c r="K169" s="95">
        <f t="shared" si="8"/>
        <v>1.25</v>
      </c>
      <c r="L169" s="91"/>
      <c r="M169" s="91"/>
      <c r="N169" s="92" t="s">
        <v>265</v>
      </c>
      <c r="O169" s="65"/>
      <c r="P169" s="65"/>
      <c r="Q169" s="65"/>
      <c r="R169" s="65"/>
      <c r="S169" s="65"/>
      <c r="T169" s="65"/>
      <c r="U169" s="65"/>
      <c r="V169" s="65"/>
      <c r="W169" s="65"/>
      <c r="X169" s="65"/>
      <c r="Y169" s="65"/>
      <c r="Z169" s="65"/>
      <c r="AA169" s="65"/>
      <c r="AB169" s="65"/>
      <c r="AC169" s="65"/>
    </row>
    <row r="170">
      <c r="A170" s="91" t="s">
        <v>261</v>
      </c>
      <c r="B170" s="91" t="s">
        <v>262</v>
      </c>
      <c r="C170" s="92" t="s">
        <v>267</v>
      </c>
      <c r="D170" s="93" t="s">
        <v>269</v>
      </c>
      <c r="E170" s="94">
        <v>35.8</v>
      </c>
      <c r="F170" s="94">
        <v>37.0</v>
      </c>
      <c r="G170" s="91"/>
      <c r="H170" s="86">
        <f t="shared" si="1"/>
        <v>1.2</v>
      </c>
      <c r="I170" s="86">
        <f t="shared" si="4"/>
        <v>1.2</v>
      </c>
      <c r="J170" s="95">
        <f t="shared" si="2"/>
        <v>3.351955307</v>
      </c>
      <c r="K170" s="95">
        <f t="shared" si="8"/>
        <v>3.351955307</v>
      </c>
      <c r="L170" s="91"/>
      <c r="M170" s="91"/>
      <c r="N170" s="92" t="s">
        <v>265</v>
      </c>
      <c r="O170" s="65"/>
      <c r="P170" s="65"/>
      <c r="Q170" s="65"/>
      <c r="R170" s="65"/>
      <c r="S170" s="65"/>
      <c r="T170" s="65"/>
      <c r="U170" s="65"/>
      <c r="V170" s="65"/>
      <c r="W170" s="65"/>
      <c r="X170" s="65"/>
      <c r="Y170" s="65"/>
      <c r="Z170" s="65"/>
      <c r="AA170" s="65"/>
      <c r="AB170" s="65"/>
      <c r="AC170" s="65"/>
    </row>
    <row r="171">
      <c r="A171" s="91" t="s">
        <v>261</v>
      </c>
      <c r="B171" s="91" t="s">
        <v>262</v>
      </c>
      <c r="C171" s="92" t="s">
        <v>267</v>
      </c>
      <c r="D171" s="93" t="s">
        <v>269</v>
      </c>
      <c r="E171" s="94">
        <v>24.9</v>
      </c>
      <c r="F171" s="94">
        <v>32.0</v>
      </c>
      <c r="G171" s="91"/>
      <c r="H171" s="86">
        <f t="shared" si="1"/>
        <v>7.1</v>
      </c>
      <c r="I171" s="86">
        <f t="shared" si="4"/>
        <v>7.1</v>
      </c>
      <c r="J171" s="95">
        <f t="shared" si="2"/>
        <v>28.51405622</v>
      </c>
      <c r="K171" s="95">
        <f t="shared" si="8"/>
        <v>28.51405622</v>
      </c>
      <c r="L171" s="91"/>
      <c r="M171" s="91"/>
      <c r="N171" s="92" t="s">
        <v>265</v>
      </c>
      <c r="O171" s="65"/>
      <c r="P171" s="65"/>
      <c r="Q171" s="65"/>
      <c r="R171" s="65"/>
      <c r="S171" s="65"/>
      <c r="T171" s="65"/>
      <c r="U171" s="65"/>
      <c r="V171" s="65"/>
      <c r="W171" s="65"/>
      <c r="X171" s="65"/>
      <c r="Y171" s="65"/>
      <c r="Z171" s="65"/>
      <c r="AA171" s="65"/>
      <c r="AB171" s="65"/>
      <c r="AC171" s="65"/>
    </row>
    <row r="172">
      <c r="A172" s="91" t="s">
        <v>261</v>
      </c>
      <c r="B172" s="91" t="s">
        <v>262</v>
      </c>
      <c r="C172" s="92" t="s">
        <v>267</v>
      </c>
      <c r="D172" s="93" t="s">
        <v>269</v>
      </c>
      <c r="E172" s="94">
        <v>46.0</v>
      </c>
      <c r="F172" s="94">
        <v>47.5</v>
      </c>
      <c r="G172" s="91"/>
      <c r="H172" s="86">
        <f t="shared" si="1"/>
        <v>1.5</v>
      </c>
      <c r="I172" s="86">
        <f t="shared" si="4"/>
        <v>1.5</v>
      </c>
      <c r="J172" s="95">
        <f t="shared" si="2"/>
        <v>3.260869565</v>
      </c>
      <c r="K172" s="95">
        <f t="shared" si="8"/>
        <v>3.260869565</v>
      </c>
      <c r="L172" s="91"/>
      <c r="M172" s="91"/>
      <c r="N172" s="92" t="s">
        <v>265</v>
      </c>
      <c r="O172" s="65"/>
      <c r="P172" s="65"/>
      <c r="Q172" s="65"/>
      <c r="R172" s="65"/>
      <c r="S172" s="65"/>
      <c r="T172" s="65"/>
      <c r="U172" s="65"/>
      <c r="V172" s="65"/>
      <c r="W172" s="65"/>
      <c r="X172" s="65"/>
      <c r="Y172" s="65"/>
      <c r="Z172" s="65"/>
      <c r="AA172" s="65"/>
      <c r="AB172" s="65"/>
      <c r="AC172" s="65"/>
    </row>
    <row r="173">
      <c r="A173" s="91" t="s">
        <v>261</v>
      </c>
      <c r="B173" s="91" t="s">
        <v>262</v>
      </c>
      <c r="C173" s="92" t="s">
        <v>267</v>
      </c>
      <c r="D173" s="93" t="s">
        <v>268</v>
      </c>
      <c r="E173" s="94">
        <v>48.1</v>
      </c>
      <c r="F173" s="94">
        <v>47.6</v>
      </c>
      <c r="G173" s="91"/>
      <c r="H173" s="86">
        <f t="shared" si="1"/>
        <v>-0.5</v>
      </c>
      <c r="I173" s="86">
        <f t="shared" si="4"/>
        <v>-0.5</v>
      </c>
      <c r="J173" s="95">
        <f t="shared" si="2"/>
        <v>-1.03950104</v>
      </c>
      <c r="K173" s="95">
        <f t="shared" si="8"/>
        <v>-1.03950104</v>
      </c>
      <c r="L173" s="92"/>
      <c r="M173" s="91"/>
      <c r="N173" s="92" t="s">
        <v>265</v>
      </c>
      <c r="O173" s="65"/>
      <c r="P173" s="65"/>
      <c r="Q173" s="65"/>
      <c r="R173" s="65"/>
      <c r="S173" s="65"/>
      <c r="T173" s="65"/>
      <c r="U173" s="65"/>
      <c r="V173" s="65"/>
      <c r="W173" s="65"/>
      <c r="X173" s="65"/>
      <c r="Y173" s="65"/>
      <c r="Z173" s="65"/>
      <c r="AA173" s="65"/>
      <c r="AB173" s="65"/>
      <c r="AC173" s="65"/>
    </row>
    <row r="174">
      <c r="A174" s="91" t="s">
        <v>261</v>
      </c>
      <c r="B174" s="91" t="s">
        <v>262</v>
      </c>
      <c r="C174" s="92" t="s">
        <v>267</v>
      </c>
      <c r="D174" s="93" t="s">
        <v>268</v>
      </c>
      <c r="E174" s="94">
        <v>36.0</v>
      </c>
      <c r="F174" s="94">
        <v>37.1</v>
      </c>
      <c r="G174" s="91"/>
      <c r="H174" s="86">
        <f t="shared" si="1"/>
        <v>1.1</v>
      </c>
      <c r="I174" s="86">
        <f t="shared" si="4"/>
        <v>1.1</v>
      </c>
      <c r="J174" s="95">
        <f t="shared" si="2"/>
        <v>3.055555556</v>
      </c>
      <c r="K174" s="95">
        <f t="shared" si="8"/>
        <v>3.055555556</v>
      </c>
      <c r="L174" s="92"/>
      <c r="M174" s="91"/>
      <c r="N174" s="92" t="s">
        <v>265</v>
      </c>
      <c r="O174" s="65"/>
      <c r="P174" s="65"/>
      <c r="Q174" s="65"/>
      <c r="R174" s="65"/>
      <c r="S174" s="65"/>
      <c r="T174" s="65"/>
      <c r="U174" s="65"/>
      <c r="V174" s="65"/>
      <c r="W174" s="65"/>
      <c r="X174" s="65"/>
      <c r="Y174" s="65"/>
      <c r="Z174" s="65"/>
      <c r="AA174" s="65"/>
      <c r="AB174" s="65"/>
      <c r="AC174" s="65"/>
    </row>
    <row r="175">
      <c r="A175" s="91" t="s">
        <v>261</v>
      </c>
      <c r="B175" s="91" t="s">
        <v>262</v>
      </c>
      <c r="C175" s="92" t="s">
        <v>267</v>
      </c>
      <c r="D175" s="93" t="s">
        <v>268</v>
      </c>
      <c r="E175" s="94">
        <v>32.9</v>
      </c>
      <c r="F175" s="94">
        <v>32.0</v>
      </c>
      <c r="G175" s="91"/>
      <c r="H175" s="86">
        <f t="shared" si="1"/>
        <v>-0.9</v>
      </c>
      <c r="I175" s="86">
        <f t="shared" si="4"/>
        <v>-0.9</v>
      </c>
      <c r="J175" s="95">
        <f t="shared" si="2"/>
        <v>-2.73556231</v>
      </c>
      <c r="K175" s="95">
        <f t="shared" si="8"/>
        <v>-2.73556231</v>
      </c>
      <c r="L175" s="92"/>
      <c r="M175" s="91"/>
      <c r="N175" s="92" t="s">
        <v>265</v>
      </c>
      <c r="O175" s="65"/>
      <c r="P175" s="65"/>
      <c r="Q175" s="65"/>
      <c r="R175" s="65"/>
      <c r="S175" s="65"/>
      <c r="T175" s="65"/>
      <c r="U175" s="65"/>
      <c r="V175" s="65"/>
      <c r="W175" s="65"/>
      <c r="X175" s="65"/>
      <c r="Y175" s="65"/>
      <c r="Z175" s="65"/>
      <c r="AA175" s="65"/>
      <c r="AB175" s="65"/>
      <c r="AC175" s="65"/>
    </row>
    <row r="176">
      <c r="A176" s="91" t="s">
        <v>261</v>
      </c>
      <c r="B176" s="91" t="s">
        <v>262</v>
      </c>
      <c r="C176" s="92" t="s">
        <v>267</v>
      </c>
      <c r="D176" s="93" t="s">
        <v>268</v>
      </c>
      <c r="E176" s="94">
        <v>46.1</v>
      </c>
      <c r="F176" s="94">
        <v>47.8</v>
      </c>
      <c r="G176" s="91"/>
      <c r="H176" s="86">
        <f t="shared" si="1"/>
        <v>1.7</v>
      </c>
      <c r="I176" s="86">
        <f t="shared" si="4"/>
        <v>1.7</v>
      </c>
      <c r="J176" s="95">
        <f t="shared" si="2"/>
        <v>3.687635575</v>
      </c>
      <c r="K176" s="95">
        <f t="shared" si="8"/>
        <v>3.687635575</v>
      </c>
      <c r="L176" s="92"/>
      <c r="M176" s="91"/>
      <c r="N176" s="92" t="s">
        <v>265</v>
      </c>
      <c r="O176" s="65"/>
      <c r="P176" s="65"/>
      <c r="Q176" s="65"/>
      <c r="R176" s="65"/>
      <c r="S176" s="65"/>
      <c r="T176" s="65"/>
      <c r="U176" s="65"/>
      <c r="V176" s="65"/>
      <c r="W176" s="65"/>
      <c r="X176" s="65"/>
      <c r="Y176" s="65"/>
      <c r="Z176" s="65"/>
      <c r="AA176" s="65"/>
      <c r="AB176" s="65"/>
      <c r="AC176" s="65"/>
    </row>
    <row r="177">
      <c r="A177" s="91" t="s">
        <v>261</v>
      </c>
      <c r="B177" s="91" t="s">
        <v>262</v>
      </c>
      <c r="C177" s="92" t="s">
        <v>267</v>
      </c>
      <c r="D177" s="93" t="s">
        <v>269</v>
      </c>
      <c r="E177" s="94">
        <v>47.4</v>
      </c>
      <c r="F177" s="94">
        <v>47.2</v>
      </c>
      <c r="G177" s="91"/>
      <c r="H177" s="86">
        <f t="shared" si="1"/>
        <v>-0.2</v>
      </c>
      <c r="I177" s="86">
        <f t="shared" si="4"/>
        <v>-0.2</v>
      </c>
      <c r="J177" s="95">
        <f t="shared" si="2"/>
        <v>-0.4219409283</v>
      </c>
      <c r="K177" s="95">
        <f t="shared" si="8"/>
        <v>-0.4219409283</v>
      </c>
      <c r="L177" s="92"/>
      <c r="M177" s="91"/>
      <c r="N177" s="92" t="s">
        <v>265</v>
      </c>
      <c r="O177" s="65"/>
      <c r="P177" s="65"/>
      <c r="Q177" s="65"/>
      <c r="R177" s="65"/>
      <c r="S177" s="65"/>
      <c r="T177" s="65"/>
      <c r="U177" s="65"/>
      <c r="V177" s="65"/>
      <c r="W177" s="65"/>
      <c r="X177" s="65"/>
      <c r="Y177" s="65"/>
      <c r="Z177" s="65"/>
      <c r="AA177" s="65"/>
      <c r="AB177" s="65"/>
      <c r="AC177" s="65"/>
    </row>
    <row r="178">
      <c r="A178" s="91" t="s">
        <v>261</v>
      </c>
      <c r="B178" s="91" t="s">
        <v>262</v>
      </c>
      <c r="C178" s="92" t="s">
        <v>267</v>
      </c>
      <c r="D178" s="93" t="s">
        <v>269</v>
      </c>
      <c r="E178" s="94">
        <v>35.5</v>
      </c>
      <c r="F178" s="94">
        <v>36.5</v>
      </c>
      <c r="G178" s="91"/>
      <c r="H178" s="86">
        <f t="shared" si="1"/>
        <v>1</v>
      </c>
      <c r="I178" s="86">
        <f t="shared" si="4"/>
        <v>1</v>
      </c>
      <c r="J178" s="95">
        <f t="shared" si="2"/>
        <v>2.816901408</v>
      </c>
      <c r="K178" s="95">
        <f t="shared" si="8"/>
        <v>2.816901408</v>
      </c>
      <c r="L178" s="92"/>
      <c r="M178" s="91"/>
      <c r="N178" s="92" t="s">
        <v>265</v>
      </c>
      <c r="O178" s="65"/>
      <c r="P178" s="65"/>
      <c r="Q178" s="65"/>
      <c r="R178" s="65"/>
      <c r="S178" s="65"/>
      <c r="T178" s="65"/>
      <c r="U178" s="65"/>
      <c r="V178" s="65"/>
      <c r="W178" s="65"/>
      <c r="X178" s="65"/>
      <c r="Y178" s="65"/>
      <c r="Z178" s="65"/>
      <c r="AA178" s="65"/>
      <c r="AB178" s="65"/>
      <c r="AC178" s="65"/>
    </row>
    <row r="179">
      <c r="A179" s="91" t="s">
        <v>261</v>
      </c>
      <c r="B179" s="91" t="s">
        <v>262</v>
      </c>
      <c r="C179" s="92" t="s">
        <v>267</v>
      </c>
      <c r="D179" s="93" t="s">
        <v>269</v>
      </c>
      <c r="E179" s="94">
        <v>31.8</v>
      </c>
      <c r="F179" s="94">
        <v>31.5</v>
      </c>
      <c r="G179" s="91"/>
      <c r="H179" s="86">
        <f t="shared" si="1"/>
        <v>-0.3</v>
      </c>
      <c r="I179" s="86">
        <f t="shared" si="4"/>
        <v>-0.3</v>
      </c>
      <c r="J179" s="95">
        <f t="shared" si="2"/>
        <v>-0.9433962264</v>
      </c>
      <c r="K179" s="95">
        <f t="shared" si="8"/>
        <v>-0.9433962264</v>
      </c>
      <c r="L179" s="92"/>
      <c r="M179" s="91"/>
      <c r="N179" s="92" t="s">
        <v>265</v>
      </c>
      <c r="O179" s="65"/>
      <c r="P179" s="65"/>
      <c r="Q179" s="65"/>
      <c r="R179" s="65"/>
      <c r="S179" s="65"/>
      <c r="T179" s="65"/>
      <c r="U179" s="65"/>
      <c r="V179" s="65"/>
      <c r="W179" s="65"/>
      <c r="X179" s="65"/>
      <c r="Y179" s="65"/>
      <c r="Z179" s="65"/>
      <c r="AA179" s="65"/>
      <c r="AB179" s="65"/>
      <c r="AC179" s="65"/>
    </row>
    <row r="180">
      <c r="A180" s="91" t="s">
        <v>261</v>
      </c>
      <c r="B180" s="91" t="s">
        <v>262</v>
      </c>
      <c r="C180" s="92" t="s">
        <v>267</v>
      </c>
      <c r="D180" s="93" t="s">
        <v>269</v>
      </c>
      <c r="E180" s="94">
        <v>45.6</v>
      </c>
      <c r="F180" s="94">
        <v>47.3</v>
      </c>
      <c r="G180" s="91"/>
      <c r="H180" s="86">
        <f t="shared" si="1"/>
        <v>1.7</v>
      </c>
      <c r="I180" s="86">
        <f t="shared" si="4"/>
        <v>1.7</v>
      </c>
      <c r="J180" s="95">
        <f t="shared" si="2"/>
        <v>3.728070175</v>
      </c>
      <c r="K180" s="95">
        <f t="shared" si="8"/>
        <v>3.728070175</v>
      </c>
      <c r="L180" s="92"/>
      <c r="M180" s="91"/>
      <c r="N180" s="92" t="s">
        <v>265</v>
      </c>
      <c r="O180" s="65"/>
      <c r="P180" s="65"/>
      <c r="Q180" s="65"/>
      <c r="R180" s="65"/>
      <c r="S180" s="65"/>
      <c r="T180" s="65"/>
      <c r="U180" s="65"/>
      <c r="V180" s="65"/>
      <c r="W180" s="65"/>
      <c r="X180" s="65"/>
      <c r="Y180" s="65"/>
      <c r="Z180" s="65"/>
      <c r="AA180" s="65"/>
      <c r="AB180" s="65"/>
      <c r="AC180" s="65"/>
    </row>
    <row r="181">
      <c r="A181" s="85" t="s">
        <v>261</v>
      </c>
      <c r="B181" s="85" t="s">
        <v>271</v>
      </c>
      <c r="C181" s="87" t="s">
        <v>263</v>
      </c>
      <c r="D181" s="89" t="s">
        <v>264</v>
      </c>
      <c r="E181" s="90">
        <v>76.43</v>
      </c>
      <c r="F181" s="90">
        <v>75.55</v>
      </c>
      <c r="G181" s="87" t="s">
        <v>238</v>
      </c>
      <c r="H181" s="86">
        <f t="shared" si="1"/>
        <v>-0.88</v>
      </c>
      <c r="I181" s="86">
        <f t="shared" si="4"/>
        <v>-0.88</v>
      </c>
      <c r="J181" s="98">
        <f t="shared" si="2"/>
        <v>-1.151380348</v>
      </c>
      <c r="K181" s="98">
        <f t="shared" si="8"/>
        <v>-1.151380348</v>
      </c>
      <c r="L181" s="86"/>
      <c r="M181" s="86"/>
      <c r="N181" s="87" t="s">
        <v>272</v>
      </c>
      <c r="O181" s="53"/>
      <c r="P181" s="53"/>
      <c r="Q181" s="53"/>
      <c r="R181" s="53"/>
      <c r="S181" s="53"/>
      <c r="T181" s="53"/>
      <c r="U181" s="53"/>
      <c r="V181" s="53"/>
      <c r="W181" s="53"/>
      <c r="X181" s="53"/>
      <c r="Y181" s="53"/>
      <c r="Z181" s="53"/>
      <c r="AA181" s="53"/>
      <c r="AB181" s="53"/>
      <c r="AC181" s="53"/>
    </row>
    <row r="182">
      <c r="A182" s="91" t="s">
        <v>261</v>
      </c>
      <c r="B182" s="91" t="s">
        <v>271</v>
      </c>
      <c r="C182" s="92" t="s">
        <v>263</v>
      </c>
      <c r="D182" s="93" t="s">
        <v>264</v>
      </c>
      <c r="E182" s="94">
        <v>66.96</v>
      </c>
      <c r="F182" s="94">
        <v>67.56</v>
      </c>
      <c r="G182" s="91"/>
      <c r="H182" s="86">
        <f t="shared" si="1"/>
        <v>0.6</v>
      </c>
      <c r="I182" s="86">
        <f t="shared" si="4"/>
        <v>0.6</v>
      </c>
      <c r="J182" s="95">
        <f t="shared" si="2"/>
        <v>0.8960573477</v>
      </c>
      <c r="K182" s="95">
        <f t="shared" si="8"/>
        <v>0.8960573477</v>
      </c>
      <c r="L182" s="91"/>
      <c r="M182" s="91"/>
      <c r="N182" s="92" t="s">
        <v>272</v>
      </c>
      <c r="O182" s="65"/>
      <c r="P182" s="65"/>
      <c r="Q182" s="65"/>
      <c r="R182" s="65"/>
      <c r="S182" s="65"/>
      <c r="T182" s="65"/>
      <c r="U182" s="65"/>
      <c r="V182" s="65"/>
      <c r="W182" s="65"/>
      <c r="X182" s="65"/>
      <c r="Y182" s="65"/>
      <c r="Z182" s="65"/>
      <c r="AA182" s="65"/>
      <c r="AB182" s="65"/>
      <c r="AC182" s="65"/>
    </row>
    <row r="183">
      <c r="A183" s="91" t="s">
        <v>261</v>
      </c>
      <c r="B183" s="91" t="s">
        <v>271</v>
      </c>
      <c r="C183" s="92" t="s">
        <v>263</v>
      </c>
      <c r="D183" s="93" t="s">
        <v>264</v>
      </c>
      <c r="E183" s="94">
        <v>36.1</v>
      </c>
      <c r="F183" s="94">
        <v>36.81</v>
      </c>
      <c r="G183" s="91"/>
      <c r="H183" s="86">
        <f t="shared" si="1"/>
        <v>0.71</v>
      </c>
      <c r="I183" s="86">
        <f t="shared" si="4"/>
        <v>0.71</v>
      </c>
      <c r="J183" s="95">
        <f t="shared" si="2"/>
        <v>1.966759003</v>
      </c>
      <c r="K183" s="95">
        <f t="shared" si="8"/>
        <v>1.966759003</v>
      </c>
      <c r="L183" s="91"/>
      <c r="M183" s="91"/>
      <c r="N183" s="92" t="s">
        <v>272</v>
      </c>
      <c r="O183" s="65"/>
      <c r="P183" s="65"/>
      <c r="Q183" s="65"/>
      <c r="R183" s="65"/>
      <c r="S183" s="65"/>
      <c r="T183" s="65"/>
      <c r="U183" s="65"/>
      <c r="V183" s="65"/>
      <c r="W183" s="65"/>
      <c r="X183" s="65"/>
      <c r="Y183" s="65"/>
      <c r="Z183" s="65"/>
      <c r="AA183" s="65"/>
      <c r="AB183" s="65"/>
      <c r="AC183" s="65"/>
    </row>
    <row r="184">
      <c r="A184" s="91" t="s">
        <v>261</v>
      </c>
      <c r="B184" s="91" t="s">
        <v>271</v>
      </c>
      <c r="C184" s="92" t="s">
        <v>263</v>
      </c>
      <c r="D184" s="93" t="s">
        <v>264</v>
      </c>
      <c r="E184" s="94">
        <v>48.53</v>
      </c>
      <c r="F184" s="94">
        <v>48.47</v>
      </c>
      <c r="G184" s="91"/>
      <c r="H184" s="86">
        <f t="shared" si="1"/>
        <v>-0.06</v>
      </c>
      <c r="I184" s="86">
        <f t="shared" si="4"/>
        <v>-0.06</v>
      </c>
      <c r="J184" s="95">
        <f t="shared" si="2"/>
        <v>-0.123634865</v>
      </c>
      <c r="K184" s="95">
        <f t="shared" si="8"/>
        <v>-0.123634865</v>
      </c>
      <c r="L184" s="91"/>
      <c r="M184" s="91"/>
      <c r="N184" s="92" t="s">
        <v>272</v>
      </c>
      <c r="O184" s="65"/>
      <c r="P184" s="65"/>
      <c r="Q184" s="65"/>
      <c r="R184" s="65"/>
      <c r="S184" s="65"/>
      <c r="T184" s="65"/>
      <c r="U184" s="65"/>
      <c r="V184" s="65"/>
      <c r="W184" s="65"/>
      <c r="X184" s="65"/>
      <c r="Y184" s="65"/>
      <c r="Z184" s="65"/>
      <c r="AA184" s="65"/>
      <c r="AB184" s="65"/>
      <c r="AC184" s="65"/>
    </row>
    <row r="185">
      <c r="A185" s="91" t="s">
        <v>261</v>
      </c>
      <c r="B185" s="91" t="s">
        <v>271</v>
      </c>
      <c r="C185" s="92" t="s">
        <v>263</v>
      </c>
      <c r="D185" s="93" t="s">
        <v>264</v>
      </c>
      <c r="E185" s="94">
        <v>48.47</v>
      </c>
      <c r="F185" s="94">
        <v>48.67</v>
      </c>
      <c r="G185" s="92" t="s">
        <v>238</v>
      </c>
      <c r="H185" s="86">
        <f t="shared" si="1"/>
        <v>0.2</v>
      </c>
      <c r="I185" s="86">
        <f t="shared" si="4"/>
        <v>0.2</v>
      </c>
      <c r="J185" s="99">
        <f t="shared" si="2"/>
        <v>0.4126263668</v>
      </c>
      <c r="K185" s="99">
        <f t="shared" si="8"/>
        <v>0.4126263668</v>
      </c>
      <c r="L185" s="91"/>
      <c r="M185" s="91"/>
      <c r="N185" s="92" t="s">
        <v>272</v>
      </c>
      <c r="O185" s="65"/>
      <c r="P185" s="65"/>
      <c r="Q185" s="65"/>
      <c r="R185" s="65"/>
      <c r="S185" s="65"/>
      <c r="T185" s="65"/>
      <c r="U185" s="65"/>
      <c r="V185" s="65"/>
      <c r="W185" s="65"/>
      <c r="X185" s="65"/>
      <c r="Y185" s="65"/>
      <c r="Z185" s="65"/>
      <c r="AA185" s="65"/>
      <c r="AB185" s="65"/>
      <c r="AC185" s="65"/>
    </row>
    <row r="186">
      <c r="A186" s="91" t="s">
        <v>261</v>
      </c>
      <c r="B186" s="91" t="s">
        <v>271</v>
      </c>
      <c r="C186" s="92" t="s">
        <v>263</v>
      </c>
      <c r="D186" s="93" t="s">
        <v>264</v>
      </c>
      <c r="E186" s="94">
        <v>33.5</v>
      </c>
      <c r="F186" s="94">
        <v>33.64</v>
      </c>
      <c r="G186" s="92" t="s">
        <v>238</v>
      </c>
      <c r="H186" s="86">
        <f t="shared" si="1"/>
        <v>0.14</v>
      </c>
      <c r="I186" s="86">
        <f t="shared" si="4"/>
        <v>0.14</v>
      </c>
      <c r="J186" s="99">
        <f t="shared" si="2"/>
        <v>0.4179104478</v>
      </c>
      <c r="K186" s="99">
        <f t="shared" si="8"/>
        <v>0.4179104478</v>
      </c>
      <c r="L186" s="91"/>
      <c r="M186" s="91"/>
      <c r="N186" s="92" t="s">
        <v>272</v>
      </c>
      <c r="O186" s="65"/>
      <c r="P186" s="65"/>
      <c r="Q186" s="65"/>
      <c r="R186" s="65"/>
      <c r="S186" s="65"/>
      <c r="T186" s="65"/>
      <c r="U186" s="65"/>
      <c r="V186" s="65"/>
      <c r="W186" s="65"/>
      <c r="X186" s="65"/>
      <c r="Y186" s="65"/>
      <c r="Z186" s="65"/>
      <c r="AA186" s="65"/>
      <c r="AB186" s="65"/>
      <c r="AC186" s="65"/>
    </row>
    <row r="187">
      <c r="A187" s="91" t="s">
        <v>261</v>
      </c>
      <c r="B187" s="91" t="s">
        <v>271</v>
      </c>
      <c r="C187" s="92" t="s">
        <v>263</v>
      </c>
      <c r="D187" s="93" t="s">
        <v>264</v>
      </c>
      <c r="E187" s="94">
        <v>37.6</v>
      </c>
      <c r="F187" s="94">
        <v>37.93</v>
      </c>
      <c r="G187" s="92" t="s">
        <v>238</v>
      </c>
      <c r="H187" s="86">
        <f t="shared" si="1"/>
        <v>0.33</v>
      </c>
      <c r="I187" s="86">
        <f t="shared" si="4"/>
        <v>0.33</v>
      </c>
      <c r="J187" s="99">
        <f t="shared" si="2"/>
        <v>0.8776595745</v>
      </c>
      <c r="K187" s="99">
        <f t="shared" si="8"/>
        <v>0.8776595745</v>
      </c>
      <c r="L187" s="91"/>
      <c r="M187" s="91"/>
      <c r="N187" s="92" t="s">
        <v>272</v>
      </c>
      <c r="O187" s="65"/>
      <c r="P187" s="65"/>
      <c r="Q187" s="65"/>
      <c r="R187" s="65"/>
      <c r="S187" s="65"/>
      <c r="T187" s="65"/>
      <c r="U187" s="65"/>
      <c r="V187" s="65"/>
      <c r="W187" s="65"/>
      <c r="X187" s="65"/>
      <c r="Y187" s="65"/>
      <c r="Z187" s="65"/>
      <c r="AA187" s="65"/>
      <c r="AB187" s="65"/>
      <c r="AC187" s="65"/>
    </row>
    <row r="188">
      <c r="A188" s="91" t="s">
        <v>261</v>
      </c>
      <c r="B188" s="91" t="s">
        <v>271</v>
      </c>
      <c r="C188" s="92" t="s">
        <v>263</v>
      </c>
      <c r="D188" s="93" t="s">
        <v>266</v>
      </c>
      <c r="E188" s="94">
        <v>76.28</v>
      </c>
      <c r="F188" s="94">
        <v>75.3</v>
      </c>
      <c r="G188" s="92" t="s">
        <v>238</v>
      </c>
      <c r="H188" s="86">
        <f t="shared" si="1"/>
        <v>-0.98</v>
      </c>
      <c r="I188" s="86">
        <f t="shared" si="4"/>
        <v>-0.98</v>
      </c>
      <c r="J188" s="99">
        <f t="shared" si="2"/>
        <v>-1.28474043</v>
      </c>
      <c r="K188" s="99">
        <f t="shared" si="8"/>
        <v>-1.28474043</v>
      </c>
      <c r="L188" s="91"/>
      <c r="M188" s="91"/>
      <c r="N188" s="92" t="s">
        <v>272</v>
      </c>
      <c r="O188" s="65"/>
      <c r="P188" s="65"/>
      <c r="Q188" s="65"/>
      <c r="R188" s="65"/>
      <c r="S188" s="65"/>
      <c r="T188" s="65"/>
      <c r="U188" s="65"/>
      <c r="V188" s="65"/>
      <c r="W188" s="65"/>
      <c r="X188" s="65"/>
      <c r="Y188" s="65"/>
      <c r="Z188" s="65"/>
      <c r="AA188" s="65"/>
      <c r="AB188" s="65"/>
      <c r="AC188" s="65"/>
    </row>
    <row r="189">
      <c r="A189" s="91" t="s">
        <v>261</v>
      </c>
      <c r="B189" s="91" t="s">
        <v>271</v>
      </c>
      <c r="C189" s="92" t="s">
        <v>263</v>
      </c>
      <c r="D189" s="93" t="s">
        <v>266</v>
      </c>
      <c r="E189" s="94">
        <v>66.92</v>
      </c>
      <c r="F189" s="94">
        <v>67.48</v>
      </c>
      <c r="G189" s="92" t="s">
        <v>238</v>
      </c>
      <c r="H189" s="86">
        <f t="shared" si="1"/>
        <v>0.56</v>
      </c>
      <c r="I189" s="86">
        <f t="shared" si="4"/>
        <v>0.56</v>
      </c>
      <c r="J189" s="99">
        <f t="shared" si="2"/>
        <v>0.8368200837</v>
      </c>
      <c r="K189" s="99">
        <f t="shared" si="8"/>
        <v>0.8368200837</v>
      </c>
      <c r="L189" s="91"/>
      <c r="M189" s="91"/>
      <c r="N189" s="92" t="s">
        <v>272</v>
      </c>
      <c r="O189" s="65"/>
      <c r="P189" s="65"/>
      <c r="Q189" s="65"/>
      <c r="R189" s="65"/>
      <c r="S189" s="65"/>
      <c r="T189" s="65"/>
      <c r="U189" s="65"/>
      <c r="V189" s="65"/>
      <c r="W189" s="65"/>
      <c r="X189" s="65"/>
      <c r="Y189" s="65"/>
      <c r="Z189" s="65"/>
      <c r="AA189" s="65"/>
      <c r="AB189" s="65"/>
      <c r="AC189" s="65"/>
    </row>
    <row r="190">
      <c r="A190" s="91" t="s">
        <v>261</v>
      </c>
      <c r="B190" s="91" t="s">
        <v>271</v>
      </c>
      <c r="C190" s="92" t="s">
        <v>263</v>
      </c>
      <c r="D190" s="93" t="s">
        <v>266</v>
      </c>
      <c r="E190" s="94">
        <v>35.93</v>
      </c>
      <c r="F190" s="94">
        <v>36.38</v>
      </c>
      <c r="G190" s="92" t="s">
        <v>238</v>
      </c>
      <c r="H190" s="86">
        <f t="shared" si="1"/>
        <v>0.45</v>
      </c>
      <c r="I190" s="86">
        <f t="shared" si="4"/>
        <v>0.45</v>
      </c>
      <c r="J190" s="99">
        <f t="shared" si="2"/>
        <v>1.252435291</v>
      </c>
      <c r="K190" s="99">
        <f t="shared" si="8"/>
        <v>1.252435291</v>
      </c>
      <c r="L190" s="91"/>
      <c r="M190" s="91"/>
      <c r="N190" s="92" t="s">
        <v>272</v>
      </c>
      <c r="O190" s="65"/>
      <c r="P190" s="65"/>
      <c r="Q190" s="65"/>
      <c r="R190" s="65"/>
      <c r="S190" s="65"/>
      <c r="T190" s="65"/>
      <c r="U190" s="65"/>
      <c r="V190" s="65"/>
      <c r="W190" s="65"/>
      <c r="X190" s="65"/>
      <c r="Y190" s="65"/>
      <c r="Z190" s="65"/>
      <c r="AA190" s="65"/>
      <c r="AB190" s="65"/>
      <c r="AC190" s="65"/>
    </row>
    <row r="191">
      <c r="A191" s="91" t="s">
        <v>261</v>
      </c>
      <c r="B191" s="91" t="s">
        <v>271</v>
      </c>
      <c r="C191" s="92" t="s">
        <v>263</v>
      </c>
      <c r="D191" s="93" t="s">
        <v>266</v>
      </c>
      <c r="E191" s="94">
        <v>48.13</v>
      </c>
      <c r="F191" s="94">
        <v>48.09</v>
      </c>
      <c r="G191" s="92"/>
      <c r="H191" s="86">
        <f t="shared" si="1"/>
        <v>-0.04</v>
      </c>
      <c r="I191" s="86">
        <f t="shared" si="4"/>
        <v>-0.04</v>
      </c>
      <c r="J191" s="99">
        <f t="shared" si="2"/>
        <v>-0.08310824849</v>
      </c>
      <c r="K191" s="99">
        <f t="shared" si="8"/>
        <v>-0.08310824849</v>
      </c>
      <c r="L191" s="91"/>
      <c r="M191" s="91"/>
      <c r="N191" s="92" t="s">
        <v>272</v>
      </c>
      <c r="O191" s="65"/>
      <c r="P191" s="65"/>
      <c r="Q191" s="65"/>
      <c r="R191" s="65"/>
      <c r="S191" s="65"/>
      <c r="T191" s="65"/>
      <c r="U191" s="65"/>
      <c r="V191" s="65"/>
      <c r="W191" s="65"/>
      <c r="X191" s="65"/>
      <c r="Y191" s="65"/>
      <c r="Z191" s="65"/>
      <c r="AA191" s="65"/>
      <c r="AB191" s="65"/>
      <c r="AC191" s="65"/>
    </row>
    <row r="192">
      <c r="A192" s="91" t="s">
        <v>261</v>
      </c>
      <c r="B192" s="91" t="s">
        <v>271</v>
      </c>
      <c r="C192" s="92" t="s">
        <v>263</v>
      </c>
      <c r="D192" s="93" t="s">
        <v>266</v>
      </c>
      <c r="E192" s="94">
        <v>48.19</v>
      </c>
      <c r="F192" s="94">
        <v>48.34</v>
      </c>
      <c r="G192" s="92"/>
      <c r="H192" s="86">
        <f t="shared" si="1"/>
        <v>0.15</v>
      </c>
      <c r="I192" s="86">
        <f t="shared" si="4"/>
        <v>0.15</v>
      </c>
      <c r="J192" s="99">
        <f t="shared" si="2"/>
        <v>0.3112678979</v>
      </c>
      <c r="K192" s="99">
        <f t="shared" si="8"/>
        <v>0.3112678979</v>
      </c>
      <c r="L192" s="91"/>
      <c r="M192" s="91"/>
      <c r="N192" s="92" t="s">
        <v>272</v>
      </c>
      <c r="O192" s="65"/>
      <c r="P192" s="65"/>
      <c r="Q192" s="65"/>
      <c r="R192" s="65"/>
      <c r="S192" s="65"/>
      <c r="T192" s="65"/>
      <c r="U192" s="65"/>
      <c r="V192" s="65"/>
      <c r="W192" s="65"/>
      <c r="X192" s="65"/>
      <c r="Y192" s="65"/>
      <c r="Z192" s="65"/>
      <c r="AA192" s="65"/>
      <c r="AB192" s="65"/>
      <c r="AC192" s="65"/>
    </row>
    <row r="193">
      <c r="A193" s="91" t="s">
        <v>261</v>
      </c>
      <c r="B193" s="91" t="s">
        <v>271</v>
      </c>
      <c r="C193" s="92" t="s">
        <v>263</v>
      </c>
      <c r="D193" s="93" t="s">
        <v>266</v>
      </c>
      <c r="E193" s="94">
        <v>32.63</v>
      </c>
      <c r="F193" s="94">
        <v>32.79</v>
      </c>
      <c r="G193" s="92"/>
      <c r="H193" s="86">
        <f t="shared" si="1"/>
        <v>0.16</v>
      </c>
      <c r="I193" s="86">
        <f t="shared" si="4"/>
        <v>0.16</v>
      </c>
      <c r="J193" s="99">
        <f t="shared" si="2"/>
        <v>0.4903463071</v>
      </c>
      <c r="K193" s="99">
        <f t="shared" si="8"/>
        <v>0.4903463071</v>
      </c>
      <c r="L193" s="91"/>
      <c r="M193" s="91"/>
      <c r="N193" s="92" t="s">
        <v>272</v>
      </c>
      <c r="O193" s="65"/>
      <c r="P193" s="65"/>
      <c r="Q193" s="65"/>
      <c r="R193" s="65"/>
      <c r="S193" s="65"/>
      <c r="T193" s="65"/>
      <c r="U193" s="65"/>
      <c r="V193" s="65"/>
      <c r="W193" s="65"/>
      <c r="X193" s="65"/>
      <c r="Y193" s="65"/>
      <c r="Z193" s="65"/>
      <c r="AA193" s="65"/>
      <c r="AB193" s="65"/>
      <c r="AC193" s="65"/>
    </row>
    <row r="194">
      <c r="A194" s="91" t="s">
        <v>261</v>
      </c>
      <c r="B194" s="91" t="s">
        <v>271</v>
      </c>
      <c r="C194" s="92" t="s">
        <v>263</v>
      </c>
      <c r="D194" s="93" t="s">
        <v>266</v>
      </c>
      <c r="E194" s="94">
        <v>37.33</v>
      </c>
      <c r="F194" s="94">
        <v>37.47</v>
      </c>
      <c r="G194" s="92"/>
      <c r="H194" s="86">
        <f t="shared" si="1"/>
        <v>0.14</v>
      </c>
      <c r="I194" s="86">
        <f t="shared" si="4"/>
        <v>0.14</v>
      </c>
      <c r="J194" s="99">
        <f t="shared" si="2"/>
        <v>0.3750334851</v>
      </c>
      <c r="K194" s="99">
        <f t="shared" si="8"/>
        <v>0.3750334851</v>
      </c>
      <c r="L194" s="91"/>
      <c r="M194" s="91"/>
      <c r="N194" s="92" t="s">
        <v>272</v>
      </c>
      <c r="O194" s="65"/>
      <c r="P194" s="65"/>
      <c r="Q194" s="65"/>
      <c r="R194" s="65"/>
      <c r="S194" s="65"/>
      <c r="T194" s="65"/>
      <c r="U194" s="65"/>
      <c r="V194" s="65"/>
      <c r="W194" s="65"/>
      <c r="X194" s="65"/>
      <c r="Y194" s="65"/>
      <c r="Z194" s="65"/>
      <c r="AA194" s="65"/>
      <c r="AB194" s="65"/>
      <c r="AC194" s="65"/>
    </row>
    <row r="195">
      <c r="A195" s="91" t="s">
        <v>261</v>
      </c>
      <c r="B195" s="91" t="s">
        <v>271</v>
      </c>
      <c r="C195" s="92" t="s">
        <v>267</v>
      </c>
      <c r="D195" s="93" t="s">
        <v>268</v>
      </c>
      <c r="E195" s="100">
        <v>0.07</v>
      </c>
      <c r="F195" s="100">
        <v>47.87</v>
      </c>
      <c r="G195" s="92"/>
      <c r="H195" s="86">
        <f t="shared" si="1"/>
        <v>47.8</v>
      </c>
      <c r="I195" s="86">
        <f t="shared" si="4"/>
        <v>47.8</v>
      </c>
      <c r="J195" s="99">
        <f t="shared" si="2"/>
        <v>68285.71429</v>
      </c>
      <c r="K195" s="99" t="s">
        <v>230</v>
      </c>
      <c r="L195" s="91"/>
      <c r="M195" s="91"/>
      <c r="N195" s="87" t="s">
        <v>272</v>
      </c>
      <c r="O195" s="65"/>
      <c r="P195" s="65"/>
      <c r="Q195" s="65"/>
      <c r="R195" s="65"/>
      <c r="S195" s="65"/>
      <c r="T195" s="65"/>
      <c r="U195" s="65"/>
      <c r="V195" s="65"/>
      <c r="W195" s="65"/>
      <c r="X195" s="65"/>
      <c r="Y195" s="65"/>
      <c r="Z195" s="65"/>
      <c r="AA195" s="65"/>
      <c r="AB195" s="65"/>
      <c r="AC195" s="65"/>
    </row>
    <row r="196">
      <c r="A196" s="91" t="s">
        <v>261</v>
      </c>
      <c r="B196" s="91" t="s">
        <v>271</v>
      </c>
      <c r="C196" s="92" t="s">
        <v>267</v>
      </c>
      <c r="D196" s="93" t="s">
        <v>268</v>
      </c>
      <c r="E196" s="100">
        <v>0.0</v>
      </c>
      <c r="F196" s="100">
        <v>0.2</v>
      </c>
      <c r="G196" s="92" t="s">
        <v>238</v>
      </c>
      <c r="H196" s="86">
        <f t="shared" si="1"/>
        <v>0.2</v>
      </c>
      <c r="I196" s="86">
        <f t="shared" si="4"/>
        <v>0.2</v>
      </c>
      <c r="J196" s="99" t="str">
        <f t="shared" si="2"/>
        <v>#DIV/0!</v>
      </c>
      <c r="K196" s="99" t="str">
        <f t="shared" ref="K196:K198" si="9">IFERROR(I196*100/E196,"error")</f>
        <v>error</v>
      </c>
      <c r="L196" s="91"/>
      <c r="M196" s="91"/>
      <c r="N196" s="92" t="s">
        <v>272</v>
      </c>
      <c r="O196" s="65"/>
      <c r="P196" s="65"/>
      <c r="Q196" s="65"/>
      <c r="R196" s="65"/>
      <c r="S196" s="65"/>
      <c r="T196" s="65"/>
      <c r="U196" s="65"/>
      <c r="V196" s="65"/>
      <c r="W196" s="65"/>
      <c r="X196" s="65"/>
      <c r="Y196" s="65"/>
      <c r="Z196" s="65"/>
      <c r="AA196" s="65"/>
      <c r="AB196" s="65"/>
      <c r="AC196" s="65"/>
    </row>
    <row r="197">
      <c r="A197" s="91" t="s">
        <v>261</v>
      </c>
      <c r="B197" s="91" t="s">
        <v>271</v>
      </c>
      <c r="C197" s="92" t="s">
        <v>267</v>
      </c>
      <c r="D197" s="93" t="s">
        <v>268</v>
      </c>
      <c r="E197" s="100">
        <v>0.07</v>
      </c>
      <c r="F197" s="100">
        <v>0.07</v>
      </c>
      <c r="G197" s="92" t="s">
        <v>238</v>
      </c>
      <c r="H197" s="86">
        <f t="shared" si="1"/>
        <v>0</v>
      </c>
      <c r="I197" s="86">
        <f t="shared" si="4"/>
        <v>0</v>
      </c>
      <c r="J197" s="99">
        <f t="shared" si="2"/>
        <v>0</v>
      </c>
      <c r="K197" s="99">
        <f t="shared" si="9"/>
        <v>0</v>
      </c>
      <c r="L197" s="91"/>
      <c r="M197" s="91"/>
      <c r="N197" s="92" t="s">
        <v>272</v>
      </c>
      <c r="O197" s="65"/>
      <c r="P197" s="65"/>
      <c r="Q197" s="65"/>
      <c r="R197" s="65"/>
      <c r="S197" s="65"/>
      <c r="T197" s="65"/>
      <c r="U197" s="65"/>
      <c r="V197" s="65"/>
      <c r="W197" s="65"/>
      <c r="X197" s="65"/>
      <c r="Y197" s="65"/>
      <c r="Z197" s="65"/>
      <c r="AA197" s="65"/>
      <c r="AB197" s="65"/>
      <c r="AC197" s="65"/>
    </row>
    <row r="198">
      <c r="A198" s="91" t="s">
        <v>261</v>
      </c>
      <c r="B198" s="91" t="s">
        <v>271</v>
      </c>
      <c r="C198" s="92" t="s">
        <v>267</v>
      </c>
      <c r="D198" s="93" t="s">
        <v>268</v>
      </c>
      <c r="E198" s="100">
        <v>0.13</v>
      </c>
      <c r="F198" s="100">
        <v>0.07</v>
      </c>
      <c r="G198" s="91"/>
      <c r="H198" s="86">
        <f t="shared" si="1"/>
        <v>-0.06</v>
      </c>
      <c r="I198" s="86">
        <f t="shared" si="4"/>
        <v>-0.06</v>
      </c>
      <c r="J198" s="95">
        <f t="shared" si="2"/>
        <v>-46.15384615</v>
      </c>
      <c r="K198" s="95">
        <f t="shared" si="9"/>
        <v>-46.15384615</v>
      </c>
      <c r="L198" s="91"/>
      <c r="M198" s="91"/>
      <c r="N198" s="92" t="s">
        <v>272</v>
      </c>
      <c r="O198" s="65"/>
      <c r="P198" s="65"/>
      <c r="Q198" s="65"/>
      <c r="R198" s="65"/>
      <c r="S198" s="65"/>
      <c r="T198" s="65"/>
      <c r="U198" s="65"/>
      <c r="V198" s="65"/>
      <c r="W198" s="65"/>
      <c r="X198" s="65"/>
      <c r="Y198" s="65"/>
      <c r="Z198" s="65"/>
      <c r="AA198" s="65"/>
      <c r="AB198" s="65"/>
      <c r="AC198" s="65"/>
    </row>
    <row r="199">
      <c r="A199" s="91" t="s">
        <v>261</v>
      </c>
      <c r="B199" s="91" t="s">
        <v>271</v>
      </c>
      <c r="C199" s="92" t="s">
        <v>267</v>
      </c>
      <c r="D199" s="97" t="s">
        <v>269</v>
      </c>
      <c r="E199" s="100">
        <v>0.02</v>
      </c>
      <c r="F199" s="100">
        <v>4.82</v>
      </c>
      <c r="G199" s="91"/>
      <c r="H199" s="86">
        <f t="shared" si="1"/>
        <v>4.8</v>
      </c>
      <c r="I199" s="86">
        <f t="shared" si="4"/>
        <v>4.8</v>
      </c>
      <c r="J199" s="95">
        <f t="shared" si="2"/>
        <v>24000</v>
      </c>
      <c r="K199" s="99" t="s">
        <v>230</v>
      </c>
      <c r="L199" s="91"/>
      <c r="M199" s="91"/>
      <c r="N199" s="92" t="s">
        <v>272</v>
      </c>
      <c r="O199" s="65"/>
      <c r="P199" s="65"/>
      <c r="Q199" s="65"/>
      <c r="R199" s="65"/>
      <c r="S199" s="65"/>
      <c r="T199" s="65"/>
      <c r="U199" s="65"/>
      <c r="V199" s="65"/>
      <c r="W199" s="65"/>
      <c r="X199" s="65"/>
      <c r="Y199" s="65"/>
      <c r="Z199" s="65"/>
      <c r="AA199" s="65"/>
      <c r="AB199" s="65"/>
      <c r="AC199" s="65"/>
    </row>
    <row r="200">
      <c r="A200" s="91" t="s">
        <v>261</v>
      </c>
      <c r="B200" s="91" t="s">
        <v>271</v>
      </c>
      <c r="C200" s="92" t="s">
        <v>267</v>
      </c>
      <c r="D200" s="97" t="s">
        <v>269</v>
      </c>
      <c r="E200" s="100">
        <v>0.0</v>
      </c>
      <c r="F200" s="100">
        <v>0.05</v>
      </c>
      <c r="G200" s="91"/>
      <c r="H200" s="86">
        <f t="shared" si="1"/>
        <v>0.05</v>
      </c>
      <c r="I200" s="86">
        <f t="shared" si="4"/>
        <v>0.05</v>
      </c>
      <c r="J200" s="95" t="str">
        <f t="shared" si="2"/>
        <v>#DIV/0!</v>
      </c>
      <c r="K200" s="95" t="str">
        <f t="shared" ref="K200:K550" si="10">IFERROR(I200*100/E200,"error")</f>
        <v>error</v>
      </c>
      <c r="L200" s="91"/>
      <c r="M200" s="91"/>
      <c r="N200" s="92" t="s">
        <v>272</v>
      </c>
      <c r="O200" s="65"/>
      <c r="P200" s="65"/>
      <c r="Q200" s="65"/>
      <c r="R200" s="65"/>
      <c r="S200" s="65"/>
      <c r="T200" s="65"/>
      <c r="U200" s="65"/>
      <c r="V200" s="65"/>
      <c r="W200" s="65"/>
      <c r="X200" s="65"/>
      <c r="Y200" s="65"/>
      <c r="Z200" s="65"/>
      <c r="AA200" s="65"/>
      <c r="AB200" s="65"/>
      <c r="AC200" s="65"/>
    </row>
    <row r="201">
      <c r="A201" s="91" t="s">
        <v>261</v>
      </c>
      <c r="B201" s="91" t="s">
        <v>271</v>
      </c>
      <c r="C201" s="92" t="s">
        <v>267</v>
      </c>
      <c r="D201" s="97" t="s">
        <v>269</v>
      </c>
      <c r="E201" s="100">
        <v>0.01</v>
      </c>
      <c r="F201" s="100">
        <v>0.01</v>
      </c>
      <c r="G201" s="91"/>
      <c r="H201" s="86">
        <f t="shared" si="1"/>
        <v>0</v>
      </c>
      <c r="I201" s="86">
        <f t="shared" si="4"/>
        <v>0</v>
      </c>
      <c r="J201" s="95">
        <f t="shared" si="2"/>
        <v>0</v>
      </c>
      <c r="K201" s="95">
        <f t="shared" si="10"/>
        <v>0</v>
      </c>
      <c r="L201" s="91"/>
      <c r="M201" s="91"/>
      <c r="N201" s="92" t="s">
        <v>272</v>
      </c>
      <c r="O201" s="65"/>
      <c r="P201" s="65"/>
      <c r="Q201" s="65"/>
      <c r="R201" s="65"/>
      <c r="S201" s="65"/>
      <c r="T201" s="65"/>
      <c r="U201" s="65"/>
      <c r="V201" s="65"/>
      <c r="W201" s="65"/>
      <c r="X201" s="65"/>
      <c r="Y201" s="65"/>
      <c r="Z201" s="65"/>
      <c r="AA201" s="65"/>
      <c r="AB201" s="65"/>
      <c r="AC201" s="65"/>
    </row>
    <row r="202">
      <c r="A202" s="91" t="s">
        <v>261</v>
      </c>
      <c r="B202" s="91" t="s">
        <v>271</v>
      </c>
      <c r="C202" s="92" t="s">
        <v>267</v>
      </c>
      <c r="D202" s="97" t="s">
        <v>269</v>
      </c>
      <c r="E202" s="100">
        <v>0.02</v>
      </c>
      <c r="F202" s="100">
        <v>0.01</v>
      </c>
      <c r="G202" s="91"/>
      <c r="H202" s="86">
        <f t="shared" si="1"/>
        <v>-0.01</v>
      </c>
      <c r="I202" s="86">
        <f t="shared" si="4"/>
        <v>-0.01</v>
      </c>
      <c r="J202" s="95">
        <f t="shared" si="2"/>
        <v>-50</v>
      </c>
      <c r="K202" s="95">
        <f t="shared" si="10"/>
        <v>-50</v>
      </c>
      <c r="L202" s="91"/>
      <c r="M202" s="91"/>
      <c r="N202" s="92" t="s">
        <v>272</v>
      </c>
      <c r="O202" s="65"/>
      <c r="P202" s="65"/>
      <c r="Q202" s="65"/>
      <c r="R202" s="65"/>
      <c r="S202" s="65"/>
      <c r="T202" s="65"/>
      <c r="U202" s="65"/>
      <c r="V202" s="65"/>
      <c r="W202" s="65"/>
      <c r="X202" s="65"/>
      <c r="Y202" s="65"/>
      <c r="Z202" s="65"/>
      <c r="AA202" s="65"/>
      <c r="AB202" s="65"/>
      <c r="AC202" s="65"/>
    </row>
    <row r="203">
      <c r="A203" s="91" t="s">
        <v>261</v>
      </c>
      <c r="B203" s="91" t="s">
        <v>271</v>
      </c>
      <c r="C203" s="92" t="s">
        <v>267</v>
      </c>
      <c r="D203" s="93" t="s">
        <v>268</v>
      </c>
      <c r="E203" s="100">
        <v>48.2</v>
      </c>
      <c r="F203" s="100">
        <v>48.47</v>
      </c>
      <c r="G203" s="91"/>
      <c r="H203" s="86">
        <f t="shared" si="1"/>
        <v>0.27</v>
      </c>
      <c r="I203" s="86">
        <f t="shared" si="4"/>
        <v>0.27</v>
      </c>
      <c r="J203" s="95">
        <f t="shared" si="2"/>
        <v>0.5601659751</v>
      </c>
      <c r="K203" s="95">
        <f t="shared" si="10"/>
        <v>0.5601659751</v>
      </c>
      <c r="L203" s="91"/>
      <c r="M203" s="91"/>
      <c r="N203" s="92" t="s">
        <v>272</v>
      </c>
      <c r="O203" s="65"/>
      <c r="P203" s="65"/>
      <c r="Q203" s="65"/>
      <c r="R203" s="65"/>
      <c r="S203" s="65"/>
      <c r="T203" s="65"/>
      <c r="U203" s="65"/>
      <c r="V203" s="65"/>
      <c r="W203" s="65"/>
      <c r="X203" s="65"/>
      <c r="Y203" s="65"/>
      <c r="Z203" s="65"/>
      <c r="AA203" s="65"/>
      <c r="AB203" s="65"/>
      <c r="AC203" s="65"/>
    </row>
    <row r="204">
      <c r="A204" s="91" t="s">
        <v>261</v>
      </c>
      <c r="B204" s="91" t="s">
        <v>271</v>
      </c>
      <c r="C204" s="92" t="s">
        <v>267</v>
      </c>
      <c r="D204" s="93" t="s">
        <v>268</v>
      </c>
      <c r="E204" s="100">
        <v>48.13</v>
      </c>
      <c r="F204" s="100">
        <v>48.07</v>
      </c>
      <c r="G204" s="91"/>
      <c r="H204" s="86">
        <f t="shared" si="1"/>
        <v>-0.06</v>
      </c>
      <c r="I204" s="86">
        <f t="shared" si="4"/>
        <v>-0.06</v>
      </c>
      <c r="J204" s="95">
        <f t="shared" si="2"/>
        <v>-0.1246623727</v>
      </c>
      <c r="K204" s="95">
        <f t="shared" si="10"/>
        <v>-0.1246623727</v>
      </c>
      <c r="L204" s="91"/>
      <c r="M204" s="91"/>
      <c r="N204" s="92" t="s">
        <v>272</v>
      </c>
      <c r="O204" s="65"/>
      <c r="P204" s="65"/>
      <c r="Q204" s="65"/>
      <c r="R204" s="65"/>
      <c r="S204" s="65"/>
      <c r="T204" s="65"/>
      <c r="U204" s="65"/>
      <c r="V204" s="65"/>
      <c r="W204" s="65"/>
      <c r="X204" s="65"/>
      <c r="Y204" s="65"/>
      <c r="Z204" s="65"/>
      <c r="AA204" s="65"/>
      <c r="AB204" s="65"/>
      <c r="AC204" s="65"/>
    </row>
    <row r="205">
      <c r="A205" s="91" t="s">
        <v>261</v>
      </c>
      <c r="B205" s="91" t="s">
        <v>271</v>
      </c>
      <c r="C205" s="92" t="s">
        <v>267</v>
      </c>
      <c r="D205" s="93" t="s">
        <v>268</v>
      </c>
      <c r="E205" s="100">
        <v>0.28</v>
      </c>
      <c r="F205" s="100">
        <v>0.14</v>
      </c>
      <c r="G205" s="91"/>
      <c r="H205" s="86">
        <f t="shared" si="1"/>
        <v>-0.14</v>
      </c>
      <c r="I205" s="86">
        <f t="shared" si="4"/>
        <v>-0.14</v>
      </c>
      <c r="J205" s="95">
        <f t="shared" si="2"/>
        <v>-50</v>
      </c>
      <c r="K205" s="95">
        <f t="shared" si="10"/>
        <v>-50</v>
      </c>
      <c r="L205" s="91"/>
      <c r="M205" s="91"/>
      <c r="N205" s="92" t="s">
        <v>272</v>
      </c>
      <c r="O205" s="65"/>
      <c r="P205" s="65"/>
      <c r="Q205" s="65"/>
      <c r="R205" s="65"/>
      <c r="S205" s="65"/>
      <c r="T205" s="65"/>
      <c r="U205" s="65"/>
      <c r="V205" s="65"/>
      <c r="W205" s="65"/>
      <c r="X205" s="65"/>
      <c r="Y205" s="65"/>
      <c r="Z205" s="65"/>
      <c r="AA205" s="65"/>
      <c r="AB205" s="65"/>
      <c r="AC205" s="65"/>
    </row>
    <row r="206">
      <c r="A206" s="91" t="s">
        <v>261</v>
      </c>
      <c r="B206" s="91" t="s">
        <v>271</v>
      </c>
      <c r="C206" s="92" t="s">
        <v>267</v>
      </c>
      <c r="D206" s="93" t="s">
        <v>268</v>
      </c>
      <c r="E206" s="92">
        <v>37.8</v>
      </c>
      <c r="F206" s="92">
        <v>37.93</v>
      </c>
      <c r="G206" s="91"/>
      <c r="H206" s="86">
        <f t="shared" si="1"/>
        <v>0.13</v>
      </c>
      <c r="I206" s="86">
        <f t="shared" si="4"/>
        <v>0.13</v>
      </c>
      <c r="J206" s="95">
        <f t="shared" si="2"/>
        <v>0.3439153439</v>
      </c>
      <c r="K206" s="95">
        <f t="shared" si="10"/>
        <v>0.3439153439</v>
      </c>
      <c r="L206" s="91"/>
      <c r="M206" s="91"/>
      <c r="N206" s="92" t="s">
        <v>272</v>
      </c>
      <c r="O206" s="65"/>
      <c r="P206" s="65"/>
      <c r="Q206" s="65"/>
      <c r="R206" s="65"/>
      <c r="S206" s="65"/>
      <c r="T206" s="65"/>
      <c r="U206" s="65"/>
      <c r="V206" s="65"/>
      <c r="W206" s="65"/>
      <c r="X206" s="65"/>
      <c r="Y206" s="65"/>
      <c r="Z206" s="65"/>
      <c r="AA206" s="65"/>
      <c r="AB206" s="65"/>
      <c r="AC206" s="65"/>
    </row>
    <row r="207">
      <c r="A207" s="91" t="s">
        <v>261</v>
      </c>
      <c r="B207" s="91" t="s">
        <v>271</v>
      </c>
      <c r="C207" s="92" t="s">
        <v>267</v>
      </c>
      <c r="D207" s="97" t="s">
        <v>269</v>
      </c>
      <c r="E207" s="92">
        <v>48.2</v>
      </c>
      <c r="F207" s="92">
        <v>48.47</v>
      </c>
      <c r="G207" s="91"/>
      <c r="H207" s="86">
        <f t="shared" si="1"/>
        <v>0.27</v>
      </c>
      <c r="I207" s="86">
        <f t="shared" si="4"/>
        <v>0.27</v>
      </c>
      <c r="J207" s="95">
        <f t="shared" si="2"/>
        <v>0.5601659751</v>
      </c>
      <c r="K207" s="95">
        <f t="shared" si="10"/>
        <v>0.5601659751</v>
      </c>
      <c r="L207" s="91"/>
      <c r="M207" s="91"/>
      <c r="N207" s="92" t="s">
        <v>272</v>
      </c>
      <c r="O207" s="65"/>
      <c r="P207" s="65"/>
      <c r="Q207" s="65"/>
      <c r="R207" s="65"/>
      <c r="S207" s="65"/>
      <c r="T207" s="65"/>
      <c r="U207" s="65"/>
      <c r="V207" s="65"/>
      <c r="W207" s="65"/>
      <c r="X207" s="65"/>
      <c r="Y207" s="65"/>
      <c r="Z207" s="65"/>
      <c r="AA207" s="65"/>
      <c r="AB207" s="65"/>
      <c r="AC207" s="65"/>
    </row>
    <row r="208">
      <c r="A208" s="91" t="s">
        <v>261</v>
      </c>
      <c r="B208" s="91" t="s">
        <v>271</v>
      </c>
      <c r="C208" s="92" t="s">
        <v>267</v>
      </c>
      <c r="D208" s="97" t="s">
        <v>269</v>
      </c>
      <c r="E208" s="92">
        <v>48.13</v>
      </c>
      <c r="F208" s="92">
        <v>48.07</v>
      </c>
      <c r="G208" s="91"/>
      <c r="H208" s="86">
        <f t="shared" si="1"/>
        <v>-0.06</v>
      </c>
      <c r="I208" s="86">
        <f t="shared" si="4"/>
        <v>-0.06</v>
      </c>
      <c r="J208" s="95">
        <f t="shared" si="2"/>
        <v>-0.1246623727</v>
      </c>
      <c r="K208" s="95">
        <f t="shared" si="10"/>
        <v>-0.1246623727</v>
      </c>
      <c r="L208" s="91"/>
      <c r="M208" s="91"/>
      <c r="N208" s="92" t="s">
        <v>272</v>
      </c>
      <c r="O208" s="65"/>
      <c r="P208" s="65"/>
      <c r="Q208" s="65"/>
      <c r="R208" s="65"/>
      <c r="S208" s="65"/>
      <c r="T208" s="65"/>
      <c r="U208" s="65"/>
      <c r="V208" s="65"/>
      <c r="W208" s="65"/>
      <c r="X208" s="65"/>
      <c r="Y208" s="65"/>
      <c r="Z208" s="65"/>
      <c r="AA208" s="65"/>
      <c r="AB208" s="65"/>
      <c r="AC208" s="65"/>
    </row>
    <row r="209">
      <c r="A209" s="91" t="s">
        <v>261</v>
      </c>
      <c r="B209" s="91" t="s">
        <v>271</v>
      </c>
      <c r="C209" s="92" t="s">
        <v>267</v>
      </c>
      <c r="D209" s="97" t="s">
        <v>269</v>
      </c>
      <c r="E209" s="92">
        <v>0.28</v>
      </c>
      <c r="F209" s="92">
        <v>0.14</v>
      </c>
      <c r="G209" s="91"/>
      <c r="H209" s="86">
        <f t="shared" si="1"/>
        <v>-0.14</v>
      </c>
      <c r="I209" s="86">
        <f t="shared" si="4"/>
        <v>-0.14</v>
      </c>
      <c r="J209" s="95">
        <f t="shared" si="2"/>
        <v>-50</v>
      </c>
      <c r="K209" s="95">
        <f t="shared" si="10"/>
        <v>-50</v>
      </c>
      <c r="L209" s="91"/>
      <c r="M209" s="91"/>
      <c r="N209" s="92" t="s">
        <v>272</v>
      </c>
      <c r="O209" s="65"/>
      <c r="P209" s="65"/>
      <c r="Q209" s="65"/>
      <c r="R209" s="65"/>
      <c r="S209" s="65"/>
      <c r="T209" s="65"/>
      <c r="U209" s="65"/>
      <c r="V209" s="65"/>
      <c r="W209" s="65"/>
      <c r="X209" s="65"/>
      <c r="Y209" s="65"/>
      <c r="Z209" s="65"/>
      <c r="AA209" s="65"/>
      <c r="AB209" s="65"/>
      <c r="AC209" s="65"/>
    </row>
    <row r="210">
      <c r="A210" s="91" t="s">
        <v>261</v>
      </c>
      <c r="B210" s="91" t="s">
        <v>271</v>
      </c>
      <c r="C210" s="92" t="s">
        <v>267</v>
      </c>
      <c r="D210" s="97" t="s">
        <v>269</v>
      </c>
      <c r="E210" s="92">
        <v>37.8</v>
      </c>
      <c r="F210" s="92">
        <v>37.93</v>
      </c>
      <c r="G210" s="91"/>
      <c r="H210" s="86">
        <f t="shared" si="1"/>
        <v>0.13</v>
      </c>
      <c r="I210" s="86">
        <f t="shared" si="4"/>
        <v>0.13</v>
      </c>
      <c r="J210" s="95">
        <f t="shared" si="2"/>
        <v>0.3439153439</v>
      </c>
      <c r="K210" s="95">
        <f t="shared" si="10"/>
        <v>0.3439153439</v>
      </c>
      <c r="L210" s="91"/>
      <c r="M210" s="91"/>
      <c r="N210" s="92" t="s">
        <v>272</v>
      </c>
      <c r="O210" s="65"/>
      <c r="P210" s="65"/>
      <c r="Q210" s="65"/>
      <c r="R210" s="65"/>
      <c r="S210" s="65"/>
      <c r="T210" s="65"/>
      <c r="U210" s="65"/>
      <c r="V210" s="65"/>
      <c r="W210" s="65"/>
      <c r="X210" s="65"/>
      <c r="Y210" s="65"/>
      <c r="Z210" s="65"/>
      <c r="AA210" s="65"/>
      <c r="AB210" s="65"/>
      <c r="AC210" s="65"/>
    </row>
    <row r="211">
      <c r="A211" s="91" t="s">
        <v>261</v>
      </c>
      <c r="B211" s="91" t="s">
        <v>271</v>
      </c>
      <c r="C211" s="92" t="s">
        <v>267</v>
      </c>
      <c r="D211" s="93" t="s">
        <v>268</v>
      </c>
      <c r="E211" s="92">
        <v>46.87</v>
      </c>
      <c r="F211" s="92">
        <v>46.8</v>
      </c>
      <c r="G211" s="91"/>
      <c r="H211" s="86">
        <f t="shared" si="1"/>
        <v>-0.07</v>
      </c>
      <c r="I211" s="86">
        <f t="shared" si="4"/>
        <v>-0.07</v>
      </c>
      <c r="J211" s="95">
        <f t="shared" si="2"/>
        <v>-0.1493492639</v>
      </c>
      <c r="K211" s="95">
        <f t="shared" si="10"/>
        <v>-0.1493492639</v>
      </c>
      <c r="L211" s="91"/>
      <c r="M211" s="91"/>
      <c r="N211" s="92" t="s">
        <v>272</v>
      </c>
      <c r="O211" s="65"/>
      <c r="P211" s="65"/>
      <c r="Q211" s="65"/>
      <c r="R211" s="65"/>
      <c r="S211" s="65"/>
      <c r="T211" s="65"/>
      <c r="U211" s="65"/>
      <c r="V211" s="65"/>
      <c r="W211" s="65"/>
      <c r="X211" s="65"/>
      <c r="Y211" s="65"/>
      <c r="Z211" s="65"/>
      <c r="AA211" s="65"/>
      <c r="AB211" s="65"/>
      <c r="AC211" s="65"/>
    </row>
    <row r="212">
      <c r="A212" s="91" t="s">
        <v>261</v>
      </c>
      <c r="B212" s="91" t="s">
        <v>271</v>
      </c>
      <c r="C212" s="92" t="s">
        <v>267</v>
      </c>
      <c r="D212" s="93" t="s">
        <v>268</v>
      </c>
      <c r="E212" s="92">
        <v>48.27</v>
      </c>
      <c r="F212" s="92">
        <v>48.4</v>
      </c>
      <c r="G212" s="91"/>
      <c r="H212" s="86">
        <f t="shared" si="1"/>
        <v>0.13</v>
      </c>
      <c r="I212" s="86">
        <f t="shared" si="4"/>
        <v>0.13</v>
      </c>
      <c r="J212" s="95">
        <f t="shared" si="2"/>
        <v>0.2693184172</v>
      </c>
      <c r="K212" s="95">
        <f t="shared" si="10"/>
        <v>0.2693184172</v>
      </c>
      <c r="L212" s="91"/>
      <c r="M212" s="91"/>
      <c r="N212" s="92" t="s">
        <v>272</v>
      </c>
      <c r="O212" s="65"/>
      <c r="P212" s="65"/>
      <c r="Q212" s="65"/>
      <c r="R212" s="65"/>
      <c r="S212" s="65"/>
      <c r="T212" s="65"/>
      <c r="U212" s="65"/>
      <c r="V212" s="65"/>
      <c r="W212" s="65"/>
      <c r="X212" s="65"/>
      <c r="Y212" s="65"/>
      <c r="Z212" s="65"/>
      <c r="AA212" s="65"/>
      <c r="AB212" s="65"/>
      <c r="AC212" s="65"/>
    </row>
    <row r="213">
      <c r="A213" s="91" t="s">
        <v>261</v>
      </c>
      <c r="B213" s="91" t="s">
        <v>271</v>
      </c>
      <c r="C213" s="92" t="s">
        <v>267</v>
      </c>
      <c r="D213" s="93" t="s">
        <v>268</v>
      </c>
      <c r="E213" s="92">
        <v>31.95</v>
      </c>
      <c r="F213" s="92">
        <v>30.97</v>
      </c>
      <c r="G213" s="92"/>
      <c r="H213" s="86">
        <f t="shared" si="1"/>
        <v>-0.98</v>
      </c>
      <c r="I213" s="86">
        <f t="shared" si="4"/>
        <v>-0.98</v>
      </c>
      <c r="J213" s="99">
        <f t="shared" si="2"/>
        <v>-3.067292645</v>
      </c>
      <c r="K213" s="99">
        <f t="shared" si="10"/>
        <v>-3.067292645</v>
      </c>
      <c r="L213" s="91"/>
      <c r="M213" s="91"/>
      <c r="N213" s="92" t="s">
        <v>272</v>
      </c>
      <c r="O213" s="65"/>
      <c r="P213" s="65"/>
      <c r="Q213" s="65"/>
      <c r="R213" s="65"/>
      <c r="S213" s="65"/>
      <c r="T213" s="65"/>
      <c r="U213" s="65"/>
      <c r="V213" s="65"/>
      <c r="W213" s="65"/>
      <c r="X213" s="65"/>
      <c r="Y213" s="65"/>
      <c r="Z213" s="65"/>
      <c r="AA213" s="65"/>
      <c r="AB213" s="65"/>
      <c r="AC213" s="65"/>
    </row>
    <row r="214">
      <c r="A214" s="91" t="s">
        <v>261</v>
      </c>
      <c r="B214" s="91" t="s">
        <v>271</v>
      </c>
      <c r="C214" s="92" t="s">
        <v>267</v>
      </c>
      <c r="D214" s="93" t="s">
        <v>268</v>
      </c>
      <c r="E214" s="92">
        <v>35.47</v>
      </c>
      <c r="F214" s="92">
        <v>35.8</v>
      </c>
      <c r="G214" s="92"/>
      <c r="H214" s="86">
        <f t="shared" si="1"/>
        <v>0.33</v>
      </c>
      <c r="I214" s="86">
        <f t="shared" si="4"/>
        <v>0.33</v>
      </c>
      <c r="J214" s="99">
        <f t="shared" si="2"/>
        <v>0.9303636876</v>
      </c>
      <c r="K214" s="99">
        <f t="shared" si="10"/>
        <v>0.9303636876</v>
      </c>
      <c r="L214" s="91"/>
      <c r="M214" s="91"/>
      <c r="N214" s="92" t="s">
        <v>272</v>
      </c>
      <c r="O214" s="65"/>
      <c r="P214" s="65"/>
      <c r="Q214" s="65"/>
      <c r="R214" s="65"/>
      <c r="S214" s="65"/>
      <c r="T214" s="65"/>
      <c r="U214" s="65"/>
      <c r="V214" s="65"/>
      <c r="W214" s="65"/>
      <c r="X214" s="65"/>
      <c r="Y214" s="65"/>
      <c r="Z214" s="65"/>
      <c r="AA214" s="65"/>
      <c r="AB214" s="65"/>
      <c r="AC214" s="65"/>
    </row>
    <row r="215">
      <c r="A215" s="91" t="s">
        <v>261</v>
      </c>
      <c r="B215" s="91" t="s">
        <v>271</v>
      </c>
      <c r="C215" s="92" t="s">
        <v>267</v>
      </c>
      <c r="D215" s="97" t="s">
        <v>269</v>
      </c>
      <c r="E215" s="92">
        <v>46.46</v>
      </c>
      <c r="F215" s="92">
        <v>46.51</v>
      </c>
      <c r="G215" s="92"/>
      <c r="H215" s="86">
        <f t="shared" si="1"/>
        <v>0.05</v>
      </c>
      <c r="I215" s="86">
        <f t="shared" si="4"/>
        <v>0.05</v>
      </c>
      <c r="J215" s="99">
        <f t="shared" si="2"/>
        <v>0.1076194576</v>
      </c>
      <c r="K215" s="99">
        <f t="shared" si="10"/>
        <v>0.1076194576</v>
      </c>
      <c r="L215" s="91"/>
      <c r="M215" s="91"/>
      <c r="N215" s="92" t="s">
        <v>272</v>
      </c>
      <c r="O215" s="65"/>
      <c r="P215" s="65"/>
      <c r="Q215" s="65"/>
      <c r="R215" s="65"/>
      <c r="S215" s="65"/>
      <c r="T215" s="65"/>
      <c r="U215" s="65"/>
      <c r="V215" s="65"/>
      <c r="W215" s="65"/>
      <c r="X215" s="65"/>
      <c r="Y215" s="65"/>
      <c r="Z215" s="65"/>
      <c r="AA215" s="65"/>
      <c r="AB215" s="65"/>
      <c r="AC215" s="65"/>
    </row>
    <row r="216">
      <c r="A216" s="91" t="s">
        <v>261</v>
      </c>
      <c r="B216" s="91" t="s">
        <v>271</v>
      </c>
      <c r="C216" s="92" t="s">
        <v>267</v>
      </c>
      <c r="D216" s="97" t="s">
        <v>269</v>
      </c>
      <c r="E216" s="92">
        <v>48.12</v>
      </c>
      <c r="F216" s="92">
        <v>47.98</v>
      </c>
      <c r="G216" s="92"/>
      <c r="H216" s="86">
        <f t="shared" si="1"/>
        <v>-0.14</v>
      </c>
      <c r="I216" s="86">
        <f t="shared" si="4"/>
        <v>-0.14</v>
      </c>
      <c r="J216" s="99">
        <f t="shared" si="2"/>
        <v>-0.2909393184</v>
      </c>
      <c r="K216" s="99">
        <f t="shared" si="10"/>
        <v>-0.2909393184</v>
      </c>
      <c r="L216" s="91"/>
      <c r="M216" s="91"/>
      <c r="N216" s="92" t="s">
        <v>272</v>
      </c>
      <c r="O216" s="65"/>
      <c r="P216" s="65"/>
      <c r="Q216" s="65"/>
      <c r="R216" s="65"/>
      <c r="S216" s="65"/>
      <c r="T216" s="65"/>
      <c r="U216" s="65"/>
      <c r="V216" s="65"/>
      <c r="W216" s="65"/>
      <c r="X216" s="65"/>
      <c r="Y216" s="65"/>
      <c r="Z216" s="65"/>
      <c r="AA216" s="65"/>
      <c r="AB216" s="65"/>
      <c r="AC216" s="65"/>
    </row>
    <row r="217">
      <c r="A217" s="91" t="s">
        <v>261</v>
      </c>
      <c r="B217" s="91" t="s">
        <v>271</v>
      </c>
      <c r="C217" s="92" t="s">
        <v>267</v>
      </c>
      <c r="D217" s="97" t="s">
        <v>269</v>
      </c>
      <c r="E217" s="92">
        <v>30.78</v>
      </c>
      <c r="F217" s="92">
        <v>30.33</v>
      </c>
      <c r="G217" s="92"/>
      <c r="H217" s="86">
        <f t="shared" si="1"/>
        <v>-0.45</v>
      </c>
      <c r="I217" s="86">
        <f t="shared" si="4"/>
        <v>-0.45</v>
      </c>
      <c r="J217" s="99">
        <f t="shared" si="2"/>
        <v>-1.461988304</v>
      </c>
      <c r="K217" s="99">
        <f t="shared" si="10"/>
        <v>-1.461988304</v>
      </c>
      <c r="L217" s="91"/>
      <c r="M217" s="91"/>
      <c r="N217" s="92" t="s">
        <v>272</v>
      </c>
      <c r="O217" s="65"/>
      <c r="P217" s="65"/>
      <c r="Q217" s="65"/>
      <c r="R217" s="65"/>
      <c r="S217" s="65"/>
      <c r="T217" s="65"/>
      <c r="U217" s="65"/>
      <c r="V217" s="65"/>
      <c r="W217" s="65"/>
      <c r="X217" s="65"/>
      <c r="Y217" s="65"/>
      <c r="Z217" s="65"/>
      <c r="AA217" s="65"/>
      <c r="AB217" s="65"/>
      <c r="AC217" s="65"/>
    </row>
    <row r="218">
      <c r="A218" s="91" t="s">
        <v>261</v>
      </c>
      <c r="B218" s="91" t="s">
        <v>271</v>
      </c>
      <c r="C218" s="92" t="s">
        <v>267</v>
      </c>
      <c r="D218" s="97" t="s">
        <v>269</v>
      </c>
      <c r="E218" s="92">
        <v>34.88</v>
      </c>
      <c r="F218" s="92">
        <v>35.02</v>
      </c>
      <c r="G218" s="92"/>
      <c r="H218" s="86">
        <f t="shared" si="1"/>
        <v>0.14</v>
      </c>
      <c r="I218" s="86">
        <f t="shared" si="4"/>
        <v>0.14</v>
      </c>
      <c r="J218" s="99">
        <f t="shared" si="2"/>
        <v>0.4013761468</v>
      </c>
      <c r="K218" s="99">
        <f t="shared" si="10"/>
        <v>0.4013761468</v>
      </c>
      <c r="L218" s="91"/>
      <c r="M218" s="91"/>
      <c r="N218" s="92" t="s">
        <v>272</v>
      </c>
      <c r="O218" s="65"/>
      <c r="P218" s="65"/>
      <c r="Q218" s="65"/>
      <c r="R218" s="65"/>
      <c r="S218" s="65"/>
      <c r="T218" s="65"/>
      <c r="U218" s="65"/>
      <c r="V218" s="65"/>
      <c r="W218" s="65"/>
      <c r="X218" s="65"/>
      <c r="Y218" s="65"/>
      <c r="Z218" s="65"/>
      <c r="AA218" s="65"/>
      <c r="AB218" s="65"/>
      <c r="AC218" s="65"/>
    </row>
    <row r="219">
      <c r="A219" s="91" t="s">
        <v>261</v>
      </c>
      <c r="B219" s="91" t="s">
        <v>271</v>
      </c>
      <c r="C219" s="92" t="s">
        <v>267</v>
      </c>
      <c r="D219" s="93" t="s">
        <v>268</v>
      </c>
      <c r="E219" s="92">
        <v>0.0</v>
      </c>
      <c r="F219" s="92">
        <v>43.33</v>
      </c>
      <c r="G219" s="92"/>
      <c r="H219" s="86">
        <f t="shared" si="1"/>
        <v>43.33</v>
      </c>
      <c r="I219" s="86">
        <f t="shared" si="4"/>
        <v>43.33</v>
      </c>
      <c r="J219" s="99" t="str">
        <f t="shared" si="2"/>
        <v>#DIV/0!</v>
      </c>
      <c r="K219" s="99" t="str">
        <f t="shared" si="10"/>
        <v>error</v>
      </c>
      <c r="L219" s="91"/>
      <c r="M219" s="91"/>
      <c r="N219" s="92" t="s">
        <v>272</v>
      </c>
      <c r="O219" s="65"/>
      <c r="P219" s="65"/>
      <c r="Q219" s="65"/>
      <c r="R219" s="65"/>
      <c r="S219" s="65"/>
      <c r="T219" s="65"/>
      <c r="U219" s="65"/>
      <c r="V219" s="65"/>
      <c r="W219" s="65"/>
      <c r="X219" s="65"/>
      <c r="Y219" s="65"/>
      <c r="Z219" s="65"/>
      <c r="AA219" s="65"/>
      <c r="AB219" s="65"/>
      <c r="AC219" s="65"/>
    </row>
    <row r="220">
      <c r="A220" s="91" t="s">
        <v>261</v>
      </c>
      <c r="B220" s="91" t="s">
        <v>271</v>
      </c>
      <c r="C220" s="92" t="s">
        <v>267</v>
      </c>
      <c r="D220" s="93" t="s">
        <v>268</v>
      </c>
      <c r="E220" s="92">
        <v>0.0</v>
      </c>
      <c r="F220" s="92">
        <v>43.2</v>
      </c>
      <c r="G220" s="92"/>
      <c r="H220" s="86">
        <f t="shared" si="1"/>
        <v>43.2</v>
      </c>
      <c r="I220" s="86">
        <f t="shared" si="4"/>
        <v>43.2</v>
      </c>
      <c r="J220" s="99" t="str">
        <f t="shared" si="2"/>
        <v>#DIV/0!</v>
      </c>
      <c r="K220" s="99" t="str">
        <f t="shared" si="10"/>
        <v>error</v>
      </c>
      <c r="L220" s="91"/>
      <c r="M220" s="91"/>
      <c r="N220" s="92" t="s">
        <v>272</v>
      </c>
      <c r="O220" s="65"/>
      <c r="P220" s="65"/>
      <c r="Q220" s="65"/>
      <c r="R220" s="65"/>
      <c r="S220" s="65"/>
      <c r="T220" s="65"/>
      <c r="U220" s="65"/>
      <c r="V220" s="65"/>
      <c r="W220" s="65"/>
      <c r="X220" s="65"/>
      <c r="Y220" s="65"/>
      <c r="Z220" s="65"/>
      <c r="AA220" s="65"/>
      <c r="AB220" s="65"/>
      <c r="AC220" s="65"/>
    </row>
    <row r="221">
      <c r="A221" s="91" t="s">
        <v>261</v>
      </c>
      <c r="B221" s="91" t="s">
        <v>271</v>
      </c>
      <c r="C221" s="92" t="s">
        <v>267</v>
      </c>
      <c r="D221" s="93" t="s">
        <v>268</v>
      </c>
      <c r="E221" s="92">
        <v>0.0</v>
      </c>
      <c r="F221" s="92">
        <v>27.88</v>
      </c>
      <c r="G221" s="92"/>
      <c r="H221" s="86">
        <f t="shared" si="1"/>
        <v>27.88</v>
      </c>
      <c r="I221" s="86">
        <f t="shared" si="4"/>
        <v>27.88</v>
      </c>
      <c r="J221" s="99" t="str">
        <f t="shared" si="2"/>
        <v>#DIV/0!</v>
      </c>
      <c r="K221" s="99" t="str">
        <f t="shared" si="10"/>
        <v>error</v>
      </c>
      <c r="L221" s="91"/>
      <c r="M221" s="91"/>
      <c r="N221" s="92" t="s">
        <v>272</v>
      </c>
      <c r="O221" s="65"/>
      <c r="P221" s="65"/>
      <c r="Q221" s="65"/>
      <c r="R221" s="65"/>
      <c r="S221" s="65"/>
      <c r="T221" s="65"/>
      <c r="U221" s="65"/>
      <c r="V221" s="65"/>
      <c r="W221" s="65"/>
      <c r="X221" s="65"/>
      <c r="Y221" s="65"/>
      <c r="Z221" s="65"/>
      <c r="AA221" s="65"/>
      <c r="AB221" s="65"/>
      <c r="AC221" s="65"/>
    </row>
    <row r="222">
      <c r="A222" s="91" t="s">
        <v>261</v>
      </c>
      <c r="B222" s="91" t="s">
        <v>271</v>
      </c>
      <c r="C222" s="92" t="s">
        <v>267</v>
      </c>
      <c r="D222" s="93" t="s">
        <v>268</v>
      </c>
      <c r="E222" s="92">
        <v>0.0</v>
      </c>
      <c r="F222" s="92">
        <v>33.0</v>
      </c>
      <c r="G222" s="92"/>
      <c r="H222" s="86">
        <f t="shared" si="1"/>
        <v>33</v>
      </c>
      <c r="I222" s="86">
        <f t="shared" si="4"/>
        <v>33</v>
      </c>
      <c r="J222" s="99" t="str">
        <f t="shared" si="2"/>
        <v>#DIV/0!</v>
      </c>
      <c r="K222" s="99" t="str">
        <f t="shared" si="10"/>
        <v>error</v>
      </c>
      <c r="L222" s="91"/>
      <c r="M222" s="91"/>
      <c r="N222" s="92" t="s">
        <v>272</v>
      </c>
      <c r="O222" s="65"/>
      <c r="P222" s="65"/>
      <c r="Q222" s="65"/>
      <c r="R222" s="65"/>
      <c r="S222" s="65"/>
      <c r="T222" s="65"/>
      <c r="U222" s="65"/>
      <c r="V222" s="65"/>
      <c r="W222" s="65"/>
      <c r="X222" s="65"/>
      <c r="Y222" s="65"/>
      <c r="Z222" s="65"/>
      <c r="AA222" s="65"/>
      <c r="AB222" s="65"/>
      <c r="AC222" s="65"/>
    </row>
    <row r="223">
      <c r="A223" s="91" t="s">
        <v>261</v>
      </c>
      <c r="B223" s="91" t="s">
        <v>271</v>
      </c>
      <c r="C223" s="92" t="s">
        <v>267</v>
      </c>
      <c r="D223" s="97" t="s">
        <v>269</v>
      </c>
      <c r="E223" s="92">
        <v>0.0</v>
      </c>
      <c r="F223" s="92">
        <v>42.53</v>
      </c>
      <c r="G223" s="92"/>
      <c r="H223" s="86">
        <f t="shared" si="1"/>
        <v>42.53</v>
      </c>
      <c r="I223" s="86">
        <f t="shared" si="4"/>
        <v>42.53</v>
      </c>
      <c r="J223" s="99" t="str">
        <f t="shared" si="2"/>
        <v>#DIV/0!</v>
      </c>
      <c r="K223" s="99" t="str">
        <f t="shared" si="10"/>
        <v>error</v>
      </c>
      <c r="L223" s="91"/>
      <c r="M223" s="91"/>
      <c r="N223" s="92" t="s">
        <v>272</v>
      </c>
      <c r="O223" s="65"/>
      <c r="P223" s="65"/>
      <c r="Q223" s="65"/>
      <c r="R223" s="65"/>
      <c r="S223" s="65"/>
      <c r="T223" s="65"/>
      <c r="U223" s="65"/>
      <c r="V223" s="65"/>
      <c r="W223" s="65"/>
      <c r="X223" s="65"/>
      <c r="Y223" s="65"/>
      <c r="Z223" s="65"/>
      <c r="AA223" s="65"/>
      <c r="AB223" s="65"/>
      <c r="AC223" s="65"/>
    </row>
    <row r="224">
      <c r="A224" s="91" t="s">
        <v>261</v>
      </c>
      <c r="B224" s="91" t="s">
        <v>271</v>
      </c>
      <c r="C224" s="92" t="s">
        <v>267</v>
      </c>
      <c r="D224" s="97" t="s">
        <v>269</v>
      </c>
      <c r="E224" s="92">
        <v>0.0</v>
      </c>
      <c r="F224" s="92">
        <v>42.78</v>
      </c>
      <c r="G224" s="92"/>
      <c r="H224" s="86">
        <f t="shared" si="1"/>
        <v>42.78</v>
      </c>
      <c r="I224" s="86">
        <f t="shared" si="4"/>
        <v>42.78</v>
      </c>
      <c r="J224" s="99" t="str">
        <f t="shared" si="2"/>
        <v>#DIV/0!</v>
      </c>
      <c r="K224" s="99" t="str">
        <f t="shared" si="10"/>
        <v>error</v>
      </c>
      <c r="L224" s="91"/>
      <c r="M224" s="91"/>
      <c r="N224" s="92" t="s">
        <v>272</v>
      </c>
      <c r="O224" s="65"/>
      <c r="P224" s="65"/>
      <c r="Q224" s="65"/>
      <c r="R224" s="65"/>
      <c r="S224" s="65"/>
      <c r="T224" s="65"/>
      <c r="U224" s="65"/>
      <c r="V224" s="65"/>
      <c r="W224" s="65"/>
      <c r="X224" s="65"/>
      <c r="Y224" s="65"/>
      <c r="Z224" s="65"/>
      <c r="AA224" s="65"/>
      <c r="AB224" s="65"/>
      <c r="AC224" s="65"/>
    </row>
    <row r="225">
      <c r="A225" s="91" t="s">
        <v>261</v>
      </c>
      <c r="B225" s="91" t="s">
        <v>271</v>
      </c>
      <c r="C225" s="92" t="s">
        <v>267</v>
      </c>
      <c r="D225" s="97" t="s">
        <v>269</v>
      </c>
      <c r="E225" s="92">
        <v>0.0</v>
      </c>
      <c r="F225" s="92">
        <v>27.25</v>
      </c>
      <c r="G225" s="92"/>
      <c r="H225" s="86">
        <f t="shared" si="1"/>
        <v>27.25</v>
      </c>
      <c r="I225" s="86">
        <f t="shared" si="4"/>
        <v>27.25</v>
      </c>
      <c r="J225" s="99" t="str">
        <f t="shared" si="2"/>
        <v>#DIV/0!</v>
      </c>
      <c r="K225" s="99" t="str">
        <f t="shared" si="10"/>
        <v>error</v>
      </c>
      <c r="L225" s="91"/>
      <c r="M225" s="91"/>
      <c r="N225" s="92" t="s">
        <v>272</v>
      </c>
      <c r="O225" s="65"/>
      <c r="P225" s="65"/>
      <c r="Q225" s="65"/>
      <c r="R225" s="65"/>
      <c r="S225" s="65"/>
      <c r="T225" s="65"/>
      <c r="U225" s="65"/>
      <c r="V225" s="65"/>
      <c r="W225" s="65"/>
      <c r="X225" s="65"/>
      <c r="Y225" s="65"/>
      <c r="Z225" s="65"/>
      <c r="AA225" s="65"/>
      <c r="AB225" s="65"/>
      <c r="AC225" s="65"/>
    </row>
    <row r="226">
      <c r="A226" s="91" t="s">
        <v>261</v>
      </c>
      <c r="B226" s="91" t="s">
        <v>271</v>
      </c>
      <c r="C226" s="92" t="s">
        <v>267</v>
      </c>
      <c r="D226" s="97" t="s">
        <v>269</v>
      </c>
      <c r="E226" s="92">
        <v>0.0</v>
      </c>
      <c r="F226" s="92">
        <v>32.62</v>
      </c>
      <c r="G226" s="92"/>
      <c r="H226" s="86">
        <f t="shared" si="1"/>
        <v>32.62</v>
      </c>
      <c r="I226" s="86">
        <f t="shared" si="4"/>
        <v>32.62</v>
      </c>
      <c r="J226" s="99" t="str">
        <f t="shared" si="2"/>
        <v>#DIV/0!</v>
      </c>
      <c r="K226" s="99" t="str">
        <f t="shared" si="10"/>
        <v>error</v>
      </c>
      <c r="L226" s="91"/>
      <c r="M226" s="91"/>
      <c r="N226" s="92" t="s">
        <v>272</v>
      </c>
      <c r="O226" s="65"/>
      <c r="P226" s="65"/>
      <c r="Q226" s="65"/>
      <c r="R226" s="65"/>
      <c r="S226" s="65"/>
      <c r="T226" s="65"/>
      <c r="U226" s="65"/>
      <c r="V226" s="65"/>
      <c r="W226" s="65"/>
      <c r="X226" s="65"/>
      <c r="Y226" s="65"/>
      <c r="Z226" s="65"/>
      <c r="AA226" s="65"/>
      <c r="AB226" s="65"/>
      <c r="AC226" s="65"/>
    </row>
    <row r="227">
      <c r="A227" s="101" t="s">
        <v>261</v>
      </c>
      <c r="B227" s="102" t="s">
        <v>271</v>
      </c>
      <c r="C227" s="103" t="s">
        <v>267</v>
      </c>
      <c r="D227" s="104" t="s">
        <v>268</v>
      </c>
      <c r="E227" s="105">
        <v>46.0</v>
      </c>
      <c r="F227" s="106">
        <v>47.4</v>
      </c>
      <c r="G227" s="103"/>
      <c r="H227" s="86">
        <f t="shared" si="1"/>
        <v>1.4</v>
      </c>
      <c r="I227" s="107">
        <f t="shared" si="4"/>
        <v>1.4</v>
      </c>
      <c r="J227" s="108">
        <f t="shared" si="2"/>
        <v>3.043478261</v>
      </c>
      <c r="K227" s="108">
        <f t="shared" si="10"/>
        <v>3.043478261</v>
      </c>
      <c r="L227" s="102"/>
      <c r="M227" s="102"/>
      <c r="N227" s="92" t="s">
        <v>272</v>
      </c>
      <c r="O227" s="3"/>
      <c r="P227" s="3"/>
      <c r="Q227" s="3"/>
      <c r="R227" s="3"/>
      <c r="S227" s="3"/>
      <c r="T227" s="3"/>
      <c r="U227" s="3"/>
      <c r="V227" s="3"/>
      <c r="W227" s="3"/>
      <c r="X227" s="3"/>
      <c r="Y227" s="3"/>
      <c r="Z227" s="3"/>
      <c r="AA227" s="3"/>
      <c r="AB227" s="3"/>
      <c r="AC227" s="3"/>
    </row>
    <row r="228">
      <c r="A228" s="109" t="s">
        <v>261</v>
      </c>
      <c r="B228" s="110" t="s">
        <v>271</v>
      </c>
      <c r="C228" s="111" t="s">
        <v>267</v>
      </c>
      <c r="D228" s="112" t="s">
        <v>268</v>
      </c>
      <c r="E228" s="105">
        <v>48.27</v>
      </c>
      <c r="F228" s="113">
        <v>48.93</v>
      </c>
      <c r="G228" s="111"/>
      <c r="H228" s="86">
        <f t="shared" si="1"/>
        <v>0.66</v>
      </c>
      <c r="I228" s="114">
        <f t="shared" si="4"/>
        <v>0.66</v>
      </c>
      <c r="J228" s="115">
        <f t="shared" si="2"/>
        <v>1.367308888</v>
      </c>
      <c r="K228" s="115">
        <f t="shared" si="10"/>
        <v>1.367308888</v>
      </c>
      <c r="L228" s="110"/>
      <c r="M228" s="110"/>
      <c r="N228" s="92" t="s">
        <v>272</v>
      </c>
      <c r="O228" s="3"/>
      <c r="P228" s="3"/>
      <c r="Q228" s="3"/>
      <c r="R228" s="3"/>
      <c r="S228" s="3"/>
      <c r="T228" s="3"/>
      <c r="U228" s="3"/>
      <c r="V228" s="3"/>
      <c r="W228" s="3"/>
      <c r="X228" s="3"/>
      <c r="Y228" s="3"/>
      <c r="Z228" s="3"/>
      <c r="AA228" s="3"/>
      <c r="AB228" s="3"/>
      <c r="AC228" s="3"/>
    </row>
    <row r="229">
      <c r="A229" s="109" t="s">
        <v>261</v>
      </c>
      <c r="B229" s="110" t="s">
        <v>271</v>
      </c>
      <c r="C229" s="111" t="s">
        <v>267</v>
      </c>
      <c r="D229" s="112" t="s">
        <v>268</v>
      </c>
      <c r="E229" s="105">
        <v>31.39</v>
      </c>
      <c r="F229" s="113">
        <v>32.58</v>
      </c>
      <c r="G229" s="111"/>
      <c r="H229" s="86">
        <f t="shared" si="1"/>
        <v>1.19</v>
      </c>
      <c r="I229" s="114">
        <f t="shared" si="4"/>
        <v>1.19</v>
      </c>
      <c r="J229" s="115">
        <f t="shared" si="2"/>
        <v>3.791016247</v>
      </c>
      <c r="K229" s="115">
        <f t="shared" si="10"/>
        <v>3.791016247</v>
      </c>
      <c r="L229" s="110"/>
      <c r="M229" s="110"/>
      <c r="N229" s="92" t="s">
        <v>272</v>
      </c>
      <c r="O229" s="3"/>
      <c r="P229" s="3"/>
      <c r="Q229" s="3"/>
      <c r="R229" s="3"/>
      <c r="S229" s="3"/>
      <c r="T229" s="3"/>
      <c r="U229" s="3"/>
      <c r="V229" s="3"/>
      <c r="W229" s="3"/>
      <c r="X229" s="3"/>
      <c r="Y229" s="3"/>
      <c r="Z229" s="3"/>
      <c r="AA229" s="3"/>
      <c r="AB229" s="3"/>
      <c r="AC229" s="3"/>
    </row>
    <row r="230">
      <c r="A230" s="109" t="s">
        <v>261</v>
      </c>
      <c r="B230" s="110" t="s">
        <v>271</v>
      </c>
      <c r="C230" s="111" t="s">
        <v>267</v>
      </c>
      <c r="D230" s="112" t="s">
        <v>268</v>
      </c>
      <c r="E230" s="105">
        <v>36.2</v>
      </c>
      <c r="F230" s="113">
        <v>37.2</v>
      </c>
      <c r="G230" s="111"/>
      <c r="H230" s="86">
        <f t="shared" si="1"/>
        <v>1</v>
      </c>
      <c r="I230" s="114">
        <f t="shared" si="4"/>
        <v>1</v>
      </c>
      <c r="J230" s="115">
        <f t="shared" si="2"/>
        <v>2.762430939</v>
      </c>
      <c r="K230" s="115">
        <f t="shared" si="10"/>
        <v>2.762430939</v>
      </c>
      <c r="L230" s="110"/>
      <c r="M230" s="110"/>
      <c r="N230" s="92" t="s">
        <v>272</v>
      </c>
      <c r="O230" s="3"/>
      <c r="P230" s="3"/>
      <c r="Q230" s="3"/>
      <c r="R230" s="3"/>
      <c r="S230" s="3"/>
      <c r="T230" s="3"/>
      <c r="U230" s="3"/>
      <c r="V230" s="3"/>
      <c r="W230" s="3"/>
      <c r="X230" s="3"/>
      <c r="Y230" s="3"/>
      <c r="Z230" s="3"/>
      <c r="AA230" s="3"/>
      <c r="AB230" s="3"/>
      <c r="AC230" s="3"/>
    </row>
    <row r="231">
      <c r="A231" s="109" t="s">
        <v>261</v>
      </c>
      <c r="B231" s="110" t="s">
        <v>271</v>
      </c>
      <c r="C231" s="111" t="s">
        <v>267</v>
      </c>
      <c r="D231" s="116" t="s">
        <v>269</v>
      </c>
      <c r="E231" s="105">
        <v>45.37</v>
      </c>
      <c r="F231" s="113">
        <v>47.07</v>
      </c>
      <c r="G231" s="111"/>
      <c r="H231" s="86">
        <f t="shared" si="1"/>
        <v>1.7</v>
      </c>
      <c r="I231" s="114">
        <f t="shared" si="4"/>
        <v>1.7</v>
      </c>
      <c r="J231" s="115">
        <f t="shared" si="2"/>
        <v>3.746969363</v>
      </c>
      <c r="K231" s="115">
        <f t="shared" si="10"/>
        <v>3.746969363</v>
      </c>
      <c r="L231" s="110"/>
      <c r="M231" s="110"/>
      <c r="N231" s="92" t="s">
        <v>272</v>
      </c>
      <c r="O231" s="3"/>
      <c r="P231" s="3"/>
      <c r="Q231" s="3"/>
      <c r="R231" s="3"/>
      <c r="S231" s="3"/>
      <c r="T231" s="3"/>
      <c r="U231" s="3"/>
      <c r="V231" s="3"/>
      <c r="W231" s="3"/>
      <c r="X231" s="3"/>
      <c r="Y231" s="3"/>
      <c r="Z231" s="3"/>
      <c r="AA231" s="3"/>
      <c r="AB231" s="3"/>
      <c r="AC231" s="3"/>
    </row>
    <row r="232">
      <c r="A232" s="109" t="s">
        <v>261</v>
      </c>
      <c r="B232" s="110" t="s">
        <v>271</v>
      </c>
      <c r="C232" s="111" t="s">
        <v>267</v>
      </c>
      <c r="D232" s="116" t="s">
        <v>269</v>
      </c>
      <c r="E232" s="105">
        <v>48.03</v>
      </c>
      <c r="F232" s="113">
        <v>48.55</v>
      </c>
      <c r="G232" s="111"/>
      <c r="H232" s="86">
        <f t="shared" si="1"/>
        <v>0.52</v>
      </c>
      <c r="I232" s="114">
        <f t="shared" si="4"/>
        <v>0.52</v>
      </c>
      <c r="J232" s="115">
        <f t="shared" si="2"/>
        <v>1.082656673</v>
      </c>
      <c r="K232" s="115">
        <f t="shared" si="10"/>
        <v>1.082656673</v>
      </c>
      <c r="L232" s="110"/>
      <c r="M232" s="110"/>
      <c r="N232" s="92" t="s">
        <v>272</v>
      </c>
      <c r="O232" s="3"/>
      <c r="P232" s="3"/>
      <c r="Q232" s="3"/>
      <c r="R232" s="3"/>
      <c r="S232" s="3"/>
      <c r="T232" s="3"/>
      <c r="U232" s="3"/>
      <c r="V232" s="3"/>
      <c r="W232" s="3"/>
      <c r="X232" s="3"/>
      <c r="Y232" s="3"/>
      <c r="Z232" s="3"/>
      <c r="AA232" s="3"/>
      <c r="AB232" s="3"/>
      <c r="AC232" s="3"/>
    </row>
    <row r="233">
      <c r="A233" s="109" t="s">
        <v>261</v>
      </c>
      <c r="B233" s="110" t="s">
        <v>271</v>
      </c>
      <c r="C233" s="111" t="s">
        <v>267</v>
      </c>
      <c r="D233" s="116" t="s">
        <v>269</v>
      </c>
      <c r="E233" s="105">
        <v>24.86</v>
      </c>
      <c r="F233" s="113">
        <v>31.54</v>
      </c>
      <c r="G233" s="111"/>
      <c r="H233" s="86">
        <f t="shared" si="1"/>
        <v>6.68</v>
      </c>
      <c r="I233" s="114">
        <f t="shared" si="4"/>
        <v>6.68</v>
      </c>
      <c r="J233" s="115">
        <f t="shared" si="2"/>
        <v>26.87047466</v>
      </c>
      <c r="K233" s="115">
        <f t="shared" si="10"/>
        <v>26.87047466</v>
      </c>
      <c r="L233" s="110"/>
      <c r="M233" s="110"/>
      <c r="N233" s="92" t="s">
        <v>272</v>
      </c>
      <c r="O233" s="3"/>
      <c r="P233" s="3"/>
      <c r="Q233" s="3"/>
      <c r="R233" s="3"/>
      <c r="S233" s="3"/>
      <c r="T233" s="3"/>
      <c r="U233" s="3"/>
      <c r="V233" s="3"/>
      <c r="W233" s="3"/>
      <c r="X233" s="3"/>
      <c r="Y233" s="3"/>
      <c r="Z233" s="3"/>
      <c r="AA233" s="3"/>
      <c r="AB233" s="3"/>
      <c r="AC233" s="3"/>
    </row>
    <row r="234">
      <c r="A234" s="109" t="s">
        <v>261</v>
      </c>
      <c r="B234" s="110" t="s">
        <v>271</v>
      </c>
      <c r="C234" s="111" t="s">
        <v>267</v>
      </c>
      <c r="D234" s="116" t="s">
        <v>269</v>
      </c>
      <c r="E234" s="105">
        <v>35.77</v>
      </c>
      <c r="F234" s="113">
        <v>36.61</v>
      </c>
      <c r="G234" s="111"/>
      <c r="H234" s="86">
        <f t="shared" si="1"/>
        <v>0.84</v>
      </c>
      <c r="I234" s="114">
        <f t="shared" si="4"/>
        <v>0.84</v>
      </c>
      <c r="J234" s="115">
        <f t="shared" si="2"/>
        <v>2.348336595</v>
      </c>
      <c r="K234" s="115">
        <f t="shared" si="10"/>
        <v>2.348336595</v>
      </c>
      <c r="L234" s="110"/>
      <c r="M234" s="110"/>
      <c r="N234" s="92" t="s">
        <v>272</v>
      </c>
      <c r="O234" s="3"/>
      <c r="P234" s="3"/>
      <c r="Q234" s="3"/>
      <c r="R234" s="3"/>
      <c r="S234" s="3"/>
      <c r="T234" s="3"/>
      <c r="U234" s="3"/>
      <c r="V234" s="3"/>
      <c r="W234" s="3"/>
      <c r="X234" s="3"/>
      <c r="Y234" s="3"/>
      <c r="Z234" s="3"/>
      <c r="AA234" s="3"/>
      <c r="AB234" s="3"/>
      <c r="AC234" s="3"/>
    </row>
    <row r="235">
      <c r="A235" s="101" t="s">
        <v>261</v>
      </c>
      <c r="B235" s="102" t="s">
        <v>271</v>
      </c>
      <c r="C235" s="103" t="s">
        <v>267</v>
      </c>
      <c r="D235" s="104" t="s">
        <v>268</v>
      </c>
      <c r="E235" s="105">
        <v>46.07</v>
      </c>
      <c r="F235" s="106">
        <v>45.87</v>
      </c>
      <c r="G235" s="103"/>
      <c r="H235" s="86">
        <f t="shared" si="1"/>
        <v>-0.2</v>
      </c>
      <c r="I235" s="107">
        <f t="shared" si="4"/>
        <v>-0.2</v>
      </c>
      <c r="J235" s="108">
        <f t="shared" si="2"/>
        <v>-0.4341219883</v>
      </c>
      <c r="K235" s="108">
        <f t="shared" si="10"/>
        <v>-0.4341219883</v>
      </c>
      <c r="L235" s="102"/>
      <c r="M235" s="102"/>
      <c r="N235" s="92" t="s">
        <v>272</v>
      </c>
      <c r="O235" s="3"/>
      <c r="P235" s="3"/>
      <c r="Q235" s="3"/>
      <c r="R235" s="3"/>
      <c r="S235" s="3"/>
      <c r="T235" s="3"/>
      <c r="U235" s="3"/>
      <c r="V235" s="3"/>
      <c r="W235" s="3"/>
      <c r="X235" s="3"/>
      <c r="Y235" s="3"/>
      <c r="Z235" s="3"/>
      <c r="AA235" s="3"/>
      <c r="AB235" s="3"/>
      <c r="AC235" s="3"/>
    </row>
    <row r="236">
      <c r="A236" s="109" t="s">
        <v>261</v>
      </c>
      <c r="B236" s="110" t="s">
        <v>271</v>
      </c>
      <c r="C236" s="111" t="s">
        <v>267</v>
      </c>
      <c r="D236" s="112" t="s">
        <v>268</v>
      </c>
      <c r="E236" s="105">
        <v>48.13</v>
      </c>
      <c r="F236" s="113">
        <v>47.67</v>
      </c>
      <c r="G236" s="111"/>
      <c r="H236" s="86">
        <f t="shared" si="1"/>
        <v>-0.46</v>
      </c>
      <c r="I236" s="114">
        <f t="shared" si="4"/>
        <v>-0.46</v>
      </c>
      <c r="J236" s="115">
        <f t="shared" si="2"/>
        <v>-0.9557448577</v>
      </c>
      <c r="K236" s="115">
        <f t="shared" si="10"/>
        <v>-0.9557448577</v>
      </c>
      <c r="L236" s="110"/>
      <c r="M236" s="110"/>
      <c r="N236" s="92" t="s">
        <v>272</v>
      </c>
      <c r="O236" s="3"/>
      <c r="P236" s="3"/>
      <c r="Q236" s="3"/>
      <c r="R236" s="3"/>
      <c r="S236" s="3"/>
      <c r="T236" s="3"/>
      <c r="U236" s="3"/>
      <c r="V236" s="3"/>
      <c r="W236" s="3"/>
      <c r="X236" s="3"/>
      <c r="Y236" s="3"/>
      <c r="Z236" s="3"/>
      <c r="AA236" s="3"/>
      <c r="AB236" s="3"/>
      <c r="AC236" s="3"/>
    </row>
    <row r="237">
      <c r="A237" s="109" t="s">
        <v>261</v>
      </c>
      <c r="B237" s="110" t="s">
        <v>271</v>
      </c>
      <c r="C237" s="111" t="s">
        <v>267</v>
      </c>
      <c r="D237" s="112" t="s">
        <v>268</v>
      </c>
      <c r="E237" s="105">
        <v>32.94</v>
      </c>
      <c r="F237" s="113">
        <v>32.94</v>
      </c>
      <c r="G237" s="111"/>
      <c r="H237" s="86">
        <f t="shared" si="1"/>
        <v>0</v>
      </c>
      <c r="I237" s="114">
        <f t="shared" si="4"/>
        <v>0</v>
      </c>
      <c r="J237" s="115">
        <f t="shared" si="2"/>
        <v>0</v>
      </c>
      <c r="K237" s="115">
        <f t="shared" si="10"/>
        <v>0</v>
      </c>
      <c r="L237" s="110"/>
      <c r="M237" s="110"/>
      <c r="N237" s="92" t="s">
        <v>272</v>
      </c>
      <c r="O237" s="3"/>
      <c r="P237" s="3"/>
      <c r="Q237" s="3"/>
      <c r="R237" s="3"/>
      <c r="S237" s="3"/>
      <c r="T237" s="3"/>
      <c r="U237" s="3"/>
      <c r="V237" s="3"/>
      <c r="W237" s="3"/>
      <c r="X237" s="3"/>
      <c r="Y237" s="3"/>
      <c r="Z237" s="3"/>
      <c r="AA237" s="3"/>
      <c r="AB237" s="3"/>
      <c r="AC237" s="3"/>
    </row>
    <row r="238">
      <c r="A238" s="109" t="s">
        <v>261</v>
      </c>
      <c r="B238" s="110" t="s">
        <v>271</v>
      </c>
      <c r="C238" s="111" t="s">
        <v>267</v>
      </c>
      <c r="D238" s="112" t="s">
        <v>268</v>
      </c>
      <c r="E238" s="105">
        <v>36.0</v>
      </c>
      <c r="F238" s="113">
        <v>36.2</v>
      </c>
      <c r="G238" s="111"/>
      <c r="H238" s="86">
        <f t="shared" si="1"/>
        <v>0.2</v>
      </c>
      <c r="I238" s="114">
        <f t="shared" si="4"/>
        <v>0.2</v>
      </c>
      <c r="J238" s="115">
        <f t="shared" si="2"/>
        <v>0.5555555556</v>
      </c>
      <c r="K238" s="115">
        <f t="shared" si="10"/>
        <v>0.5555555556</v>
      </c>
      <c r="L238" s="110"/>
      <c r="M238" s="110"/>
      <c r="N238" s="92" t="s">
        <v>272</v>
      </c>
      <c r="O238" s="3"/>
      <c r="P238" s="3"/>
      <c r="Q238" s="3"/>
      <c r="R238" s="3"/>
      <c r="S238" s="3"/>
      <c r="T238" s="3"/>
      <c r="U238" s="3"/>
      <c r="V238" s="3"/>
      <c r="W238" s="3"/>
      <c r="X238" s="3"/>
      <c r="Y238" s="3"/>
      <c r="Z238" s="3"/>
      <c r="AA238" s="3"/>
      <c r="AB238" s="3"/>
      <c r="AC238" s="3"/>
    </row>
    <row r="239">
      <c r="A239" s="109" t="s">
        <v>261</v>
      </c>
      <c r="B239" s="110" t="s">
        <v>271</v>
      </c>
      <c r="C239" s="111" t="s">
        <v>267</v>
      </c>
      <c r="D239" s="116" t="s">
        <v>269</v>
      </c>
      <c r="E239" s="105">
        <v>45.61</v>
      </c>
      <c r="F239" s="113">
        <v>45.45</v>
      </c>
      <c r="G239" s="111"/>
      <c r="H239" s="86">
        <f t="shared" si="1"/>
        <v>-0.16</v>
      </c>
      <c r="I239" s="114">
        <f t="shared" si="4"/>
        <v>-0.16</v>
      </c>
      <c r="J239" s="115">
        <f t="shared" si="2"/>
        <v>-0.3508002631</v>
      </c>
      <c r="K239" s="115">
        <f t="shared" si="10"/>
        <v>-0.3508002631</v>
      </c>
      <c r="L239" s="110"/>
      <c r="M239" s="110"/>
      <c r="N239" s="92" t="s">
        <v>272</v>
      </c>
      <c r="O239" s="3"/>
      <c r="P239" s="3"/>
      <c r="Q239" s="3"/>
      <c r="R239" s="3"/>
      <c r="S239" s="3"/>
      <c r="T239" s="3"/>
      <c r="U239" s="3"/>
      <c r="V239" s="3"/>
      <c r="W239" s="3"/>
      <c r="X239" s="3"/>
      <c r="Y239" s="3"/>
      <c r="Z239" s="3"/>
      <c r="AA239" s="3"/>
      <c r="AB239" s="3"/>
      <c r="AC239" s="3"/>
    </row>
    <row r="240">
      <c r="A240" s="109" t="s">
        <v>261</v>
      </c>
      <c r="B240" s="110" t="s">
        <v>271</v>
      </c>
      <c r="C240" s="111" t="s">
        <v>267</v>
      </c>
      <c r="D240" s="116" t="s">
        <v>269</v>
      </c>
      <c r="E240" s="105">
        <v>47.41</v>
      </c>
      <c r="F240" s="113">
        <v>47.31</v>
      </c>
      <c r="G240" s="111"/>
      <c r="H240" s="86">
        <f t="shared" si="1"/>
        <v>-0.1</v>
      </c>
      <c r="I240" s="114">
        <f t="shared" si="4"/>
        <v>-0.1</v>
      </c>
      <c r="J240" s="115">
        <f t="shared" si="2"/>
        <v>-0.210925965</v>
      </c>
      <c r="K240" s="115">
        <f t="shared" si="10"/>
        <v>-0.210925965</v>
      </c>
      <c r="L240" s="110"/>
      <c r="M240" s="110"/>
      <c r="N240" s="92" t="s">
        <v>272</v>
      </c>
      <c r="O240" s="3"/>
      <c r="P240" s="3"/>
      <c r="Q240" s="3"/>
      <c r="R240" s="3"/>
      <c r="S240" s="3"/>
      <c r="T240" s="3"/>
      <c r="U240" s="3"/>
      <c r="V240" s="3"/>
      <c r="W240" s="3"/>
      <c r="X240" s="3"/>
      <c r="Y240" s="3"/>
      <c r="Z240" s="3"/>
      <c r="AA240" s="3"/>
      <c r="AB240" s="3"/>
      <c r="AC240" s="3"/>
    </row>
    <row r="241">
      <c r="A241" s="109" t="s">
        <v>261</v>
      </c>
      <c r="B241" s="110" t="s">
        <v>271</v>
      </c>
      <c r="C241" s="111" t="s">
        <v>267</v>
      </c>
      <c r="D241" s="116" t="s">
        <v>269</v>
      </c>
      <c r="E241" s="105">
        <v>31.77</v>
      </c>
      <c r="F241" s="113">
        <v>31.95</v>
      </c>
      <c r="G241" s="111"/>
      <c r="H241" s="86">
        <f t="shared" si="1"/>
        <v>0.18</v>
      </c>
      <c r="I241" s="114">
        <f t="shared" si="4"/>
        <v>0.18</v>
      </c>
      <c r="J241" s="115">
        <f t="shared" si="2"/>
        <v>0.566572238</v>
      </c>
      <c r="K241" s="115">
        <f t="shared" si="10"/>
        <v>0.566572238</v>
      </c>
      <c r="L241" s="110"/>
      <c r="M241" s="110"/>
      <c r="N241" s="92" t="s">
        <v>272</v>
      </c>
      <c r="O241" s="3"/>
      <c r="P241" s="3"/>
      <c r="Q241" s="3"/>
      <c r="R241" s="3"/>
      <c r="S241" s="3"/>
      <c r="T241" s="3"/>
      <c r="U241" s="3"/>
      <c r="V241" s="3"/>
      <c r="W241" s="3"/>
      <c r="X241" s="3"/>
      <c r="Y241" s="3"/>
      <c r="Z241" s="3"/>
      <c r="AA241" s="3"/>
      <c r="AB241" s="3"/>
      <c r="AC241" s="3"/>
    </row>
    <row r="242">
      <c r="A242" s="109" t="s">
        <v>261</v>
      </c>
      <c r="B242" s="110" t="s">
        <v>271</v>
      </c>
      <c r="C242" s="111" t="s">
        <v>267</v>
      </c>
      <c r="D242" s="116" t="s">
        <v>269</v>
      </c>
      <c r="E242" s="105">
        <v>35.45</v>
      </c>
      <c r="F242" s="113">
        <v>35.68</v>
      </c>
      <c r="G242" s="111"/>
      <c r="H242" s="86">
        <f t="shared" si="1"/>
        <v>0.23</v>
      </c>
      <c r="I242" s="114">
        <f t="shared" si="4"/>
        <v>0.23</v>
      </c>
      <c r="J242" s="115">
        <f t="shared" si="2"/>
        <v>0.6488011283</v>
      </c>
      <c r="K242" s="115">
        <f t="shared" si="10"/>
        <v>0.6488011283</v>
      </c>
      <c r="L242" s="110"/>
      <c r="M242" s="110"/>
      <c r="N242" s="92" t="s">
        <v>272</v>
      </c>
      <c r="O242" s="3"/>
      <c r="P242" s="3"/>
      <c r="Q242" s="3"/>
      <c r="R242" s="3"/>
      <c r="S242" s="3"/>
      <c r="T242" s="3"/>
      <c r="U242" s="3"/>
      <c r="V242" s="3"/>
      <c r="W242" s="3"/>
      <c r="X242" s="3"/>
      <c r="Y242" s="3"/>
      <c r="Z242" s="3"/>
      <c r="AA242" s="3"/>
      <c r="AB242" s="3"/>
      <c r="AC242" s="3"/>
    </row>
    <row r="243">
      <c r="A243" s="85" t="s">
        <v>273</v>
      </c>
      <c r="B243" s="85" t="s">
        <v>274</v>
      </c>
      <c r="C243" s="87" t="s">
        <v>275</v>
      </c>
      <c r="D243" s="87" t="s">
        <v>276</v>
      </c>
      <c r="E243" s="87">
        <v>96.91</v>
      </c>
      <c r="F243" s="87">
        <v>96.58</v>
      </c>
      <c r="G243" s="86"/>
      <c r="H243" s="86">
        <f t="shared" si="1"/>
        <v>-0.33</v>
      </c>
      <c r="I243" s="86">
        <f t="shared" si="4"/>
        <v>-0.33</v>
      </c>
      <c r="J243" s="88">
        <f t="shared" si="2"/>
        <v>-0.3405221339</v>
      </c>
      <c r="K243" s="88">
        <f t="shared" si="10"/>
        <v>-0.3405221339</v>
      </c>
      <c r="L243" s="86"/>
      <c r="M243" s="86"/>
      <c r="N243" s="87" t="s">
        <v>277</v>
      </c>
      <c r="O243" s="53"/>
      <c r="P243" s="53"/>
      <c r="Q243" s="53"/>
      <c r="R243" s="53"/>
      <c r="S243" s="53"/>
      <c r="T243" s="53"/>
      <c r="U243" s="53"/>
      <c r="V243" s="53"/>
      <c r="W243" s="53"/>
      <c r="X243" s="53"/>
      <c r="Y243" s="53"/>
      <c r="Z243" s="53"/>
      <c r="AA243" s="53"/>
      <c r="AB243" s="53"/>
      <c r="AC243" s="53"/>
    </row>
    <row r="244">
      <c r="A244" s="91" t="s">
        <v>273</v>
      </c>
      <c r="B244" s="91" t="s">
        <v>274</v>
      </c>
      <c r="C244" s="92" t="s">
        <v>275</v>
      </c>
      <c r="D244" s="92" t="s">
        <v>276</v>
      </c>
      <c r="E244" s="117">
        <v>97.28</v>
      </c>
      <c r="F244" s="92">
        <v>97.34</v>
      </c>
      <c r="G244" s="91"/>
      <c r="H244" s="86">
        <f t="shared" si="1"/>
        <v>0.06</v>
      </c>
      <c r="I244" s="86">
        <f t="shared" si="4"/>
        <v>0.06</v>
      </c>
      <c r="J244" s="95">
        <f t="shared" si="2"/>
        <v>0.06167763158</v>
      </c>
      <c r="K244" s="95">
        <f t="shared" si="10"/>
        <v>0.06167763158</v>
      </c>
      <c r="L244" s="91"/>
      <c r="M244" s="91"/>
      <c r="N244" s="91" t="s">
        <v>277</v>
      </c>
      <c r="O244" s="65"/>
      <c r="P244" s="65"/>
      <c r="Q244" s="65"/>
      <c r="R244" s="65"/>
      <c r="S244" s="65"/>
      <c r="T244" s="65"/>
      <c r="U244" s="65"/>
      <c r="V244" s="65"/>
      <c r="W244" s="65"/>
      <c r="X244" s="65"/>
      <c r="Y244" s="65"/>
      <c r="Z244" s="65"/>
      <c r="AA244" s="65"/>
      <c r="AB244" s="65"/>
      <c r="AC244" s="65"/>
    </row>
    <row r="245">
      <c r="A245" s="91" t="s">
        <v>273</v>
      </c>
      <c r="B245" s="91" t="s">
        <v>274</v>
      </c>
      <c r="C245" s="92" t="s">
        <v>275</v>
      </c>
      <c r="D245" s="92" t="s">
        <v>276</v>
      </c>
      <c r="E245" s="117">
        <v>97.81</v>
      </c>
      <c r="F245" s="92">
        <v>97.57</v>
      </c>
      <c r="G245" s="91"/>
      <c r="H245" s="86">
        <f t="shared" si="1"/>
        <v>-0.24</v>
      </c>
      <c r="I245" s="86">
        <f t="shared" si="4"/>
        <v>-0.24</v>
      </c>
      <c r="J245" s="95">
        <f t="shared" si="2"/>
        <v>-0.2453736837</v>
      </c>
      <c r="K245" s="95">
        <f t="shared" si="10"/>
        <v>-0.2453736837</v>
      </c>
      <c r="L245" s="91"/>
      <c r="M245" s="91"/>
      <c r="N245" s="91" t="s">
        <v>277</v>
      </c>
      <c r="O245" s="65"/>
      <c r="P245" s="65"/>
      <c r="Q245" s="65"/>
      <c r="R245" s="65"/>
      <c r="S245" s="65"/>
      <c r="T245" s="65"/>
      <c r="U245" s="65"/>
      <c r="V245" s="65"/>
      <c r="W245" s="65"/>
      <c r="X245" s="65"/>
      <c r="Y245" s="65"/>
      <c r="Z245" s="65"/>
      <c r="AA245" s="65"/>
      <c r="AB245" s="65"/>
      <c r="AC245" s="65"/>
    </row>
    <row r="246">
      <c r="A246" s="91" t="s">
        <v>273</v>
      </c>
      <c r="B246" s="91" t="s">
        <v>274</v>
      </c>
      <c r="C246" s="92" t="s">
        <v>275</v>
      </c>
      <c r="D246" s="92" t="s">
        <v>276</v>
      </c>
      <c r="E246" s="117">
        <v>95.54</v>
      </c>
      <c r="F246" s="92">
        <v>94.74</v>
      </c>
      <c r="G246" s="91"/>
      <c r="H246" s="86">
        <f t="shared" si="1"/>
        <v>-0.8</v>
      </c>
      <c r="I246" s="86">
        <f t="shared" si="4"/>
        <v>-0.8</v>
      </c>
      <c r="J246" s="95">
        <f t="shared" si="2"/>
        <v>-0.8373456144</v>
      </c>
      <c r="K246" s="95">
        <f t="shared" si="10"/>
        <v>-0.8373456144</v>
      </c>
      <c r="L246" s="91"/>
      <c r="M246" s="91"/>
      <c r="N246" s="91" t="s">
        <v>277</v>
      </c>
      <c r="O246" s="65"/>
      <c r="P246" s="65"/>
      <c r="Q246" s="65"/>
      <c r="R246" s="65"/>
      <c r="S246" s="65"/>
      <c r="T246" s="65"/>
      <c r="U246" s="65"/>
      <c r="V246" s="65"/>
      <c r="W246" s="65"/>
      <c r="X246" s="65"/>
      <c r="Y246" s="65"/>
      <c r="Z246" s="65"/>
      <c r="AA246" s="65"/>
      <c r="AB246" s="65"/>
      <c r="AC246" s="65"/>
    </row>
    <row r="247">
      <c r="A247" s="91" t="s">
        <v>273</v>
      </c>
      <c r="B247" s="91" t="s">
        <v>274</v>
      </c>
      <c r="C247" s="92" t="s">
        <v>275</v>
      </c>
      <c r="D247" s="92" t="s">
        <v>276</v>
      </c>
      <c r="E247" s="117">
        <v>95.56</v>
      </c>
      <c r="F247" s="92">
        <v>95.4</v>
      </c>
      <c r="G247" s="91"/>
      <c r="H247" s="86">
        <f t="shared" si="1"/>
        <v>-0.16</v>
      </c>
      <c r="I247" s="86">
        <f t="shared" si="4"/>
        <v>-0.16</v>
      </c>
      <c r="J247" s="95">
        <f t="shared" si="2"/>
        <v>-0.1674340728</v>
      </c>
      <c r="K247" s="95">
        <f t="shared" si="10"/>
        <v>-0.1674340728</v>
      </c>
      <c r="L247" s="91"/>
      <c r="M247" s="91"/>
      <c r="N247" s="91" t="s">
        <v>277</v>
      </c>
      <c r="O247" s="65"/>
      <c r="P247" s="65"/>
      <c r="Q247" s="65"/>
      <c r="R247" s="65"/>
      <c r="S247" s="65"/>
      <c r="T247" s="65"/>
      <c r="U247" s="65"/>
      <c r="V247" s="65"/>
      <c r="W247" s="65"/>
      <c r="X247" s="65"/>
      <c r="Y247" s="65"/>
      <c r="Z247" s="65"/>
      <c r="AA247" s="65"/>
      <c r="AB247" s="65"/>
      <c r="AC247" s="65"/>
    </row>
    <row r="248">
      <c r="A248" s="91" t="s">
        <v>273</v>
      </c>
      <c r="B248" s="91" t="s">
        <v>274</v>
      </c>
      <c r="C248" s="92" t="s">
        <v>275</v>
      </c>
      <c r="D248" s="92" t="s">
        <v>276</v>
      </c>
      <c r="E248" s="117">
        <v>86.51</v>
      </c>
      <c r="F248" s="92">
        <v>84.56</v>
      </c>
      <c r="G248" s="91"/>
      <c r="H248" s="86">
        <f t="shared" si="1"/>
        <v>-1.95</v>
      </c>
      <c r="I248" s="86">
        <f t="shared" si="4"/>
        <v>-1.95</v>
      </c>
      <c r="J248" s="95">
        <f t="shared" si="2"/>
        <v>-2.254074673</v>
      </c>
      <c r="K248" s="95">
        <f t="shared" si="10"/>
        <v>-2.254074673</v>
      </c>
      <c r="L248" s="91"/>
      <c r="M248" s="91"/>
      <c r="N248" s="91" t="s">
        <v>277</v>
      </c>
      <c r="O248" s="65"/>
      <c r="P248" s="65"/>
      <c r="Q248" s="65"/>
      <c r="R248" s="65"/>
      <c r="S248" s="65"/>
      <c r="T248" s="65"/>
      <c r="U248" s="65"/>
      <c r="V248" s="65"/>
      <c r="W248" s="65"/>
      <c r="X248" s="65"/>
      <c r="Y248" s="65"/>
      <c r="Z248" s="65"/>
      <c r="AA248" s="65"/>
      <c r="AB248" s="65"/>
      <c r="AC248" s="65"/>
    </row>
    <row r="249">
      <c r="A249" s="91" t="s">
        <v>273</v>
      </c>
      <c r="B249" s="91" t="s">
        <v>274</v>
      </c>
      <c r="C249" s="92" t="s">
        <v>275</v>
      </c>
      <c r="D249" s="92" t="s">
        <v>276</v>
      </c>
      <c r="E249" s="117">
        <v>97.05</v>
      </c>
      <c r="F249" s="92">
        <v>96.68</v>
      </c>
      <c r="G249" s="92" t="s">
        <v>199</v>
      </c>
      <c r="H249" s="86">
        <f t="shared" si="1"/>
        <v>-0.37</v>
      </c>
      <c r="I249" s="86">
        <f t="shared" si="4"/>
        <v>-0.37</v>
      </c>
      <c r="J249" s="99">
        <f t="shared" si="2"/>
        <v>-0.38124678</v>
      </c>
      <c r="K249" s="99">
        <f t="shared" si="10"/>
        <v>-0.38124678</v>
      </c>
      <c r="L249" s="91"/>
      <c r="M249" s="91"/>
      <c r="N249" s="91" t="s">
        <v>277</v>
      </c>
      <c r="O249" s="65"/>
      <c r="P249" s="65"/>
      <c r="Q249" s="65"/>
      <c r="R249" s="65"/>
      <c r="S249" s="65"/>
      <c r="T249" s="65"/>
      <c r="U249" s="65"/>
      <c r="V249" s="65"/>
      <c r="W249" s="65"/>
      <c r="X249" s="65"/>
      <c r="Y249" s="65"/>
      <c r="Z249" s="65"/>
      <c r="AA249" s="65"/>
      <c r="AB249" s="65"/>
      <c r="AC249" s="65"/>
    </row>
    <row r="250">
      <c r="A250" s="91" t="s">
        <v>273</v>
      </c>
      <c r="B250" s="91" t="s">
        <v>274</v>
      </c>
      <c r="C250" s="92" t="s">
        <v>275</v>
      </c>
      <c r="D250" s="92" t="s">
        <v>276</v>
      </c>
      <c r="E250" s="117">
        <v>98.72</v>
      </c>
      <c r="F250" s="92">
        <v>98.58</v>
      </c>
      <c r="G250" s="92" t="s">
        <v>199</v>
      </c>
      <c r="H250" s="86">
        <f t="shared" si="1"/>
        <v>-0.14</v>
      </c>
      <c r="I250" s="86">
        <f t="shared" si="4"/>
        <v>-0.14</v>
      </c>
      <c r="J250" s="99">
        <f t="shared" si="2"/>
        <v>-0.141815235</v>
      </c>
      <c r="K250" s="99">
        <f t="shared" si="10"/>
        <v>-0.141815235</v>
      </c>
      <c r="L250" s="91"/>
      <c r="M250" s="91"/>
      <c r="N250" s="91" t="s">
        <v>277</v>
      </c>
      <c r="O250" s="65"/>
      <c r="P250" s="65"/>
      <c r="Q250" s="65"/>
      <c r="R250" s="65"/>
      <c r="S250" s="65"/>
      <c r="T250" s="65"/>
      <c r="U250" s="65"/>
      <c r="V250" s="65"/>
      <c r="W250" s="65"/>
      <c r="X250" s="65"/>
      <c r="Y250" s="65"/>
      <c r="Z250" s="65"/>
      <c r="AA250" s="65"/>
      <c r="AB250" s="65"/>
      <c r="AC250" s="65"/>
    </row>
    <row r="251">
      <c r="A251" s="91" t="s">
        <v>273</v>
      </c>
      <c r="B251" s="91" t="s">
        <v>274</v>
      </c>
      <c r="C251" s="92" t="s">
        <v>275</v>
      </c>
      <c r="D251" s="92" t="s">
        <v>276</v>
      </c>
      <c r="E251" s="117">
        <v>97.72</v>
      </c>
      <c r="F251" s="92">
        <v>97.29</v>
      </c>
      <c r="G251" s="92" t="s">
        <v>199</v>
      </c>
      <c r="H251" s="86">
        <f t="shared" si="1"/>
        <v>-0.43</v>
      </c>
      <c r="I251" s="86">
        <f t="shared" si="4"/>
        <v>-0.43</v>
      </c>
      <c r="J251" s="99">
        <f t="shared" si="2"/>
        <v>-0.4400327466</v>
      </c>
      <c r="K251" s="99">
        <f t="shared" si="10"/>
        <v>-0.4400327466</v>
      </c>
      <c r="L251" s="91"/>
      <c r="M251" s="91"/>
      <c r="N251" s="91" t="s">
        <v>277</v>
      </c>
      <c r="O251" s="65"/>
      <c r="P251" s="65"/>
      <c r="Q251" s="65"/>
      <c r="R251" s="65"/>
      <c r="S251" s="65"/>
      <c r="T251" s="65"/>
      <c r="U251" s="65"/>
      <c r="V251" s="65"/>
      <c r="W251" s="65"/>
      <c r="X251" s="65"/>
      <c r="Y251" s="65"/>
      <c r="Z251" s="65"/>
      <c r="AA251" s="65"/>
      <c r="AB251" s="65"/>
      <c r="AC251" s="65"/>
    </row>
    <row r="252">
      <c r="A252" s="91" t="s">
        <v>273</v>
      </c>
      <c r="B252" s="91" t="s">
        <v>274</v>
      </c>
      <c r="C252" s="92" t="s">
        <v>275</v>
      </c>
      <c r="D252" s="92" t="s">
        <v>276</v>
      </c>
      <c r="E252" s="117">
        <v>84.39</v>
      </c>
      <c r="F252" s="92">
        <v>83.86</v>
      </c>
      <c r="G252" s="92" t="s">
        <v>199</v>
      </c>
      <c r="H252" s="86">
        <f t="shared" si="1"/>
        <v>-0.53</v>
      </c>
      <c r="I252" s="86">
        <f t="shared" si="4"/>
        <v>-0.53</v>
      </c>
      <c r="J252" s="99">
        <f t="shared" si="2"/>
        <v>-0.6280364972</v>
      </c>
      <c r="K252" s="99">
        <f t="shared" si="10"/>
        <v>-0.6280364972</v>
      </c>
      <c r="L252" s="91"/>
      <c r="M252" s="91"/>
      <c r="N252" s="91" t="s">
        <v>277</v>
      </c>
      <c r="O252" s="65"/>
      <c r="P252" s="65"/>
      <c r="Q252" s="65"/>
      <c r="R252" s="65"/>
      <c r="S252" s="65"/>
      <c r="T252" s="65"/>
      <c r="U252" s="65"/>
      <c r="V252" s="65"/>
      <c r="W252" s="65"/>
      <c r="X252" s="65"/>
      <c r="Y252" s="65"/>
      <c r="Z252" s="65"/>
      <c r="AA252" s="65"/>
      <c r="AB252" s="65"/>
      <c r="AC252" s="65"/>
    </row>
    <row r="253">
      <c r="A253" s="91" t="s">
        <v>273</v>
      </c>
      <c r="B253" s="91" t="s">
        <v>274</v>
      </c>
      <c r="C253" s="92" t="s">
        <v>275</v>
      </c>
      <c r="D253" s="92" t="s">
        <v>276</v>
      </c>
      <c r="E253" s="117">
        <v>96.49</v>
      </c>
      <c r="F253" s="92">
        <v>95.76</v>
      </c>
      <c r="G253" s="92" t="s">
        <v>199</v>
      </c>
      <c r="H253" s="86">
        <f t="shared" si="1"/>
        <v>-0.73</v>
      </c>
      <c r="I253" s="86">
        <f t="shared" si="4"/>
        <v>-0.73</v>
      </c>
      <c r="J253" s="99">
        <f t="shared" si="2"/>
        <v>-0.7565550834</v>
      </c>
      <c r="K253" s="99">
        <f t="shared" si="10"/>
        <v>-0.7565550834</v>
      </c>
      <c r="L253" s="91"/>
      <c r="M253" s="91"/>
      <c r="N253" s="91" t="s">
        <v>277</v>
      </c>
      <c r="O253" s="65"/>
      <c r="P253" s="65"/>
      <c r="Q253" s="65"/>
      <c r="R253" s="65"/>
      <c r="S253" s="65"/>
      <c r="T253" s="65"/>
      <c r="U253" s="65"/>
      <c r="V253" s="65"/>
      <c r="W253" s="65"/>
      <c r="X253" s="65"/>
      <c r="Y253" s="65"/>
      <c r="Z253" s="65"/>
      <c r="AA253" s="65"/>
      <c r="AB253" s="65"/>
      <c r="AC253" s="65"/>
    </row>
    <row r="254">
      <c r="A254" s="91" t="s">
        <v>273</v>
      </c>
      <c r="B254" s="91" t="s">
        <v>274</v>
      </c>
      <c r="C254" s="92" t="s">
        <v>275</v>
      </c>
      <c r="D254" s="92" t="s">
        <v>276</v>
      </c>
      <c r="E254" s="117">
        <v>98.08</v>
      </c>
      <c r="F254" s="92">
        <v>97.88</v>
      </c>
      <c r="G254" s="92" t="s">
        <v>199</v>
      </c>
      <c r="H254" s="86">
        <f t="shared" si="1"/>
        <v>-0.2</v>
      </c>
      <c r="I254" s="86">
        <f t="shared" si="4"/>
        <v>-0.2</v>
      </c>
      <c r="J254" s="99">
        <f t="shared" si="2"/>
        <v>-0.2039151713</v>
      </c>
      <c r="K254" s="99">
        <f t="shared" si="10"/>
        <v>-0.2039151713</v>
      </c>
      <c r="L254" s="91"/>
      <c r="M254" s="91"/>
      <c r="N254" s="91" t="s">
        <v>277</v>
      </c>
      <c r="O254" s="65"/>
      <c r="P254" s="65"/>
      <c r="Q254" s="65"/>
      <c r="R254" s="65"/>
      <c r="S254" s="65"/>
      <c r="T254" s="65"/>
      <c r="U254" s="65"/>
      <c r="V254" s="65"/>
      <c r="W254" s="65"/>
      <c r="X254" s="65"/>
      <c r="Y254" s="65"/>
      <c r="Z254" s="65"/>
      <c r="AA254" s="65"/>
      <c r="AB254" s="65"/>
      <c r="AC254" s="65"/>
    </row>
    <row r="255">
      <c r="A255" s="91" t="s">
        <v>273</v>
      </c>
      <c r="B255" s="91" t="s">
        <v>274</v>
      </c>
      <c r="C255" s="92" t="s">
        <v>275</v>
      </c>
      <c r="D255" s="92" t="s">
        <v>276</v>
      </c>
      <c r="E255" s="118">
        <v>97.32</v>
      </c>
      <c r="F255" s="92">
        <v>97.05</v>
      </c>
      <c r="G255" s="92" t="s">
        <v>199</v>
      </c>
      <c r="H255" s="86">
        <f t="shared" si="1"/>
        <v>-0.27</v>
      </c>
      <c r="I255" s="86">
        <f t="shared" si="4"/>
        <v>-0.27</v>
      </c>
      <c r="J255" s="99">
        <f t="shared" si="2"/>
        <v>-0.2774352651</v>
      </c>
      <c r="K255" s="99">
        <f t="shared" si="10"/>
        <v>-0.2774352651</v>
      </c>
      <c r="L255" s="91"/>
      <c r="M255" s="91"/>
      <c r="N255" s="91" t="s">
        <v>277</v>
      </c>
      <c r="O255" s="65"/>
      <c r="P255" s="65"/>
      <c r="Q255" s="65"/>
      <c r="R255" s="65"/>
      <c r="S255" s="65"/>
      <c r="T255" s="65"/>
      <c r="U255" s="65"/>
      <c r="V255" s="65"/>
      <c r="W255" s="65"/>
      <c r="X255" s="65"/>
      <c r="Y255" s="65"/>
      <c r="Z255" s="65"/>
      <c r="AA255" s="65"/>
      <c r="AB255" s="65"/>
      <c r="AC255" s="65"/>
    </row>
    <row r="256">
      <c r="A256" s="91" t="s">
        <v>273</v>
      </c>
      <c r="B256" s="91" t="s">
        <v>274</v>
      </c>
      <c r="C256" s="92" t="s">
        <v>275</v>
      </c>
      <c r="D256" s="92" t="s">
        <v>276</v>
      </c>
      <c r="E256" s="118">
        <v>96.95</v>
      </c>
      <c r="F256" s="92">
        <v>96.64</v>
      </c>
      <c r="G256" s="92" t="s">
        <v>199</v>
      </c>
      <c r="H256" s="86">
        <f t="shared" si="1"/>
        <v>-0.31</v>
      </c>
      <c r="I256" s="86">
        <f t="shared" si="4"/>
        <v>-0.31</v>
      </c>
      <c r="J256" s="99">
        <f t="shared" si="2"/>
        <v>-0.3197524497</v>
      </c>
      <c r="K256" s="99">
        <f t="shared" si="10"/>
        <v>-0.3197524497</v>
      </c>
      <c r="L256" s="91"/>
      <c r="M256" s="91"/>
      <c r="N256" s="91" t="s">
        <v>277</v>
      </c>
      <c r="O256" s="65"/>
      <c r="P256" s="65"/>
      <c r="Q256" s="65"/>
      <c r="R256" s="65"/>
      <c r="S256" s="65"/>
      <c r="T256" s="65"/>
      <c r="U256" s="65"/>
      <c r="V256" s="65"/>
      <c r="W256" s="65"/>
      <c r="X256" s="65"/>
      <c r="Y256" s="65"/>
      <c r="Z256" s="65"/>
      <c r="AA256" s="65"/>
      <c r="AB256" s="65"/>
      <c r="AC256" s="65"/>
    </row>
    <row r="257">
      <c r="A257" s="91" t="s">
        <v>273</v>
      </c>
      <c r="B257" s="91" t="s">
        <v>274</v>
      </c>
      <c r="C257" s="92" t="s">
        <v>275</v>
      </c>
      <c r="D257" s="92" t="s">
        <v>276</v>
      </c>
      <c r="E257" s="118">
        <v>96.64</v>
      </c>
      <c r="F257" s="92">
        <v>96.31</v>
      </c>
      <c r="G257" s="92" t="s">
        <v>199</v>
      </c>
      <c r="H257" s="86">
        <f t="shared" si="1"/>
        <v>-0.33</v>
      </c>
      <c r="I257" s="86">
        <f t="shared" si="4"/>
        <v>-0.33</v>
      </c>
      <c r="J257" s="99">
        <f t="shared" si="2"/>
        <v>-0.3414735099</v>
      </c>
      <c r="K257" s="99">
        <f t="shared" si="10"/>
        <v>-0.3414735099</v>
      </c>
      <c r="L257" s="91"/>
      <c r="M257" s="91"/>
      <c r="N257" s="91" t="s">
        <v>277</v>
      </c>
      <c r="O257" s="65"/>
      <c r="P257" s="65"/>
      <c r="Q257" s="65"/>
      <c r="R257" s="65"/>
      <c r="S257" s="65"/>
      <c r="T257" s="65"/>
      <c r="U257" s="65"/>
      <c r="V257" s="65"/>
      <c r="W257" s="65"/>
      <c r="X257" s="65"/>
      <c r="Y257" s="65"/>
      <c r="Z257" s="65"/>
      <c r="AA257" s="65"/>
      <c r="AB257" s="65"/>
      <c r="AC257" s="65"/>
    </row>
    <row r="258">
      <c r="A258" s="91" t="s">
        <v>273</v>
      </c>
      <c r="B258" s="91" t="s">
        <v>274</v>
      </c>
      <c r="C258" s="92" t="s">
        <v>275</v>
      </c>
      <c r="D258" s="92" t="s">
        <v>276</v>
      </c>
      <c r="E258" s="118">
        <v>93.45</v>
      </c>
      <c r="F258" s="92">
        <v>93.37</v>
      </c>
      <c r="G258" s="92" t="s">
        <v>199</v>
      </c>
      <c r="H258" s="86">
        <f t="shared" si="1"/>
        <v>-0.08</v>
      </c>
      <c r="I258" s="86">
        <f t="shared" si="4"/>
        <v>-0.08</v>
      </c>
      <c r="J258" s="99">
        <f t="shared" si="2"/>
        <v>-0.08560727662</v>
      </c>
      <c r="K258" s="99">
        <f t="shared" si="10"/>
        <v>-0.08560727662</v>
      </c>
      <c r="L258" s="91"/>
      <c r="M258" s="91"/>
      <c r="N258" s="91" t="s">
        <v>277</v>
      </c>
      <c r="O258" s="65"/>
      <c r="P258" s="65"/>
      <c r="Q258" s="65"/>
      <c r="R258" s="65"/>
      <c r="S258" s="65"/>
      <c r="T258" s="65"/>
      <c r="U258" s="65"/>
      <c r="V258" s="65"/>
      <c r="W258" s="65"/>
      <c r="X258" s="65"/>
      <c r="Y258" s="65"/>
      <c r="Z258" s="65"/>
      <c r="AA258" s="65"/>
      <c r="AB258" s="65"/>
      <c r="AC258" s="65"/>
    </row>
    <row r="259">
      <c r="A259" s="91" t="s">
        <v>273</v>
      </c>
      <c r="B259" s="91" t="s">
        <v>274</v>
      </c>
      <c r="C259" s="92" t="s">
        <v>275</v>
      </c>
      <c r="D259" s="92" t="s">
        <v>276</v>
      </c>
      <c r="E259" s="118">
        <v>85.88</v>
      </c>
      <c r="F259" s="92">
        <v>84.83</v>
      </c>
      <c r="G259" s="92" t="s">
        <v>199</v>
      </c>
      <c r="H259" s="86">
        <f t="shared" si="1"/>
        <v>-1.05</v>
      </c>
      <c r="I259" s="86">
        <f t="shared" si="4"/>
        <v>-1.05</v>
      </c>
      <c r="J259" s="99">
        <f t="shared" si="2"/>
        <v>-1.222636237</v>
      </c>
      <c r="K259" s="99">
        <f t="shared" si="10"/>
        <v>-1.222636237</v>
      </c>
      <c r="L259" s="91"/>
      <c r="M259" s="91"/>
      <c r="N259" s="91" t="s">
        <v>277</v>
      </c>
      <c r="O259" s="65"/>
      <c r="P259" s="65"/>
      <c r="Q259" s="65"/>
      <c r="R259" s="65"/>
      <c r="S259" s="65"/>
      <c r="T259" s="65"/>
      <c r="U259" s="65"/>
      <c r="V259" s="65"/>
      <c r="W259" s="65"/>
      <c r="X259" s="65"/>
      <c r="Y259" s="65"/>
      <c r="Z259" s="65"/>
      <c r="AA259" s="65"/>
      <c r="AB259" s="65"/>
      <c r="AC259" s="65"/>
    </row>
    <row r="260">
      <c r="A260" s="91" t="s">
        <v>273</v>
      </c>
      <c r="B260" s="91" t="s">
        <v>274</v>
      </c>
      <c r="C260" s="92" t="s">
        <v>275</v>
      </c>
      <c r="D260" s="92" t="s">
        <v>276</v>
      </c>
      <c r="E260" s="118">
        <v>91.1</v>
      </c>
      <c r="F260" s="92">
        <v>90.79</v>
      </c>
      <c r="G260" s="92" t="s">
        <v>199</v>
      </c>
      <c r="H260" s="86">
        <f t="shared" si="1"/>
        <v>-0.31</v>
      </c>
      <c r="I260" s="86">
        <f t="shared" si="4"/>
        <v>-0.31</v>
      </c>
      <c r="J260" s="99">
        <f t="shared" si="2"/>
        <v>-0.3402854007</v>
      </c>
      <c r="K260" s="99">
        <f t="shared" si="10"/>
        <v>-0.3402854007</v>
      </c>
      <c r="L260" s="91"/>
      <c r="M260" s="91"/>
      <c r="N260" s="91" t="s">
        <v>277</v>
      </c>
      <c r="O260" s="65"/>
      <c r="P260" s="65"/>
      <c r="Q260" s="65"/>
      <c r="R260" s="65"/>
      <c r="S260" s="65"/>
      <c r="T260" s="65"/>
      <c r="U260" s="65"/>
      <c r="V260" s="65"/>
      <c r="W260" s="65"/>
      <c r="X260" s="65"/>
      <c r="Y260" s="65"/>
      <c r="Z260" s="65"/>
      <c r="AA260" s="65"/>
      <c r="AB260" s="65"/>
      <c r="AC260" s="65"/>
    </row>
    <row r="261">
      <c r="A261" s="91" t="s">
        <v>273</v>
      </c>
      <c r="B261" s="91" t="s">
        <v>274</v>
      </c>
      <c r="C261" s="92" t="s">
        <v>275</v>
      </c>
      <c r="D261" s="92" t="s">
        <v>276</v>
      </c>
      <c r="E261" s="118">
        <v>95.56</v>
      </c>
      <c r="F261" s="92">
        <v>95.06</v>
      </c>
      <c r="G261" s="92" t="s">
        <v>199</v>
      </c>
      <c r="H261" s="86">
        <f t="shared" si="1"/>
        <v>-0.5</v>
      </c>
      <c r="I261" s="86">
        <f t="shared" si="4"/>
        <v>-0.5</v>
      </c>
      <c r="J261" s="99">
        <f t="shared" si="2"/>
        <v>-0.5232314776</v>
      </c>
      <c r="K261" s="99">
        <f t="shared" si="10"/>
        <v>-0.5232314776</v>
      </c>
      <c r="L261" s="91"/>
      <c r="M261" s="91"/>
      <c r="N261" s="91" t="s">
        <v>277</v>
      </c>
      <c r="O261" s="65"/>
      <c r="P261" s="65"/>
      <c r="Q261" s="65"/>
      <c r="R261" s="65"/>
      <c r="S261" s="65"/>
      <c r="T261" s="65"/>
      <c r="U261" s="65"/>
      <c r="V261" s="65"/>
      <c r="W261" s="65"/>
      <c r="X261" s="65"/>
      <c r="Y261" s="65"/>
      <c r="Z261" s="65"/>
      <c r="AA261" s="65"/>
      <c r="AB261" s="65"/>
      <c r="AC261" s="65"/>
    </row>
    <row r="262">
      <c r="A262" s="91" t="s">
        <v>273</v>
      </c>
      <c r="B262" s="91" t="s">
        <v>274</v>
      </c>
      <c r="C262" s="92" t="s">
        <v>275</v>
      </c>
      <c r="D262" s="92" t="s">
        <v>276</v>
      </c>
      <c r="E262" s="118">
        <v>97.39</v>
      </c>
      <c r="F262" s="92">
        <v>97.14</v>
      </c>
      <c r="G262" s="92" t="s">
        <v>199</v>
      </c>
      <c r="H262" s="86">
        <f t="shared" si="1"/>
        <v>-0.25</v>
      </c>
      <c r="I262" s="86">
        <f t="shared" si="4"/>
        <v>-0.25</v>
      </c>
      <c r="J262" s="99">
        <f t="shared" si="2"/>
        <v>-0.2566998665</v>
      </c>
      <c r="K262" s="99">
        <f t="shared" si="10"/>
        <v>-0.2566998665</v>
      </c>
      <c r="L262" s="91"/>
      <c r="M262" s="91"/>
      <c r="N262" s="91" t="s">
        <v>277</v>
      </c>
      <c r="O262" s="65"/>
      <c r="P262" s="65"/>
      <c r="Q262" s="65"/>
      <c r="R262" s="65"/>
      <c r="S262" s="65"/>
      <c r="T262" s="65"/>
      <c r="U262" s="65"/>
      <c r="V262" s="65"/>
      <c r="W262" s="65"/>
      <c r="X262" s="65"/>
      <c r="Y262" s="65"/>
      <c r="Z262" s="65"/>
      <c r="AA262" s="65"/>
      <c r="AB262" s="65"/>
      <c r="AC262" s="65"/>
    </row>
    <row r="263">
      <c r="A263" s="91" t="s">
        <v>273</v>
      </c>
      <c r="B263" s="91" t="s">
        <v>274</v>
      </c>
      <c r="C263" s="92" t="s">
        <v>275</v>
      </c>
      <c r="D263" s="92" t="s">
        <v>276</v>
      </c>
      <c r="E263" s="118">
        <v>93.43</v>
      </c>
      <c r="F263" s="92">
        <v>93.29</v>
      </c>
      <c r="G263" s="92" t="s">
        <v>199</v>
      </c>
      <c r="H263" s="86">
        <f t="shared" si="1"/>
        <v>-0.14</v>
      </c>
      <c r="I263" s="86">
        <f t="shared" si="4"/>
        <v>-0.14</v>
      </c>
      <c r="J263" s="99">
        <f t="shared" si="2"/>
        <v>-0.1498448036</v>
      </c>
      <c r="K263" s="99">
        <f t="shared" si="10"/>
        <v>-0.1498448036</v>
      </c>
      <c r="L263" s="91"/>
      <c r="M263" s="91"/>
      <c r="N263" s="91" t="s">
        <v>277</v>
      </c>
      <c r="O263" s="65"/>
      <c r="P263" s="65"/>
      <c r="Q263" s="65"/>
      <c r="R263" s="65"/>
      <c r="S263" s="65"/>
      <c r="T263" s="65"/>
      <c r="U263" s="65"/>
      <c r="V263" s="65"/>
      <c r="W263" s="65"/>
      <c r="X263" s="65"/>
      <c r="Y263" s="65"/>
      <c r="Z263" s="65"/>
      <c r="AA263" s="65"/>
      <c r="AB263" s="65"/>
      <c r="AC263" s="65"/>
    </row>
    <row r="264">
      <c r="A264" s="91" t="s">
        <v>273</v>
      </c>
      <c r="B264" s="91" t="s">
        <v>274</v>
      </c>
      <c r="C264" s="92" t="s">
        <v>275</v>
      </c>
      <c r="D264" s="92" t="s">
        <v>276</v>
      </c>
      <c r="E264" s="118">
        <v>97.13</v>
      </c>
      <c r="F264" s="92">
        <v>97.03</v>
      </c>
      <c r="G264" s="92" t="s">
        <v>199</v>
      </c>
      <c r="H264" s="86">
        <f t="shared" si="1"/>
        <v>-0.1</v>
      </c>
      <c r="I264" s="86">
        <f t="shared" si="4"/>
        <v>-0.1</v>
      </c>
      <c r="J264" s="99">
        <f t="shared" si="2"/>
        <v>-0.1029548028</v>
      </c>
      <c r="K264" s="99">
        <f t="shared" si="10"/>
        <v>-0.1029548028</v>
      </c>
      <c r="L264" s="91"/>
      <c r="M264" s="91"/>
      <c r="N264" s="91" t="s">
        <v>277</v>
      </c>
      <c r="O264" s="65"/>
      <c r="P264" s="65"/>
      <c r="Q264" s="65"/>
      <c r="R264" s="65"/>
      <c r="S264" s="65"/>
      <c r="T264" s="65"/>
      <c r="U264" s="65"/>
      <c r="V264" s="65"/>
      <c r="W264" s="65"/>
      <c r="X264" s="65"/>
      <c r="Y264" s="65"/>
      <c r="Z264" s="65"/>
      <c r="AA264" s="65"/>
      <c r="AB264" s="65"/>
      <c r="AC264" s="65"/>
    </row>
    <row r="265">
      <c r="A265" s="91" t="s">
        <v>273</v>
      </c>
      <c r="B265" s="91" t="s">
        <v>274</v>
      </c>
      <c r="C265" s="92" t="s">
        <v>275</v>
      </c>
      <c r="D265" s="92" t="s">
        <v>276</v>
      </c>
      <c r="E265" s="118">
        <v>98.78</v>
      </c>
      <c r="F265" s="92">
        <v>98.71</v>
      </c>
      <c r="G265" s="92" t="s">
        <v>199</v>
      </c>
      <c r="H265" s="86">
        <f t="shared" si="1"/>
        <v>-0.07</v>
      </c>
      <c r="I265" s="86">
        <f t="shared" si="4"/>
        <v>-0.07</v>
      </c>
      <c r="J265" s="99">
        <f t="shared" si="2"/>
        <v>-0.07086454748</v>
      </c>
      <c r="K265" s="99">
        <f t="shared" si="10"/>
        <v>-0.07086454748</v>
      </c>
      <c r="L265" s="91"/>
      <c r="M265" s="91"/>
      <c r="N265" s="91" t="s">
        <v>277</v>
      </c>
      <c r="O265" s="65"/>
      <c r="P265" s="65"/>
      <c r="Q265" s="65"/>
      <c r="R265" s="65"/>
      <c r="S265" s="65"/>
      <c r="T265" s="65"/>
      <c r="U265" s="65"/>
      <c r="V265" s="65"/>
      <c r="W265" s="65"/>
      <c r="X265" s="65"/>
      <c r="Y265" s="65"/>
      <c r="Z265" s="65"/>
      <c r="AA265" s="65"/>
      <c r="AB265" s="65"/>
      <c r="AC265" s="65"/>
    </row>
    <row r="266">
      <c r="A266" s="91" t="s">
        <v>273</v>
      </c>
      <c r="B266" s="91" t="s">
        <v>274</v>
      </c>
      <c r="C266" s="92" t="s">
        <v>275</v>
      </c>
      <c r="D266" s="92" t="s">
        <v>276</v>
      </c>
      <c r="E266" s="118">
        <v>97.08</v>
      </c>
      <c r="F266" s="92">
        <v>97.07</v>
      </c>
      <c r="G266" s="92" t="s">
        <v>199</v>
      </c>
      <c r="H266" s="86">
        <f t="shared" si="1"/>
        <v>-0.01</v>
      </c>
      <c r="I266" s="86">
        <f t="shared" si="4"/>
        <v>-0.01</v>
      </c>
      <c r="J266" s="99">
        <f t="shared" si="2"/>
        <v>-0.01030078286</v>
      </c>
      <c r="K266" s="99">
        <f t="shared" si="10"/>
        <v>-0.01030078286</v>
      </c>
      <c r="L266" s="91"/>
      <c r="M266" s="91"/>
      <c r="N266" s="91" t="s">
        <v>277</v>
      </c>
      <c r="O266" s="65"/>
      <c r="P266" s="65"/>
      <c r="Q266" s="65"/>
      <c r="R266" s="65"/>
      <c r="S266" s="65"/>
      <c r="T266" s="65"/>
      <c r="U266" s="65"/>
      <c r="V266" s="65"/>
      <c r="W266" s="65"/>
      <c r="X266" s="65"/>
      <c r="Y266" s="65"/>
      <c r="Z266" s="65"/>
      <c r="AA266" s="65"/>
      <c r="AB266" s="65"/>
      <c r="AC266" s="65"/>
    </row>
    <row r="267">
      <c r="A267" s="91" t="s">
        <v>273</v>
      </c>
      <c r="B267" s="91" t="s">
        <v>274</v>
      </c>
      <c r="C267" s="92" t="s">
        <v>275</v>
      </c>
      <c r="D267" s="92" t="s">
        <v>276</v>
      </c>
      <c r="E267" s="118">
        <v>97.0</v>
      </c>
      <c r="F267" s="92">
        <v>96.7</v>
      </c>
      <c r="G267" s="92" t="s">
        <v>199</v>
      </c>
      <c r="H267" s="86">
        <f t="shared" si="1"/>
        <v>-0.3</v>
      </c>
      <c r="I267" s="86">
        <f t="shared" si="4"/>
        <v>-0.3</v>
      </c>
      <c r="J267" s="99">
        <f t="shared" si="2"/>
        <v>-0.3092783505</v>
      </c>
      <c r="K267" s="99">
        <f t="shared" si="10"/>
        <v>-0.3092783505</v>
      </c>
      <c r="L267" s="91"/>
      <c r="M267" s="91"/>
      <c r="N267" s="91" t="s">
        <v>277</v>
      </c>
      <c r="O267" s="65"/>
      <c r="P267" s="65"/>
      <c r="Q267" s="65"/>
      <c r="R267" s="65"/>
      <c r="S267" s="65"/>
      <c r="T267" s="65"/>
      <c r="U267" s="65"/>
      <c r="V267" s="65"/>
      <c r="W267" s="65"/>
      <c r="X267" s="65"/>
      <c r="Y267" s="65"/>
      <c r="Z267" s="65"/>
      <c r="AA267" s="65"/>
      <c r="AB267" s="65"/>
      <c r="AC267" s="65"/>
    </row>
    <row r="268">
      <c r="A268" s="91" t="s">
        <v>273</v>
      </c>
      <c r="B268" s="91" t="s">
        <v>274</v>
      </c>
      <c r="C268" s="92" t="s">
        <v>275</v>
      </c>
      <c r="D268" s="92" t="s">
        <v>276</v>
      </c>
      <c r="E268" s="118">
        <v>92.12</v>
      </c>
      <c r="F268" s="92">
        <v>91.36</v>
      </c>
      <c r="G268" s="92" t="s">
        <v>199</v>
      </c>
      <c r="H268" s="86">
        <f t="shared" si="1"/>
        <v>-0.76</v>
      </c>
      <c r="I268" s="86">
        <f t="shared" si="4"/>
        <v>-0.76</v>
      </c>
      <c r="J268" s="99">
        <f t="shared" si="2"/>
        <v>-0.8250108554</v>
      </c>
      <c r="K268" s="99">
        <f t="shared" si="10"/>
        <v>-0.8250108554</v>
      </c>
      <c r="L268" s="91"/>
      <c r="M268" s="91"/>
      <c r="N268" s="91" t="s">
        <v>277</v>
      </c>
      <c r="O268" s="65"/>
      <c r="P268" s="65"/>
      <c r="Q268" s="65"/>
      <c r="R268" s="65"/>
      <c r="S268" s="65"/>
      <c r="T268" s="65"/>
      <c r="U268" s="65"/>
      <c r="V268" s="65"/>
      <c r="W268" s="65"/>
      <c r="X268" s="65"/>
      <c r="Y268" s="65"/>
      <c r="Z268" s="65"/>
      <c r="AA268" s="65"/>
      <c r="AB268" s="65"/>
      <c r="AC268" s="65"/>
    </row>
    <row r="269">
      <c r="A269" s="91" t="s">
        <v>273</v>
      </c>
      <c r="B269" s="91" t="s">
        <v>274</v>
      </c>
      <c r="C269" s="92" t="s">
        <v>275</v>
      </c>
      <c r="D269" s="92" t="s">
        <v>276</v>
      </c>
      <c r="E269" s="118">
        <v>87.82</v>
      </c>
      <c r="F269" s="92">
        <v>87.72</v>
      </c>
      <c r="G269" s="92" t="s">
        <v>199</v>
      </c>
      <c r="H269" s="86">
        <f t="shared" si="1"/>
        <v>-0.1</v>
      </c>
      <c r="I269" s="86">
        <f t="shared" si="4"/>
        <v>-0.1</v>
      </c>
      <c r="J269" s="99">
        <f t="shared" si="2"/>
        <v>-0.1138692781</v>
      </c>
      <c r="K269" s="99">
        <f t="shared" si="10"/>
        <v>-0.1138692781</v>
      </c>
      <c r="L269" s="91"/>
      <c r="M269" s="91"/>
      <c r="N269" s="91" t="s">
        <v>277</v>
      </c>
      <c r="O269" s="65"/>
      <c r="P269" s="65"/>
      <c r="Q269" s="65"/>
      <c r="R269" s="65"/>
      <c r="S269" s="65"/>
      <c r="T269" s="65"/>
      <c r="U269" s="65"/>
      <c r="V269" s="65"/>
      <c r="W269" s="65"/>
      <c r="X269" s="65"/>
      <c r="Y269" s="65"/>
      <c r="Z269" s="65"/>
      <c r="AA269" s="65"/>
      <c r="AB269" s="65"/>
      <c r="AC269" s="65"/>
    </row>
    <row r="270">
      <c r="A270" s="91" t="s">
        <v>273</v>
      </c>
      <c r="B270" s="91" t="s">
        <v>274</v>
      </c>
      <c r="C270" s="92" t="s">
        <v>275</v>
      </c>
      <c r="D270" s="92" t="s">
        <v>276</v>
      </c>
      <c r="E270" s="118">
        <v>97.53</v>
      </c>
      <c r="F270" s="92">
        <v>97.27</v>
      </c>
      <c r="G270" s="92" t="s">
        <v>199</v>
      </c>
      <c r="H270" s="86">
        <f t="shared" si="1"/>
        <v>-0.26</v>
      </c>
      <c r="I270" s="86">
        <f t="shared" si="4"/>
        <v>-0.26</v>
      </c>
      <c r="J270" s="99">
        <f t="shared" si="2"/>
        <v>-0.2665846406</v>
      </c>
      <c r="K270" s="99">
        <f t="shared" si="10"/>
        <v>-0.2665846406</v>
      </c>
      <c r="L270" s="91"/>
      <c r="M270" s="91"/>
      <c r="N270" s="91" t="s">
        <v>277</v>
      </c>
      <c r="O270" s="65"/>
      <c r="P270" s="65"/>
      <c r="Q270" s="65"/>
      <c r="R270" s="65"/>
      <c r="S270" s="65"/>
      <c r="T270" s="65"/>
      <c r="U270" s="65"/>
      <c r="V270" s="65"/>
      <c r="W270" s="65"/>
      <c r="X270" s="65"/>
      <c r="Y270" s="65"/>
      <c r="Z270" s="65"/>
      <c r="AA270" s="65"/>
      <c r="AB270" s="65"/>
      <c r="AC270" s="65"/>
    </row>
    <row r="271">
      <c r="A271" s="91" t="s">
        <v>273</v>
      </c>
      <c r="B271" s="91" t="s">
        <v>274</v>
      </c>
      <c r="C271" s="92" t="s">
        <v>275</v>
      </c>
      <c r="D271" s="92" t="s">
        <v>276</v>
      </c>
      <c r="E271" s="118">
        <v>94.9</v>
      </c>
      <c r="F271" s="92">
        <v>94.44</v>
      </c>
      <c r="G271" s="92" t="s">
        <v>199</v>
      </c>
      <c r="H271" s="86">
        <f t="shared" si="1"/>
        <v>-0.46</v>
      </c>
      <c r="I271" s="86">
        <f t="shared" si="4"/>
        <v>-0.46</v>
      </c>
      <c r="J271" s="99">
        <f t="shared" si="2"/>
        <v>-0.4847207587</v>
      </c>
      <c r="K271" s="99">
        <f t="shared" si="10"/>
        <v>-0.4847207587</v>
      </c>
      <c r="L271" s="91"/>
      <c r="M271" s="91"/>
      <c r="N271" s="91" t="s">
        <v>277</v>
      </c>
      <c r="O271" s="65"/>
      <c r="P271" s="65"/>
      <c r="Q271" s="65"/>
      <c r="R271" s="65"/>
      <c r="S271" s="65"/>
      <c r="T271" s="65"/>
      <c r="U271" s="65"/>
      <c r="V271" s="65"/>
      <c r="W271" s="65"/>
      <c r="X271" s="65"/>
      <c r="Y271" s="65"/>
      <c r="Z271" s="65"/>
      <c r="AA271" s="65"/>
      <c r="AB271" s="65"/>
      <c r="AC271" s="65"/>
    </row>
    <row r="272">
      <c r="A272" s="91" t="s">
        <v>273</v>
      </c>
      <c r="B272" s="91" t="s">
        <v>274</v>
      </c>
      <c r="C272" s="92" t="s">
        <v>275</v>
      </c>
      <c r="D272" s="92" t="s">
        <v>276</v>
      </c>
      <c r="E272" s="118">
        <v>90.09</v>
      </c>
      <c r="F272" s="92">
        <v>89.05</v>
      </c>
      <c r="G272" s="92" t="s">
        <v>199</v>
      </c>
      <c r="H272" s="86">
        <f t="shared" si="1"/>
        <v>-1.04</v>
      </c>
      <c r="I272" s="86">
        <f t="shared" si="4"/>
        <v>-1.04</v>
      </c>
      <c r="J272" s="99">
        <f t="shared" si="2"/>
        <v>-1.154401154</v>
      </c>
      <c r="K272" s="99">
        <f t="shared" si="10"/>
        <v>-1.154401154</v>
      </c>
      <c r="L272" s="91"/>
      <c r="M272" s="91"/>
      <c r="N272" s="91" t="s">
        <v>277</v>
      </c>
      <c r="O272" s="65"/>
      <c r="P272" s="65"/>
      <c r="Q272" s="65"/>
      <c r="R272" s="65"/>
      <c r="S272" s="65"/>
      <c r="T272" s="65"/>
      <c r="U272" s="65"/>
      <c r="V272" s="65"/>
      <c r="W272" s="65"/>
      <c r="X272" s="65"/>
      <c r="Y272" s="65"/>
      <c r="Z272" s="65"/>
      <c r="AA272" s="65"/>
      <c r="AB272" s="65"/>
      <c r="AC272" s="65"/>
    </row>
    <row r="273">
      <c r="A273" s="91" t="s">
        <v>273</v>
      </c>
      <c r="B273" s="91" t="s">
        <v>274</v>
      </c>
      <c r="C273" s="92" t="s">
        <v>275</v>
      </c>
      <c r="D273" s="92" t="s">
        <v>276</v>
      </c>
      <c r="E273" s="118">
        <v>80.2</v>
      </c>
      <c r="F273" s="92">
        <v>79.16</v>
      </c>
      <c r="G273" s="92" t="s">
        <v>199</v>
      </c>
      <c r="H273" s="86">
        <f t="shared" si="1"/>
        <v>-1.04</v>
      </c>
      <c r="I273" s="86">
        <f t="shared" si="4"/>
        <v>-1.04</v>
      </c>
      <c r="J273" s="99">
        <f t="shared" si="2"/>
        <v>-1.296758105</v>
      </c>
      <c r="K273" s="99">
        <f t="shared" si="10"/>
        <v>-1.296758105</v>
      </c>
      <c r="L273" s="91"/>
      <c r="M273" s="91"/>
      <c r="N273" s="91" t="s">
        <v>277</v>
      </c>
      <c r="O273" s="65"/>
      <c r="P273" s="65"/>
      <c r="Q273" s="65"/>
      <c r="R273" s="65"/>
      <c r="S273" s="65"/>
      <c r="T273" s="65"/>
      <c r="U273" s="65"/>
      <c r="V273" s="65"/>
      <c r="W273" s="65"/>
      <c r="X273" s="65"/>
      <c r="Y273" s="65"/>
      <c r="Z273" s="65"/>
      <c r="AA273" s="65"/>
      <c r="AB273" s="65"/>
      <c r="AC273" s="65"/>
    </row>
    <row r="274">
      <c r="A274" s="91" t="s">
        <v>273</v>
      </c>
      <c r="B274" s="91" t="s">
        <v>274</v>
      </c>
      <c r="C274" s="92" t="s">
        <v>275</v>
      </c>
      <c r="D274" s="92" t="s">
        <v>276</v>
      </c>
      <c r="E274" s="118">
        <v>85.1</v>
      </c>
      <c r="F274" s="92">
        <v>85.17</v>
      </c>
      <c r="G274" s="92" t="s">
        <v>199</v>
      </c>
      <c r="H274" s="86">
        <f t="shared" si="1"/>
        <v>0.07</v>
      </c>
      <c r="I274" s="86">
        <f t="shared" si="4"/>
        <v>0.07</v>
      </c>
      <c r="J274" s="99">
        <f t="shared" si="2"/>
        <v>0.08225616921</v>
      </c>
      <c r="K274" s="99">
        <f t="shared" si="10"/>
        <v>0.08225616921</v>
      </c>
      <c r="L274" s="91"/>
      <c r="M274" s="91"/>
      <c r="N274" s="91" t="s">
        <v>277</v>
      </c>
      <c r="O274" s="65"/>
      <c r="P274" s="65"/>
      <c r="Q274" s="65"/>
      <c r="R274" s="65"/>
      <c r="S274" s="65"/>
      <c r="T274" s="65"/>
      <c r="U274" s="65"/>
      <c r="V274" s="65"/>
      <c r="W274" s="65"/>
      <c r="X274" s="65"/>
      <c r="Y274" s="65"/>
      <c r="Z274" s="65"/>
      <c r="AA274" s="65"/>
      <c r="AB274" s="65"/>
      <c r="AC274" s="65"/>
    </row>
    <row r="275">
      <c r="A275" s="91" t="s">
        <v>273</v>
      </c>
      <c r="B275" s="91" t="s">
        <v>274</v>
      </c>
      <c r="C275" s="92" t="s">
        <v>275</v>
      </c>
      <c r="D275" s="92" t="s">
        <v>276</v>
      </c>
      <c r="E275" s="118">
        <v>95.39</v>
      </c>
      <c r="F275" s="92">
        <v>94.94</v>
      </c>
      <c r="G275" s="92" t="s">
        <v>199</v>
      </c>
      <c r="H275" s="86">
        <f t="shared" si="1"/>
        <v>-0.45</v>
      </c>
      <c r="I275" s="86">
        <f t="shared" si="4"/>
        <v>-0.45</v>
      </c>
      <c r="J275" s="99">
        <f t="shared" si="2"/>
        <v>-0.4717475626</v>
      </c>
      <c r="K275" s="99">
        <f t="shared" si="10"/>
        <v>-0.4717475626</v>
      </c>
      <c r="L275" s="91"/>
      <c r="M275" s="91"/>
      <c r="N275" s="91" t="s">
        <v>277</v>
      </c>
      <c r="O275" s="65"/>
      <c r="P275" s="65"/>
      <c r="Q275" s="65"/>
      <c r="R275" s="65"/>
      <c r="S275" s="65"/>
      <c r="T275" s="65"/>
      <c r="U275" s="65"/>
      <c r="V275" s="65"/>
      <c r="W275" s="65"/>
      <c r="X275" s="65"/>
      <c r="Y275" s="65"/>
      <c r="Z275" s="65"/>
      <c r="AA275" s="65"/>
      <c r="AB275" s="65"/>
      <c r="AC275" s="65"/>
    </row>
    <row r="276">
      <c r="A276" s="91" t="s">
        <v>273</v>
      </c>
      <c r="B276" s="91" t="s">
        <v>274</v>
      </c>
      <c r="C276" s="92" t="s">
        <v>275</v>
      </c>
      <c r="D276" s="92" t="s">
        <v>276</v>
      </c>
      <c r="E276" s="118">
        <v>92.21</v>
      </c>
      <c r="F276" s="92">
        <v>92.29</v>
      </c>
      <c r="G276" s="92" t="s">
        <v>199</v>
      </c>
      <c r="H276" s="86">
        <f t="shared" si="1"/>
        <v>0.08</v>
      </c>
      <c r="I276" s="86">
        <f t="shared" si="4"/>
        <v>0.08</v>
      </c>
      <c r="J276" s="99">
        <f t="shared" si="2"/>
        <v>0.08675848606</v>
      </c>
      <c r="K276" s="99">
        <f t="shared" si="10"/>
        <v>0.08675848606</v>
      </c>
      <c r="L276" s="91"/>
      <c r="M276" s="91"/>
      <c r="N276" s="91" t="s">
        <v>277</v>
      </c>
      <c r="O276" s="65"/>
      <c r="P276" s="65"/>
      <c r="Q276" s="65"/>
      <c r="R276" s="65"/>
      <c r="S276" s="65"/>
      <c r="T276" s="65"/>
      <c r="U276" s="65"/>
      <c r="V276" s="65"/>
      <c r="W276" s="65"/>
      <c r="X276" s="65"/>
      <c r="Y276" s="65"/>
      <c r="Z276" s="65"/>
      <c r="AA276" s="65"/>
      <c r="AB276" s="65"/>
      <c r="AC276" s="65"/>
    </row>
    <row r="277">
      <c r="A277" s="91" t="s">
        <v>273</v>
      </c>
      <c r="B277" s="91" t="s">
        <v>274</v>
      </c>
      <c r="C277" s="92" t="s">
        <v>275</v>
      </c>
      <c r="D277" s="92" t="s">
        <v>276</v>
      </c>
      <c r="E277" s="118">
        <v>82.16</v>
      </c>
      <c r="F277" s="92">
        <v>82.2</v>
      </c>
      <c r="G277" s="92" t="s">
        <v>199</v>
      </c>
      <c r="H277" s="86">
        <f t="shared" si="1"/>
        <v>0.04</v>
      </c>
      <c r="I277" s="86">
        <f t="shared" si="4"/>
        <v>0.04</v>
      </c>
      <c r="J277" s="99">
        <f t="shared" si="2"/>
        <v>0.04868549172</v>
      </c>
      <c r="K277" s="99">
        <f t="shared" si="10"/>
        <v>0.04868549172</v>
      </c>
      <c r="L277" s="91"/>
      <c r="M277" s="91"/>
      <c r="N277" s="91" t="s">
        <v>277</v>
      </c>
      <c r="O277" s="65"/>
      <c r="P277" s="65"/>
      <c r="Q277" s="65"/>
      <c r="R277" s="65"/>
      <c r="S277" s="65"/>
      <c r="T277" s="65"/>
      <c r="U277" s="65"/>
      <c r="V277" s="65"/>
      <c r="W277" s="65"/>
      <c r="X277" s="65"/>
      <c r="Y277" s="65"/>
      <c r="Z277" s="65"/>
      <c r="AA277" s="65"/>
      <c r="AB277" s="65"/>
      <c r="AC277" s="65"/>
    </row>
    <row r="278">
      <c r="A278" s="91" t="s">
        <v>273</v>
      </c>
      <c r="B278" s="91" t="s">
        <v>274</v>
      </c>
      <c r="C278" s="92" t="s">
        <v>275</v>
      </c>
      <c r="D278" s="92" t="s">
        <v>276</v>
      </c>
      <c r="E278" s="118">
        <v>73.12</v>
      </c>
      <c r="F278" s="92">
        <v>73.26</v>
      </c>
      <c r="G278" s="92" t="s">
        <v>199</v>
      </c>
      <c r="H278" s="86">
        <f t="shared" si="1"/>
        <v>0.14</v>
      </c>
      <c r="I278" s="86">
        <f t="shared" si="4"/>
        <v>0.14</v>
      </c>
      <c r="J278" s="99">
        <f t="shared" si="2"/>
        <v>0.1914660832</v>
      </c>
      <c r="K278" s="99">
        <f t="shared" si="10"/>
        <v>0.1914660832</v>
      </c>
      <c r="L278" s="91"/>
      <c r="M278" s="91"/>
      <c r="N278" s="91" t="s">
        <v>277</v>
      </c>
      <c r="O278" s="65"/>
      <c r="P278" s="65"/>
      <c r="Q278" s="65"/>
      <c r="R278" s="65"/>
      <c r="S278" s="65"/>
      <c r="T278" s="65"/>
      <c r="U278" s="65"/>
      <c r="V278" s="65"/>
      <c r="W278" s="65"/>
      <c r="X278" s="65"/>
      <c r="Y278" s="65"/>
      <c r="Z278" s="65"/>
      <c r="AA278" s="65"/>
      <c r="AB278" s="65"/>
      <c r="AC278" s="65"/>
    </row>
    <row r="279">
      <c r="A279" s="91" t="s">
        <v>273</v>
      </c>
      <c r="B279" s="91" t="s">
        <v>274</v>
      </c>
      <c r="C279" s="92" t="s">
        <v>275</v>
      </c>
      <c r="D279" s="92" t="s">
        <v>276</v>
      </c>
      <c r="E279" s="118">
        <v>94.66</v>
      </c>
      <c r="F279" s="92">
        <v>94.6</v>
      </c>
      <c r="G279" s="92" t="s">
        <v>199</v>
      </c>
      <c r="H279" s="86">
        <f t="shared" si="1"/>
        <v>-0.06</v>
      </c>
      <c r="I279" s="86">
        <f t="shared" si="4"/>
        <v>-0.06</v>
      </c>
      <c r="J279" s="99">
        <f t="shared" si="2"/>
        <v>-0.0633847454</v>
      </c>
      <c r="K279" s="99">
        <f t="shared" si="10"/>
        <v>-0.0633847454</v>
      </c>
      <c r="L279" s="91"/>
      <c r="M279" s="91"/>
      <c r="N279" s="91" t="s">
        <v>277</v>
      </c>
      <c r="O279" s="65"/>
      <c r="P279" s="65"/>
      <c r="Q279" s="65"/>
      <c r="R279" s="65"/>
      <c r="S279" s="65"/>
      <c r="T279" s="65"/>
      <c r="U279" s="65"/>
      <c r="V279" s="65"/>
      <c r="W279" s="65"/>
      <c r="X279" s="65"/>
      <c r="Y279" s="65"/>
      <c r="Z279" s="65"/>
      <c r="AA279" s="65"/>
      <c r="AB279" s="65"/>
      <c r="AC279" s="65"/>
    </row>
    <row r="280">
      <c r="A280" s="91" t="s">
        <v>273</v>
      </c>
      <c r="B280" s="91" t="s">
        <v>274</v>
      </c>
      <c r="C280" s="92" t="s">
        <v>275</v>
      </c>
      <c r="D280" s="92" t="s">
        <v>276</v>
      </c>
      <c r="E280" s="118">
        <v>94.81</v>
      </c>
      <c r="F280" s="92">
        <v>94.99</v>
      </c>
      <c r="G280" s="92" t="s">
        <v>199</v>
      </c>
      <c r="H280" s="86">
        <f t="shared" si="1"/>
        <v>0.18</v>
      </c>
      <c r="I280" s="86">
        <f t="shared" si="4"/>
        <v>0.18</v>
      </c>
      <c r="J280" s="99">
        <f t="shared" si="2"/>
        <v>0.189853391</v>
      </c>
      <c r="K280" s="99">
        <f t="shared" si="10"/>
        <v>0.189853391</v>
      </c>
      <c r="L280" s="91"/>
      <c r="M280" s="91"/>
      <c r="N280" s="91" t="s">
        <v>277</v>
      </c>
      <c r="O280" s="65"/>
      <c r="P280" s="65"/>
      <c r="Q280" s="65"/>
      <c r="R280" s="65"/>
      <c r="S280" s="65"/>
      <c r="T280" s="65"/>
      <c r="U280" s="65"/>
      <c r="V280" s="65"/>
      <c r="W280" s="65"/>
      <c r="X280" s="65"/>
      <c r="Y280" s="65"/>
      <c r="Z280" s="65"/>
      <c r="AA280" s="65"/>
      <c r="AB280" s="65"/>
      <c r="AC280" s="65"/>
    </row>
    <row r="281">
      <c r="A281" s="91" t="s">
        <v>273</v>
      </c>
      <c r="B281" s="91" t="s">
        <v>274</v>
      </c>
      <c r="C281" s="92" t="s">
        <v>275</v>
      </c>
      <c r="D281" s="92" t="s">
        <v>276</v>
      </c>
      <c r="E281" s="118">
        <v>98.11</v>
      </c>
      <c r="F281" s="92">
        <v>98.1</v>
      </c>
      <c r="G281" s="92" t="s">
        <v>199</v>
      </c>
      <c r="H281" s="86">
        <f t="shared" si="1"/>
        <v>-0.01</v>
      </c>
      <c r="I281" s="86">
        <f t="shared" si="4"/>
        <v>-0.01</v>
      </c>
      <c r="J281" s="99">
        <f t="shared" si="2"/>
        <v>-0.01019264091</v>
      </c>
      <c r="K281" s="99">
        <f t="shared" si="10"/>
        <v>-0.01019264091</v>
      </c>
      <c r="L281" s="91"/>
      <c r="M281" s="91"/>
      <c r="N281" s="92" t="s">
        <v>277</v>
      </c>
      <c r="O281" s="65"/>
      <c r="P281" s="65"/>
      <c r="Q281" s="65"/>
      <c r="R281" s="65"/>
      <c r="S281" s="65"/>
      <c r="T281" s="65"/>
      <c r="U281" s="65"/>
      <c r="V281" s="65"/>
      <c r="W281" s="65"/>
      <c r="X281" s="65"/>
      <c r="Y281" s="65"/>
      <c r="Z281" s="65"/>
      <c r="AA281" s="65"/>
      <c r="AB281" s="65"/>
      <c r="AC281" s="65"/>
    </row>
    <row r="282">
      <c r="A282" s="91" t="s">
        <v>273</v>
      </c>
      <c r="B282" s="91" t="s">
        <v>274</v>
      </c>
      <c r="C282" s="92" t="s">
        <v>275</v>
      </c>
      <c r="D282" s="92" t="s">
        <v>276</v>
      </c>
      <c r="E282" s="118">
        <v>94.72</v>
      </c>
      <c r="F282" s="92">
        <v>94.67</v>
      </c>
      <c r="G282" s="92" t="s">
        <v>199</v>
      </c>
      <c r="H282" s="86">
        <f t="shared" si="1"/>
        <v>-0.05</v>
      </c>
      <c r="I282" s="86">
        <f t="shared" si="4"/>
        <v>-0.05</v>
      </c>
      <c r="J282" s="99">
        <f t="shared" si="2"/>
        <v>-0.05278716216</v>
      </c>
      <c r="K282" s="99">
        <f t="shared" si="10"/>
        <v>-0.05278716216</v>
      </c>
      <c r="L282" s="91"/>
      <c r="M282" s="91"/>
      <c r="N282" s="91" t="s">
        <v>277</v>
      </c>
      <c r="O282" s="65"/>
      <c r="P282" s="65"/>
      <c r="Q282" s="65"/>
      <c r="R282" s="65"/>
      <c r="S282" s="65"/>
      <c r="T282" s="65"/>
      <c r="U282" s="65"/>
      <c r="V282" s="65"/>
      <c r="W282" s="65"/>
      <c r="X282" s="65"/>
      <c r="Y282" s="65"/>
      <c r="Z282" s="65"/>
      <c r="AA282" s="65"/>
      <c r="AB282" s="65"/>
      <c r="AC282" s="65"/>
    </row>
    <row r="283">
      <c r="A283" s="91" t="s">
        <v>273</v>
      </c>
      <c r="B283" s="91" t="s">
        <v>274</v>
      </c>
      <c r="C283" s="92" t="s">
        <v>275</v>
      </c>
      <c r="D283" s="92" t="s">
        <v>276</v>
      </c>
      <c r="E283" s="118">
        <v>97.53</v>
      </c>
      <c r="F283" s="92">
        <v>97.51</v>
      </c>
      <c r="G283" s="92" t="s">
        <v>199</v>
      </c>
      <c r="H283" s="86">
        <f t="shared" si="1"/>
        <v>-0.02</v>
      </c>
      <c r="I283" s="86">
        <f t="shared" si="4"/>
        <v>-0.02</v>
      </c>
      <c r="J283" s="99">
        <f t="shared" si="2"/>
        <v>-0.02050651082</v>
      </c>
      <c r="K283" s="99">
        <f t="shared" si="10"/>
        <v>-0.02050651082</v>
      </c>
      <c r="L283" s="91"/>
      <c r="M283" s="91"/>
      <c r="N283" s="91" t="s">
        <v>277</v>
      </c>
      <c r="O283" s="65"/>
      <c r="P283" s="65"/>
      <c r="Q283" s="65"/>
      <c r="R283" s="65"/>
      <c r="S283" s="65"/>
      <c r="T283" s="65"/>
      <c r="U283" s="65"/>
      <c r="V283" s="65"/>
      <c r="W283" s="65"/>
      <c r="X283" s="65"/>
      <c r="Y283" s="65"/>
      <c r="Z283" s="65"/>
      <c r="AA283" s="65"/>
      <c r="AB283" s="65"/>
      <c r="AC283" s="65"/>
    </row>
    <row r="284">
      <c r="A284" s="91" t="s">
        <v>273</v>
      </c>
      <c r="B284" s="91" t="s">
        <v>274</v>
      </c>
      <c r="C284" s="92" t="s">
        <v>278</v>
      </c>
      <c r="D284" s="92" t="s">
        <v>276</v>
      </c>
      <c r="E284" s="92">
        <v>96.41</v>
      </c>
      <c r="F284" s="92">
        <v>95.3</v>
      </c>
      <c r="G284" s="92" t="s">
        <v>238</v>
      </c>
      <c r="H284" s="86">
        <f t="shared" si="1"/>
        <v>-1.11</v>
      </c>
      <c r="I284" s="86">
        <f t="shared" si="4"/>
        <v>-1.11</v>
      </c>
      <c r="J284" s="99">
        <f t="shared" si="2"/>
        <v>-1.151332849</v>
      </c>
      <c r="K284" s="99">
        <f t="shared" si="10"/>
        <v>-1.151332849</v>
      </c>
      <c r="L284" s="91"/>
      <c r="M284" s="91"/>
      <c r="N284" s="91" t="s">
        <v>277</v>
      </c>
      <c r="O284" s="65"/>
      <c r="P284" s="65"/>
      <c r="Q284" s="65"/>
      <c r="R284" s="65"/>
      <c r="S284" s="65"/>
      <c r="T284" s="65"/>
      <c r="U284" s="65"/>
      <c r="V284" s="65"/>
      <c r="W284" s="65"/>
      <c r="X284" s="65"/>
      <c r="Y284" s="65"/>
      <c r="Z284" s="65"/>
      <c r="AA284" s="65"/>
      <c r="AB284" s="65"/>
      <c r="AC284" s="65"/>
    </row>
    <row r="285">
      <c r="A285" s="91" t="s">
        <v>273</v>
      </c>
      <c r="B285" s="91" t="s">
        <v>274</v>
      </c>
      <c r="C285" s="92" t="s">
        <v>278</v>
      </c>
      <c r="D285" s="92" t="s">
        <v>276</v>
      </c>
      <c r="E285" s="92">
        <v>97.53</v>
      </c>
      <c r="F285" s="92">
        <v>97.13</v>
      </c>
      <c r="G285" s="91"/>
      <c r="H285" s="86">
        <f t="shared" si="1"/>
        <v>-0.4</v>
      </c>
      <c r="I285" s="86">
        <f t="shared" si="4"/>
        <v>-0.4</v>
      </c>
      <c r="J285" s="95">
        <f t="shared" si="2"/>
        <v>-0.4101302163</v>
      </c>
      <c r="K285" s="95">
        <f t="shared" si="10"/>
        <v>-0.4101302163</v>
      </c>
      <c r="L285" s="91"/>
      <c r="M285" s="91"/>
      <c r="N285" s="91" t="s">
        <v>277</v>
      </c>
      <c r="O285" s="65"/>
      <c r="P285" s="65"/>
      <c r="Q285" s="65"/>
      <c r="R285" s="65"/>
      <c r="S285" s="65"/>
      <c r="T285" s="65"/>
      <c r="U285" s="65"/>
      <c r="V285" s="65"/>
      <c r="W285" s="65"/>
      <c r="X285" s="65"/>
      <c r="Y285" s="65"/>
      <c r="Z285" s="65"/>
      <c r="AA285" s="65"/>
      <c r="AB285" s="65"/>
      <c r="AC285" s="65"/>
    </row>
    <row r="286">
      <c r="A286" s="91" t="s">
        <v>273</v>
      </c>
      <c r="B286" s="91" t="s">
        <v>274</v>
      </c>
      <c r="C286" s="92" t="s">
        <v>278</v>
      </c>
      <c r="D286" s="92" t="s">
        <v>276</v>
      </c>
      <c r="E286" s="92">
        <v>97.14</v>
      </c>
      <c r="F286" s="92">
        <v>96.72</v>
      </c>
      <c r="G286" s="91"/>
      <c r="H286" s="86">
        <f t="shared" si="1"/>
        <v>-0.42</v>
      </c>
      <c r="I286" s="86">
        <f t="shared" si="4"/>
        <v>-0.42</v>
      </c>
      <c r="J286" s="95">
        <f t="shared" si="2"/>
        <v>-0.4323656578</v>
      </c>
      <c r="K286" s="95">
        <f t="shared" si="10"/>
        <v>-0.4323656578</v>
      </c>
      <c r="L286" s="91"/>
      <c r="M286" s="91"/>
      <c r="N286" s="91" t="s">
        <v>277</v>
      </c>
      <c r="O286" s="65"/>
      <c r="P286" s="65"/>
      <c r="Q286" s="65"/>
      <c r="R286" s="65"/>
      <c r="S286" s="65"/>
      <c r="T286" s="65"/>
      <c r="U286" s="65"/>
      <c r="V286" s="65"/>
      <c r="W286" s="65"/>
      <c r="X286" s="65"/>
      <c r="Y286" s="65"/>
      <c r="Z286" s="65"/>
      <c r="AA286" s="65"/>
      <c r="AB286" s="65"/>
      <c r="AC286" s="65"/>
    </row>
    <row r="287">
      <c r="A287" s="91" t="s">
        <v>273</v>
      </c>
      <c r="B287" s="91" t="s">
        <v>274</v>
      </c>
      <c r="C287" s="92" t="s">
        <v>278</v>
      </c>
      <c r="D287" s="92" t="s">
        <v>276</v>
      </c>
      <c r="E287" s="92">
        <v>97.12</v>
      </c>
      <c r="F287" s="92">
        <v>96.68</v>
      </c>
      <c r="G287" s="92" t="s">
        <v>199</v>
      </c>
      <c r="H287" s="86">
        <f t="shared" si="1"/>
        <v>-0.44</v>
      </c>
      <c r="I287" s="86">
        <f t="shared" si="4"/>
        <v>-0.44</v>
      </c>
      <c r="J287" s="99">
        <f t="shared" si="2"/>
        <v>-0.4530477759</v>
      </c>
      <c r="K287" s="99">
        <f t="shared" si="10"/>
        <v>-0.4530477759</v>
      </c>
      <c r="L287" s="91"/>
      <c r="M287" s="91"/>
      <c r="N287" s="91" t="s">
        <v>277</v>
      </c>
      <c r="O287" s="65"/>
      <c r="P287" s="65"/>
      <c r="Q287" s="65"/>
      <c r="R287" s="65"/>
      <c r="S287" s="65"/>
      <c r="T287" s="65"/>
      <c r="U287" s="65"/>
      <c r="V287" s="65"/>
      <c r="W287" s="65"/>
      <c r="X287" s="65"/>
      <c r="Y287" s="65"/>
      <c r="Z287" s="65"/>
      <c r="AA287" s="65"/>
      <c r="AB287" s="65"/>
      <c r="AC287" s="65"/>
    </row>
    <row r="288">
      <c r="A288" s="91" t="s">
        <v>273</v>
      </c>
      <c r="B288" s="91" t="s">
        <v>274</v>
      </c>
      <c r="C288" s="92" t="s">
        <v>278</v>
      </c>
      <c r="D288" s="92" t="s">
        <v>276</v>
      </c>
      <c r="E288" s="92">
        <v>96.03</v>
      </c>
      <c r="F288" s="92">
        <v>95.3</v>
      </c>
      <c r="G288" s="92" t="s">
        <v>199</v>
      </c>
      <c r="H288" s="86">
        <f t="shared" si="1"/>
        <v>-0.73</v>
      </c>
      <c r="I288" s="86">
        <f t="shared" si="4"/>
        <v>-0.73</v>
      </c>
      <c r="J288" s="99">
        <f t="shared" si="2"/>
        <v>-0.7601791107</v>
      </c>
      <c r="K288" s="99">
        <f t="shared" si="10"/>
        <v>-0.7601791107</v>
      </c>
      <c r="L288" s="91"/>
      <c r="M288" s="91"/>
      <c r="N288" s="91" t="s">
        <v>277</v>
      </c>
      <c r="O288" s="65"/>
      <c r="P288" s="65"/>
      <c r="Q288" s="65"/>
      <c r="R288" s="65"/>
      <c r="S288" s="65"/>
      <c r="T288" s="65"/>
      <c r="U288" s="65"/>
      <c r="V288" s="65"/>
      <c r="W288" s="65"/>
      <c r="X288" s="65"/>
      <c r="Y288" s="65"/>
      <c r="Z288" s="65"/>
      <c r="AA288" s="65"/>
      <c r="AB288" s="65"/>
      <c r="AC288" s="65"/>
    </row>
    <row r="289">
      <c r="A289" s="91" t="s">
        <v>273</v>
      </c>
      <c r="B289" s="91" t="s">
        <v>274</v>
      </c>
      <c r="C289" s="92" t="s">
        <v>278</v>
      </c>
      <c r="D289" s="92" t="s">
        <v>276</v>
      </c>
      <c r="E289" s="92">
        <v>98.13</v>
      </c>
      <c r="F289" s="92">
        <v>98.0</v>
      </c>
      <c r="G289" s="92" t="s">
        <v>199</v>
      </c>
      <c r="H289" s="86">
        <f t="shared" si="1"/>
        <v>-0.13</v>
      </c>
      <c r="I289" s="86">
        <f t="shared" si="4"/>
        <v>-0.13</v>
      </c>
      <c r="J289" s="99">
        <f t="shared" si="2"/>
        <v>-0.132477326</v>
      </c>
      <c r="K289" s="99">
        <f t="shared" si="10"/>
        <v>-0.132477326</v>
      </c>
      <c r="L289" s="91"/>
      <c r="M289" s="91"/>
      <c r="N289" s="91" t="s">
        <v>277</v>
      </c>
      <c r="O289" s="65"/>
      <c r="P289" s="65"/>
      <c r="Q289" s="65"/>
      <c r="R289" s="65"/>
      <c r="S289" s="65"/>
      <c r="T289" s="65"/>
      <c r="U289" s="65"/>
      <c r="V289" s="65"/>
      <c r="W289" s="65"/>
      <c r="X289" s="65"/>
      <c r="Y289" s="65"/>
      <c r="Z289" s="65"/>
      <c r="AA289" s="65"/>
      <c r="AB289" s="65"/>
      <c r="AC289" s="65"/>
    </row>
    <row r="290">
      <c r="A290" s="91" t="s">
        <v>273</v>
      </c>
      <c r="B290" s="91" t="s">
        <v>274</v>
      </c>
      <c r="C290" s="92" t="s">
        <v>278</v>
      </c>
      <c r="D290" s="92" t="s">
        <v>276</v>
      </c>
      <c r="E290" s="92">
        <v>96.42</v>
      </c>
      <c r="F290" s="92">
        <v>96.13</v>
      </c>
      <c r="G290" s="92" t="s">
        <v>199</v>
      </c>
      <c r="H290" s="86">
        <f t="shared" si="1"/>
        <v>-0.29</v>
      </c>
      <c r="I290" s="86">
        <f t="shared" si="4"/>
        <v>-0.29</v>
      </c>
      <c r="J290" s="99">
        <f t="shared" si="2"/>
        <v>-0.3007674756</v>
      </c>
      <c r="K290" s="99">
        <f t="shared" si="10"/>
        <v>-0.3007674756</v>
      </c>
      <c r="L290" s="91"/>
      <c r="M290" s="91"/>
      <c r="N290" s="91" t="s">
        <v>277</v>
      </c>
      <c r="O290" s="65"/>
      <c r="P290" s="65"/>
      <c r="Q290" s="65"/>
      <c r="R290" s="65"/>
      <c r="S290" s="65"/>
      <c r="T290" s="65"/>
      <c r="U290" s="65"/>
      <c r="V290" s="65"/>
      <c r="W290" s="65"/>
      <c r="X290" s="65"/>
      <c r="Y290" s="65"/>
      <c r="Z290" s="65"/>
      <c r="AA290" s="65"/>
      <c r="AB290" s="65"/>
      <c r="AC290" s="65"/>
    </row>
    <row r="291">
      <c r="A291" s="91" t="s">
        <v>273</v>
      </c>
      <c r="B291" s="91" t="s">
        <v>274</v>
      </c>
      <c r="C291" s="92" t="s">
        <v>278</v>
      </c>
      <c r="D291" s="92" t="s">
        <v>276</v>
      </c>
      <c r="E291" s="92">
        <v>97.26</v>
      </c>
      <c r="F291" s="92">
        <v>96.91</v>
      </c>
      <c r="G291" s="92" t="s">
        <v>199</v>
      </c>
      <c r="H291" s="86">
        <f t="shared" si="1"/>
        <v>-0.35</v>
      </c>
      <c r="I291" s="86">
        <f t="shared" si="4"/>
        <v>-0.35</v>
      </c>
      <c r="J291" s="99">
        <f t="shared" si="2"/>
        <v>-0.3598601686</v>
      </c>
      <c r="K291" s="99">
        <f t="shared" si="10"/>
        <v>-0.3598601686</v>
      </c>
      <c r="L291" s="91"/>
      <c r="M291" s="91"/>
      <c r="N291" s="91" t="s">
        <v>277</v>
      </c>
      <c r="O291" s="65"/>
      <c r="P291" s="65"/>
      <c r="Q291" s="65"/>
      <c r="R291" s="65"/>
      <c r="S291" s="65"/>
      <c r="T291" s="65"/>
      <c r="U291" s="65"/>
      <c r="V291" s="65"/>
      <c r="W291" s="65"/>
      <c r="X291" s="65"/>
      <c r="Y291" s="65"/>
      <c r="Z291" s="65"/>
      <c r="AA291" s="65"/>
      <c r="AB291" s="65"/>
      <c r="AC291" s="65"/>
    </row>
    <row r="292">
      <c r="A292" s="91" t="s">
        <v>273</v>
      </c>
      <c r="B292" s="91" t="s">
        <v>274</v>
      </c>
      <c r="C292" s="92" t="s">
        <v>278</v>
      </c>
      <c r="D292" s="92" t="s">
        <v>276</v>
      </c>
      <c r="E292" s="92">
        <v>92.22</v>
      </c>
      <c r="F292" s="92">
        <v>91.39</v>
      </c>
      <c r="G292" s="92" t="s">
        <v>199</v>
      </c>
      <c r="H292" s="86">
        <f t="shared" si="1"/>
        <v>-0.83</v>
      </c>
      <c r="I292" s="86">
        <f t="shared" si="4"/>
        <v>-0.83</v>
      </c>
      <c r="J292" s="99">
        <f t="shared" si="2"/>
        <v>-0.9000216873</v>
      </c>
      <c r="K292" s="99">
        <f t="shared" si="10"/>
        <v>-0.9000216873</v>
      </c>
      <c r="L292" s="91"/>
      <c r="M292" s="91"/>
      <c r="N292" s="91" t="s">
        <v>277</v>
      </c>
      <c r="O292" s="65"/>
      <c r="P292" s="65"/>
      <c r="Q292" s="65"/>
      <c r="R292" s="65"/>
      <c r="S292" s="65"/>
      <c r="T292" s="65"/>
      <c r="U292" s="65"/>
      <c r="V292" s="65"/>
      <c r="W292" s="65"/>
      <c r="X292" s="65"/>
      <c r="Y292" s="65"/>
      <c r="Z292" s="65"/>
      <c r="AA292" s="65"/>
      <c r="AB292" s="65"/>
      <c r="AC292" s="65"/>
    </row>
    <row r="293">
      <c r="A293" s="91" t="s">
        <v>273</v>
      </c>
      <c r="B293" s="91" t="s">
        <v>274</v>
      </c>
      <c r="C293" s="92" t="s">
        <v>278</v>
      </c>
      <c r="D293" s="92" t="s">
        <v>276</v>
      </c>
      <c r="E293" s="92">
        <v>97.62</v>
      </c>
      <c r="F293" s="92">
        <v>96.92</v>
      </c>
      <c r="G293" s="92" t="s">
        <v>199</v>
      </c>
      <c r="H293" s="86">
        <f t="shared" si="1"/>
        <v>-0.7</v>
      </c>
      <c r="I293" s="86">
        <f t="shared" si="4"/>
        <v>-0.7</v>
      </c>
      <c r="J293" s="99">
        <f t="shared" si="2"/>
        <v>-0.717066175</v>
      </c>
      <c r="K293" s="99">
        <f t="shared" si="10"/>
        <v>-0.717066175</v>
      </c>
      <c r="L293" s="91"/>
      <c r="M293" s="91"/>
      <c r="N293" s="91" t="s">
        <v>277</v>
      </c>
      <c r="O293" s="65"/>
      <c r="P293" s="65"/>
      <c r="Q293" s="65"/>
      <c r="R293" s="65"/>
      <c r="S293" s="65"/>
      <c r="T293" s="65"/>
      <c r="U293" s="65"/>
      <c r="V293" s="65"/>
      <c r="W293" s="65"/>
      <c r="X293" s="65"/>
      <c r="Y293" s="65"/>
      <c r="Z293" s="65"/>
      <c r="AA293" s="65"/>
      <c r="AB293" s="65"/>
      <c r="AC293" s="65"/>
    </row>
    <row r="294">
      <c r="A294" s="91" t="s">
        <v>273</v>
      </c>
      <c r="B294" s="91" t="s">
        <v>274</v>
      </c>
      <c r="C294" s="92" t="s">
        <v>278</v>
      </c>
      <c r="D294" s="92" t="s">
        <v>276</v>
      </c>
      <c r="E294" s="92">
        <v>92.35</v>
      </c>
      <c r="F294" s="92">
        <v>91.8</v>
      </c>
      <c r="G294" s="92" t="s">
        <v>199</v>
      </c>
      <c r="H294" s="86">
        <f t="shared" si="1"/>
        <v>-0.55</v>
      </c>
      <c r="I294" s="86">
        <f t="shared" si="4"/>
        <v>-0.55</v>
      </c>
      <c r="J294" s="99">
        <f t="shared" si="2"/>
        <v>-0.5955603682</v>
      </c>
      <c r="K294" s="99">
        <f t="shared" si="10"/>
        <v>-0.5955603682</v>
      </c>
      <c r="L294" s="91"/>
      <c r="M294" s="91"/>
      <c r="N294" s="91" t="s">
        <v>277</v>
      </c>
      <c r="O294" s="65"/>
      <c r="P294" s="65"/>
      <c r="Q294" s="65"/>
      <c r="R294" s="65"/>
      <c r="S294" s="65"/>
      <c r="T294" s="65"/>
      <c r="U294" s="65"/>
      <c r="V294" s="65"/>
      <c r="W294" s="65"/>
      <c r="X294" s="65"/>
      <c r="Y294" s="65"/>
      <c r="Z294" s="65"/>
      <c r="AA294" s="65"/>
      <c r="AB294" s="65"/>
      <c r="AC294" s="65"/>
    </row>
    <row r="295">
      <c r="A295" s="91" t="s">
        <v>273</v>
      </c>
      <c r="B295" s="91" t="s">
        <v>274</v>
      </c>
      <c r="C295" s="92" t="s">
        <v>278</v>
      </c>
      <c r="D295" s="92" t="s">
        <v>276</v>
      </c>
      <c r="E295" s="92">
        <v>98.32</v>
      </c>
      <c r="F295" s="92">
        <v>98.22</v>
      </c>
      <c r="G295" s="92" t="s">
        <v>199</v>
      </c>
      <c r="H295" s="86">
        <f t="shared" si="1"/>
        <v>-0.1</v>
      </c>
      <c r="I295" s="86">
        <f t="shared" si="4"/>
        <v>-0.1</v>
      </c>
      <c r="J295" s="99">
        <f t="shared" si="2"/>
        <v>-0.1017087063</v>
      </c>
      <c r="K295" s="99">
        <f t="shared" si="10"/>
        <v>-0.1017087063</v>
      </c>
      <c r="L295" s="91"/>
      <c r="M295" s="91"/>
      <c r="N295" s="91" t="s">
        <v>277</v>
      </c>
      <c r="O295" s="65"/>
      <c r="P295" s="65"/>
      <c r="Q295" s="65"/>
      <c r="R295" s="65"/>
      <c r="S295" s="65"/>
      <c r="T295" s="65"/>
      <c r="U295" s="65"/>
      <c r="V295" s="65"/>
      <c r="W295" s="65"/>
      <c r="X295" s="65"/>
      <c r="Y295" s="65"/>
      <c r="Z295" s="65"/>
      <c r="AA295" s="65"/>
      <c r="AB295" s="65"/>
      <c r="AC295" s="65"/>
    </row>
    <row r="296">
      <c r="A296" s="91" t="s">
        <v>273</v>
      </c>
      <c r="B296" s="91" t="s">
        <v>274</v>
      </c>
      <c r="C296" s="92" t="s">
        <v>278</v>
      </c>
      <c r="D296" s="92" t="s">
        <v>276</v>
      </c>
      <c r="E296" s="92">
        <v>96.94</v>
      </c>
      <c r="F296" s="92">
        <v>96.68</v>
      </c>
      <c r="G296" s="92" t="s">
        <v>199</v>
      </c>
      <c r="H296" s="86">
        <f t="shared" si="1"/>
        <v>-0.26</v>
      </c>
      <c r="I296" s="86">
        <f t="shared" si="4"/>
        <v>-0.26</v>
      </c>
      <c r="J296" s="99">
        <f t="shared" si="2"/>
        <v>-0.2682071384</v>
      </c>
      <c r="K296" s="99">
        <f t="shared" si="10"/>
        <v>-0.2682071384</v>
      </c>
      <c r="L296" s="91"/>
      <c r="M296" s="91"/>
      <c r="N296" s="91" t="s">
        <v>277</v>
      </c>
      <c r="O296" s="65"/>
      <c r="P296" s="65"/>
      <c r="Q296" s="65"/>
      <c r="R296" s="65"/>
      <c r="S296" s="65"/>
      <c r="T296" s="65"/>
      <c r="U296" s="65"/>
      <c r="V296" s="65"/>
      <c r="W296" s="65"/>
      <c r="X296" s="65"/>
      <c r="Y296" s="65"/>
      <c r="Z296" s="65"/>
      <c r="AA296" s="65"/>
      <c r="AB296" s="65"/>
      <c r="AC296" s="65"/>
    </row>
    <row r="297">
      <c r="A297" s="91" t="s">
        <v>273</v>
      </c>
      <c r="B297" s="91" t="s">
        <v>274</v>
      </c>
      <c r="C297" s="92" t="s">
        <v>278</v>
      </c>
      <c r="D297" s="92" t="s">
        <v>276</v>
      </c>
      <c r="E297" s="92">
        <v>94.83</v>
      </c>
      <c r="F297" s="92">
        <v>94.47</v>
      </c>
      <c r="G297" s="92" t="s">
        <v>199</v>
      </c>
      <c r="H297" s="86">
        <f t="shared" si="1"/>
        <v>-0.36</v>
      </c>
      <c r="I297" s="86">
        <f t="shared" si="4"/>
        <v>-0.36</v>
      </c>
      <c r="J297" s="99">
        <f t="shared" si="2"/>
        <v>-0.3796267004</v>
      </c>
      <c r="K297" s="99">
        <f t="shared" si="10"/>
        <v>-0.3796267004</v>
      </c>
      <c r="L297" s="91"/>
      <c r="M297" s="91"/>
      <c r="N297" s="91" t="s">
        <v>277</v>
      </c>
      <c r="O297" s="65"/>
      <c r="P297" s="65"/>
      <c r="Q297" s="65"/>
      <c r="R297" s="65"/>
      <c r="S297" s="65"/>
      <c r="T297" s="65"/>
      <c r="U297" s="65"/>
      <c r="V297" s="65"/>
      <c r="W297" s="65"/>
      <c r="X297" s="65"/>
      <c r="Y297" s="65"/>
      <c r="Z297" s="65"/>
      <c r="AA297" s="65"/>
      <c r="AB297" s="65"/>
      <c r="AC297" s="65"/>
    </row>
    <row r="298">
      <c r="A298" s="91" t="s">
        <v>273</v>
      </c>
      <c r="B298" s="91" t="s">
        <v>274</v>
      </c>
      <c r="C298" s="92" t="s">
        <v>278</v>
      </c>
      <c r="D298" s="92" t="s">
        <v>276</v>
      </c>
      <c r="E298" s="92">
        <v>96.84</v>
      </c>
      <c r="F298" s="92">
        <v>96.6</v>
      </c>
      <c r="G298" s="92" t="s">
        <v>199</v>
      </c>
      <c r="H298" s="86">
        <f t="shared" si="1"/>
        <v>-0.24</v>
      </c>
      <c r="I298" s="86">
        <f t="shared" si="4"/>
        <v>-0.24</v>
      </c>
      <c r="J298" s="99">
        <f t="shared" si="2"/>
        <v>-0.2478314746</v>
      </c>
      <c r="K298" s="99">
        <f t="shared" si="10"/>
        <v>-0.2478314746</v>
      </c>
      <c r="L298" s="91"/>
      <c r="M298" s="91"/>
      <c r="N298" s="91" t="s">
        <v>277</v>
      </c>
      <c r="O298" s="65"/>
      <c r="P298" s="65"/>
      <c r="Q298" s="65"/>
      <c r="R298" s="65"/>
      <c r="S298" s="65"/>
      <c r="T298" s="65"/>
      <c r="U298" s="65"/>
      <c r="V298" s="65"/>
      <c r="W298" s="65"/>
      <c r="X298" s="65"/>
      <c r="Y298" s="65"/>
      <c r="Z298" s="65"/>
      <c r="AA298" s="65"/>
      <c r="AB298" s="65"/>
      <c r="AC298" s="65"/>
    </row>
    <row r="299">
      <c r="A299" s="91" t="s">
        <v>273</v>
      </c>
      <c r="B299" s="91" t="s">
        <v>274</v>
      </c>
      <c r="C299" s="92" t="s">
        <v>278</v>
      </c>
      <c r="D299" s="92" t="s">
        <v>276</v>
      </c>
      <c r="E299" s="92">
        <v>96.27</v>
      </c>
      <c r="F299" s="92">
        <v>95.9</v>
      </c>
      <c r="G299" s="92" t="s">
        <v>199</v>
      </c>
      <c r="H299" s="86">
        <f t="shared" si="1"/>
        <v>-0.37</v>
      </c>
      <c r="I299" s="86">
        <f t="shared" si="4"/>
        <v>-0.37</v>
      </c>
      <c r="J299" s="99">
        <f t="shared" si="2"/>
        <v>-0.3843357224</v>
      </c>
      <c r="K299" s="99">
        <f t="shared" si="10"/>
        <v>-0.3843357224</v>
      </c>
      <c r="L299" s="91"/>
      <c r="M299" s="91"/>
      <c r="N299" s="91" t="s">
        <v>277</v>
      </c>
      <c r="O299" s="65"/>
      <c r="P299" s="65"/>
      <c r="Q299" s="65"/>
      <c r="R299" s="65"/>
      <c r="S299" s="65"/>
      <c r="T299" s="65"/>
      <c r="U299" s="65"/>
      <c r="V299" s="65"/>
      <c r="W299" s="65"/>
      <c r="X299" s="65"/>
      <c r="Y299" s="65"/>
      <c r="Z299" s="65"/>
      <c r="AA299" s="65"/>
      <c r="AB299" s="65"/>
      <c r="AC299" s="65"/>
    </row>
    <row r="300">
      <c r="A300" s="91" t="s">
        <v>273</v>
      </c>
      <c r="B300" s="91" t="s">
        <v>274</v>
      </c>
      <c r="C300" s="92" t="s">
        <v>278</v>
      </c>
      <c r="D300" s="92" t="s">
        <v>276</v>
      </c>
      <c r="E300" s="92">
        <v>91.13</v>
      </c>
      <c r="F300" s="92">
        <v>90.67</v>
      </c>
      <c r="G300" s="92" t="s">
        <v>199</v>
      </c>
      <c r="H300" s="86">
        <f t="shared" si="1"/>
        <v>-0.46</v>
      </c>
      <c r="I300" s="86">
        <f t="shared" si="4"/>
        <v>-0.46</v>
      </c>
      <c r="J300" s="99">
        <f t="shared" si="2"/>
        <v>-0.5047734006</v>
      </c>
      <c r="K300" s="99">
        <f t="shared" si="10"/>
        <v>-0.5047734006</v>
      </c>
      <c r="L300" s="91"/>
      <c r="M300" s="91"/>
      <c r="N300" s="91" t="s">
        <v>277</v>
      </c>
      <c r="O300" s="65"/>
      <c r="P300" s="65"/>
      <c r="Q300" s="65"/>
      <c r="R300" s="65"/>
      <c r="S300" s="65"/>
      <c r="T300" s="65"/>
      <c r="U300" s="65"/>
      <c r="V300" s="65"/>
      <c r="W300" s="65"/>
      <c r="X300" s="65"/>
      <c r="Y300" s="65"/>
      <c r="Z300" s="65"/>
      <c r="AA300" s="65"/>
      <c r="AB300" s="65"/>
      <c r="AC300" s="65"/>
    </row>
    <row r="301">
      <c r="A301" s="91" t="s">
        <v>273</v>
      </c>
      <c r="B301" s="91" t="s">
        <v>274</v>
      </c>
      <c r="C301" s="92" t="s">
        <v>278</v>
      </c>
      <c r="D301" s="92" t="s">
        <v>276</v>
      </c>
      <c r="E301" s="92">
        <v>97.08</v>
      </c>
      <c r="F301" s="92">
        <v>96.66</v>
      </c>
      <c r="G301" s="92" t="s">
        <v>199</v>
      </c>
      <c r="H301" s="86">
        <f t="shared" si="1"/>
        <v>-0.42</v>
      </c>
      <c r="I301" s="86">
        <f t="shared" si="4"/>
        <v>-0.42</v>
      </c>
      <c r="J301" s="99">
        <f t="shared" si="2"/>
        <v>-0.4326328801</v>
      </c>
      <c r="K301" s="99">
        <f t="shared" si="10"/>
        <v>-0.4326328801</v>
      </c>
      <c r="L301" s="91"/>
      <c r="M301" s="91"/>
      <c r="N301" s="91" t="s">
        <v>277</v>
      </c>
      <c r="O301" s="65"/>
      <c r="P301" s="65"/>
      <c r="Q301" s="65"/>
      <c r="R301" s="65"/>
      <c r="S301" s="65"/>
      <c r="T301" s="65"/>
      <c r="U301" s="65"/>
      <c r="V301" s="65"/>
      <c r="W301" s="65"/>
      <c r="X301" s="65"/>
      <c r="Y301" s="65"/>
      <c r="Z301" s="65"/>
      <c r="AA301" s="65"/>
      <c r="AB301" s="65"/>
      <c r="AC301" s="65"/>
    </row>
    <row r="302">
      <c r="A302" s="91" t="s">
        <v>273</v>
      </c>
      <c r="B302" s="91" t="s">
        <v>274</v>
      </c>
      <c r="C302" s="92" t="s">
        <v>278</v>
      </c>
      <c r="D302" s="92" t="s">
        <v>276</v>
      </c>
      <c r="E302" s="92">
        <v>90.7</v>
      </c>
      <c r="F302" s="92">
        <v>90.0</v>
      </c>
      <c r="G302" s="92" t="s">
        <v>199</v>
      </c>
      <c r="H302" s="86">
        <f t="shared" si="1"/>
        <v>-0.7</v>
      </c>
      <c r="I302" s="86">
        <f t="shared" si="4"/>
        <v>-0.7</v>
      </c>
      <c r="J302" s="99">
        <f t="shared" si="2"/>
        <v>-0.7717750827</v>
      </c>
      <c r="K302" s="99">
        <f t="shared" si="10"/>
        <v>-0.7717750827</v>
      </c>
      <c r="L302" s="91"/>
      <c r="M302" s="91"/>
      <c r="N302" s="91" t="s">
        <v>277</v>
      </c>
      <c r="O302" s="65"/>
      <c r="P302" s="65"/>
      <c r="Q302" s="65"/>
      <c r="R302" s="65"/>
      <c r="S302" s="65"/>
      <c r="T302" s="65"/>
      <c r="U302" s="65"/>
      <c r="V302" s="65"/>
      <c r="W302" s="65"/>
      <c r="X302" s="65"/>
      <c r="Y302" s="65"/>
      <c r="Z302" s="65"/>
      <c r="AA302" s="65"/>
      <c r="AB302" s="65"/>
      <c r="AC302" s="65"/>
    </row>
    <row r="303">
      <c r="A303" s="91" t="s">
        <v>273</v>
      </c>
      <c r="B303" s="91" t="s">
        <v>274</v>
      </c>
      <c r="C303" s="92" t="s">
        <v>278</v>
      </c>
      <c r="D303" s="92" t="s">
        <v>276</v>
      </c>
      <c r="E303" s="92">
        <v>92.69</v>
      </c>
      <c r="F303" s="92">
        <v>92.02</v>
      </c>
      <c r="G303" s="92" t="s">
        <v>199</v>
      </c>
      <c r="H303" s="86">
        <f t="shared" si="1"/>
        <v>-0.67</v>
      </c>
      <c r="I303" s="86">
        <f t="shared" si="4"/>
        <v>-0.67</v>
      </c>
      <c r="J303" s="99">
        <f t="shared" si="2"/>
        <v>-0.7228395728</v>
      </c>
      <c r="K303" s="99">
        <f t="shared" si="10"/>
        <v>-0.7228395728</v>
      </c>
      <c r="L303" s="91"/>
      <c r="M303" s="91"/>
      <c r="N303" s="91" t="s">
        <v>277</v>
      </c>
      <c r="O303" s="65"/>
      <c r="P303" s="65"/>
      <c r="Q303" s="65"/>
      <c r="R303" s="65"/>
      <c r="S303" s="65"/>
      <c r="T303" s="65"/>
      <c r="U303" s="65"/>
      <c r="V303" s="65"/>
      <c r="W303" s="65"/>
      <c r="X303" s="65"/>
      <c r="Y303" s="65"/>
      <c r="Z303" s="65"/>
      <c r="AA303" s="65"/>
      <c r="AB303" s="65"/>
      <c r="AC303" s="65"/>
    </row>
    <row r="304">
      <c r="A304" s="91" t="s">
        <v>273</v>
      </c>
      <c r="B304" s="91" t="s">
        <v>274</v>
      </c>
      <c r="C304" s="92" t="s">
        <v>278</v>
      </c>
      <c r="D304" s="92" t="s">
        <v>276</v>
      </c>
      <c r="E304" s="92">
        <v>91.78</v>
      </c>
      <c r="F304" s="92">
        <v>93.53</v>
      </c>
      <c r="G304" s="92" t="s">
        <v>199</v>
      </c>
      <c r="H304" s="86">
        <f t="shared" si="1"/>
        <v>1.75</v>
      </c>
      <c r="I304" s="86">
        <f t="shared" si="4"/>
        <v>1.75</v>
      </c>
      <c r="J304" s="99">
        <f t="shared" si="2"/>
        <v>1.906733493</v>
      </c>
      <c r="K304" s="99">
        <f t="shared" si="10"/>
        <v>1.906733493</v>
      </c>
      <c r="L304" s="91"/>
      <c r="M304" s="91"/>
      <c r="N304" s="91" t="s">
        <v>277</v>
      </c>
      <c r="O304" s="65"/>
      <c r="P304" s="65"/>
      <c r="Q304" s="65"/>
      <c r="R304" s="65"/>
      <c r="S304" s="65"/>
      <c r="T304" s="65"/>
      <c r="U304" s="65"/>
      <c r="V304" s="65"/>
      <c r="W304" s="65"/>
      <c r="X304" s="65"/>
      <c r="Y304" s="65"/>
      <c r="Z304" s="65"/>
      <c r="AA304" s="65"/>
      <c r="AB304" s="65"/>
      <c r="AC304" s="65"/>
    </row>
    <row r="305">
      <c r="A305" s="91" t="s">
        <v>273</v>
      </c>
      <c r="B305" s="91" t="s">
        <v>274</v>
      </c>
      <c r="C305" s="92" t="s">
        <v>278</v>
      </c>
      <c r="D305" s="92" t="s">
        <v>276</v>
      </c>
      <c r="E305" s="92">
        <v>89.82</v>
      </c>
      <c r="F305" s="92">
        <v>88.59</v>
      </c>
      <c r="G305" s="92" t="s">
        <v>199</v>
      </c>
      <c r="H305" s="86">
        <f t="shared" si="1"/>
        <v>-1.23</v>
      </c>
      <c r="I305" s="86">
        <f t="shared" si="4"/>
        <v>-1.23</v>
      </c>
      <c r="J305" s="99">
        <f t="shared" si="2"/>
        <v>-1.369405478</v>
      </c>
      <c r="K305" s="99">
        <f t="shared" si="10"/>
        <v>-1.369405478</v>
      </c>
      <c r="L305" s="91"/>
      <c r="M305" s="91"/>
      <c r="N305" s="91" t="s">
        <v>277</v>
      </c>
      <c r="O305" s="65"/>
      <c r="P305" s="65"/>
      <c r="Q305" s="65"/>
      <c r="R305" s="65"/>
      <c r="S305" s="65"/>
      <c r="T305" s="65"/>
      <c r="U305" s="65"/>
      <c r="V305" s="65"/>
      <c r="W305" s="65"/>
      <c r="X305" s="65"/>
      <c r="Y305" s="65"/>
      <c r="Z305" s="65"/>
      <c r="AA305" s="65"/>
      <c r="AB305" s="65"/>
      <c r="AC305" s="65"/>
    </row>
    <row r="306">
      <c r="A306" s="91" t="s">
        <v>273</v>
      </c>
      <c r="B306" s="91" t="s">
        <v>274</v>
      </c>
      <c r="C306" s="92" t="s">
        <v>278</v>
      </c>
      <c r="D306" s="92" t="s">
        <v>276</v>
      </c>
      <c r="E306" s="92">
        <v>97.45</v>
      </c>
      <c r="F306" s="92">
        <v>97.2</v>
      </c>
      <c r="G306" s="92" t="s">
        <v>199</v>
      </c>
      <c r="H306" s="86">
        <f t="shared" si="1"/>
        <v>-0.25</v>
      </c>
      <c r="I306" s="86">
        <f t="shared" si="4"/>
        <v>-0.25</v>
      </c>
      <c r="J306" s="99">
        <f t="shared" si="2"/>
        <v>-0.2565418163</v>
      </c>
      <c r="K306" s="99">
        <f t="shared" si="10"/>
        <v>-0.2565418163</v>
      </c>
      <c r="L306" s="91"/>
      <c r="M306" s="91"/>
      <c r="N306" s="91" t="s">
        <v>277</v>
      </c>
      <c r="O306" s="65"/>
      <c r="P306" s="65"/>
      <c r="Q306" s="65"/>
      <c r="R306" s="65"/>
      <c r="S306" s="65"/>
      <c r="T306" s="65"/>
      <c r="U306" s="65"/>
      <c r="V306" s="65"/>
      <c r="W306" s="65"/>
      <c r="X306" s="65"/>
      <c r="Y306" s="65"/>
      <c r="Z306" s="65"/>
      <c r="AA306" s="65"/>
      <c r="AB306" s="65"/>
      <c r="AC306" s="65"/>
    </row>
    <row r="307">
      <c r="A307" s="91" t="s">
        <v>273</v>
      </c>
      <c r="B307" s="91" t="s">
        <v>274</v>
      </c>
      <c r="C307" s="92" t="s">
        <v>278</v>
      </c>
      <c r="D307" s="92" t="s">
        <v>276</v>
      </c>
      <c r="E307" s="92">
        <v>90.21</v>
      </c>
      <c r="F307" s="92">
        <v>89.75</v>
      </c>
      <c r="G307" s="92" t="s">
        <v>199</v>
      </c>
      <c r="H307" s="86">
        <f t="shared" si="1"/>
        <v>-0.46</v>
      </c>
      <c r="I307" s="86">
        <f t="shared" si="4"/>
        <v>-0.46</v>
      </c>
      <c r="J307" s="99">
        <f t="shared" si="2"/>
        <v>-0.5099212948</v>
      </c>
      <c r="K307" s="99">
        <f t="shared" si="10"/>
        <v>-0.5099212948</v>
      </c>
      <c r="L307" s="91"/>
      <c r="M307" s="91"/>
      <c r="N307" s="91" t="s">
        <v>277</v>
      </c>
      <c r="O307" s="65"/>
      <c r="P307" s="65"/>
      <c r="Q307" s="65"/>
      <c r="R307" s="65"/>
      <c r="S307" s="65"/>
      <c r="T307" s="65"/>
      <c r="U307" s="65"/>
      <c r="V307" s="65"/>
      <c r="W307" s="65"/>
      <c r="X307" s="65"/>
      <c r="Y307" s="65"/>
      <c r="Z307" s="65"/>
      <c r="AA307" s="65"/>
      <c r="AB307" s="65"/>
      <c r="AC307" s="65"/>
    </row>
    <row r="308">
      <c r="A308" s="91" t="s">
        <v>273</v>
      </c>
      <c r="B308" s="91" t="s">
        <v>274</v>
      </c>
      <c r="C308" s="92" t="s">
        <v>278</v>
      </c>
      <c r="D308" s="92" t="s">
        <v>276</v>
      </c>
      <c r="E308" s="92">
        <v>94.4</v>
      </c>
      <c r="F308" s="92">
        <v>94.2</v>
      </c>
      <c r="G308" s="92" t="s">
        <v>199</v>
      </c>
      <c r="H308" s="86">
        <f t="shared" si="1"/>
        <v>-0.2</v>
      </c>
      <c r="I308" s="86">
        <f t="shared" si="4"/>
        <v>-0.2</v>
      </c>
      <c r="J308" s="99">
        <f t="shared" si="2"/>
        <v>-0.2118644068</v>
      </c>
      <c r="K308" s="99">
        <f t="shared" si="10"/>
        <v>-0.2118644068</v>
      </c>
      <c r="L308" s="91"/>
      <c r="M308" s="91"/>
      <c r="N308" s="91" t="s">
        <v>277</v>
      </c>
      <c r="O308" s="65"/>
      <c r="P308" s="65"/>
      <c r="Q308" s="65"/>
      <c r="R308" s="65"/>
      <c r="S308" s="65"/>
      <c r="T308" s="65"/>
      <c r="U308" s="65"/>
      <c r="V308" s="65"/>
      <c r="W308" s="65"/>
      <c r="X308" s="65"/>
      <c r="Y308" s="65"/>
      <c r="Z308" s="65"/>
      <c r="AA308" s="65"/>
      <c r="AB308" s="65"/>
      <c r="AC308" s="65"/>
    </row>
    <row r="309">
      <c r="A309" s="91" t="s">
        <v>273</v>
      </c>
      <c r="B309" s="91" t="s">
        <v>274</v>
      </c>
      <c r="C309" s="92" t="s">
        <v>278</v>
      </c>
      <c r="D309" s="92" t="s">
        <v>276</v>
      </c>
      <c r="E309" s="92">
        <v>88.48</v>
      </c>
      <c r="F309" s="92">
        <v>87.17</v>
      </c>
      <c r="G309" s="92" t="s">
        <v>199</v>
      </c>
      <c r="H309" s="86">
        <f t="shared" si="1"/>
        <v>-1.31</v>
      </c>
      <c r="I309" s="86">
        <f t="shared" si="4"/>
        <v>-1.31</v>
      </c>
      <c r="J309" s="99">
        <f t="shared" si="2"/>
        <v>-1.480560579</v>
      </c>
      <c r="K309" s="99">
        <f t="shared" si="10"/>
        <v>-1.480560579</v>
      </c>
      <c r="L309" s="91"/>
      <c r="M309" s="91"/>
      <c r="N309" s="91" t="s">
        <v>277</v>
      </c>
      <c r="O309" s="65"/>
      <c r="P309" s="65"/>
      <c r="Q309" s="65"/>
      <c r="R309" s="65"/>
      <c r="S309" s="65"/>
      <c r="T309" s="65"/>
      <c r="U309" s="65"/>
      <c r="V309" s="65"/>
      <c r="W309" s="65"/>
      <c r="X309" s="65"/>
      <c r="Y309" s="65"/>
      <c r="Z309" s="65"/>
      <c r="AA309" s="65"/>
      <c r="AB309" s="65"/>
      <c r="AC309" s="65"/>
    </row>
    <row r="310">
      <c r="A310" s="91" t="s">
        <v>273</v>
      </c>
      <c r="B310" s="91" t="s">
        <v>274</v>
      </c>
      <c r="C310" s="92" t="s">
        <v>278</v>
      </c>
      <c r="D310" s="92" t="s">
        <v>276</v>
      </c>
      <c r="E310" s="92">
        <v>93.04</v>
      </c>
      <c r="F310" s="92">
        <v>92.45</v>
      </c>
      <c r="G310" s="92" t="s">
        <v>199</v>
      </c>
      <c r="H310" s="86">
        <f t="shared" si="1"/>
        <v>-0.59</v>
      </c>
      <c r="I310" s="86">
        <f t="shared" si="4"/>
        <v>-0.59</v>
      </c>
      <c r="J310" s="99">
        <f t="shared" si="2"/>
        <v>-0.6341358555</v>
      </c>
      <c r="K310" s="99">
        <f t="shared" si="10"/>
        <v>-0.6341358555</v>
      </c>
      <c r="L310" s="91"/>
      <c r="M310" s="91"/>
      <c r="N310" s="91" t="s">
        <v>277</v>
      </c>
      <c r="O310" s="65"/>
      <c r="P310" s="65"/>
      <c r="Q310" s="65"/>
      <c r="R310" s="65"/>
      <c r="S310" s="65"/>
      <c r="T310" s="65"/>
      <c r="U310" s="65"/>
      <c r="V310" s="65"/>
      <c r="W310" s="65"/>
      <c r="X310" s="65"/>
      <c r="Y310" s="65"/>
      <c r="Z310" s="65"/>
      <c r="AA310" s="65"/>
      <c r="AB310" s="65"/>
      <c r="AC310" s="65"/>
    </row>
    <row r="311">
      <c r="A311" s="91" t="s">
        <v>273</v>
      </c>
      <c r="B311" s="91" t="s">
        <v>274</v>
      </c>
      <c r="C311" s="92" t="s">
        <v>278</v>
      </c>
      <c r="D311" s="92" t="s">
        <v>276</v>
      </c>
      <c r="E311" s="92">
        <v>96.68</v>
      </c>
      <c r="F311" s="92">
        <v>96.42</v>
      </c>
      <c r="G311" s="92" t="s">
        <v>199</v>
      </c>
      <c r="H311" s="86">
        <f t="shared" si="1"/>
        <v>-0.26</v>
      </c>
      <c r="I311" s="86">
        <f t="shared" si="4"/>
        <v>-0.26</v>
      </c>
      <c r="J311" s="99">
        <f t="shared" si="2"/>
        <v>-0.2689284237</v>
      </c>
      <c r="K311" s="99">
        <f t="shared" si="10"/>
        <v>-0.2689284237</v>
      </c>
      <c r="L311" s="91"/>
      <c r="M311" s="91"/>
      <c r="N311" s="91" t="s">
        <v>277</v>
      </c>
      <c r="O311" s="65"/>
      <c r="P311" s="65"/>
      <c r="Q311" s="65"/>
      <c r="R311" s="65"/>
      <c r="S311" s="65"/>
      <c r="T311" s="65"/>
      <c r="U311" s="65"/>
      <c r="V311" s="65"/>
      <c r="W311" s="65"/>
      <c r="X311" s="65"/>
      <c r="Y311" s="65"/>
      <c r="Z311" s="65"/>
      <c r="AA311" s="65"/>
      <c r="AB311" s="65"/>
      <c r="AC311" s="65"/>
    </row>
    <row r="312">
      <c r="A312" s="91" t="s">
        <v>273</v>
      </c>
      <c r="B312" s="91" t="s">
        <v>274</v>
      </c>
      <c r="C312" s="92" t="s">
        <v>278</v>
      </c>
      <c r="D312" s="92" t="s">
        <v>276</v>
      </c>
      <c r="E312" s="92">
        <v>88.29</v>
      </c>
      <c r="F312" s="92">
        <v>87.69</v>
      </c>
      <c r="G312" s="92" t="s">
        <v>199</v>
      </c>
      <c r="H312" s="86">
        <f t="shared" si="1"/>
        <v>-0.6</v>
      </c>
      <c r="I312" s="86">
        <f t="shared" si="4"/>
        <v>-0.6</v>
      </c>
      <c r="J312" s="99">
        <f t="shared" si="2"/>
        <v>-0.6795786612</v>
      </c>
      <c r="K312" s="99">
        <f t="shared" si="10"/>
        <v>-0.6795786612</v>
      </c>
      <c r="L312" s="91"/>
      <c r="M312" s="91"/>
      <c r="N312" s="91" t="s">
        <v>277</v>
      </c>
      <c r="O312" s="65"/>
      <c r="P312" s="65"/>
      <c r="Q312" s="65"/>
      <c r="R312" s="65"/>
      <c r="S312" s="65"/>
      <c r="T312" s="65"/>
      <c r="U312" s="65"/>
      <c r="V312" s="65"/>
      <c r="W312" s="65"/>
      <c r="X312" s="65"/>
      <c r="Y312" s="65"/>
      <c r="Z312" s="65"/>
      <c r="AA312" s="65"/>
      <c r="AB312" s="65"/>
      <c r="AC312" s="65"/>
    </row>
    <row r="313">
      <c r="A313" s="91" t="s">
        <v>273</v>
      </c>
      <c r="B313" s="91" t="s">
        <v>274</v>
      </c>
      <c r="C313" s="92" t="s">
        <v>278</v>
      </c>
      <c r="D313" s="92" t="s">
        <v>276</v>
      </c>
      <c r="E313" s="92">
        <v>97.86</v>
      </c>
      <c r="F313" s="92">
        <v>97.85</v>
      </c>
      <c r="G313" s="92" t="s">
        <v>199</v>
      </c>
      <c r="H313" s="86">
        <f t="shared" si="1"/>
        <v>-0.01</v>
      </c>
      <c r="I313" s="86">
        <f t="shared" si="4"/>
        <v>-0.01</v>
      </c>
      <c r="J313" s="99">
        <f t="shared" si="2"/>
        <v>-0.01021867975</v>
      </c>
      <c r="K313" s="99">
        <f t="shared" si="10"/>
        <v>-0.01021867975</v>
      </c>
      <c r="L313" s="91"/>
      <c r="M313" s="91"/>
      <c r="N313" s="91" t="s">
        <v>277</v>
      </c>
      <c r="O313" s="65"/>
      <c r="P313" s="65"/>
      <c r="Q313" s="65"/>
      <c r="R313" s="65"/>
      <c r="S313" s="65"/>
      <c r="T313" s="65"/>
      <c r="U313" s="65"/>
      <c r="V313" s="65"/>
      <c r="W313" s="65"/>
      <c r="X313" s="65"/>
      <c r="Y313" s="65"/>
      <c r="Z313" s="65"/>
      <c r="AA313" s="65"/>
      <c r="AB313" s="65"/>
      <c r="AC313" s="65"/>
    </row>
    <row r="314">
      <c r="A314" s="91" t="s">
        <v>273</v>
      </c>
      <c r="B314" s="91" t="s">
        <v>274</v>
      </c>
      <c r="C314" s="92" t="s">
        <v>278</v>
      </c>
      <c r="D314" s="92" t="s">
        <v>276</v>
      </c>
      <c r="E314" s="92">
        <v>98.15</v>
      </c>
      <c r="F314" s="92">
        <v>98.17</v>
      </c>
      <c r="G314" s="92" t="s">
        <v>199</v>
      </c>
      <c r="H314" s="86">
        <f t="shared" si="1"/>
        <v>0.02</v>
      </c>
      <c r="I314" s="86">
        <f t="shared" si="4"/>
        <v>0.02</v>
      </c>
      <c r="J314" s="99">
        <f t="shared" si="2"/>
        <v>0.02037697402</v>
      </c>
      <c r="K314" s="99">
        <f t="shared" si="10"/>
        <v>0.02037697402</v>
      </c>
      <c r="L314" s="91"/>
      <c r="M314" s="91"/>
      <c r="N314" s="91" t="s">
        <v>277</v>
      </c>
      <c r="O314" s="65"/>
      <c r="P314" s="65"/>
      <c r="Q314" s="65"/>
      <c r="R314" s="65"/>
      <c r="S314" s="65"/>
      <c r="T314" s="65"/>
      <c r="U314" s="65"/>
      <c r="V314" s="65"/>
      <c r="W314" s="65"/>
      <c r="X314" s="65"/>
      <c r="Y314" s="65"/>
      <c r="Z314" s="65"/>
      <c r="AA314" s="65"/>
      <c r="AB314" s="65"/>
      <c r="AC314" s="65"/>
    </row>
    <row r="315">
      <c r="A315" s="91" t="s">
        <v>273</v>
      </c>
      <c r="B315" s="91" t="s">
        <v>274</v>
      </c>
      <c r="C315" s="92" t="s">
        <v>278</v>
      </c>
      <c r="D315" s="92" t="s">
        <v>276</v>
      </c>
      <c r="E315" s="92">
        <v>92.47</v>
      </c>
      <c r="F315" s="92">
        <v>92.24</v>
      </c>
      <c r="G315" s="92" t="s">
        <v>199</v>
      </c>
      <c r="H315" s="86">
        <f t="shared" si="1"/>
        <v>-0.23</v>
      </c>
      <c r="I315" s="86">
        <f t="shared" si="4"/>
        <v>-0.23</v>
      </c>
      <c r="J315" s="99">
        <f t="shared" si="2"/>
        <v>-0.2487293176</v>
      </c>
      <c r="K315" s="99">
        <f t="shared" si="10"/>
        <v>-0.2487293176</v>
      </c>
      <c r="L315" s="91"/>
      <c r="M315" s="91"/>
      <c r="N315" s="91" t="s">
        <v>277</v>
      </c>
      <c r="O315" s="65"/>
      <c r="P315" s="65"/>
      <c r="Q315" s="65"/>
      <c r="R315" s="65"/>
      <c r="S315" s="65"/>
      <c r="T315" s="65"/>
      <c r="U315" s="65"/>
      <c r="V315" s="65"/>
      <c r="W315" s="65"/>
      <c r="X315" s="65"/>
      <c r="Y315" s="65"/>
      <c r="Z315" s="65"/>
      <c r="AA315" s="65"/>
      <c r="AB315" s="65"/>
      <c r="AC315" s="65"/>
    </row>
    <row r="316">
      <c r="A316" s="91" t="s">
        <v>273</v>
      </c>
      <c r="B316" s="91" t="s">
        <v>274</v>
      </c>
      <c r="C316" s="92" t="s">
        <v>278</v>
      </c>
      <c r="D316" s="92" t="s">
        <v>276</v>
      </c>
      <c r="E316" s="92">
        <v>92.14</v>
      </c>
      <c r="F316" s="92">
        <v>91.85</v>
      </c>
      <c r="G316" s="92" t="s">
        <v>199</v>
      </c>
      <c r="H316" s="86">
        <f t="shared" si="1"/>
        <v>-0.29</v>
      </c>
      <c r="I316" s="86">
        <f t="shared" si="4"/>
        <v>-0.29</v>
      </c>
      <c r="J316" s="99">
        <f t="shared" si="2"/>
        <v>-0.3147384415</v>
      </c>
      <c r="K316" s="99">
        <f t="shared" si="10"/>
        <v>-0.3147384415</v>
      </c>
      <c r="L316" s="91"/>
      <c r="M316" s="91"/>
      <c r="N316" s="91" t="s">
        <v>277</v>
      </c>
      <c r="O316" s="65"/>
      <c r="P316" s="65"/>
      <c r="Q316" s="65"/>
      <c r="R316" s="65"/>
      <c r="S316" s="65"/>
      <c r="T316" s="65"/>
      <c r="U316" s="65"/>
      <c r="V316" s="65"/>
      <c r="W316" s="65"/>
      <c r="X316" s="65"/>
      <c r="Y316" s="65"/>
      <c r="Z316" s="65"/>
      <c r="AA316" s="65"/>
      <c r="AB316" s="65"/>
      <c r="AC316" s="65"/>
    </row>
    <row r="317">
      <c r="A317" s="91" t="s">
        <v>273</v>
      </c>
      <c r="B317" s="91" t="s">
        <v>274</v>
      </c>
      <c r="C317" s="92" t="s">
        <v>278</v>
      </c>
      <c r="D317" s="92" t="s">
        <v>276</v>
      </c>
      <c r="E317" s="92">
        <v>84.02</v>
      </c>
      <c r="F317" s="92">
        <v>83.77</v>
      </c>
      <c r="G317" s="92" t="s">
        <v>199</v>
      </c>
      <c r="H317" s="86">
        <f t="shared" si="1"/>
        <v>-0.25</v>
      </c>
      <c r="I317" s="86">
        <f t="shared" si="4"/>
        <v>-0.25</v>
      </c>
      <c r="J317" s="99">
        <f t="shared" si="2"/>
        <v>-0.2975482028</v>
      </c>
      <c r="K317" s="99">
        <f t="shared" si="10"/>
        <v>-0.2975482028</v>
      </c>
      <c r="L317" s="91"/>
      <c r="M317" s="91"/>
      <c r="N317" s="91" t="s">
        <v>277</v>
      </c>
      <c r="O317" s="65"/>
      <c r="P317" s="65"/>
      <c r="Q317" s="65"/>
      <c r="R317" s="65"/>
      <c r="S317" s="65"/>
      <c r="T317" s="65"/>
      <c r="U317" s="65"/>
      <c r="V317" s="65"/>
      <c r="W317" s="65"/>
      <c r="X317" s="65"/>
      <c r="Y317" s="65"/>
      <c r="Z317" s="65"/>
      <c r="AA317" s="65"/>
      <c r="AB317" s="65"/>
      <c r="AC317" s="65"/>
    </row>
    <row r="318">
      <c r="A318" s="91" t="s">
        <v>273</v>
      </c>
      <c r="B318" s="91" t="s">
        <v>274</v>
      </c>
      <c r="C318" s="92" t="s">
        <v>278</v>
      </c>
      <c r="D318" s="92" t="s">
        <v>276</v>
      </c>
      <c r="E318" s="92">
        <v>97.82</v>
      </c>
      <c r="F318" s="92">
        <v>97.64</v>
      </c>
      <c r="G318" s="92" t="s">
        <v>199</v>
      </c>
      <c r="H318" s="86">
        <f t="shared" si="1"/>
        <v>-0.18</v>
      </c>
      <c r="I318" s="86">
        <f t="shared" si="4"/>
        <v>-0.18</v>
      </c>
      <c r="J318" s="99">
        <f t="shared" si="2"/>
        <v>-0.1840114496</v>
      </c>
      <c r="K318" s="99">
        <f t="shared" si="10"/>
        <v>-0.1840114496</v>
      </c>
      <c r="L318" s="91"/>
      <c r="M318" s="91"/>
      <c r="N318" s="91" t="s">
        <v>277</v>
      </c>
      <c r="O318" s="65"/>
      <c r="P318" s="65"/>
      <c r="Q318" s="65"/>
      <c r="R318" s="65"/>
      <c r="S318" s="65"/>
      <c r="T318" s="65"/>
      <c r="U318" s="65"/>
      <c r="V318" s="65"/>
      <c r="W318" s="65"/>
      <c r="X318" s="65"/>
      <c r="Y318" s="65"/>
      <c r="Z318" s="65"/>
      <c r="AA318" s="65"/>
      <c r="AB318" s="65"/>
      <c r="AC318" s="65"/>
    </row>
    <row r="319">
      <c r="A319" s="91" t="s">
        <v>273</v>
      </c>
      <c r="B319" s="91" t="s">
        <v>274</v>
      </c>
      <c r="C319" s="92" t="s">
        <v>278</v>
      </c>
      <c r="D319" s="92" t="s">
        <v>276</v>
      </c>
      <c r="E319" s="92">
        <v>91.5</v>
      </c>
      <c r="F319" s="92">
        <v>90.81</v>
      </c>
      <c r="G319" s="92" t="s">
        <v>199</v>
      </c>
      <c r="H319" s="86">
        <f t="shared" si="1"/>
        <v>-0.69</v>
      </c>
      <c r="I319" s="86">
        <f t="shared" si="4"/>
        <v>-0.69</v>
      </c>
      <c r="J319" s="99">
        <f t="shared" si="2"/>
        <v>-0.7540983607</v>
      </c>
      <c r="K319" s="99">
        <f t="shared" si="10"/>
        <v>-0.7540983607</v>
      </c>
      <c r="L319" s="91"/>
      <c r="M319" s="91"/>
      <c r="N319" s="91" t="s">
        <v>277</v>
      </c>
      <c r="O319" s="65"/>
      <c r="P319" s="65"/>
      <c r="Q319" s="65"/>
      <c r="R319" s="65"/>
      <c r="S319" s="65"/>
      <c r="T319" s="65"/>
      <c r="U319" s="65"/>
      <c r="V319" s="65"/>
      <c r="W319" s="65"/>
      <c r="X319" s="65"/>
      <c r="Y319" s="65"/>
      <c r="Z319" s="65"/>
      <c r="AA319" s="65"/>
      <c r="AB319" s="65"/>
      <c r="AC319" s="65"/>
    </row>
    <row r="320">
      <c r="A320" s="91" t="s">
        <v>273</v>
      </c>
      <c r="B320" s="91" t="s">
        <v>274</v>
      </c>
      <c r="C320" s="92" t="s">
        <v>278</v>
      </c>
      <c r="D320" s="92" t="s">
        <v>276</v>
      </c>
      <c r="E320" s="92">
        <v>79.76</v>
      </c>
      <c r="F320" s="92">
        <v>79.54</v>
      </c>
      <c r="G320" s="92" t="s">
        <v>199</v>
      </c>
      <c r="H320" s="86">
        <f t="shared" si="1"/>
        <v>-0.22</v>
      </c>
      <c r="I320" s="86">
        <f t="shared" si="4"/>
        <v>-0.22</v>
      </c>
      <c r="J320" s="99">
        <f t="shared" si="2"/>
        <v>-0.2758274824</v>
      </c>
      <c r="K320" s="99">
        <f t="shared" si="10"/>
        <v>-0.2758274824</v>
      </c>
      <c r="L320" s="91"/>
      <c r="M320" s="91"/>
      <c r="N320" s="91" t="s">
        <v>277</v>
      </c>
      <c r="O320" s="65"/>
      <c r="P320" s="65"/>
      <c r="Q320" s="65"/>
      <c r="R320" s="65"/>
      <c r="S320" s="65"/>
      <c r="T320" s="65"/>
      <c r="U320" s="65"/>
      <c r="V320" s="65"/>
      <c r="W320" s="65"/>
      <c r="X320" s="65"/>
      <c r="Y320" s="65"/>
      <c r="Z320" s="65"/>
      <c r="AA320" s="65"/>
      <c r="AB320" s="65"/>
      <c r="AC320" s="65"/>
    </row>
    <row r="321">
      <c r="A321" s="91" t="s">
        <v>273</v>
      </c>
      <c r="B321" s="91" t="s">
        <v>274</v>
      </c>
      <c r="C321" s="92" t="s">
        <v>278</v>
      </c>
      <c r="D321" s="92" t="s">
        <v>276</v>
      </c>
      <c r="E321" s="92">
        <v>88.25</v>
      </c>
      <c r="F321" s="92">
        <v>88.34</v>
      </c>
      <c r="G321" s="92" t="s">
        <v>199</v>
      </c>
      <c r="H321" s="86">
        <f t="shared" si="1"/>
        <v>0.09</v>
      </c>
      <c r="I321" s="86">
        <f t="shared" si="4"/>
        <v>0.09</v>
      </c>
      <c r="J321" s="99">
        <f t="shared" si="2"/>
        <v>0.1019830028</v>
      </c>
      <c r="K321" s="99">
        <f t="shared" si="10"/>
        <v>0.1019830028</v>
      </c>
      <c r="L321" s="91"/>
      <c r="M321" s="91"/>
      <c r="N321" s="91" t="s">
        <v>277</v>
      </c>
      <c r="O321" s="65"/>
      <c r="P321" s="65"/>
      <c r="Q321" s="65"/>
      <c r="R321" s="65"/>
      <c r="S321" s="65"/>
      <c r="T321" s="65"/>
      <c r="U321" s="65"/>
      <c r="V321" s="65"/>
      <c r="W321" s="65"/>
      <c r="X321" s="65"/>
      <c r="Y321" s="65"/>
      <c r="Z321" s="65"/>
      <c r="AA321" s="65"/>
      <c r="AB321" s="65"/>
      <c r="AC321" s="65"/>
    </row>
    <row r="322">
      <c r="A322" s="91" t="s">
        <v>273</v>
      </c>
      <c r="B322" s="91" t="s">
        <v>274</v>
      </c>
      <c r="C322" s="92" t="s">
        <v>278</v>
      </c>
      <c r="D322" s="92" t="s">
        <v>276</v>
      </c>
      <c r="E322" s="92">
        <v>95.98</v>
      </c>
      <c r="F322" s="92">
        <v>95.95</v>
      </c>
      <c r="G322" s="92" t="s">
        <v>199</v>
      </c>
      <c r="H322" s="86">
        <f t="shared" si="1"/>
        <v>-0.03</v>
      </c>
      <c r="I322" s="86">
        <f t="shared" si="4"/>
        <v>-0.03</v>
      </c>
      <c r="J322" s="99">
        <f t="shared" si="2"/>
        <v>-0.03125651177</v>
      </c>
      <c r="K322" s="99">
        <f t="shared" si="10"/>
        <v>-0.03125651177</v>
      </c>
      <c r="L322" s="91"/>
      <c r="M322" s="91"/>
      <c r="N322" s="91" t="s">
        <v>277</v>
      </c>
      <c r="O322" s="65"/>
      <c r="P322" s="65"/>
      <c r="Q322" s="65"/>
      <c r="R322" s="65"/>
      <c r="S322" s="65"/>
      <c r="T322" s="65"/>
      <c r="U322" s="65"/>
      <c r="V322" s="65"/>
      <c r="W322" s="65"/>
      <c r="X322" s="65"/>
      <c r="Y322" s="65"/>
      <c r="Z322" s="65"/>
      <c r="AA322" s="65"/>
      <c r="AB322" s="65"/>
      <c r="AC322" s="65"/>
    </row>
    <row r="323">
      <c r="A323" s="91" t="s">
        <v>273</v>
      </c>
      <c r="B323" s="91" t="s">
        <v>274</v>
      </c>
      <c r="C323" s="92" t="s">
        <v>278</v>
      </c>
      <c r="D323" s="92" t="s">
        <v>276</v>
      </c>
      <c r="E323" s="92">
        <v>99.72</v>
      </c>
      <c r="F323" s="92">
        <v>99.74</v>
      </c>
      <c r="G323" s="92" t="s">
        <v>199</v>
      </c>
      <c r="H323" s="86">
        <f t="shared" si="1"/>
        <v>0.02</v>
      </c>
      <c r="I323" s="86">
        <f t="shared" si="4"/>
        <v>0.02</v>
      </c>
      <c r="J323" s="99">
        <f t="shared" si="2"/>
        <v>0.02005615724</v>
      </c>
      <c r="K323" s="99">
        <f t="shared" si="10"/>
        <v>0.02005615724</v>
      </c>
      <c r="L323" s="91"/>
      <c r="M323" s="91"/>
      <c r="N323" s="91" t="s">
        <v>277</v>
      </c>
      <c r="O323" s="65"/>
      <c r="P323" s="65"/>
      <c r="Q323" s="65"/>
      <c r="R323" s="65"/>
      <c r="S323" s="65"/>
      <c r="T323" s="65"/>
      <c r="U323" s="65"/>
      <c r="V323" s="65"/>
      <c r="W323" s="65"/>
      <c r="X323" s="65"/>
      <c r="Y323" s="65"/>
      <c r="Z323" s="65"/>
      <c r="AA323" s="65"/>
      <c r="AB323" s="65"/>
      <c r="AC323" s="65"/>
    </row>
    <row r="324">
      <c r="A324" s="91" t="s">
        <v>273</v>
      </c>
      <c r="B324" s="91" t="s">
        <v>274</v>
      </c>
      <c r="C324" s="92" t="s">
        <v>278</v>
      </c>
      <c r="D324" s="92" t="s">
        <v>276</v>
      </c>
      <c r="E324" s="92">
        <v>97.26</v>
      </c>
      <c r="F324" s="92">
        <v>97.13</v>
      </c>
      <c r="G324" s="92" t="s">
        <v>199</v>
      </c>
      <c r="H324" s="86">
        <f t="shared" si="1"/>
        <v>-0.13</v>
      </c>
      <c r="I324" s="86">
        <f t="shared" si="4"/>
        <v>-0.13</v>
      </c>
      <c r="J324" s="99">
        <f t="shared" si="2"/>
        <v>-0.1336623483</v>
      </c>
      <c r="K324" s="99">
        <f t="shared" si="10"/>
        <v>-0.1336623483</v>
      </c>
      <c r="L324" s="91"/>
      <c r="M324" s="91"/>
      <c r="N324" s="91" t="s">
        <v>277</v>
      </c>
      <c r="O324" s="65"/>
      <c r="P324" s="65"/>
      <c r="Q324" s="65"/>
      <c r="R324" s="65"/>
      <c r="S324" s="65"/>
      <c r="T324" s="65"/>
      <c r="U324" s="65"/>
      <c r="V324" s="65"/>
      <c r="W324" s="65"/>
      <c r="X324" s="65"/>
      <c r="Y324" s="65"/>
      <c r="Z324" s="65"/>
      <c r="AA324" s="65"/>
      <c r="AB324" s="65"/>
      <c r="AC324" s="65"/>
    </row>
    <row r="325">
      <c r="A325" s="91" t="s">
        <v>273</v>
      </c>
      <c r="B325" s="91" t="s">
        <v>274</v>
      </c>
      <c r="C325" s="92" t="s">
        <v>278</v>
      </c>
      <c r="D325" s="92" t="s">
        <v>276</v>
      </c>
      <c r="E325" s="92">
        <v>90.36</v>
      </c>
      <c r="F325" s="92">
        <v>89.76</v>
      </c>
      <c r="G325" s="92" t="s">
        <v>199</v>
      </c>
      <c r="H325" s="86">
        <f t="shared" si="1"/>
        <v>-0.6</v>
      </c>
      <c r="I325" s="86">
        <f t="shared" si="4"/>
        <v>-0.6</v>
      </c>
      <c r="J325" s="99">
        <f t="shared" si="2"/>
        <v>-0.6640106242</v>
      </c>
      <c r="K325" s="99">
        <f t="shared" si="10"/>
        <v>-0.6640106242</v>
      </c>
      <c r="L325" s="91"/>
      <c r="M325" s="91"/>
      <c r="N325" s="91" t="s">
        <v>277</v>
      </c>
      <c r="O325" s="65"/>
      <c r="P325" s="65"/>
      <c r="Q325" s="65"/>
      <c r="R325" s="65"/>
      <c r="S325" s="65"/>
      <c r="T325" s="65"/>
      <c r="U325" s="65"/>
      <c r="V325" s="65"/>
      <c r="W325" s="65"/>
      <c r="X325" s="65"/>
      <c r="Y325" s="65"/>
      <c r="Z325" s="65"/>
      <c r="AA325" s="65"/>
      <c r="AB325" s="65"/>
      <c r="AC325" s="65"/>
    </row>
    <row r="326">
      <c r="A326" s="91" t="s">
        <v>273</v>
      </c>
      <c r="B326" s="91" t="s">
        <v>274</v>
      </c>
      <c r="C326" s="92" t="s">
        <v>278</v>
      </c>
      <c r="D326" s="92" t="s">
        <v>276</v>
      </c>
      <c r="E326" s="92">
        <v>86.92</v>
      </c>
      <c r="F326" s="92">
        <v>86.21</v>
      </c>
      <c r="G326" s="92" t="s">
        <v>199</v>
      </c>
      <c r="H326" s="86">
        <f t="shared" si="1"/>
        <v>-0.71</v>
      </c>
      <c r="I326" s="86">
        <f t="shared" si="4"/>
        <v>-0.71</v>
      </c>
      <c r="J326" s="99">
        <f t="shared" si="2"/>
        <v>-0.8168430741</v>
      </c>
      <c r="K326" s="99">
        <f t="shared" si="10"/>
        <v>-0.8168430741</v>
      </c>
      <c r="L326" s="91"/>
      <c r="M326" s="91"/>
      <c r="N326" s="91" t="s">
        <v>277</v>
      </c>
      <c r="O326" s="65"/>
      <c r="P326" s="65"/>
      <c r="Q326" s="65"/>
      <c r="R326" s="65"/>
      <c r="S326" s="65"/>
      <c r="T326" s="65"/>
      <c r="U326" s="65"/>
      <c r="V326" s="65"/>
      <c r="W326" s="65"/>
      <c r="X326" s="65"/>
      <c r="Y326" s="65"/>
      <c r="Z326" s="65"/>
      <c r="AA326" s="65"/>
      <c r="AB326" s="65"/>
      <c r="AC326" s="65"/>
    </row>
    <row r="327">
      <c r="A327" s="91" t="s">
        <v>273</v>
      </c>
      <c r="B327" s="91" t="s">
        <v>274</v>
      </c>
      <c r="C327" s="92" t="s">
        <v>278</v>
      </c>
      <c r="D327" s="92" t="s">
        <v>276</v>
      </c>
      <c r="E327" s="92">
        <v>93.92</v>
      </c>
      <c r="F327" s="92">
        <v>93.53</v>
      </c>
      <c r="G327" s="92" t="s">
        <v>199</v>
      </c>
      <c r="H327" s="86">
        <f t="shared" si="1"/>
        <v>-0.39</v>
      </c>
      <c r="I327" s="86">
        <f t="shared" si="4"/>
        <v>-0.39</v>
      </c>
      <c r="J327" s="99">
        <f t="shared" si="2"/>
        <v>-0.4152470187</v>
      </c>
      <c r="K327" s="99">
        <f t="shared" si="10"/>
        <v>-0.4152470187</v>
      </c>
      <c r="L327" s="91"/>
      <c r="M327" s="91"/>
      <c r="N327" s="91" t="s">
        <v>277</v>
      </c>
      <c r="O327" s="65"/>
      <c r="P327" s="65"/>
      <c r="Q327" s="65"/>
      <c r="R327" s="65"/>
      <c r="S327" s="65"/>
      <c r="T327" s="65"/>
      <c r="U327" s="65"/>
      <c r="V327" s="65"/>
      <c r="W327" s="65"/>
      <c r="X327" s="65"/>
      <c r="Y327" s="65"/>
      <c r="Z327" s="65"/>
      <c r="AA327" s="65"/>
      <c r="AB327" s="65"/>
      <c r="AC327" s="65"/>
    </row>
    <row r="328">
      <c r="A328" s="91" t="s">
        <v>273</v>
      </c>
      <c r="B328" s="91" t="s">
        <v>274</v>
      </c>
      <c r="C328" s="92" t="s">
        <v>278</v>
      </c>
      <c r="D328" s="92" t="s">
        <v>276</v>
      </c>
      <c r="E328" s="92">
        <v>82.44</v>
      </c>
      <c r="F328" s="92">
        <v>80.69</v>
      </c>
      <c r="G328" s="92" t="s">
        <v>199</v>
      </c>
      <c r="H328" s="86">
        <f t="shared" si="1"/>
        <v>-1.75</v>
      </c>
      <c r="I328" s="86">
        <f t="shared" si="4"/>
        <v>-1.75</v>
      </c>
      <c r="J328" s="99">
        <f t="shared" si="2"/>
        <v>-2.122755944</v>
      </c>
      <c r="K328" s="99">
        <f t="shared" si="10"/>
        <v>-2.122755944</v>
      </c>
      <c r="L328" s="91"/>
      <c r="M328" s="91"/>
      <c r="N328" s="91" t="s">
        <v>277</v>
      </c>
      <c r="O328" s="65"/>
      <c r="P328" s="65"/>
      <c r="Q328" s="65"/>
      <c r="R328" s="65"/>
      <c r="S328" s="65"/>
      <c r="T328" s="65"/>
      <c r="U328" s="65"/>
      <c r="V328" s="65"/>
      <c r="W328" s="65"/>
      <c r="X328" s="65"/>
      <c r="Y328" s="65"/>
      <c r="Z328" s="65"/>
      <c r="AA328" s="65"/>
      <c r="AB328" s="65"/>
      <c r="AC328" s="65"/>
    </row>
    <row r="329">
      <c r="A329" s="91" t="s">
        <v>273</v>
      </c>
      <c r="B329" s="91" t="s">
        <v>274</v>
      </c>
      <c r="C329" s="92" t="s">
        <v>278</v>
      </c>
      <c r="D329" s="92" t="s">
        <v>276</v>
      </c>
      <c r="E329" s="92">
        <v>95.71</v>
      </c>
      <c r="F329" s="92">
        <v>95.54</v>
      </c>
      <c r="G329" s="92" t="s">
        <v>199</v>
      </c>
      <c r="H329" s="86">
        <f t="shared" si="1"/>
        <v>-0.17</v>
      </c>
      <c r="I329" s="86">
        <f t="shared" si="4"/>
        <v>-0.17</v>
      </c>
      <c r="J329" s="99">
        <f t="shared" si="2"/>
        <v>-0.1776198934</v>
      </c>
      <c r="K329" s="99">
        <f t="shared" si="10"/>
        <v>-0.1776198934</v>
      </c>
      <c r="L329" s="91"/>
      <c r="M329" s="91"/>
      <c r="N329" s="91" t="s">
        <v>277</v>
      </c>
      <c r="O329" s="65"/>
      <c r="P329" s="65"/>
      <c r="Q329" s="65"/>
      <c r="R329" s="65"/>
      <c r="S329" s="65"/>
      <c r="T329" s="65"/>
      <c r="U329" s="65"/>
      <c r="V329" s="65"/>
      <c r="W329" s="65"/>
      <c r="X329" s="65"/>
      <c r="Y329" s="65"/>
      <c r="Z329" s="65"/>
      <c r="AA329" s="65"/>
      <c r="AB329" s="65"/>
      <c r="AC329" s="65"/>
    </row>
    <row r="330">
      <c r="A330" s="85" t="s">
        <v>279</v>
      </c>
      <c r="B330" s="85" t="s">
        <v>280</v>
      </c>
      <c r="C330" s="86" t="s">
        <v>281</v>
      </c>
      <c r="D330" s="89" t="s">
        <v>276</v>
      </c>
      <c r="E330" s="90">
        <v>81.7</v>
      </c>
      <c r="F330" s="90">
        <v>80.67</v>
      </c>
      <c r="G330" s="87" t="s">
        <v>199</v>
      </c>
      <c r="H330" s="86">
        <f t="shared" si="1"/>
        <v>-1.03</v>
      </c>
      <c r="I330" s="86">
        <f t="shared" si="4"/>
        <v>-1.03</v>
      </c>
      <c r="J330" s="98">
        <f t="shared" si="2"/>
        <v>-1.260709914</v>
      </c>
      <c r="K330" s="98">
        <f t="shared" si="10"/>
        <v>-1.260709914</v>
      </c>
      <c r="L330" s="86"/>
      <c r="M330" s="86"/>
      <c r="N330" s="87" t="s">
        <v>282</v>
      </c>
      <c r="O330" s="53"/>
      <c r="P330" s="53"/>
      <c r="Q330" s="53"/>
      <c r="R330" s="53"/>
      <c r="S330" s="53"/>
      <c r="T330" s="53"/>
      <c r="U330" s="53"/>
      <c r="V330" s="53"/>
      <c r="W330" s="53"/>
      <c r="X330" s="53"/>
      <c r="Y330" s="53"/>
      <c r="Z330" s="53"/>
      <c r="AA330" s="53"/>
      <c r="AB330" s="53"/>
      <c r="AC330" s="53"/>
    </row>
    <row r="331">
      <c r="A331" s="91" t="s">
        <v>279</v>
      </c>
      <c r="B331" s="91" t="s">
        <v>280</v>
      </c>
      <c r="C331" s="91" t="s">
        <v>281</v>
      </c>
      <c r="D331" s="93" t="s">
        <v>276</v>
      </c>
      <c r="E331" s="94">
        <v>90.4</v>
      </c>
      <c r="F331" s="94">
        <v>83.81</v>
      </c>
      <c r="G331" s="92" t="s">
        <v>199</v>
      </c>
      <c r="H331" s="86">
        <f t="shared" si="1"/>
        <v>-6.59</v>
      </c>
      <c r="I331" s="86">
        <f t="shared" si="4"/>
        <v>-6.59</v>
      </c>
      <c r="J331" s="99">
        <f t="shared" si="2"/>
        <v>-7.289823009</v>
      </c>
      <c r="K331" s="99">
        <f t="shared" si="10"/>
        <v>-7.289823009</v>
      </c>
      <c r="L331" s="91"/>
      <c r="M331" s="91"/>
      <c r="N331" s="92" t="s">
        <v>282</v>
      </c>
      <c r="O331" s="65"/>
      <c r="P331" s="65"/>
      <c r="Q331" s="65"/>
      <c r="R331" s="65"/>
      <c r="S331" s="65"/>
      <c r="T331" s="65"/>
      <c r="U331" s="65"/>
      <c r="V331" s="65"/>
      <c r="W331" s="65"/>
      <c r="X331" s="65"/>
      <c r="Y331" s="65"/>
      <c r="Z331" s="65"/>
      <c r="AA331" s="65"/>
      <c r="AB331" s="65"/>
      <c r="AC331" s="65"/>
    </row>
    <row r="332">
      <c r="A332" s="91" t="s">
        <v>279</v>
      </c>
      <c r="B332" s="91" t="s">
        <v>280</v>
      </c>
      <c r="C332" s="91" t="s">
        <v>281</v>
      </c>
      <c r="D332" s="93" t="s">
        <v>276</v>
      </c>
      <c r="E332" s="94">
        <v>48.8</v>
      </c>
      <c r="F332" s="94">
        <v>39.74</v>
      </c>
      <c r="G332" s="92" t="s">
        <v>199</v>
      </c>
      <c r="H332" s="86">
        <f t="shared" si="1"/>
        <v>-9.06</v>
      </c>
      <c r="I332" s="86">
        <f t="shared" si="4"/>
        <v>-9.06</v>
      </c>
      <c r="J332" s="99">
        <f t="shared" si="2"/>
        <v>-18.56557377</v>
      </c>
      <c r="K332" s="99">
        <f t="shared" si="10"/>
        <v>-18.56557377</v>
      </c>
      <c r="L332" s="91"/>
      <c r="M332" s="91"/>
      <c r="N332" s="92" t="s">
        <v>282</v>
      </c>
      <c r="O332" s="65"/>
      <c r="P332" s="65"/>
      <c r="Q332" s="65"/>
      <c r="R332" s="65"/>
      <c r="S332" s="65"/>
      <c r="T332" s="65"/>
      <c r="U332" s="65"/>
      <c r="V332" s="65"/>
      <c r="W332" s="65"/>
      <c r="X332" s="65"/>
      <c r="Y332" s="65"/>
      <c r="Z332" s="65"/>
      <c r="AA332" s="65"/>
      <c r="AB332" s="65"/>
      <c r="AC332" s="65"/>
    </row>
    <row r="333">
      <c r="A333" s="91" t="s">
        <v>279</v>
      </c>
      <c r="B333" s="91" t="s">
        <v>280</v>
      </c>
      <c r="C333" s="91" t="s">
        <v>281</v>
      </c>
      <c r="D333" s="93" t="s">
        <v>276</v>
      </c>
      <c r="E333" s="94">
        <v>49.3</v>
      </c>
      <c r="F333" s="94">
        <v>43.13</v>
      </c>
      <c r="G333" s="92" t="s">
        <v>199</v>
      </c>
      <c r="H333" s="86">
        <f t="shared" si="1"/>
        <v>-6.17</v>
      </c>
      <c r="I333" s="86">
        <f t="shared" si="4"/>
        <v>-6.17</v>
      </c>
      <c r="J333" s="99">
        <f t="shared" si="2"/>
        <v>-12.51521298</v>
      </c>
      <c r="K333" s="99">
        <f t="shared" si="10"/>
        <v>-12.51521298</v>
      </c>
      <c r="L333" s="91"/>
      <c r="M333" s="91"/>
      <c r="N333" s="92" t="s">
        <v>282</v>
      </c>
      <c r="O333" s="65"/>
      <c r="P333" s="65"/>
      <c r="Q333" s="65"/>
      <c r="R333" s="65"/>
      <c r="S333" s="65"/>
      <c r="T333" s="65"/>
      <c r="U333" s="65"/>
      <c r="V333" s="65"/>
      <c r="W333" s="65"/>
      <c r="X333" s="65"/>
      <c r="Y333" s="65"/>
      <c r="Z333" s="65"/>
      <c r="AA333" s="65"/>
      <c r="AB333" s="65"/>
      <c r="AC333" s="65"/>
    </row>
    <row r="334">
      <c r="A334" s="91" t="s">
        <v>279</v>
      </c>
      <c r="B334" s="91" t="s">
        <v>280</v>
      </c>
      <c r="C334" s="91" t="s">
        <v>281</v>
      </c>
      <c r="D334" s="93" t="s">
        <v>276</v>
      </c>
      <c r="E334" s="94">
        <v>97.56</v>
      </c>
      <c r="F334" s="94">
        <v>80.95</v>
      </c>
      <c r="G334" s="91"/>
      <c r="H334" s="86">
        <f t="shared" si="1"/>
        <v>-16.61</v>
      </c>
      <c r="I334" s="86">
        <f t="shared" si="4"/>
        <v>-16.61</v>
      </c>
      <c r="J334" s="95">
        <f t="shared" si="2"/>
        <v>-17.02542025</v>
      </c>
      <c r="K334" s="95">
        <f t="shared" si="10"/>
        <v>-17.02542025</v>
      </c>
      <c r="L334" s="91"/>
      <c r="M334" s="91"/>
      <c r="N334" s="92" t="s">
        <v>282</v>
      </c>
      <c r="O334" s="65"/>
      <c r="P334" s="65"/>
      <c r="Q334" s="65"/>
      <c r="R334" s="65"/>
      <c r="S334" s="65"/>
      <c r="T334" s="65"/>
      <c r="U334" s="65"/>
      <c r="V334" s="65"/>
      <c r="W334" s="65"/>
      <c r="X334" s="65"/>
      <c r="Y334" s="65"/>
      <c r="Z334" s="65"/>
      <c r="AA334" s="65"/>
      <c r="AB334" s="65"/>
      <c r="AC334" s="65"/>
    </row>
    <row r="335">
      <c r="A335" s="91" t="s">
        <v>279</v>
      </c>
      <c r="B335" s="91" t="s">
        <v>280</v>
      </c>
      <c r="C335" s="91" t="s">
        <v>281</v>
      </c>
      <c r="D335" s="93" t="s">
        <v>276</v>
      </c>
      <c r="E335" s="94">
        <v>72.59</v>
      </c>
      <c r="F335" s="94">
        <v>71.21</v>
      </c>
      <c r="G335" s="91"/>
      <c r="H335" s="86">
        <f t="shared" si="1"/>
        <v>-1.38</v>
      </c>
      <c r="I335" s="86">
        <f t="shared" si="4"/>
        <v>-1.38</v>
      </c>
      <c r="J335" s="95">
        <f t="shared" si="2"/>
        <v>-1.901088304</v>
      </c>
      <c r="K335" s="95">
        <f t="shared" si="10"/>
        <v>-1.901088304</v>
      </c>
      <c r="L335" s="91"/>
      <c r="M335" s="91"/>
      <c r="N335" s="92" t="s">
        <v>282</v>
      </c>
      <c r="O335" s="65"/>
      <c r="P335" s="65"/>
      <c r="Q335" s="65"/>
      <c r="R335" s="65"/>
      <c r="S335" s="65"/>
      <c r="T335" s="65"/>
      <c r="U335" s="65"/>
      <c r="V335" s="65"/>
      <c r="W335" s="65"/>
      <c r="X335" s="65"/>
      <c r="Y335" s="65"/>
      <c r="Z335" s="65"/>
      <c r="AA335" s="65"/>
      <c r="AB335" s="65"/>
      <c r="AC335" s="65"/>
    </row>
    <row r="336">
      <c r="A336" s="91" t="s">
        <v>279</v>
      </c>
      <c r="B336" s="91" t="s">
        <v>280</v>
      </c>
      <c r="C336" s="91" t="s">
        <v>281</v>
      </c>
      <c r="D336" s="93" t="s">
        <v>276</v>
      </c>
      <c r="E336" s="94">
        <v>79.43</v>
      </c>
      <c r="F336" s="94">
        <v>78.57</v>
      </c>
      <c r="G336" s="91"/>
      <c r="H336" s="86">
        <f t="shared" si="1"/>
        <v>-0.86</v>
      </c>
      <c r="I336" s="86">
        <f t="shared" si="4"/>
        <v>-0.86</v>
      </c>
      <c r="J336" s="95">
        <f t="shared" si="2"/>
        <v>-1.08271434</v>
      </c>
      <c r="K336" s="95">
        <f t="shared" si="10"/>
        <v>-1.08271434</v>
      </c>
      <c r="L336" s="91"/>
      <c r="M336" s="91"/>
      <c r="N336" s="92" t="s">
        <v>282</v>
      </c>
      <c r="O336" s="65"/>
      <c r="P336" s="65"/>
      <c r="Q336" s="65"/>
      <c r="R336" s="65"/>
      <c r="S336" s="65"/>
      <c r="T336" s="65"/>
      <c r="U336" s="65"/>
      <c r="V336" s="65"/>
      <c r="W336" s="65"/>
      <c r="X336" s="65"/>
      <c r="Y336" s="65"/>
      <c r="Z336" s="65"/>
      <c r="AA336" s="65"/>
      <c r="AB336" s="65"/>
      <c r="AC336" s="65"/>
    </row>
    <row r="337">
      <c r="A337" s="91" t="s">
        <v>279</v>
      </c>
      <c r="B337" s="91" t="s">
        <v>280</v>
      </c>
      <c r="C337" s="91" t="s">
        <v>281</v>
      </c>
      <c r="D337" s="93" t="s">
        <v>276</v>
      </c>
      <c r="E337" s="94">
        <v>77.78</v>
      </c>
      <c r="F337" s="94">
        <v>80.0</v>
      </c>
      <c r="G337" s="92" t="s">
        <v>199</v>
      </c>
      <c r="H337" s="86">
        <f t="shared" si="1"/>
        <v>2.22</v>
      </c>
      <c r="I337" s="86">
        <f t="shared" si="4"/>
        <v>2.22</v>
      </c>
      <c r="J337" s="99">
        <f t="shared" si="2"/>
        <v>2.854204166</v>
      </c>
      <c r="K337" s="99">
        <f t="shared" si="10"/>
        <v>2.854204166</v>
      </c>
      <c r="L337" s="91"/>
      <c r="M337" s="91"/>
      <c r="N337" s="92" t="s">
        <v>282</v>
      </c>
      <c r="O337" s="65"/>
      <c r="P337" s="65"/>
      <c r="Q337" s="65"/>
      <c r="R337" s="65"/>
      <c r="S337" s="65"/>
      <c r="T337" s="65"/>
      <c r="U337" s="65"/>
      <c r="V337" s="65"/>
      <c r="W337" s="65"/>
      <c r="X337" s="65"/>
      <c r="Y337" s="65"/>
      <c r="Z337" s="65"/>
      <c r="AA337" s="65"/>
      <c r="AB337" s="65"/>
      <c r="AC337" s="65"/>
    </row>
    <row r="338">
      <c r="A338" s="91" t="s">
        <v>279</v>
      </c>
      <c r="B338" s="91" t="s">
        <v>280</v>
      </c>
      <c r="C338" s="91" t="s">
        <v>281</v>
      </c>
      <c r="D338" s="93" t="s">
        <v>276</v>
      </c>
      <c r="E338" s="94">
        <v>66.67</v>
      </c>
      <c r="F338" s="94">
        <v>85.71</v>
      </c>
      <c r="G338" s="92" t="s">
        <v>199</v>
      </c>
      <c r="H338" s="86">
        <f t="shared" si="1"/>
        <v>19.04</v>
      </c>
      <c r="I338" s="86">
        <f t="shared" si="4"/>
        <v>19.04</v>
      </c>
      <c r="J338" s="99">
        <f t="shared" si="2"/>
        <v>28.55857207</v>
      </c>
      <c r="K338" s="99">
        <f t="shared" si="10"/>
        <v>28.55857207</v>
      </c>
      <c r="L338" s="91"/>
      <c r="M338" s="91"/>
      <c r="N338" s="92" t="s">
        <v>282</v>
      </c>
      <c r="O338" s="65"/>
      <c r="P338" s="65"/>
      <c r="Q338" s="65"/>
      <c r="R338" s="65"/>
      <c r="S338" s="65"/>
      <c r="T338" s="65"/>
      <c r="U338" s="65"/>
      <c r="V338" s="65"/>
      <c r="W338" s="65"/>
      <c r="X338" s="65"/>
      <c r="Y338" s="65"/>
      <c r="Z338" s="65"/>
      <c r="AA338" s="65"/>
      <c r="AB338" s="65"/>
      <c r="AC338" s="65"/>
    </row>
    <row r="339">
      <c r="A339" s="91" t="s">
        <v>279</v>
      </c>
      <c r="B339" s="91" t="s">
        <v>280</v>
      </c>
      <c r="C339" s="91" t="s">
        <v>281</v>
      </c>
      <c r="D339" s="93" t="s">
        <v>276</v>
      </c>
      <c r="E339" s="94">
        <v>87.36</v>
      </c>
      <c r="F339" s="94">
        <v>87.57</v>
      </c>
      <c r="G339" s="92" t="s">
        <v>199</v>
      </c>
      <c r="H339" s="86">
        <f t="shared" si="1"/>
        <v>0.21</v>
      </c>
      <c r="I339" s="86">
        <f t="shared" si="4"/>
        <v>0.21</v>
      </c>
      <c r="J339" s="99">
        <f t="shared" si="2"/>
        <v>0.2403846154</v>
      </c>
      <c r="K339" s="99">
        <f t="shared" si="10"/>
        <v>0.2403846154</v>
      </c>
      <c r="L339" s="91"/>
      <c r="M339" s="91"/>
      <c r="N339" s="92" t="s">
        <v>282</v>
      </c>
      <c r="O339" s="65"/>
      <c r="P339" s="65"/>
      <c r="Q339" s="65"/>
      <c r="R339" s="65"/>
      <c r="S339" s="65"/>
      <c r="T339" s="65"/>
      <c r="U339" s="65"/>
      <c r="V339" s="65"/>
      <c r="W339" s="65"/>
      <c r="X339" s="65"/>
      <c r="Y339" s="65"/>
      <c r="Z339" s="65"/>
      <c r="AA339" s="65"/>
      <c r="AB339" s="65"/>
      <c r="AC339" s="65"/>
    </row>
    <row r="340">
      <c r="A340" s="85" t="s">
        <v>283</v>
      </c>
      <c r="B340" s="85" t="s">
        <v>284</v>
      </c>
      <c r="C340" s="87" t="s">
        <v>285</v>
      </c>
      <c r="D340" s="89" t="s">
        <v>286</v>
      </c>
      <c r="E340" s="90">
        <v>3.98</v>
      </c>
      <c r="F340" s="90">
        <v>3.45</v>
      </c>
      <c r="G340" s="87" t="s">
        <v>199</v>
      </c>
      <c r="H340" s="86">
        <f t="shared" si="1"/>
        <v>-0.53</v>
      </c>
      <c r="I340" s="86">
        <f t="shared" si="4"/>
        <v>-0.53</v>
      </c>
      <c r="J340" s="98">
        <f t="shared" si="2"/>
        <v>-13.31658291</v>
      </c>
      <c r="K340" s="98">
        <f t="shared" si="10"/>
        <v>-13.31658291</v>
      </c>
      <c r="L340" s="86"/>
      <c r="M340" s="86"/>
      <c r="N340" s="87" t="s">
        <v>287</v>
      </c>
      <c r="O340" s="53"/>
      <c r="P340" s="53"/>
      <c r="Q340" s="53"/>
      <c r="R340" s="53"/>
      <c r="S340" s="53"/>
      <c r="T340" s="53"/>
      <c r="U340" s="53"/>
      <c r="V340" s="53"/>
      <c r="W340" s="53"/>
      <c r="X340" s="53"/>
      <c r="Y340" s="53"/>
      <c r="Z340" s="53"/>
      <c r="AA340" s="53"/>
      <c r="AB340" s="53"/>
      <c r="AC340" s="53"/>
    </row>
    <row r="341">
      <c r="A341" s="91" t="s">
        <v>283</v>
      </c>
      <c r="B341" s="91" t="s">
        <v>284</v>
      </c>
      <c r="C341" s="92" t="s">
        <v>285</v>
      </c>
      <c r="D341" s="93" t="s">
        <v>288</v>
      </c>
      <c r="E341" s="94">
        <v>3.39</v>
      </c>
      <c r="F341" s="94">
        <v>3.15</v>
      </c>
      <c r="G341" s="92" t="s">
        <v>199</v>
      </c>
      <c r="H341" s="86">
        <f t="shared" si="1"/>
        <v>-0.24</v>
      </c>
      <c r="I341" s="86">
        <f t="shared" si="4"/>
        <v>-0.24</v>
      </c>
      <c r="J341" s="99">
        <f t="shared" si="2"/>
        <v>-7.079646018</v>
      </c>
      <c r="K341" s="99">
        <f t="shared" si="10"/>
        <v>-7.079646018</v>
      </c>
      <c r="L341" s="91"/>
      <c r="M341" s="91"/>
      <c r="N341" s="92" t="s">
        <v>287</v>
      </c>
      <c r="O341" s="65"/>
      <c r="P341" s="65"/>
      <c r="Q341" s="65"/>
      <c r="R341" s="65"/>
      <c r="S341" s="65"/>
      <c r="T341" s="65"/>
      <c r="U341" s="65"/>
      <c r="V341" s="65"/>
      <c r="W341" s="65"/>
      <c r="X341" s="65"/>
      <c r="Y341" s="65"/>
      <c r="Z341" s="65"/>
      <c r="AA341" s="65"/>
      <c r="AB341" s="65"/>
      <c r="AC341" s="65"/>
    </row>
    <row r="342">
      <c r="A342" s="91" t="s">
        <v>283</v>
      </c>
      <c r="B342" s="91" t="s">
        <v>284</v>
      </c>
      <c r="C342" s="92" t="s">
        <v>289</v>
      </c>
      <c r="D342" s="93" t="s">
        <v>290</v>
      </c>
      <c r="E342" s="94">
        <v>30.65</v>
      </c>
      <c r="F342" s="94">
        <v>29.13</v>
      </c>
      <c r="G342" s="92" t="s">
        <v>199</v>
      </c>
      <c r="H342" s="86">
        <f t="shared" si="1"/>
        <v>-1.52</v>
      </c>
      <c r="I342" s="86">
        <f t="shared" si="4"/>
        <v>-1.52</v>
      </c>
      <c r="J342" s="99">
        <f t="shared" si="2"/>
        <v>-4.959216966</v>
      </c>
      <c r="K342" s="99">
        <f t="shared" si="10"/>
        <v>-4.959216966</v>
      </c>
      <c r="L342" s="91"/>
      <c r="M342" s="91"/>
      <c r="N342" s="92" t="s">
        <v>287</v>
      </c>
      <c r="O342" s="65"/>
      <c r="P342" s="65"/>
      <c r="Q342" s="65"/>
      <c r="R342" s="65"/>
      <c r="S342" s="65"/>
      <c r="T342" s="65"/>
      <c r="U342" s="65"/>
      <c r="V342" s="65"/>
      <c r="W342" s="65"/>
      <c r="X342" s="65"/>
      <c r="Y342" s="65"/>
      <c r="Z342" s="65"/>
      <c r="AA342" s="65"/>
      <c r="AB342" s="65"/>
      <c r="AC342" s="65"/>
    </row>
    <row r="343">
      <c r="A343" s="91" t="s">
        <v>283</v>
      </c>
      <c r="B343" s="91" t="s">
        <v>284</v>
      </c>
      <c r="C343" s="92" t="s">
        <v>289</v>
      </c>
      <c r="D343" s="93" t="s">
        <v>291</v>
      </c>
      <c r="E343" s="94">
        <v>84.5</v>
      </c>
      <c r="F343" s="94">
        <v>87.46</v>
      </c>
      <c r="G343" s="92" t="s">
        <v>199</v>
      </c>
      <c r="H343" s="86">
        <f t="shared" si="1"/>
        <v>2.96</v>
      </c>
      <c r="I343" s="86">
        <f t="shared" si="4"/>
        <v>2.96</v>
      </c>
      <c r="J343" s="99">
        <f t="shared" si="2"/>
        <v>3.50295858</v>
      </c>
      <c r="K343" s="99">
        <f t="shared" si="10"/>
        <v>3.50295858</v>
      </c>
      <c r="L343" s="91"/>
      <c r="M343" s="91"/>
      <c r="N343" s="92" t="s">
        <v>287</v>
      </c>
      <c r="O343" s="65"/>
      <c r="P343" s="65"/>
      <c r="Q343" s="65"/>
      <c r="R343" s="65"/>
      <c r="S343" s="65"/>
      <c r="T343" s="65"/>
      <c r="U343" s="65"/>
      <c r="V343" s="65"/>
      <c r="W343" s="65"/>
      <c r="X343" s="65"/>
      <c r="Y343" s="65"/>
      <c r="Z343" s="65"/>
      <c r="AA343" s="65"/>
      <c r="AB343" s="65"/>
      <c r="AC343" s="65"/>
    </row>
    <row r="344">
      <c r="A344" s="49" t="s">
        <v>292</v>
      </c>
      <c r="B344" s="119" t="s">
        <v>293</v>
      </c>
      <c r="C344" s="50" t="s">
        <v>209</v>
      </c>
      <c r="D344" s="120" t="s">
        <v>291</v>
      </c>
      <c r="E344" s="121" t="s">
        <v>199</v>
      </c>
      <c r="F344" s="121" t="s">
        <v>199</v>
      </c>
      <c r="G344" s="51" t="s">
        <v>199</v>
      </c>
      <c r="H344" s="50" t="str">
        <f t="shared" si="1"/>
        <v>#VALUE!</v>
      </c>
      <c r="I344" s="51">
        <v>-10.5</v>
      </c>
      <c r="J344" s="52" t="str">
        <f>IFERROR(I344*100/E344,"error")</f>
        <v>error</v>
      </c>
      <c r="K344" s="52" t="str">
        <f t="shared" si="10"/>
        <v>error</v>
      </c>
      <c r="L344" s="50"/>
      <c r="M344" s="50"/>
      <c r="N344" s="50" t="s">
        <v>294</v>
      </c>
      <c r="O344" s="53"/>
      <c r="P344" s="53"/>
      <c r="Q344" s="53"/>
      <c r="R344" s="53"/>
      <c r="S344" s="53"/>
      <c r="T344" s="53"/>
      <c r="U344" s="53"/>
      <c r="V344" s="53"/>
      <c r="W344" s="53"/>
      <c r="X344" s="53"/>
      <c r="Y344" s="53"/>
      <c r="Z344" s="53"/>
      <c r="AA344" s="53"/>
      <c r="AB344" s="53"/>
      <c r="AC344" s="53"/>
    </row>
    <row r="345">
      <c r="A345" s="55" t="s">
        <v>295</v>
      </c>
      <c r="B345" s="55" t="s">
        <v>296</v>
      </c>
      <c r="C345" s="58" t="s">
        <v>297</v>
      </c>
      <c r="D345" s="58" t="s">
        <v>298</v>
      </c>
      <c r="E345" s="58">
        <f t="shared" ref="E345:E436" si="11">F345+(G345*-1)</f>
        <v>0.428</v>
      </c>
      <c r="F345" s="58">
        <v>0.59</v>
      </c>
      <c r="G345" s="58">
        <v>0.162</v>
      </c>
      <c r="H345" s="58">
        <f t="shared" si="1"/>
        <v>0.162</v>
      </c>
      <c r="I345" s="58">
        <f t="shared" ref="I345:I550" si="12">iferror(H345,G345)</f>
        <v>0.162</v>
      </c>
      <c r="J345" s="61">
        <f t="shared" ref="J345:J550" si="13">I345*100/E345</f>
        <v>37.85046729</v>
      </c>
      <c r="K345" s="61">
        <f t="shared" si="10"/>
        <v>37.85046729</v>
      </c>
      <c r="L345" s="57"/>
      <c r="M345" s="57"/>
      <c r="N345" s="58" t="s">
        <v>299</v>
      </c>
      <c r="O345" s="53"/>
      <c r="P345" s="53"/>
      <c r="Q345" s="53"/>
      <c r="R345" s="53"/>
      <c r="S345" s="53"/>
      <c r="T345" s="53"/>
      <c r="U345" s="53"/>
      <c r="V345" s="53"/>
      <c r="W345" s="53"/>
      <c r="X345" s="53"/>
      <c r="Y345" s="53"/>
      <c r="Z345" s="53"/>
      <c r="AA345" s="53"/>
      <c r="AB345" s="53"/>
      <c r="AC345" s="53"/>
    </row>
    <row r="346">
      <c r="A346" s="62" t="s">
        <v>295</v>
      </c>
      <c r="B346" s="62" t="s">
        <v>296</v>
      </c>
      <c r="C346" s="63" t="s">
        <v>297</v>
      </c>
      <c r="D346" s="63" t="s">
        <v>298</v>
      </c>
      <c r="E346" s="58">
        <f t="shared" si="11"/>
        <v>0.721</v>
      </c>
      <c r="F346" s="63">
        <v>0.732</v>
      </c>
      <c r="G346" s="63">
        <v>0.011</v>
      </c>
      <c r="H346" s="58">
        <f t="shared" si="1"/>
        <v>0.011</v>
      </c>
      <c r="I346" s="63">
        <f t="shared" si="12"/>
        <v>0.011</v>
      </c>
      <c r="J346" s="67">
        <f t="shared" si="13"/>
        <v>1.525658807</v>
      </c>
      <c r="K346" s="67">
        <f t="shared" si="10"/>
        <v>1.525658807</v>
      </c>
      <c r="L346" s="62"/>
      <c r="M346" s="62"/>
      <c r="N346" s="63" t="s">
        <v>299</v>
      </c>
      <c r="O346" s="65"/>
      <c r="P346" s="65"/>
      <c r="Q346" s="65"/>
      <c r="R346" s="65"/>
      <c r="S346" s="65"/>
      <c r="T346" s="65"/>
      <c r="U346" s="65"/>
      <c r="V346" s="65"/>
      <c r="W346" s="65"/>
      <c r="X346" s="65"/>
      <c r="Y346" s="65"/>
      <c r="Z346" s="65"/>
      <c r="AA346" s="65"/>
      <c r="AB346" s="65"/>
      <c r="AC346" s="65"/>
    </row>
    <row r="347">
      <c r="A347" s="62" t="s">
        <v>295</v>
      </c>
      <c r="B347" s="62" t="s">
        <v>296</v>
      </c>
      <c r="C347" s="63" t="s">
        <v>297</v>
      </c>
      <c r="D347" s="63" t="s">
        <v>298</v>
      </c>
      <c r="E347" s="58">
        <f t="shared" si="11"/>
        <v>0.726</v>
      </c>
      <c r="F347" s="63">
        <v>0.728</v>
      </c>
      <c r="G347" s="63">
        <v>0.002</v>
      </c>
      <c r="H347" s="58">
        <f t="shared" si="1"/>
        <v>0.002</v>
      </c>
      <c r="I347" s="63">
        <f t="shared" si="12"/>
        <v>0.002</v>
      </c>
      <c r="J347" s="67">
        <f t="shared" si="13"/>
        <v>0.2754820937</v>
      </c>
      <c r="K347" s="67">
        <f t="shared" si="10"/>
        <v>0.2754820937</v>
      </c>
      <c r="L347" s="62"/>
      <c r="M347" s="62"/>
      <c r="N347" s="63" t="s">
        <v>299</v>
      </c>
      <c r="O347" s="65"/>
      <c r="P347" s="65"/>
      <c r="Q347" s="65"/>
      <c r="R347" s="65"/>
      <c r="S347" s="65"/>
      <c r="T347" s="65"/>
      <c r="U347" s="65"/>
      <c r="V347" s="65"/>
      <c r="W347" s="65"/>
      <c r="X347" s="65"/>
      <c r="Y347" s="65"/>
      <c r="Z347" s="65"/>
      <c r="AA347" s="65"/>
      <c r="AB347" s="65"/>
      <c r="AC347" s="65"/>
    </row>
    <row r="348">
      <c r="A348" s="62" t="s">
        <v>295</v>
      </c>
      <c r="B348" s="62" t="s">
        <v>296</v>
      </c>
      <c r="C348" s="63" t="s">
        <v>297</v>
      </c>
      <c r="D348" s="63" t="s">
        <v>298</v>
      </c>
      <c r="E348" s="58">
        <f t="shared" si="11"/>
        <v>0.703</v>
      </c>
      <c r="F348" s="63">
        <v>0.711</v>
      </c>
      <c r="G348" s="63">
        <v>0.008</v>
      </c>
      <c r="H348" s="58">
        <f t="shared" si="1"/>
        <v>0.008</v>
      </c>
      <c r="I348" s="63">
        <f t="shared" si="12"/>
        <v>0.008</v>
      </c>
      <c r="J348" s="67">
        <f t="shared" si="13"/>
        <v>1.137980085</v>
      </c>
      <c r="K348" s="67">
        <f t="shared" si="10"/>
        <v>1.137980085</v>
      </c>
      <c r="L348" s="62"/>
      <c r="M348" s="62"/>
      <c r="N348" s="63" t="s">
        <v>299</v>
      </c>
      <c r="O348" s="65"/>
      <c r="P348" s="65"/>
      <c r="Q348" s="65"/>
      <c r="R348" s="65"/>
      <c r="S348" s="65"/>
      <c r="T348" s="65"/>
      <c r="U348" s="65"/>
      <c r="V348" s="65"/>
      <c r="W348" s="65"/>
      <c r="X348" s="65"/>
      <c r="Y348" s="65"/>
      <c r="Z348" s="65"/>
      <c r="AA348" s="65"/>
      <c r="AB348" s="65"/>
      <c r="AC348" s="65"/>
    </row>
    <row r="349">
      <c r="A349" s="62" t="s">
        <v>295</v>
      </c>
      <c r="B349" s="62" t="s">
        <v>296</v>
      </c>
      <c r="C349" s="63" t="s">
        <v>297</v>
      </c>
      <c r="D349" s="63" t="s">
        <v>298</v>
      </c>
      <c r="E349" s="58">
        <f t="shared" si="11"/>
        <v>0.449</v>
      </c>
      <c r="F349" s="63">
        <v>0.646</v>
      </c>
      <c r="G349" s="63">
        <v>0.197</v>
      </c>
      <c r="H349" s="58">
        <f t="shared" si="1"/>
        <v>0.197</v>
      </c>
      <c r="I349" s="63">
        <f t="shared" si="12"/>
        <v>0.197</v>
      </c>
      <c r="J349" s="67">
        <f t="shared" si="13"/>
        <v>43.8752784</v>
      </c>
      <c r="K349" s="67">
        <f t="shared" si="10"/>
        <v>43.8752784</v>
      </c>
      <c r="L349" s="62"/>
      <c r="M349" s="62"/>
      <c r="N349" s="63" t="s">
        <v>299</v>
      </c>
      <c r="O349" s="65"/>
      <c r="P349" s="65"/>
      <c r="Q349" s="65"/>
      <c r="R349" s="65"/>
      <c r="S349" s="65"/>
      <c r="T349" s="65"/>
      <c r="U349" s="65"/>
      <c r="V349" s="65"/>
      <c r="W349" s="65"/>
      <c r="X349" s="65"/>
      <c r="Y349" s="65"/>
      <c r="Z349" s="65"/>
      <c r="AA349" s="65"/>
      <c r="AB349" s="65"/>
      <c r="AC349" s="65"/>
    </row>
    <row r="350">
      <c r="A350" s="62" t="s">
        <v>295</v>
      </c>
      <c r="B350" s="62" t="s">
        <v>296</v>
      </c>
      <c r="C350" s="63" t="s">
        <v>297</v>
      </c>
      <c r="D350" s="63" t="s">
        <v>298</v>
      </c>
      <c r="E350" s="58">
        <f t="shared" si="11"/>
        <v>0.693</v>
      </c>
      <c r="F350" s="63">
        <v>0.689</v>
      </c>
      <c r="G350" s="63">
        <v>-0.004</v>
      </c>
      <c r="H350" s="58">
        <f t="shared" si="1"/>
        <v>-0.004</v>
      </c>
      <c r="I350" s="63">
        <f t="shared" si="12"/>
        <v>-0.004</v>
      </c>
      <c r="J350" s="67">
        <f t="shared" si="13"/>
        <v>-0.5772005772</v>
      </c>
      <c r="K350" s="67">
        <f t="shared" si="10"/>
        <v>-0.5772005772</v>
      </c>
      <c r="L350" s="62"/>
      <c r="M350" s="62"/>
      <c r="N350" s="63" t="s">
        <v>299</v>
      </c>
      <c r="O350" s="65"/>
      <c r="P350" s="65"/>
      <c r="Q350" s="65"/>
      <c r="R350" s="65"/>
      <c r="S350" s="65"/>
      <c r="T350" s="65"/>
      <c r="U350" s="65"/>
      <c r="V350" s="65"/>
      <c r="W350" s="65"/>
      <c r="X350" s="65"/>
      <c r="Y350" s="65"/>
      <c r="Z350" s="65"/>
      <c r="AA350" s="65"/>
      <c r="AB350" s="65"/>
      <c r="AC350" s="65"/>
    </row>
    <row r="351">
      <c r="A351" s="62" t="s">
        <v>295</v>
      </c>
      <c r="B351" s="62" t="s">
        <v>296</v>
      </c>
      <c r="C351" s="63" t="s">
        <v>297</v>
      </c>
      <c r="D351" s="63" t="s">
        <v>298</v>
      </c>
      <c r="E351" s="58">
        <f t="shared" si="11"/>
        <v>0.719</v>
      </c>
      <c r="F351" s="63">
        <v>0.733</v>
      </c>
      <c r="G351" s="63">
        <v>0.014</v>
      </c>
      <c r="H351" s="58">
        <f t="shared" si="1"/>
        <v>0.014</v>
      </c>
      <c r="I351" s="63">
        <f t="shared" si="12"/>
        <v>0.014</v>
      </c>
      <c r="J351" s="67">
        <f t="shared" si="13"/>
        <v>1.947148818</v>
      </c>
      <c r="K351" s="67">
        <f t="shared" si="10"/>
        <v>1.947148818</v>
      </c>
      <c r="L351" s="62"/>
      <c r="M351" s="62"/>
      <c r="N351" s="63" t="s">
        <v>299</v>
      </c>
      <c r="O351" s="65"/>
      <c r="P351" s="65"/>
      <c r="Q351" s="65"/>
      <c r="R351" s="65"/>
      <c r="S351" s="65"/>
      <c r="T351" s="65"/>
      <c r="U351" s="65"/>
      <c r="V351" s="65"/>
      <c r="W351" s="65"/>
      <c r="X351" s="65"/>
      <c r="Y351" s="65"/>
      <c r="Z351" s="65"/>
      <c r="AA351" s="65"/>
      <c r="AB351" s="65"/>
      <c r="AC351" s="65"/>
    </row>
    <row r="352">
      <c r="A352" s="62" t="s">
        <v>295</v>
      </c>
      <c r="B352" s="62" t="s">
        <v>296</v>
      </c>
      <c r="C352" s="63" t="s">
        <v>297</v>
      </c>
      <c r="D352" s="63" t="s">
        <v>298</v>
      </c>
      <c r="E352" s="58">
        <f t="shared" si="11"/>
        <v>0.724</v>
      </c>
      <c r="F352" s="63">
        <v>0.729</v>
      </c>
      <c r="G352" s="63">
        <v>0.005</v>
      </c>
      <c r="H352" s="58">
        <f t="shared" si="1"/>
        <v>0.005</v>
      </c>
      <c r="I352" s="63">
        <f t="shared" si="12"/>
        <v>0.005</v>
      </c>
      <c r="J352" s="67">
        <f t="shared" si="13"/>
        <v>0.6906077348</v>
      </c>
      <c r="K352" s="67">
        <f t="shared" si="10"/>
        <v>0.6906077348</v>
      </c>
      <c r="L352" s="62"/>
      <c r="M352" s="62"/>
      <c r="N352" s="63" t="s">
        <v>299</v>
      </c>
      <c r="O352" s="65"/>
      <c r="P352" s="65"/>
      <c r="Q352" s="65"/>
      <c r="R352" s="65"/>
      <c r="S352" s="65"/>
      <c r="T352" s="65"/>
      <c r="U352" s="65"/>
      <c r="V352" s="65"/>
      <c r="W352" s="65"/>
      <c r="X352" s="65"/>
      <c r="Y352" s="65"/>
      <c r="Z352" s="65"/>
      <c r="AA352" s="65"/>
      <c r="AB352" s="65"/>
      <c r="AC352" s="65"/>
    </row>
    <row r="353">
      <c r="A353" s="62" t="s">
        <v>295</v>
      </c>
      <c r="B353" s="62" t="s">
        <v>296</v>
      </c>
      <c r="C353" s="63" t="s">
        <v>297</v>
      </c>
      <c r="D353" s="63" t="s">
        <v>298</v>
      </c>
      <c r="E353" s="58">
        <f t="shared" si="11"/>
        <v>0.694</v>
      </c>
      <c r="F353" s="63">
        <v>0.712</v>
      </c>
      <c r="G353" s="63">
        <v>0.018</v>
      </c>
      <c r="H353" s="58">
        <f t="shared" si="1"/>
        <v>0.018</v>
      </c>
      <c r="I353" s="63">
        <f t="shared" si="12"/>
        <v>0.018</v>
      </c>
      <c r="J353" s="67">
        <f t="shared" si="13"/>
        <v>2.593659942</v>
      </c>
      <c r="K353" s="67">
        <f t="shared" si="10"/>
        <v>2.593659942</v>
      </c>
      <c r="L353" s="62"/>
      <c r="M353" s="62"/>
      <c r="N353" s="63" t="s">
        <v>299</v>
      </c>
      <c r="O353" s="65"/>
      <c r="P353" s="65"/>
      <c r="Q353" s="65"/>
      <c r="R353" s="65"/>
      <c r="S353" s="65"/>
      <c r="T353" s="65"/>
      <c r="U353" s="65"/>
      <c r="V353" s="65"/>
      <c r="W353" s="65"/>
      <c r="X353" s="65"/>
      <c r="Y353" s="65"/>
      <c r="Z353" s="65"/>
      <c r="AA353" s="65"/>
      <c r="AB353" s="65"/>
      <c r="AC353" s="65"/>
    </row>
    <row r="354">
      <c r="A354" s="62" t="s">
        <v>295</v>
      </c>
      <c r="B354" s="62" t="s">
        <v>296</v>
      </c>
      <c r="C354" s="63" t="s">
        <v>297</v>
      </c>
      <c r="D354" s="63" t="s">
        <v>298</v>
      </c>
      <c r="E354" s="58">
        <f t="shared" si="11"/>
        <v>0.471</v>
      </c>
      <c r="F354" s="63">
        <v>0.711</v>
      </c>
      <c r="G354" s="63">
        <v>0.24</v>
      </c>
      <c r="H354" s="58">
        <f t="shared" si="1"/>
        <v>0.24</v>
      </c>
      <c r="I354" s="63">
        <f t="shared" si="12"/>
        <v>0.24</v>
      </c>
      <c r="J354" s="67">
        <f t="shared" si="13"/>
        <v>50.95541401</v>
      </c>
      <c r="K354" s="67">
        <f t="shared" si="10"/>
        <v>50.95541401</v>
      </c>
      <c r="L354" s="62"/>
      <c r="M354" s="62"/>
      <c r="N354" s="63" t="s">
        <v>299</v>
      </c>
      <c r="O354" s="65"/>
      <c r="P354" s="65"/>
      <c r="Q354" s="65"/>
      <c r="R354" s="65"/>
      <c r="S354" s="65"/>
      <c r="T354" s="65"/>
      <c r="U354" s="65"/>
      <c r="V354" s="65"/>
      <c r="W354" s="65"/>
      <c r="X354" s="65"/>
      <c r="Y354" s="65"/>
      <c r="Z354" s="65"/>
      <c r="AA354" s="65"/>
      <c r="AB354" s="65"/>
      <c r="AC354" s="65"/>
    </row>
    <row r="355">
      <c r="A355" s="62" t="s">
        <v>295</v>
      </c>
      <c r="B355" s="62" t="s">
        <v>296</v>
      </c>
      <c r="C355" s="63" t="s">
        <v>297</v>
      </c>
      <c r="D355" s="63" t="s">
        <v>298</v>
      </c>
      <c r="E355" s="58">
        <f t="shared" si="11"/>
        <v>0.689</v>
      </c>
      <c r="F355" s="63">
        <v>0.684</v>
      </c>
      <c r="G355" s="63">
        <v>-0.005</v>
      </c>
      <c r="H355" s="58">
        <f t="shared" si="1"/>
        <v>-0.005</v>
      </c>
      <c r="I355" s="63">
        <f t="shared" si="12"/>
        <v>-0.005</v>
      </c>
      <c r="J355" s="67">
        <f t="shared" si="13"/>
        <v>-0.7256894049</v>
      </c>
      <c r="K355" s="67">
        <f t="shared" si="10"/>
        <v>-0.7256894049</v>
      </c>
      <c r="L355" s="62"/>
      <c r="M355" s="62"/>
      <c r="N355" s="63" t="s">
        <v>299</v>
      </c>
      <c r="O355" s="65"/>
      <c r="P355" s="65"/>
      <c r="Q355" s="65"/>
      <c r="R355" s="65"/>
      <c r="S355" s="65"/>
      <c r="T355" s="65"/>
      <c r="U355" s="65"/>
      <c r="V355" s="65"/>
      <c r="W355" s="65"/>
      <c r="X355" s="65"/>
      <c r="Y355" s="65"/>
      <c r="Z355" s="65"/>
      <c r="AA355" s="65"/>
      <c r="AB355" s="65"/>
      <c r="AC355" s="65"/>
    </row>
    <row r="356">
      <c r="A356" s="62" t="s">
        <v>295</v>
      </c>
      <c r="B356" s="62" t="s">
        <v>296</v>
      </c>
      <c r="C356" s="63" t="s">
        <v>300</v>
      </c>
      <c r="D356" s="63" t="s">
        <v>298</v>
      </c>
      <c r="E356" s="58">
        <f t="shared" si="11"/>
        <v>0.497</v>
      </c>
      <c r="F356" s="63">
        <v>0.627</v>
      </c>
      <c r="G356" s="63">
        <v>0.13</v>
      </c>
      <c r="H356" s="58">
        <f t="shared" si="1"/>
        <v>0.13</v>
      </c>
      <c r="I356" s="63">
        <f t="shared" si="12"/>
        <v>0.13</v>
      </c>
      <c r="J356" s="67">
        <f t="shared" si="13"/>
        <v>26.15694165</v>
      </c>
      <c r="K356" s="67">
        <f t="shared" si="10"/>
        <v>26.15694165</v>
      </c>
      <c r="L356" s="62"/>
      <c r="M356" s="62"/>
      <c r="N356" s="63" t="s">
        <v>299</v>
      </c>
      <c r="O356" s="65"/>
      <c r="P356" s="65"/>
      <c r="Q356" s="65"/>
      <c r="R356" s="65"/>
      <c r="S356" s="65"/>
      <c r="T356" s="65"/>
      <c r="U356" s="65"/>
      <c r="V356" s="65"/>
      <c r="W356" s="65"/>
      <c r="X356" s="65"/>
      <c r="Y356" s="65"/>
      <c r="Z356" s="65"/>
      <c r="AA356" s="65"/>
      <c r="AB356" s="65"/>
      <c r="AC356" s="65"/>
    </row>
    <row r="357">
      <c r="A357" s="62" t="s">
        <v>295</v>
      </c>
      <c r="B357" s="62" t="s">
        <v>296</v>
      </c>
      <c r="C357" s="63" t="s">
        <v>300</v>
      </c>
      <c r="D357" s="63" t="s">
        <v>298</v>
      </c>
      <c r="E357" s="58">
        <f t="shared" si="11"/>
        <v>0.666</v>
      </c>
      <c r="F357" s="63">
        <v>0.66</v>
      </c>
      <c r="G357" s="63">
        <v>-0.006</v>
      </c>
      <c r="H357" s="58">
        <f t="shared" si="1"/>
        <v>-0.006</v>
      </c>
      <c r="I357" s="63">
        <f t="shared" si="12"/>
        <v>-0.006</v>
      </c>
      <c r="J357" s="67">
        <f t="shared" si="13"/>
        <v>-0.9009009009</v>
      </c>
      <c r="K357" s="67">
        <f t="shared" si="10"/>
        <v>-0.9009009009</v>
      </c>
      <c r="L357" s="62"/>
      <c r="M357" s="62"/>
      <c r="N357" s="63" t="s">
        <v>299</v>
      </c>
      <c r="O357" s="65"/>
      <c r="P357" s="65"/>
      <c r="Q357" s="65"/>
      <c r="R357" s="65"/>
      <c r="S357" s="65"/>
      <c r="T357" s="65"/>
      <c r="U357" s="65"/>
      <c r="V357" s="65"/>
      <c r="W357" s="65"/>
      <c r="X357" s="65"/>
      <c r="Y357" s="65"/>
      <c r="Z357" s="65"/>
      <c r="AA357" s="65"/>
      <c r="AB357" s="65"/>
      <c r="AC357" s="65"/>
    </row>
    <row r="358">
      <c r="A358" s="62" t="s">
        <v>295</v>
      </c>
      <c r="B358" s="62" t="s">
        <v>296</v>
      </c>
      <c r="C358" s="63" t="s">
        <v>300</v>
      </c>
      <c r="D358" s="63" t="s">
        <v>298</v>
      </c>
      <c r="E358" s="58">
        <f t="shared" si="11"/>
        <v>0.663</v>
      </c>
      <c r="F358" s="63">
        <v>0.677</v>
      </c>
      <c r="G358" s="63">
        <v>0.014</v>
      </c>
      <c r="H358" s="58">
        <f t="shared" si="1"/>
        <v>0.014</v>
      </c>
      <c r="I358" s="63">
        <f t="shared" si="12"/>
        <v>0.014</v>
      </c>
      <c r="J358" s="67">
        <f t="shared" si="13"/>
        <v>2.111613876</v>
      </c>
      <c r="K358" s="67">
        <f t="shared" si="10"/>
        <v>2.111613876</v>
      </c>
      <c r="L358" s="62"/>
      <c r="M358" s="62"/>
      <c r="N358" s="63" t="s">
        <v>299</v>
      </c>
      <c r="O358" s="65"/>
      <c r="P358" s="65"/>
      <c r="Q358" s="65"/>
      <c r="R358" s="65"/>
      <c r="S358" s="65"/>
      <c r="T358" s="65"/>
      <c r="U358" s="65"/>
      <c r="V358" s="65"/>
      <c r="W358" s="65"/>
      <c r="X358" s="65"/>
      <c r="Y358" s="65"/>
      <c r="Z358" s="65"/>
      <c r="AA358" s="65"/>
      <c r="AB358" s="65"/>
      <c r="AC358" s="65"/>
    </row>
    <row r="359">
      <c r="A359" s="62" t="s">
        <v>295</v>
      </c>
      <c r="B359" s="62" t="s">
        <v>296</v>
      </c>
      <c r="C359" s="63" t="s">
        <v>300</v>
      </c>
      <c r="D359" s="63" t="s">
        <v>298</v>
      </c>
      <c r="E359" s="58">
        <f t="shared" si="11"/>
        <v>0.663</v>
      </c>
      <c r="F359" s="63">
        <v>0.658</v>
      </c>
      <c r="G359" s="63">
        <v>-0.005</v>
      </c>
      <c r="H359" s="58">
        <f t="shared" si="1"/>
        <v>-0.005</v>
      </c>
      <c r="I359" s="63">
        <f t="shared" si="12"/>
        <v>-0.005</v>
      </c>
      <c r="J359" s="67">
        <f t="shared" si="13"/>
        <v>-0.754147813</v>
      </c>
      <c r="K359" s="67">
        <f t="shared" si="10"/>
        <v>-0.754147813</v>
      </c>
      <c r="L359" s="62"/>
      <c r="M359" s="62"/>
      <c r="N359" s="63" t="s">
        <v>299</v>
      </c>
      <c r="O359" s="65"/>
      <c r="P359" s="65"/>
      <c r="Q359" s="65"/>
      <c r="R359" s="65"/>
      <c r="S359" s="65"/>
      <c r="T359" s="65"/>
      <c r="U359" s="65"/>
      <c r="V359" s="65"/>
      <c r="W359" s="65"/>
      <c r="X359" s="65"/>
      <c r="Y359" s="65"/>
      <c r="Z359" s="65"/>
      <c r="AA359" s="65"/>
      <c r="AB359" s="65"/>
      <c r="AC359" s="65"/>
    </row>
    <row r="360">
      <c r="A360" s="62" t="s">
        <v>295</v>
      </c>
      <c r="B360" s="62" t="s">
        <v>296</v>
      </c>
      <c r="C360" s="63" t="s">
        <v>300</v>
      </c>
      <c r="D360" s="63" t="s">
        <v>298</v>
      </c>
      <c r="E360" s="58">
        <f t="shared" si="11"/>
        <v>0.533</v>
      </c>
      <c r="F360" s="63">
        <v>0.647</v>
      </c>
      <c r="G360" s="63">
        <v>0.114</v>
      </c>
      <c r="H360" s="58">
        <f t="shared" si="1"/>
        <v>0.114</v>
      </c>
      <c r="I360" s="63">
        <f t="shared" si="12"/>
        <v>0.114</v>
      </c>
      <c r="J360" s="67">
        <f t="shared" si="13"/>
        <v>21.38836773</v>
      </c>
      <c r="K360" s="67">
        <f t="shared" si="10"/>
        <v>21.38836773</v>
      </c>
      <c r="L360" s="62"/>
      <c r="M360" s="62"/>
      <c r="N360" s="63" t="s">
        <v>299</v>
      </c>
      <c r="O360" s="65"/>
      <c r="P360" s="65"/>
      <c r="Q360" s="65"/>
      <c r="R360" s="65"/>
      <c r="S360" s="65"/>
      <c r="T360" s="65"/>
      <c r="U360" s="65"/>
      <c r="V360" s="65"/>
      <c r="W360" s="65"/>
      <c r="X360" s="65"/>
      <c r="Y360" s="65"/>
      <c r="Z360" s="65"/>
      <c r="AA360" s="65"/>
      <c r="AB360" s="65"/>
      <c r="AC360" s="65"/>
    </row>
    <row r="361">
      <c r="A361" s="62" t="s">
        <v>295</v>
      </c>
      <c r="B361" s="62" t="s">
        <v>296</v>
      </c>
      <c r="C361" s="63" t="s">
        <v>300</v>
      </c>
      <c r="D361" s="63" t="s">
        <v>298</v>
      </c>
      <c r="E361" s="58">
        <f t="shared" si="11"/>
        <v>0.686</v>
      </c>
      <c r="F361" s="63">
        <v>0.676</v>
      </c>
      <c r="G361" s="63">
        <v>-0.01</v>
      </c>
      <c r="H361" s="58">
        <f t="shared" si="1"/>
        <v>-0.01</v>
      </c>
      <c r="I361" s="63">
        <f t="shared" si="12"/>
        <v>-0.01</v>
      </c>
      <c r="J361" s="67">
        <f t="shared" si="13"/>
        <v>-1.457725948</v>
      </c>
      <c r="K361" s="67">
        <f t="shared" si="10"/>
        <v>-1.457725948</v>
      </c>
      <c r="L361" s="62"/>
      <c r="M361" s="62"/>
      <c r="N361" s="63" t="s">
        <v>299</v>
      </c>
      <c r="O361" s="65"/>
      <c r="P361" s="65"/>
      <c r="Q361" s="65"/>
      <c r="R361" s="65"/>
      <c r="S361" s="65"/>
      <c r="T361" s="65"/>
      <c r="U361" s="65"/>
      <c r="V361" s="65"/>
      <c r="W361" s="65"/>
      <c r="X361" s="65"/>
      <c r="Y361" s="65"/>
      <c r="Z361" s="65"/>
      <c r="AA361" s="65"/>
      <c r="AB361" s="65"/>
      <c r="AC361" s="65"/>
    </row>
    <row r="362">
      <c r="A362" s="62" t="s">
        <v>295</v>
      </c>
      <c r="B362" s="62" t="s">
        <v>296</v>
      </c>
      <c r="C362" s="63" t="s">
        <v>300</v>
      </c>
      <c r="D362" s="63" t="s">
        <v>298</v>
      </c>
      <c r="E362" s="58">
        <f t="shared" si="11"/>
        <v>0.686</v>
      </c>
      <c r="F362" s="63">
        <v>0.68</v>
      </c>
      <c r="G362" s="63">
        <v>-0.006</v>
      </c>
      <c r="H362" s="58">
        <f t="shared" si="1"/>
        <v>-0.006</v>
      </c>
      <c r="I362" s="63">
        <f t="shared" si="12"/>
        <v>-0.006</v>
      </c>
      <c r="J362" s="67">
        <f t="shared" si="13"/>
        <v>-0.8746355685</v>
      </c>
      <c r="K362" s="67">
        <f t="shared" si="10"/>
        <v>-0.8746355685</v>
      </c>
      <c r="L362" s="62"/>
      <c r="M362" s="62"/>
      <c r="N362" s="63" t="s">
        <v>299</v>
      </c>
      <c r="O362" s="65"/>
      <c r="P362" s="65"/>
      <c r="Q362" s="65"/>
      <c r="R362" s="65"/>
      <c r="S362" s="65"/>
      <c r="T362" s="65"/>
      <c r="U362" s="65"/>
      <c r="V362" s="65"/>
      <c r="W362" s="65"/>
      <c r="X362" s="65"/>
      <c r="Y362" s="65"/>
      <c r="Z362" s="65"/>
      <c r="AA362" s="65"/>
      <c r="AB362" s="65"/>
      <c r="AC362" s="65"/>
    </row>
    <row r="363">
      <c r="A363" s="62" t="s">
        <v>295</v>
      </c>
      <c r="B363" s="62" t="s">
        <v>296</v>
      </c>
      <c r="C363" s="63" t="s">
        <v>300</v>
      </c>
      <c r="D363" s="63" t="s">
        <v>298</v>
      </c>
      <c r="E363" s="58">
        <f t="shared" si="11"/>
        <v>0.682</v>
      </c>
      <c r="F363" s="63">
        <v>0.675</v>
      </c>
      <c r="G363" s="63">
        <v>-0.007</v>
      </c>
      <c r="H363" s="58">
        <f t="shared" si="1"/>
        <v>-0.007</v>
      </c>
      <c r="I363" s="63">
        <f t="shared" si="12"/>
        <v>-0.007</v>
      </c>
      <c r="J363" s="67">
        <f t="shared" si="13"/>
        <v>-1.026392962</v>
      </c>
      <c r="K363" s="67">
        <f t="shared" si="10"/>
        <v>-1.026392962</v>
      </c>
      <c r="L363" s="62"/>
      <c r="M363" s="62"/>
      <c r="N363" s="63" t="s">
        <v>299</v>
      </c>
      <c r="O363" s="65"/>
      <c r="P363" s="65"/>
      <c r="Q363" s="65"/>
      <c r="R363" s="65"/>
      <c r="S363" s="65"/>
      <c r="T363" s="65"/>
      <c r="U363" s="65"/>
      <c r="V363" s="65"/>
      <c r="W363" s="65"/>
      <c r="X363" s="65"/>
      <c r="Y363" s="65"/>
      <c r="Z363" s="65"/>
      <c r="AA363" s="65"/>
      <c r="AB363" s="65"/>
      <c r="AC363" s="65"/>
    </row>
    <row r="364">
      <c r="A364" s="62" t="s">
        <v>295</v>
      </c>
      <c r="B364" s="62" t="s">
        <v>296</v>
      </c>
      <c r="C364" s="63" t="s">
        <v>300</v>
      </c>
      <c r="D364" s="63" t="s">
        <v>298</v>
      </c>
      <c r="E364" s="58">
        <f t="shared" si="11"/>
        <v>0.646</v>
      </c>
      <c r="F364" s="63">
        <v>0.639</v>
      </c>
      <c r="G364" s="63">
        <v>-0.007</v>
      </c>
      <c r="H364" s="58">
        <f t="shared" si="1"/>
        <v>-0.007</v>
      </c>
      <c r="I364" s="63">
        <f t="shared" si="12"/>
        <v>-0.007</v>
      </c>
      <c r="J364" s="67">
        <f t="shared" si="13"/>
        <v>-1.083591331</v>
      </c>
      <c r="K364" s="67">
        <f t="shared" si="10"/>
        <v>-1.083591331</v>
      </c>
      <c r="L364" s="62"/>
      <c r="M364" s="62"/>
      <c r="N364" s="63" t="s">
        <v>299</v>
      </c>
      <c r="O364" s="65"/>
      <c r="P364" s="65"/>
      <c r="Q364" s="65"/>
      <c r="R364" s="65"/>
      <c r="S364" s="65"/>
      <c r="T364" s="65"/>
      <c r="U364" s="65"/>
      <c r="V364" s="65"/>
      <c r="W364" s="65"/>
      <c r="X364" s="65"/>
      <c r="Y364" s="65"/>
      <c r="Z364" s="65"/>
      <c r="AA364" s="65"/>
      <c r="AB364" s="65"/>
      <c r="AC364" s="65"/>
    </row>
    <row r="365">
      <c r="A365" s="62" t="s">
        <v>295</v>
      </c>
      <c r="B365" s="62" t="s">
        <v>296</v>
      </c>
      <c r="C365" s="63" t="s">
        <v>300</v>
      </c>
      <c r="D365" s="63" t="s">
        <v>298</v>
      </c>
      <c r="E365" s="58">
        <f t="shared" si="11"/>
        <v>0.578</v>
      </c>
      <c r="F365" s="63">
        <v>0.808</v>
      </c>
      <c r="G365" s="63">
        <v>0.23</v>
      </c>
      <c r="H365" s="58">
        <f t="shared" si="1"/>
        <v>0.23</v>
      </c>
      <c r="I365" s="63">
        <f t="shared" si="12"/>
        <v>0.23</v>
      </c>
      <c r="J365" s="67">
        <f t="shared" si="13"/>
        <v>39.79238754</v>
      </c>
      <c r="K365" s="67">
        <f t="shared" si="10"/>
        <v>39.79238754</v>
      </c>
      <c r="L365" s="62"/>
      <c r="M365" s="62"/>
      <c r="N365" s="63" t="s">
        <v>299</v>
      </c>
      <c r="O365" s="65"/>
      <c r="P365" s="65"/>
      <c r="Q365" s="65"/>
      <c r="R365" s="65"/>
      <c r="S365" s="65"/>
      <c r="T365" s="65"/>
      <c r="U365" s="65"/>
      <c r="V365" s="65"/>
      <c r="W365" s="65"/>
      <c r="X365" s="65"/>
      <c r="Y365" s="65"/>
      <c r="Z365" s="65"/>
      <c r="AA365" s="65"/>
      <c r="AB365" s="65"/>
      <c r="AC365" s="65"/>
    </row>
    <row r="366">
      <c r="A366" s="62" t="s">
        <v>295</v>
      </c>
      <c r="B366" s="62" t="s">
        <v>296</v>
      </c>
      <c r="C366" s="63" t="s">
        <v>300</v>
      </c>
      <c r="D366" s="63" t="s">
        <v>298</v>
      </c>
      <c r="E366" s="58">
        <f t="shared" si="11"/>
        <v>0.827</v>
      </c>
      <c r="F366" s="63">
        <v>0.832</v>
      </c>
      <c r="G366" s="63">
        <v>0.005</v>
      </c>
      <c r="H366" s="58">
        <f t="shared" si="1"/>
        <v>0.005</v>
      </c>
      <c r="I366" s="63">
        <f t="shared" si="12"/>
        <v>0.005</v>
      </c>
      <c r="J366" s="67">
        <f t="shared" si="13"/>
        <v>0.6045949214</v>
      </c>
      <c r="K366" s="67">
        <f t="shared" si="10"/>
        <v>0.6045949214</v>
      </c>
      <c r="L366" s="62"/>
      <c r="M366" s="62"/>
      <c r="N366" s="63" t="s">
        <v>299</v>
      </c>
      <c r="O366" s="65"/>
      <c r="P366" s="65"/>
      <c r="Q366" s="65"/>
      <c r="R366" s="65"/>
      <c r="S366" s="65"/>
      <c r="T366" s="65"/>
      <c r="U366" s="65"/>
      <c r="V366" s="65"/>
      <c r="W366" s="65"/>
      <c r="X366" s="65"/>
      <c r="Y366" s="65"/>
      <c r="Z366" s="65"/>
      <c r="AA366" s="65"/>
      <c r="AB366" s="65"/>
      <c r="AC366" s="65"/>
    </row>
    <row r="367">
      <c r="A367" s="62" t="s">
        <v>295</v>
      </c>
      <c r="B367" s="62" t="s">
        <v>296</v>
      </c>
      <c r="C367" s="63" t="s">
        <v>300</v>
      </c>
      <c r="D367" s="63" t="s">
        <v>298</v>
      </c>
      <c r="E367" s="58">
        <f t="shared" si="11"/>
        <v>0.825</v>
      </c>
      <c r="F367" s="63">
        <v>0.82</v>
      </c>
      <c r="G367" s="63">
        <v>-0.005</v>
      </c>
      <c r="H367" s="58">
        <f t="shared" si="1"/>
        <v>-0.005</v>
      </c>
      <c r="I367" s="63">
        <f t="shared" si="12"/>
        <v>-0.005</v>
      </c>
      <c r="J367" s="67">
        <f t="shared" si="13"/>
        <v>-0.6060606061</v>
      </c>
      <c r="K367" s="67">
        <f t="shared" si="10"/>
        <v>-0.6060606061</v>
      </c>
      <c r="L367" s="62"/>
      <c r="M367" s="62"/>
      <c r="N367" s="63" t="s">
        <v>299</v>
      </c>
      <c r="O367" s="65"/>
      <c r="P367" s="65"/>
      <c r="Q367" s="65"/>
      <c r="R367" s="65"/>
      <c r="S367" s="65"/>
      <c r="T367" s="65"/>
      <c r="U367" s="65"/>
      <c r="V367" s="65"/>
      <c r="W367" s="65"/>
      <c r="X367" s="65"/>
      <c r="Y367" s="65"/>
      <c r="Z367" s="65"/>
      <c r="AA367" s="65"/>
      <c r="AB367" s="65"/>
      <c r="AC367" s="65"/>
    </row>
    <row r="368">
      <c r="A368" s="62" t="s">
        <v>295</v>
      </c>
      <c r="B368" s="62" t="s">
        <v>296</v>
      </c>
      <c r="C368" s="63" t="s">
        <v>300</v>
      </c>
      <c r="D368" s="63" t="s">
        <v>298</v>
      </c>
      <c r="E368" s="58">
        <f t="shared" si="11"/>
        <v>0.813</v>
      </c>
      <c r="F368" s="63">
        <v>0.808</v>
      </c>
      <c r="G368" s="63">
        <v>-0.005</v>
      </c>
      <c r="H368" s="58">
        <f t="shared" si="1"/>
        <v>-0.005</v>
      </c>
      <c r="I368" s="63">
        <f t="shared" si="12"/>
        <v>-0.005</v>
      </c>
      <c r="J368" s="67">
        <f t="shared" si="13"/>
        <v>-0.6150061501</v>
      </c>
      <c r="K368" s="67">
        <f t="shared" si="10"/>
        <v>-0.6150061501</v>
      </c>
      <c r="L368" s="62"/>
      <c r="M368" s="62"/>
      <c r="N368" s="63" t="s">
        <v>299</v>
      </c>
      <c r="O368" s="65"/>
      <c r="P368" s="65"/>
      <c r="Q368" s="65"/>
      <c r="R368" s="65"/>
      <c r="S368" s="65"/>
      <c r="T368" s="65"/>
      <c r="U368" s="65"/>
      <c r="V368" s="65"/>
      <c r="W368" s="65"/>
      <c r="X368" s="65"/>
      <c r="Y368" s="65"/>
      <c r="Z368" s="65"/>
      <c r="AA368" s="65"/>
      <c r="AB368" s="65"/>
      <c r="AC368" s="65"/>
    </row>
    <row r="369">
      <c r="A369" s="62" t="s">
        <v>295</v>
      </c>
      <c r="B369" s="62" t="s">
        <v>296</v>
      </c>
      <c r="C369" s="63" t="s">
        <v>300</v>
      </c>
      <c r="D369" s="63" t="s">
        <v>298</v>
      </c>
      <c r="E369" s="58">
        <f t="shared" si="11"/>
        <v>0.653</v>
      </c>
      <c r="F369" s="63">
        <v>0.818</v>
      </c>
      <c r="G369" s="63">
        <v>0.165</v>
      </c>
      <c r="H369" s="58">
        <f t="shared" si="1"/>
        <v>0.165</v>
      </c>
      <c r="I369" s="63">
        <f t="shared" si="12"/>
        <v>0.165</v>
      </c>
      <c r="J369" s="67">
        <f t="shared" si="13"/>
        <v>25.26799387</v>
      </c>
      <c r="K369" s="67">
        <f t="shared" si="10"/>
        <v>25.26799387</v>
      </c>
      <c r="L369" s="62"/>
      <c r="M369" s="62"/>
      <c r="N369" s="63" t="s">
        <v>299</v>
      </c>
      <c r="O369" s="65"/>
      <c r="P369" s="65"/>
      <c r="Q369" s="65"/>
      <c r="R369" s="65"/>
      <c r="S369" s="65"/>
      <c r="T369" s="65"/>
      <c r="U369" s="65"/>
      <c r="V369" s="65"/>
      <c r="W369" s="65"/>
      <c r="X369" s="65"/>
      <c r="Y369" s="65"/>
      <c r="Z369" s="65"/>
      <c r="AA369" s="65"/>
      <c r="AB369" s="65"/>
      <c r="AC369" s="65"/>
    </row>
    <row r="370">
      <c r="A370" s="62" t="s">
        <v>295</v>
      </c>
      <c r="B370" s="62" t="s">
        <v>296</v>
      </c>
      <c r="C370" s="63" t="s">
        <v>300</v>
      </c>
      <c r="D370" s="63" t="s">
        <v>298</v>
      </c>
      <c r="E370" s="58">
        <f t="shared" si="11"/>
        <v>0.837</v>
      </c>
      <c r="F370" s="63">
        <v>0.831</v>
      </c>
      <c r="G370" s="63">
        <v>-0.006</v>
      </c>
      <c r="H370" s="58">
        <f t="shared" si="1"/>
        <v>-0.006</v>
      </c>
      <c r="I370" s="63">
        <f t="shared" si="12"/>
        <v>-0.006</v>
      </c>
      <c r="J370" s="67">
        <f t="shared" si="13"/>
        <v>-0.7168458781</v>
      </c>
      <c r="K370" s="67">
        <f t="shared" si="10"/>
        <v>-0.7168458781</v>
      </c>
      <c r="L370" s="62"/>
      <c r="M370" s="62"/>
      <c r="N370" s="63" t="s">
        <v>299</v>
      </c>
      <c r="O370" s="65"/>
      <c r="P370" s="65"/>
      <c r="Q370" s="65"/>
      <c r="R370" s="65"/>
      <c r="S370" s="65"/>
      <c r="T370" s="65"/>
      <c r="U370" s="65"/>
      <c r="V370" s="65"/>
      <c r="W370" s="65"/>
      <c r="X370" s="65"/>
      <c r="Y370" s="65"/>
      <c r="Z370" s="65"/>
      <c r="AA370" s="65"/>
      <c r="AB370" s="65"/>
      <c r="AC370" s="65"/>
    </row>
    <row r="371">
      <c r="A371" s="62" t="s">
        <v>295</v>
      </c>
      <c r="B371" s="62" t="s">
        <v>296</v>
      </c>
      <c r="C371" s="63" t="s">
        <v>300</v>
      </c>
      <c r="D371" s="63" t="s">
        <v>298</v>
      </c>
      <c r="E371" s="58">
        <f t="shared" si="11"/>
        <v>0.825</v>
      </c>
      <c r="F371" s="63">
        <v>0.819</v>
      </c>
      <c r="G371" s="63">
        <v>-0.006</v>
      </c>
      <c r="H371" s="58">
        <f t="shared" si="1"/>
        <v>-0.006</v>
      </c>
      <c r="I371" s="63">
        <f t="shared" si="12"/>
        <v>-0.006</v>
      </c>
      <c r="J371" s="67">
        <f t="shared" si="13"/>
        <v>-0.7272727273</v>
      </c>
      <c r="K371" s="67">
        <f t="shared" si="10"/>
        <v>-0.7272727273</v>
      </c>
      <c r="L371" s="62"/>
      <c r="M371" s="62"/>
      <c r="N371" s="63" t="s">
        <v>299</v>
      </c>
      <c r="O371" s="65"/>
      <c r="P371" s="65"/>
      <c r="Q371" s="65"/>
      <c r="R371" s="65"/>
      <c r="S371" s="65"/>
      <c r="T371" s="65"/>
      <c r="U371" s="65"/>
      <c r="V371" s="65"/>
      <c r="W371" s="65"/>
      <c r="X371" s="65"/>
      <c r="Y371" s="65"/>
      <c r="Z371" s="65"/>
      <c r="AA371" s="65"/>
      <c r="AB371" s="65"/>
      <c r="AC371" s="65"/>
    </row>
    <row r="372">
      <c r="A372" s="62" t="s">
        <v>295</v>
      </c>
      <c r="B372" s="62" t="s">
        <v>296</v>
      </c>
      <c r="C372" s="63" t="s">
        <v>300</v>
      </c>
      <c r="D372" s="63" t="s">
        <v>298</v>
      </c>
      <c r="E372" s="58">
        <f t="shared" si="11"/>
        <v>0.806</v>
      </c>
      <c r="F372" s="63">
        <v>0.81</v>
      </c>
      <c r="G372" s="63">
        <v>0.004</v>
      </c>
      <c r="H372" s="58">
        <f t="shared" si="1"/>
        <v>0.004</v>
      </c>
      <c r="I372" s="63">
        <f t="shared" si="12"/>
        <v>0.004</v>
      </c>
      <c r="J372" s="67">
        <f t="shared" si="13"/>
        <v>0.4962779156</v>
      </c>
      <c r="K372" s="67">
        <f t="shared" si="10"/>
        <v>0.4962779156</v>
      </c>
      <c r="L372" s="62"/>
      <c r="M372" s="62"/>
      <c r="N372" s="63" t="s">
        <v>299</v>
      </c>
      <c r="O372" s="65"/>
      <c r="P372" s="65"/>
      <c r="Q372" s="65"/>
      <c r="R372" s="65"/>
      <c r="S372" s="65"/>
      <c r="T372" s="65"/>
      <c r="U372" s="65"/>
      <c r="V372" s="65"/>
      <c r="W372" s="65"/>
      <c r="X372" s="65"/>
      <c r="Y372" s="65"/>
      <c r="Z372" s="65"/>
      <c r="AA372" s="65"/>
      <c r="AB372" s="65"/>
      <c r="AC372" s="65"/>
    </row>
    <row r="373">
      <c r="A373" s="62" t="s">
        <v>295</v>
      </c>
      <c r="B373" s="62" t="s">
        <v>296</v>
      </c>
      <c r="C373" s="63" t="s">
        <v>300</v>
      </c>
      <c r="D373" s="63" t="s">
        <v>298</v>
      </c>
      <c r="E373" s="58">
        <f t="shared" si="11"/>
        <v>0.794</v>
      </c>
      <c r="F373" s="63">
        <v>0.81</v>
      </c>
      <c r="G373" s="63">
        <v>0.016</v>
      </c>
      <c r="H373" s="58">
        <f t="shared" si="1"/>
        <v>0.016</v>
      </c>
      <c r="I373" s="63">
        <f t="shared" si="12"/>
        <v>0.016</v>
      </c>
      <c r="J373" s="67">
        <f t="shared" si="13"/>
        <v>2.01511335</v>
      </c>
      <c r="K373" s="67">
        <f t="shared" si="10"/>
        <v>2.01511335</v>
      </c>
      <c r="L373" s="62"/>
      <c r="M373" s="62"/>
      <c r="N373" s="63" t="s">
        <v>299</v>
      </c>
      <c r="O373" s="65"/>
      <c r="P373" s="65"/>
      <c r="Q373" s="65"/>
      <c r="R373" s="65"/>
      <c r="S373" s="65"/>
      <c r="T373" s="65"/>
      <c r="U373" s="65"/>
      <c r="V373" s="65"/>
      <c r="W373" s="65"/>
      <c r="X373" s="65"/>
      <c r="Y373" s="65"/>
      <c r="Z373" s="65"/>
      <c r="AA373" s="65"/>
      <c r="AB373" s="65"/>
      <c r="AC373" s="65"/>
    </row>
    <row r="374">
      <c r="A374" s="62" t="s">
        <v>295</v>
      </c>
      <c r="B374" s="62" t="s">
        <v>296</v>
      </c>
      <c r="C374" s="63" t="s">
        <v>300</v>
      </c>
      <c r="D374" s="63" t="s">
        <v>298</v>
      </c>
      <c r="E374" s="58">
        <f t="shared" si="11"/>
        <v>0.587</v>
      </c>
      <c r="F374" s="63">
        <v>0.628</v>
      </c>
      <c r="G374" s="63">
        <v>0.041</v>
      </c>
      <c r="H374" s="58">
        <f t="shared" si="1"/>
        <v>0.041</v>
      </c>
      <c r="I374" s="63">
        <f t="shared" si="12"/>
        <v>0.041</v>
      </c>
      <c r="J374" s="67">
        <f t="shared" si="13"/>
        <v>6.984667802</v>
      </c>
      <c r="K374" s="67">
        <f t="shared" si="10"/>
        <v>6.984667802</v>
      </c>
      <c r="L374" s="62"/>
      <c r="M374" s="62"/>
      <c r="N374" s="63" t="s">
        <v>299</v>
      </c>
      <c r="O374" s="65"/>
      <c r="P374" s="65"/>
      <c r="Q374" s="65"/>
      <c r="R374" s="65"/>
      <c r="S374" s="65"/>
      <c r="T374" s="65"/>
      <c r="U374" s="65"/>
      <c r="V374" s="65"/>
      <c r="W374" s="65"/>
      <c r="X374" s="65"/>
      <c r="Y374" s="65"/>
      <c r="Z374" s="65"/>
      <c r="AA374" s="65"/>
      <c r="AB374" s="65"/>
      <c r="AC374" s="65"/>
    </row>
    <row r="375">
      <c r="A375" s="62" t="s">
        <v>295</v>
      </c>
      <c r="B375" s="62" t="s">
        <v>296</v>
      </c>
      <c r="C375" s="63" t="s">
        <v>300</v>
      </c>
      <c r="D375" s="63" t="s">
        <v>298</v>
      </c>
      <c r="E375" s="58">
        <f t="shared" si="11"/>
        <v>0.721</v>
      </c>
      <c r="F375" s="63">
        <v>0.732</v>
      </c>
      <c r="G375" s="63">
        <v>0.011</v>
      </c>
      <c r="H375" s="58">
        <f t="shared" si="1"/>
        <v>0.011</v>
      </c>
      <c r="I375" s="63">
        <f t="shared" si="12"/>
        <v>0.011</v>
      </c>
      <c r="J375" s="67">
        <f t="shared" si="13"/>
        <v>1.525658807</v>
      </c>
      <c r="K375" s="67">
        <f t="shared" si="10"/>
        <v>1.525658807</v>
      </c>
      <c r="L375" s="62"/>
      <c r="M375" s="62"/>
      <c r="N375" s="63" t="s">
        <v>299</v>
      </c>
      <c r="O375" s="65"/>
      <c r="P375" s="65"/>
      <c r="Q375" s="65"/>
      <c r="R375" s="65"/>
      <c r="S375" s="65"/>
      <c r="T375" s="65"/>
      <c r="U375" s="65"/>
      <c r="V375" s="65"/>
      <c r="W375" s="65"/>
      <c r="X375" s="65"/>
      <c r="Y375" s="65"/>
      <c r="Z375" s="65"/>
      <c r="AA375" s="65"/>
      <c r="AB375" s="65"/>
      <c r="AC375" s="65"/>
    </row>
    <row r="376">
      <c r="A376" s="62" t="s">
        <v>295</v>
      </c>
      <c r="B376" s="62" t="s">
        <v>296</v>
      </c>
      <c r="C376" s="63" t="s">
        <v>300</v>
      </c>
      <c r="D376" s="63" t="s">
        <v>298</v>
      </c>
      <c r="E376" s="58">
        <f t="shared" si="11"/>
        <v>0.699</v>
      </c>
      <c r="F376" s="63">
        <v>0.699</v>
      </c>
      <c r="G376" s="63">
        <v>0.0</v>
      </c>
      <c r="H376" s="58">
        <f t="shared" si="1"/>
        <v>0</v>
      </c>
      <c r="I376" s="63">
        <f t="shared" si="12"/>
        <v>0</v>
      </c>
      <c r="J376" s="67">
        <f t="shared" si="13"/>
        <v>0</v>
      </c>
      <c r="K376" s="67">
        <f t="shared" si="10"/>
        <v>0</v>
      </c>
      <c r="L376" s="62"/>
      <c r="M376" s="62"/>
      <c r="N376" s="63" t="s">
        <v>299</v>
      </c>
      <c r="O376" s="65"/>
      <c r="P376" s="65"/>
      <c r="Q376" s="65"/>
      <c r="R376" s="65"/>
      <c r="S376" s="65"/>
      <c r="T376" s="65"/>
      <c r="U376" s="65"/>
      <c r="V376" s="65"/>
      <c r="W376" s="65"/>
      <c r="X376" s="65"/>
      <c r="Y376" s="65"/>
      <c r="Z376" s="65"/>
      <c r="AA376" s="65"/>
      <c r="AB376" s="65"/>
      <c r="AC376" s="65"/>
    </row>
    <row r="377">
      <c r="A377" s="62" t="s">
        <v>295</v>
      </c>
      <c r="B377" s="62" t="s">
        <v>296</v>
      </c>
      <c r="C377" s="63" t="s">
        <v>300</v>
      </c>
      <c r="D377" s="63" t="s">
        <v>298</v>
      </c>
      <c r="E377" s="58">
        <f t="shared" si="11"/>
        <v>0.704</v>
      </c>
      <c r="F377" s="63">
        <v>0.723</v>
      </c>
      <c r="G377" s="63">
        <v>0.019</v>
      </c>
      <c r="H377" s="58">
        <f t="shared" si="1"/>
        <v>0.019</v>
      </c>
      <c r="I377" s="63">
        <f t="shared" si="12"/>
        <v>0.019</v>
      </c>
      <c r="J377" s="67">
        <f t="shared" si="13"/>
        <v>2.698863636</v>
      </c>
      <c r="K377" s="67">
        <f t="shared" si="10"/>
        <v>2.698863636</v>
      </c>
      <c r="L377" s="62"/>
      <c r="M377" s="62"/>
      <c r="N377" s="63" t="s">
        <v>299</v>
      </c>
      <c r="O377" s="65"/>
      <c r="P377" s="65"/>
      <c r="Q377" s="65"/>
      <c r="R377" s="65"/>
      <c r="S377" s="65"/>
      <c r="T377" s="65"/>
      <c r="U377" s="65"/>
      <c r="V377" s="65"/>
      <c r="W377" s="65"/>
      <c r="X377" s="65"/>
      <c r="Y377" s="65"/>
      <c r="Z377" s="65"/>
      <c r="AA377" s="65"/>
      <c r="AB377" s="65"/>
      <c r="AC377" s="65"/>
    </row>
    <row r="378">
      <c r="A378" s="62" t="s">
        <v>295</v>
      </c>
      <c r="B378" s="62" t="s">
        <v>296</v>
      </c>
      <c r="C378" s="63" t="s">
        <v>300</v>
      </c>
      <c r="D378" s="63" t="s">
        <v>298</v>
      </c>
      <c r="E378" s="58">
        <f t="shared" si="11"/>
        <v>0.663</v>
      </c>
      <c r="F378" s="63">
        <v>0.682</v>
      </c>
      <c r="G378" s="63">
        <v>0.019</v>
      </c>
      <c r="H378" s="58">
        <f t="shared" si="1"/>
        <v>0.019</v>
      </c>
      <c r="I378" s="63">
        <f t="shared" si="12"/>
        <v>0.019</v>
      </c>
      <c r="J378" s="67">
        <f t="shared" si="13"/>
        <v>2.865761689</v>
      </c>
      <c r="K378" s="67">
        <f t="shared" si="10"/>
        <v>2.865761689</v>
      </c>
      <c r="L378" s="62"/>
      <c r="M378" s="62"/>
      <c r="N378" s="63" t="s">
        <v>299</v>
      </c>
      <c r="O378" s="65"/>
      <c r="P378" s="65"/>
      <c r="Q378" s="65"/>
      <c r="R378" s="65"/>
      <c r="S378" s="65"/>
      <c r="T378" s="65"/>
      <c r="U378" s="65"/>
      <c r="V378" s="65"/>
      <c r="W378" s="65"/>
      <c r="X378" s="65"/>
      <c r="Y378" s="65"/>
      <c r="Z378" s="65"/>
      <c r="AA378" s="65"/>
      <c r="AB378" s="65"/>
      <c r="AC378" s="65"/>
    </row>
    <row r="379">
      <c r="A379" s="62" t="s">
        <v>295</v>
      </c>
      <c r="B379" s="62" t="s">
        <v>296</v>
      </c>
      <c r="C379" s="63" t="s">
        <v>300</v>
      </c>
      <c r="D379" s="63" t="s">
        <v>298</v>
      </c>
      <c r="E379" s="58">
        <f t="shared" si="11"/>
        <v>0.734</v>
      </c>
      <c r="F379" s="63">
        <v>0.722</v>
      </c>
      <c r="G379" s="63">
        <v>-0.012</v>
      </c>
      <c r="H379" s="58">
        <f t="shared" si="1"/>
        <v>-0.012</v>
      </c>
      <c r="I379" s="63">
        <f t="shared" si="12"/>
        <v>-0.012</v>
      </c>
      <c r="J379" s="67">
        <f t="shared" si="13"/>
        <v>-1.634877384</v>
      </c>
      <c r="K379" s="67">
        <f t="shared" si="10"/>
        <v>-1.634877384</v>
      </c>
      <c r="L379" s="62"/>
      <c r="M379" s="62"/>
      <c r="N379" s="63" t="s">
        <v>299</v>
      </c>
      <c r="O379" s="65"/>
      <c r="P379" s="65"/>
      <c r="Q379" s="65"/>
      <c r="R379" s="65"/>
      <c r="S379" s="65"/>
      <c r="T379" s="65"/>
      <c r="U379" s="65"/>
      <c r="V379" s="65"/>
      <c r="W379" s="65"/>
      <c r="X379" s="65"/>
      <c r="Y379" s="65"/>
      <c r="Z379" s="65"/>
      <c r="AA379" s="65"/>
      <c r="AB379" s="65"/>
      <c r="AC379" s="65"/>
    </row>
    <row r="380">
      <c r="A380" s="62" t="s">
        <v>295</v>
      </c>
      <c r="B380" s="62" t="s">
        <v>296</v>
      </c>
      <c r="C380" s="63" t="s">
        <v>300</v>
      </c>
      <c r="D380" s="63" t="s">
        <v>298</v>
      </c>
      <c r="E380" s="58">
        <f t="shared" si="11"/>
        <v>0.709</v>
      </c>
      <c r="F380" s="63">
        <v>0.713</v>
      </c>
      <c r="G380" s="63">
        <v>0.004</v>
      </c>
      <c r="H380" s="58">
        <f t="shared" si="1"/>
        <v>0.004</v>
      </c>
      <c r="I380" s="63">
        <f t="shared" si="12"/>
        <v>0.004</v>
      </c>
      <c r="J380" s="67">
        <f t="shared" si="13"/>
        <v>0.5641748942</v>
      </c>
      <c r="K380" s="67">
        <f t="shared" si="10"/>
        <v>0.5641748942</v>
      </c>
      <c r="L380" s="62"/>
      <c r="M380" s="62"/>
      <c r="N380" s="63" t="s">
        <v>299</v>
      </c>
      <c r="O380" s="65"/>
      <c r="P380" s="65"/>
      <c r="Q380" s="65"/>
      <c r="R380" s="65"/>
      <c r="S380" s="65"/>
      <c r="T380" s="65"/>
      <c r="U380" s="65"/>
      <c r="V380" s="65"/>
      <c r="W380" s="65"/>
      <c r="X380" s="65"/>
      <c r="Y380" s="65"/>
      <c r="Z380" s="65"/>
      <c r="AA380" s="65"/>
      <c r="AB380" s="65"/>
      <c r="AC380" s="65"/>
    </row>
    <row r="381">
      <c r="A381" s="62" t="s">
        <v>295</v>
      </c>
      <c r="B381" s="62" t="s">
        <v>296</v>
      </c>
      <c r="C381" s="63" t="s">
        <v>300</v>
      </c>
      <c r="D381" s="63" t="s">
        <v>298</v>
      </c>
      <c r="E381" s="58">
        <f t="shared" si="11"/>
        <v>0.712</v>
      </c>
      <c r="F381" s="63">
        <v>0.72</v>
      </c>
      <c r="G381" s="63">
        <v>0.008</v>
      </c>
      <c r="H381" s="58">
        <f t="shared" si="1"/>
        <v>0.008</v>
      </c>
      <c r="I381" s="63">
        <f t="shared" si="12"/>
        <v>0.008</v>
      </c>
      <c r="J381" s="67">
        <f t="shared" si="13"/>
        <v>1.123595506</v>
      </c>
      <c r="K381" s="67">
        <f t="shared" si="10"/>
        <v>1.123595506</v>
      </c>
      <c r="L381" s="62"/>
      <c r="M381" s="62"/>
      <c r="N381" s="63" t="s">
        <v>299</v>
      </c>
      <c r="O381" s="65"/>
      <c r="P381" s="65"/>
      <c r="Q381" s="65"/>
      <c r="R381" s="65"/>
      <c r="S381" s="65"/>
      <c r="T381" s="65"/>
      <c r="U381" s="65"/>
      <c r="V381" s="65"/>
      <c r="W381" s="65"/>
      <c r="X381" s="65"/>
      <c r="Y381" s="65"/>
      <c r="Z381" s="65"/>
      <c r="AA381" s="65"/>
      <c r="AB381" s="65"/>
      <c r="AC381" s="65"/>
    </row>
    <row r="382">
      <c r="A382" s="62" t="s">
        <v>295</v>
      </c>
      <c r="B382" s="62" t="s">
        <v>296</v>
      </c>
      <c r="C382" s="63" t="s">
        <v>300</v>
      </c>
      <c r="D382" s="63" t="s">
        <v>298</v>
      </c>
      <c r="E382" s="58">
        <f t="shared" si="11"/>
        <v>0.625</v>
      </c>
      <c r="F382" s="63">
        <v>0.66</v>
      </c>
      <c r="G382" s="63">
        <v>0.035</v>
      </c>
      <c r="H382" s="58">
        <f t="shared" si="1"/>
        <v>0.035</v>
      </c>
      <c r="I382" s="63">
        <f t="shared" si="12"/>
        <v>0.035</v>
      </c>
      <c r="J382" s="67">
        <f t="shared" si="13"/>
        <v>5.6</v>
      </c>
      <c r="K382" s="67">
        <f t="shared" si="10"/>
        <v>5.6</v>
      </c>
      <c r="L382" s="62"/>
      <c r="M382" s="62"/>
      <c r="N382" s="63" t="s">
        <v>299</v>
      </c>
      <c r="O382" s="65"/>
      <c r="P382" s="65"/>
      <c r="Q382" s="65"/>
      <c r="R382" s="65"/>
      <c r="S382" s="65"/>
      <c r="T382" s="65"/>
      <c r="U382" s="65"/>
      <c r="V382" s="65"/>
      <c r="W382" s="65"/>
      <c r="X382" s="65"/>
      <c r="Y382" s="65"/>
      <c r="Z382" s="65"/>
      <c r="AA382" s="65"/>
      <c r="AB382" s="65"/>
      <c r="AC382" s="65"/>
    </row>
    <row r="383">
      <c r="A383" s="62" t="s">
        <v>295</v>
      </c>
      <c r="B383" s="62" t="s">
        <v>296</v>
      </c>
      <c r="C383" s="63" t="s">
        <v>301</v>
      </c>
      <c r="D383" s="63" t="s">
        <v>298</v>
      </c>
      <c r="E383" s="58">
        <f t="shared" si="11"/>
        <v>0.5531</v>
      </c>
      <c r="F383" s="63">
        <v>0.5531</v>
      </c>
      <c r="G383" s="63">
        <v>0.0</v>
      </c>
      <c r="H383" s="58">
        <f t="shared" si="1"/>
        <v>0</v>
      </c>
      <c r="I383" s="63">
        <f t="shared" si="12"/>
        <v>0</v>
      </c>
      <c r="J383" s="67">
        <f t="shared" si="13"/>
        <v>0</v>
      </c>
      <c r="K383" s="67">
        <f t="shared" si="10"/>
        <v>0</v>
      </c>
      <c r="L383" s="62"/>
      <c r="M383" s="62"/>
      <c r="N383" s="63" t="s">
        <v>299</v>
      </c>
      <c r="O383" s="65"/>
      <c r="P383" s="65"/>
      <c r="Q383" s="65"/>
      <c r="R383" s="65"/>
      <c r="S383" s="65"/>
      <c r="T383" s="65"/>
      <c r="U383" s="65"/>
      <c r="V383" s="65"/>
      <c r="W383" s="65"/>
      <c r="X383" s="65"/>
      <c r="Y383" s="65"/>
      <c r="Z383" s="65"/>
      <c r="AA383" s="65"/>
      <c r="AB383" s="65"/>
      <c r="AC383" s="65"/>
    </row>
    <row r="384">
      <c r="A384" s="62" t="s">
        <v>295</v>
      </c>
      <c r="B384" s="62" t="s">
        <v>296</v>
      </c>
      <c r="C384" s="63" t="s">
        <v>301</v>
      </c>
      <c r="D384" s="63" t="s">
        <v>298</v>
      </c>
      <c r="E384" s="58">
        <f t="shared" si="11"/>
        <v>0.758</v>
      </c>
      <c r="F384" s="63">
        <v>0.743</v>
      </c>
      <c r="G384" s="63">
        <v>-0.015</v>
      </c>
      <c r="H384" s="58">
        <f t="shared" si="1"/>
        <v>-0.015</v>
      </c>
      <c r="I384" s="63">
        <f t="shared" si="12"/>
        <v>-0.015</v>
      </c>
      <c r="J384" s="67">
        <f t="shared" si="13"/>
        <v>-1.978891821</v>
      </c>
      <c r="K384" s="67">
        <f t="shared" si="10"/>
        <v>-1.978891821</v>
      </c>
      <c r="L384" s="62"/>
      <c r="M384" s="62"/>
      <c r="N384" s="63" t="s">
        <v>299</v>
      </c>
      <c r="O384" s="65"/>
      <c r="P384" s="65"/>
      <c r="Q384" s="65"/>
      <c r="R384" s="65"/>
      <c r="S384" s="65"/>
      <c r="T384" s="65"/>
      <c r="U384" s="65"/>
      <c r="V384" s="65"/>
      <c r="W384" s="65"/>
      <c r="X384" s="65"/>
      <c r="Y384" s="65"/>
      <c r="Z384" s="65"/>
      <c r="AA384" s="65"/>
      <c r="AB384" s="65"/>
      <c r="AC384" s="65"/>
    </row>
    <row r="385">
      <c r="A385" s="62" t="s">
        <v>295</v>
      </c>
      <c r="B385" s="62" t="s">
        <v>296</v>
      </c>
      <c r="C385" s="63" t="s">
        <v>301</v>
      </c>
      <c r="D385" s="63" t="s">
        <v>298</v>
      </c>
      <c r="E385" s="58">
        <f t="shared" si="11"/>
        <v>0.624</v>
      </c>
      <c r="F385" s="63">
        <v>0.648</v>
      </c>
      <c r="G385" s="63">
        <v>0.024</v>
      </c>
      <c r="H385" s="58">
        <f t="shared" si="1"/>
        <v>0.024</v>
      </c>
      <c r="I385" s="63">
        <f t="shared" si="12"/>
        <v>0.024</v>
      </c>
      <c r="J385" s="67">
        <f t="shared" si="13"/>
        <v>3.846153846</v>
      </c>
      <c r="K385" s="67">
        <f t="shared" si="10"/>
        <v>3.846153846</v>
      </c>
      <c r="L385" s="62"/>
      <c r="M385" s="62"/>
      <c r="N385" s="63" t="s">
        <v>299</v>
      </c>
      <c r="O385" s="65"/>
      <c r="P385" s="65"/>
      <c r="Q385" s="65"/>
      <c r="R385" s="65"/>
      <c r="S385" s="65"/>
      <c r="T385" s="65"/>
      <c r="U385" s="65"/>
      <c r="V385" s="65"/>
      <c r="W385" s="65"/>
      <c r="X385" s="65"/>
      <c r="Y385" s="65"/>
      <c r="Z385" s="65"/>
      <c r="AA385" s="65"/>
      <c r="AB385" s="65"/>
      <c r="AC385" s="65"/>
    </row>
    <row r="386">
      <c r="A386" s="62" t="s">
        <v>295</v>
      </c>
      <c r="B386" s="62" t="s">
        <v>296</v>
      </c>
      <c r="C386" s="63" t="s">
        <v>301</v>
      </c>
      <c r="D386" s="63" t="s">
        <v>298</v>
      </c>
      <c r="E386" s="58">
        <f t="shared" si="11"/>
        <v>0.6201</v>
      </c>
      <c r="F386" s="63">
        <v>0.6251</v>
      </c>
      <c r="G386" s="63">
        <v>0.005</v>
      </c>
      <c r="H386" s="58">
        <f t="shared" si="1"/>
        <v>0.005</v>
      </c>
      <c r="I386" s="63">
        <f t="shared" si="12"/>
        <v>0.005</v>
      </c>
      <c r="J386" s="67">
        <f t="shared" si="13"/>
        <v>0.806321561</v>
      </c>
      <c r="K386" s="67">
        <f t="shared" si="10"/>
        <v>0.806321561</v>
      </c>
      <c r="L386" s="62"/>
      <c r="M386" s="62"/>
      <c r="N386" s="63" t="s">
        <v>299</v>
      </c>
      <c r="O386" s="65"/>
      <c r="P386" s="65"/>
      <c r="Q386" s="65"/>
      <c r="R386" s="65"/>
      <c r="S386" s="65"/>
      <c r="T386" s="65"/>
      <c r="U386" s="65"/>
      <c r="V386" s="65"/>
      <c r="W386" s="65"/>
      <c r="X386" s="65"/>
      <c r="Y386" s="65"/>
      <c r="Z386" s="65"/>
      <c r="AA386" s="65"/>
      <c r="AB386" s="65"/>
      <c r="AC386" s="65"/>
    </row>
    <row r="387">
      <c r="A387" s="62" t="s">
        <v>295</v>
      </c>
      <c r="B387" s="62" t="s">
        <v>296</v>
      </c>
      <c r="C387" s="63" t="s">
        <v>301</v>
      </c>
      <c r="D387" s="63" t="s">
        <v>298</v>
      </c>
      <c r="E387" s="58">
        <f t="shared" si="11"/>
        <v>0.4871</v>
      </c>
      <c r="F387" s="63">
        <v>0.4871</v>
      </c>
      <c r="G387" s="63">
        <v>0.0</v>
      </c>
      <c r="H387" s="58">
        <f t="shared" si="1"/>
        <v>0</v>
      </c>
      <c r="I387" s="63">
        <f t="shared" si="12"/>
        <v>0</v>
      </c>
      <c r="J387" s="67">
        <f t="shared" si="13"/>
        <v>0</v>
      </c>
      <c r="K387" s="67">
        <f t="shared" si="10"/>
        <v>0</v>
      </c>
      <c r="L387" s="62"/>
      <c r="M387" s="62"/>
      <c r="N387" s="63" t="s">
        <v>299</v>
      </c>
      <c r="O387" s="65"/>
      <c r="P387" s="65"/>
      <c r="Q387" s="65"/>
      <c r="R387" s="65"/>
      <c r="S387" s="65"/>
      <c r="T387" s="65"/>
      <c r="U387" s="65"/>
      <c r="V387" s="65"/>
      <c r="W387" s="65"/>
      <c r="X387" s="65"/>
      <c r="Y387" s="65"/>
      <c r="Z387" s="65"/>
      <c r="AA387" s="65"/>
      <c r="AB387" s="65"/>
      <c r="AC387" s="65"/>
    </row>
    <row r="388">
      <c r="A388" s="62" t="s">
        <v>295</v>
      </c>
      <c r="B388" s="62" t="s">
        <v>296</v>
      </c>
      <c r="C388" s="63" t="s">
        <v>301</v>
      </c>
      <c r="D388" s="63" t="s">
        <v>298</v>
      </c>
      <c r="E388" s="58">
        <f t="shared" si="11"/>
        <v>0.649</v>
      </c>
      <c r="F388" s="63">
        <v>0.673</v>
      </c>
      <c r="G388" s="63">
        <v>0.024</v>
      </c>
      <c r="H388" s="58">
        <f t="shared" si="1"/>
        <v>0.024</v>
      </c>
      <c r="I388" s="63">
        <f t="shared" si="12"/>
        <v>0.024</v>
      </c>
      <c r="J388" s="67">
        <f t="shared" si="13"/>
        <v>3.697996918</v>
      </c>
      <c r="K388" s="67">
        <f t="shared" si="10"/>
        <v>3.697996918</v>
      </c>
      <c r="L388" s="62"/>
      <c r="M388" s="62"/>
      <c r="N388" s="63" t="s">
        <v>299</v>
      </c>
      <c r="O388" s="65"/>
      <c r="P388" s="65"/>
      <c r="Q388" s="65"/>
      <c r="R388" s="65"/>
      <c r="S388" s="65"/>
      <c r="T388" s="65"/>
      <c r="U388" s="65"/>
      <c r="V388" s="65"/>
      <c r="W388" s="65"/>
      <c r="X388" s="65"/>
      <c r="Y388" s="65"/>
      <c r="Z388" s="65"/>
      <c r="AA388" s="65"/>
      <c r="AB388" s="65"/>
      <c r="AC388" s="65"/>
    </row>
    <row r="389">
      <c r="A389" s="62" t="s">
        <v>295</v>
      </c>
      <c r="B389" s="62" t="s">
        <v>296</v>
      </c>
      <c r="C389" s="63" t="s">
        <v>301</v>
      </c>
      <c r="D389" s="63" t="s">
        <v>298</v>
      </c>
      <c r="E389" s="58">
        <f t="shared" si="11"/>
        <v>0.653</v>
      </c>
      <c r="F389" s="63">
        <v>0.67</v>
      </c>
      <c r="G389" s="63">
        <v>0.017</v>
      </c>
      <c r="H389" s="58">
        <f t="shared" si="1"/>
        <v>0.017</v>
      </c>
      <c r="I389" s="63">
        <f t="shared" si="12"/>
        <v>0.017</v>
      </c>
      <c r="J389" s="67">
        <f t="shared" si="13"/>
        <v>2.603369066</v>
      </c>
      <c r="K389" s="67">
        <f t="shared" si="10"/>
        <v>2.603369066</v>
      </c>
      <c r="L389" s="62"/>
      <c r="M389" s="62"/>
      <c r="N389" s="63" t="s">
        <v>299</v>
      </c>
      <c r="O389" s="65"/>
      <c r="P389" s="65"/>
      <c r="Q389" s="65"/>
      <c r="R389" s="65"/>
      <c r="S389" s="65"/>
      <c r="T389" s="65"/>
      <c r="U389" s="65"/>
      <c r="V389" s="65"/>
      <c r="W389" s="65"/>
      <c r="X389" s="65"/>
      <c r="Y389" s="65"/>
      <c r="Z389" s="65"/>
      <c r="AA389" s="65"/>
      <c r="AB389" s="65"/>
      <c r="AC389" s="65"/>
    </row>
    <row r="390">
      <c r="A390" s="62" t="s">
        <v>295</v>
      </c>
      <c r="B390" s="62" t="s">
        <v>296</v>
      </c>
      <c r="C390" s="63" t="s">
        <v>301</v>
      </c>
      <c r="D390" s="63" t="s">
        <v>298</v>
      </c>
      <c r="E390" s="58">
        <f t="shared" si="11"/>
        <v>0.475</v>
      </c>
      <c r="F390" s="63">
        <v>0.562</v>
      </c>
      <c r="G390" s="63">
        <v>0.087</v>
      </c>
      <c r="H390" s="58">
        <f t="shared" si="1"/>
        <v>0.087</v>
      </c>
      <c r="I390" s="63">
        <f t="shared" si="12"/>
        <v>0.087</v>
      </c>
      <c r="J390" s="67">
        <f t="shared" si="13"/>
        <v>18.31578947</v>
      </c>
      <c r="K390" s="67">
        <f t="shared" si="10"/>
        <v>18.31578947</v>
      </c>
      <c r="L390" s="62"/>
      <c r="M390" s="62"/>
      <c r="N390" s="63" t="s">
        <v>299</v>
      </c>
      <c r="O390" s="65"/>
      <c r="P390" s="65"/>
      <c r="Q390" s="65"/>
      <c r="R390" s="65"/>
      <c r="S390" s="65"/>
      <c r="T390" s="65"/>
      <c r="U390" s="65"/>
      <c r="V390" s="65"/>
      <c r="W390" s="65"/>
      <c r="X390" s="65"/>
      <c r="Y390" s="65"/>
      <c r="Z390" s="65"/>
      <c r="AA390" s="65"/>
      <c r="AB390" s="65"/>
      <c r="AC390" s="65"/>
    </row>
    <row r="391">
      <c r="A391" s="55" t="s">
        <v>295</v>
      </c>
      <c r="B391" s="55" t="s">
        <v>302</v>
      </c>
      <c r="C391" s="58" t="s">
        <v>297</v>
      </c>
      <c r="D391" s="63" t="s">
        <v>298</v>
      </c>
      <c r="E391" s="58">
        <f t="shared" si="11"/>
        <v>42.8</v>
      </c>
      <c r="F391" s="58">
        <v>49.3</v>
      </c>
      <c r="G391" s="58">
        <v>6.5</v>
      </c>
      <c r="H391" s="58">
        <f t="shared" si="1"/>
        <v>6.5</v>
      </c>
      <c r="I391" s="58">
        <f t="shared" si="12"/>
        <v>6.5</v>
      </c>
      <c r="J391" s="61">
        <f t="shared" si="13"/>
        <v>15.18691589</v>
      </c>
      <c r="K391" s="61">
        <f t="shared" si="10"/>
        <v>15.18691589</v>
      </c>
      <c r="L391" s="57"/>
      <c r="M391" s="57"/>
      <c r="N391" s="58" t="s">
        <v>303</v>
      </c>
      <c r="O391" s="53"/>
      <c r="P391" s="53"/>
      <c r="Q391" s="53"/>
      <c r="R391" s="53"/>
      <c r="S391" s="53"/>
      <c r="T391" s="53"/>
      <c r="U391" s="53"/>
      <c r="V391" s="53"/>
      <c r="W391" s="53"/>
      <c r="X391" s="53"/>
      <c r="Y391" s="53"/>
      <c r="Z391" s="53"/>
      <c r="AA391" s="53"/>
      <c r="AB391" s="53"/>
      <c r="AC391" s="53"/>
    </row>
    <row r="392">
      <c r="A392" s="62" t="s">
        <v>295</v>
      </c>
      <c r="B392" s="62" t="s">
        <v>302</v>
      </c>
      <c r="C392" s="63" t="s">
        <v>297</v>
      </c>
      <c r="D392" s="63" t="s">
        <v>298</v>
      </c>
      <c r="E392" s="58">
        <f t="shared" si="11"/>
        <v>72.1</v>
      </c>
      <c r="F392" s="63">
        <v>60.3</v>
      </c>
      <c r="G392" s="63">
        <v>-11.8</v>
      </c>
      <c r="H392" s="58">
        <f t="shared" si="1"/>
        <v>-11.8</v>
      </c>
      <c r="I392" s="63">
        <f t="shared" si="12"/>
        <v>-11.8</v>
      </c>
      <c r="J392" s="67">
        <f t="shared" si="13"/>
        <v>-16.36615811</v>
      </c>
      <c r="K392" s="67">
        <f t="shared" si="10"/>
        <v>-16.36615811</v>
      </c>
      <c r="L392" s="62"/>
      <c r="M392" s="62"/>
      <c r="N392" s="63" t="s">
        <v>303</v>
      </c>
      <c r="O392" s="65"/>
      <c r="P392" s="65"/>
      <c r="Q392" s="65"/>
      <c r="R392" s="65"/>
      <c r="S392" s="65"/>
      <c r="T392" s="65"/>
      <c r="U392" s="65"/>
      <c r="V392" s="65"/>
      <c r="W392" s="65"/>
      <c r="X392" s="65"/>
      <c r="Y392" s="65"/>
      <c r="Z392" s="65"/>
      <c r="AA392" s="65"/>
      <c r="AB392" s="65"/>
      <c r="AC392" s="65"/>
    </row>
    <row r="393">
      <c r="A393" s="62" t="s">
        <v>295</v>
      </c>
      <c r="B393" s="62" t="s">
        <v>302</v>
      </c>
      <c r="C393" s="63" t="s">
        <v>297</v>
      </c>
      <c r="D393" s="63" t="s">
        <v>298</v>
      </c>
      <c r="E393" s="58">
        <f t="shared" si="11"/>
        <v>72.6</v>
      </c>
      <c r="F393" s="63">
        <v>68.1</v>
      </c>
      <c r="G393" s="63">
        <v>-4.5</v>
      </c>
      <c r="H393" s="58">
        <f t="shared" si="1"/>
        <v>-4.5</v>
      </c>
      <c r="I393" s="63">
        <f t="shared" si="12"/>
        <v>-4.5</v>
      </c>
      <c r="J393" s="67">
        <f t="shared" si="13"/>
        <v>-6.198347107</v>
      </c>
      <c r="K393" s="67">
        <f t="shared" si="10"/>
        <v>-6.198347107</v>
      </c>
      <c r="L393" s="62"/>
      <c r="M393" s="62"/>
      <c r="N393" s="63" t="s">
        <v>303</v>
      </c>
      <c r="O393" s="65"/>
      <c r="P393" s="65"/>
      <c r="Q393" s="65"/>
      <c r="R393" s="65"/>
      <c r="S393" s="65"/>
      <c r="T393" s="65"/>
      <c r="U393" s="65"/>
      <c r="V393" s="65"/>
      <c r="W393" s="65"/>
      <c r="X393" s="65"/>
      <c r="Y393" s="65"/>
      <c r="Z393" s="65"/>
      <c r="AA393" s="65"/>
      <c r="AB393" s="65"/>
      <c r="AC393" s="65"/>
    </row>
    <row r="394">
      <c r="A394" s="62" t="s">
        <v>295</v>
      </c>
      <c r="B394" s="62" t="s">
        <v>302</v>
      </c>
      <c r="C394" s="63" t="s">
        <v>297</v>
      </c>
      <c r="D394" s="63" t="s">
        <v>298</v>
      </c>
      <c r="E394" s="58">
        <f t="shared" si="11"/>
        <v>70.3</v>
      </c>
      <c r="F394" s="63">
        <v>66.0</v>
      </c>
      <c r="G394" s="63">
        <v>-4.3</v>
      </c>
      <c r="H394" s="58">
        <f t="shared" si="1"/>
        <v>-4.3</v>
      </c>
      <c r="I394" s="63">
        <f t="shared" si="12"/>
        <v>-4.3</v>
      </c>
      <c r="J394" s="67">
        <f t="shared" si="13"/>
        <v>-6.116642959</v>
      </c>
      <c r="K394" s="67">
        <f t="shared" si="10"/>
        <v>-6.116642959</v>
      </c>
      <c r="L394" s="62"/>
      <c r="M394" s="62"/>
      <c r="N394" s="63" t="s">
        <v>303</v>
      </c>
      <c r="O394" s="65"/>
      <c r="P394" s="65"/>
      <c r="Q394" s="65"/>
      <c r="R394" s="65"/>
      <c r="S394" s="65"/>
      <c r="T394" s="65"/>
      <c r="U394" s="65"/>
      <c r="V394" s="65"/>
      <c r="W394" s="65"/>
      <c r="X394" s="65"/>
      <c r="Y394" s="65"/>
      <c r="Z394" s="65"/>
      <c r="AA394" s="65"/>
      <c r="AB394" s="65"/>
      <c r="AC394" s="65"/>
    </row>
    <row r="395">
      <c r="A395" s="62" t="s">
        <v>295</v>
      </c>
      <c r="B395" s="62" t="s">
        <v>302</v>
      </c>
      <c r="C395" s="63" t="s">
        <v>297</v>
      </c>
      <c r="D395" s="63" t="s">
        <v>298</v>
      </c>
      <c r="E395" s="58">
        <f t="shared" si="11"/>
        <v>44.9</v>
      </c>
      <c r="F395" s="63">
        <v>60.0</v>
      </c>
      <c r="G395" s="63">
        <v>15.1</v>
      </c>
      <c r="H395" s="58">
        <f t="shared" si="1"/>
        <v>15.1</v>
      </c>
      <c r="I395" s="63">
        <f t="shared" si="12"/>
        <v>15.1</v>
      </c>
      <c r="J395" s="67">
        <f t="shared" si="13"/>
        <v>33.63028953</v>
      </c>
      <c r="K395" s="67">
        <f t="shared" si="10"/>
        <v>33.63028953</v>
      </c>
      <c r="L395" s="62"/>
      <c r="M395" s="62"/>
      <c r="N395" s="63" t="s">
        <v>303</v>
      </c>
      <c r="O395" s="65"/>
      <c r="P395" s="65"/>
      <c r="Q395" s="65"/>
      <c r="R395" s="65"/>
      <c r="S395" s="65"/>
      <c r="T395" s="65"/>
      <c r="U395" s="65"/>
      <c r="V395" s="65"/>
      <c r="W395" s="65"/>
      <c r="X395" s="65"/>
      <c r="Y395" s="65"/>
      <c r="Z395" s="65"/>
      <c r="AA395" s="65"/>
      <c r="AB395" s="65"/>
      <c r="AC395" s="65"/>
    </row>
    <row r="396">
      <c r="A396" s="62" t="s">
        <v>295</v>
      </c>
      <c r="B396" s="62" t="s">
        <v>302</v>
      </c>
      <c r="C396" s="63" t="s">
        <v>297</v>
      </c>
      <c r="D396" s="63" t="s">
        <v>298</v>
      </c>
      <c r="E396" s="58">
        <f t="shared" si="11"/>
        <v>69.3</v>
      </c>
      <c r="F396" s="63">
        <v>65.8</v>
      </c>
      <c r="G396" s="63">
        <v>-3.5</v>
      </c>
      <c r="H396" s="58">
        <f t="shared" si="1"/>
        <v>-3.5</v>
      </c>
      <c r="I396" s="63">
        <f t="shared" si="12"/>
        <v>-3.5</v>
      </c>
      <c r="J396" s="67">
        <f t="shared" si="13"/>
        <v>-5.050505051</v>
      </c>
      <c r="K396" s="67">
        <f t="shared" si="10"/>
        <v>-5.050505051</v>
      </c>
      <c r="L396" s="62"/>
      <c r="M396" s="62"/>
      <c r="N396" s="63" t="s">
        <v>303</v>
      </c>
      <c r="O396" s="65"/>
      <c r="P396" s="65"/>
      <c r="Q396" s="65"/>
      <c r="R396" s="65"/>
      <c r="S396" s="65"/>
      <c r="T396" s="65"/>
      <c r="U396" s="65"/>
      <c r="V396" s="65"/>
      <c r="W396" s="65"/>
      <c r="X396" s="65"/>
      <c r="Y396" s="65"/>
      <c r="Z396" s="65"/>
      <c r="AA396" s="65"/>
      <c r="AB396" s="65"/>
      <c r="AC396" s="65"/>
    </row>
    <row r="397">
      <c r="A397" s="62" t="s">
        <v>295</v>
      </c>
      <c r="B397" s="62" t="s">
        <v>302</v>
      </c>
      <c r="C397" s="63" t="s">
        <v>297</v>
      </c>
      <c r="D397" s="63" t="s">
        <v>298</v>
      </c>
      <c r="E397" s="58">
        <f t="shared" si="11"/>
        <v>71.9</v>
      </c>
      <c r="F397" s="63">
        <v>60.4</v>
      </c>
      <c r="G397" s="63">
        <v>-11.5</v>
      </c>
      <c r="H397" s="58">
        <f t="shared" si="1"/>
        <v>-11.5</v>
      </c>
      <c r="I397" s="63">
        <f t="shared" si="12"/>
        <v>-11.5</v>
      </c>
      <c r="J397" s="67">
        <f t="shared" si="13"/>
        <v>-15.99443672</v>
      </c>
      <c r="K397" s="67">
        <f t="shared" si="10"/>
        <v>-15.99443672</v>
      </c>
      <c r="L397" s="62"/>
      <c r="M397" s="62"/>
      <c r="N397" s="63" t="s">
        <v>303</v>
      </c>
      <c r="O397" s="65"/>
      <c r="P397" s="65"/>
      <c r="Q397" s="65"/>
      <c r="R397" s="65"/>
      <c r="S397" s="65"/>
      <c r="T397" s="65"/>
      <c r="U397" s="65"/>
      <c r="V397" s="65"/>
      <c r="W397" s="65"/>
      <c r="X397" s="65"/>
      <c r="Y397" s="65"/>
      <c r="Z397" s="65"/>
      <c r="AA397" s="65"/>
      <c r="AB397" s="65"/>
      <c r="AC397" s="65"/>
    </row>
    <row r="398">
      <c r="A398" s="62" t="s">
        <v>295</v>
      </c>
      <c r="B398" s="62" t="s">
        <v>302</v>
      </c>
      <c r="C398" s="63" t="s">
        <v>297</v>
      </c>
      <c r="D398" s="63" t="s">
        <v>298</v>
      </c>
      <c r="E398" s="58">
        <f t="shared" si="11"/>
        <v>72.4</v>
      </c>
      <c r="F398" s="63">
        <v>68.0</v>
      </c>
      <c r="G398" s="63">
        <v>-4.4</v>
      </c>
      <c r="H398" s="58">
        <f t="shared" si="1"/>
        <v>-4.4</v>
      </c>
      <c r="I398" s="63">
        <f t="shared" si="12"/>
        <v>-4.4</v>
      </c>
      <c r="J398" s="67">
        <f t="shared" si="13"/>
        <v>-6.077348066</v>
      </c>
      <c r="K398" s="67">
        <f t="shared" si="10"/>
        <v>-6.077348066</v>
      </c>
      <c r="L398" s="62"/>
      <c r="M398" s="62"/>
      <c r="N398" s="63" t="s">
        <v>303</v>
      </c>
      <c r="O398" s="65"/>
      <c r="P398" s="65"/>
      <c r="Q398" s="65"/>
      <c r="R398" s="65"/>
      <c r="S398" s="65"/>
      <c r="T398" s="65"/>
      <c r="U398" s="65"/>
      <c r="V398" s="65"/>
      <c r="W398" s="65"/>
      <c r="X398" s="65"/>
      <c r="Y398" s="65"/>
      <c r="Z398" s="65"/>
      <c r="AA398" s="65"/>
      <c r="AB398" s="65"/>
      <c r="AC398" s="65"/>
    </row>
    <row r="399">
      <c r="A399" s="62" t="s">
        <v>295</v>
      </c>
      <c r="B399" s="62" t="s">
        <v>302</v>
      </c>
      <c r="C399" s="63" t="s">
        <v>297</v>
      </c>
      <c r="D399" s="63" t="s">
        <v>298</v>
      </c>
      <c r="E399" s="58">
        <f t="shared" si="11"/>
        <v>69.3</v>
      </c>
      <c r="F399" s="63">
        <v>66.1</v>
      </c>
      <c r="G399" s="63">
        <v>-3.2</v>
      </c>
      <c r="H399" s="58">
        <f t="shared" si="1"/>
        <v>-3.2</v>
      </c>
      <c r="I399" s="63">
        <f t="shared" si="12"/>
        <v>-3.2</v>
      </c>
      <c r="J399" s="67">
        <f t="shared" si="13"/>
        <v>-4.617604618</v>
      </c>
      <c r="K399" s="67">
        <f t="shared" si="10"/>
        <v>-4.617604618</v>
      </c>
      <c r="L399" s="62"/>
      <c r="M399" s="62"/>
      <c r="N399" s="63" t="s">
        <v>303</v>
      </c>
      <c r="O399" s="65"/>
      <c r="P399" s="65"/>
      <c r="Q399" s="65"/>
      <c r="R399" s="65"/>
      <c r="S399" s="65"/>
      <c r="T399" s="65"/>
      <c r="U399" s="65"/>
      <c r="V399" s="65"/>
      <c r="W399" s="65"/>
      <c r="X399" s="65"/>
      <c r="Y399" s="65"/>
      <c r="Z399" s="65"/>
      <c r="AA399" s="65"/>
      <c r="AB399" s="65"/>
      <c r="AC399" s="65"/>
    </row>
    <row r="400">
      <c r="A400" s="62" t="s">
        <v>295</v>
      </c>
      <c r="B400" s="62" t="s">
        <v>302</v>
      </c>
      <c r="C400" s="63" t="s">
        <v>297</v>
      </c>
      <c r="D400" s="63" t="s">
        <v>298</v>
      </c>
      <c r="E400" s="58">
        <f t="shared" si="11"/>
        <v>47.1</v>
      </c>
      <c r="F400" s="63">
        <v>64.7</v>
      </c>
      <c r="G400" s="63">
        <v>17.6</v>
      </c>
      <c r="H400" s="58">
        <f t="shared" si="1"/>
        <v>17.6</v>
      </c>
      <c r="I400" s="63">
        <f t="shared" si="12"/>
        <v>17.6</v>
      </c>
      <c r="J400" s="67">
        <f t="shared" si="13"/>
        <v>37.36730361</v>
      </c>
      <c r="K400" s="67">
        <f t="shared" si="10"/>
        <v>37.36730361</v>
      </c>
      <c r="L400" s="62"/>
      <c r="M400" s="62"/>
      <c r="N400" s="63" t="s">
        <v>303</v>
      </c>
      <c r="O400" s="65"/>
      <c r="P400" s="65"/>
      <c r="Q400" s="65"/>
      <c r="R400" s="65"/>
      <c r="S400" s="65"/>
      <c r="T400" s="65"/>
      <c r="U400" s="65"/>
      <c r="V400" s="65"/>
      <c r="W400" s="65"/>
      <c r="X400" s="65"/>
      <c r="Y400" s="65"/>
      <c r="Z400" s="65"/>
      <c r="AA400" s="65"/>
      <c r="AB400" s="65"/>
      <c r="AC400" s="65"/>
    </row>
    <row r="401">
      <c r="A401" s="62" t="s">
        <v>295</v>
      </c>
      <c r="B401" s="62" t="s">
        <v>302</v>
      </c>
      <c r="C401" s="63" t="s">
        <v>297</v>
      </c>
      <c r="D401" s="63" t="s">
        <v>298</v>
      </c>
      <c r="E401" s="58">
        <f t="shared" si="11"/>
        <v>68.9</v>
      </c>
      <c r="F401" s="63">
        <v>66.2</v>
      </c>
      <c r="G401" s="63">
        <v>-2.7</v>
      </c>
      <c r="H401" s="58">
        <f t="shared" si="1"/>
        <v>-2.7</v>
      </c>
      <c r="I401" s="63">
        <f t="shared" si="12"/>
        <v>-2.7</v>
      </c>
      <c r="J401" s="67">
        <f t="shared" si="13"/>
        <v>-3.918722787</v>
      </c>
      <c r="K401" s="67">
        <f t="shared" si="10"/>
        <v>-3.918722787</v>
      </c>
      <c r="L401" s="62"/>
      <c r="M401" s="62"/>
      <c r="N401" s="63" t="s">
        <v>303</v>
      </c>
      <c r="O401" s="65"/>
      <c r="P401" s="65"/>
      <c r="Q401" s="65"/>
      <c r="R401" s="65"/>
      <c r="S401" s="65"/>
      <c r="T401" s="65"/>
      <c r="U401" s="65"/>
      <c r="V401" s="65"/>
      <c r="W401" s="65"/>
      <c r="X401" s="65"/>
      <c r="Y401" s="65"/>
      <c r="Z401" s="65"/>
      <c r="AA401" s="65"/>
      <c r="AB401" s="65"/>
      <c r="AC401" s="65"/>
    </row>
    <row r="402">
      <c r="A402" s="62" t="s">
        <v>295</v>
      </c>
      <c r="B402" s="62" t="s">
        <v>302</v>
      </c>
      <c r="C402" s="63" t="s">
        <v>300</v>
      </c>
      <c r="D402" s="63" t="s">
        <v>298</v>
      </c>
      <c r="E402" s="58">
        <f t="shared" si="11"/>
        <v>47.9</v>
      </c>
      <c r="F402" s="63">
        <v>61.6</v>
      </c>
      <c r="G402" s="63">
        <v>13.7</v>
      </c>
      <c r="H402" s="58">
        <f t="shared" si="1"/>
        <v>13.7</v>
      </c>
      <c r="I402" s="63">
        <f t="shared" si="12"/>
        <v>13.7</v>
      </c>
      <c r="J402" s="67">
        <f t="shared" si="13"/>
        <v>28.60125261</v>
      </c>
      <c r="K402" s="67">
        <f t="shared" si="10"/>
        <v>28.60125261</v>
      </c>
      <c r="L402" s="62"/>
      <c r="M402" s="62"/>
      <c r="N402" s="63" t="s">
        <v>303</v>
      </c>
      <c r="O402" s="65"/>
      <c r="P402" s="65"/>
      <c r="Q402" s="65"/>
      <c r="R402" s="65"/>
      <c r="S402" s="65"/>
      <c r="T402" s="65"/>
      <c r="U402" s="65"/>
      <c r="V402" s="65"/>
      <c r="W402" s="65"/>
      <c r="X402" s="65"/>
      <c r="Y402" s="65"/>
      <c r="Z402" s="65"/>
      <c r="AA402" s="65"/>
      <c r="AB402" s="65"/>
      <c r="AC402" s="65"/>
    </row>
    <row r="403">
      <c r="A403" s="62" t="s">
        <v>295</v>
      </c>
      <c r="B403" s="62" t="s">
        <v>302</v>
      </c>
      <c r="C403" s="63" t="s">
        <v>300</v>
      </c>
      <c r="D403" s="63" t="s">
        <v>298</v>
      </c>
      <c r="E403" s="58">
        <f t="shared" si="11"/>
        <v>66.6</v>
      </c>
      <c r="F403" s="63">
        <v>59.8</v>
      </c>
      <c r="G403" s="63">
        <v>-6.8</v>
      </c>
      <c r="H403" s="58">
        <f t="shared" si="1"/>
        <v>-6.8</v>
      </c>
      <c r="I403" s="63">
        <f t="shared" si="12"/>
        <v>-6.8</v>
      </c>
      <c r="J403" s="67">
        <f t="shared" si="13"/>
        <v>-10.21021021</v>
      </c>
      <c r="K403" s="67">
        <f t="shared" si="10"/>
        <v>-10.21021021</v>
      </c>
      <c r="L403" s="62"/>
      <c r="M403" s="62"/>
      <c r="N403" s="63" t="s">
        <v>303</v>
      </c>
      <c r="O403" s="65"/>
      <c r="P403" s="65"/>
      <c r="Q403" s="65"/>
      <c r="R403" s="65"/>
      <c r="S403" s="65"/>
      <c r="T403" s="65"/>
      <c r="U403" s="65"/>
      <c r="V403" s="65"/>
      <c r="W403" s="65"/>
      <c r="X403" s="65"/>
      <c r="Y403" s="65"/>
      <c r="Z403" s="65"/>
      <c r="AA403" s="65"/>
      <c r="AB403" s="65"/>
      <c r="AC403" s="65"/>
    </row>
    <row r="404">
      <c r="A404" s="62" t="s">
        <v>295</v>
      </c>
      <c r="B404" s="62" t="s">
        <v>302</v>
      </c>
      <c r="C404" s="63" t="s">
        <v>300</v>
      </c>
      <c r="D404" s="63" t="s">
        <v>298</v>
      </c>
      <c r="E404" s="58">
        <f t="shared" si="11"/>
        <v>66.3</v>
      </c>
      <c r="F404" s="63">
        <v>65.2</v>
      </c>
      <c r="G404" s="63">
        <v>-1.1</v>
      </c>
      <c r="H404" s="58">
        <f t="shared" si="1"/>
        <v>-1.1</v>
      </c>
      <c r="I404" s="63">
        <f t="shared" si="12"/>
        <v>-1.1</v>
      </c>
      <c r="J404" s="67">
        <f t="shared" si="13"/>
        <v>-1.659125189</v>
      </c>
      <c r="K404" s="67">
        <f t="shared" si="10"/>
        <v>-1.659125189</v>
      </c>
      <c r="L404" s="62"/>
      <c r="M404" s="62"/>
      <c r="N404" s="63" t="s">
        <v>303</v>
      </c>
      <c r="O404" s="65"/>
      <c r="P404" s="65"/>
      <c r="Q404" s="65"/>
      <c r="R404" s="65"/>
      <c r="S404" s="65"/>
      <c r="T404" s="65"/>
      <c r="U404" s="65"/>
      <c r="V404" s="65"/>
      <c r="W404" s="65"/>
      <c r="X404" s="65"/>
      <c r="Y404" s="65"/>
      <c r="Z404" s="65"/>
      <c r="AA404" s="65"/>
      <c r="AB404" s="65"/>
      <c r="AC404" s="65"/>
    </row>
    <row r="405">
      <c r="A405" s="62" t="s">
        <v>295</v>
      </c>
      <c r="B405" s="62" t="s">
        <v>302</v>
      </c>
      <c r="C405" s="63" t="s">
        <v>300</v>
      </c>
      <c r="D405" s="63" t="s">
        <v>298</v>
      </c>
      <c r="E405" s="58">
        <f t="shared" si="11"/>
        <v>66.3</v>
      </c>
      <c r="F405" s="63">
        <v>63.6</v>
      </c>
      <c r="G405" s="63">
        <v>-2.7</v>
      </c>
      <c r="H405" s="58">
        <f t="shared" si="1"/>
        <v>-2.7</v>
      </c>
      <c r="I405" s="63">
        <f t="shared" si="12"/>
        <v>-2.7</v>
      </c>
      <c r="J405" s="67">
        <f t="shared" si="13"/>
        <v>-4.07239819</v>
      </c>
      <c r="K405" s="67">
        <f t="shared" si="10"/>
        <v>-4.07239819</v>
      </c>
      <c r="L405" s="62"/>
      <c r="M405" s="62"/>
      <c r="N405" s="63" t="s">
        <v>303</v>
      </c>
      <c r="O405" s="65"/>
      <c r="P405" s="65"/>
      <c r="Q405" s="65"/>
      <c r="R405" s="65"/>
      <c r="S405" s="65"/>
      <c r="T405" s="65"/>
      <c r="U405" s="65"/>
      <c r="V405" s="65"/>
      <c r="W405" s="65"/>
      <c r="X405" s="65"/>
      <c r="Y405" s="65"/>
      <c r="Z405" s="65"/>
      <c r="AA405" s="65"/>
      <c r="AB405" s="65"/>
      <c r="AC405" s="65"/>
    </row>
    <row r="406">
      <c r="A406" s="62" t="s">
        <v>295</v>
      </c>
      <c r="B406" s="62" t="s">
        <v>302</v>
      </c>
      <c r="C406" s="63" t="s">
        <v>300</v>
      </c>
      <c r="D406" s="63" t="s">
        <v>298</v>
      </c>
      <c r="E406" s="58">
        <f t="shared" si="11"/>
        <v>53.3</v>
      </c>
      <c r="F406" s="63">
        <v>62.7</v>
      </c>
      <c r="G406" s="63">
        <v>9.4</v>
      </c>
      <c r="H406" s="58">
        <f t="shared" si="1"/>
        <v>9.4</v>
      </c>
      <c r="I406" s="63">
        <f t="shared" si="12"/>
        <v>9.4</v>
      </c>
      <c r="J406" s="67">
        <f t="shared" si="13"/>
        <v>17.63602251</v>
      </c>
      <c r="K406" s="67">
        <f t="shared" si="10"/>
        <v>17.63602251</v>
      </c>
      <c r="L406" s="62"/>
      <c r="M406" s="62"/>
      <c r="N406" s="63" t="s">
        <v>303</v>
      </c>
      <c r="O406" s="65"/>
      <c r="P406" s="65"/>
      <c r="Q406" s="65"/>
      <c r="R406" s="65"/>
      <c r="S406" s="65"/>
      <c r="T406" s="65"/>
      <c r="U406" s="65"/>
      <c r="V406" s="65"/>
      <c r="W406" s="65"/>
      <c r="X406" s="65"/>
      <c r="Y406" s="65"/>
      <c r="Z406" s="65"/>
      <c r="AA406" s="65"/>
      <c r="AB406" s="65"/>
      <c r="AC406" s="65"/>
    </row>
    <row r="407">
      <c r="A407" s="62" t="s">
        <v>295</v>
      </c>
      <c r="B407" s="62" t="s">
        <v>302</v>
      </c>
      <c r="C407" s="63" t="s">
        <v>300</v>
      </c>
      <c r="D407" s="63" t="s">
        <v>298</v>
      </c>
      <c r="E407" s="58">
        <f t="shared" si="11"/>
        <v>68.6</v>
      </c>
      <c r="F407" s="63">
        <v>63.4</v>
      </c>
      <c r="G407" s="63">
        <v>-5.2</v>
      </c>
      <c r="H407" s="58">
        <f t="shared" si="1"/>
        <v>-5.2</v>
      </c>
      <c r="I407" s="63">
        <f t="shared" si="12"/>
        <v>-5.2</v>
      </c>
      <c r="J407" s="67">
        <f t="shared" si="13"/>
        <v>-7.580174927</v>
      </c>
      <c r="K407" s="67">
        <f t="shared" si="10"/>
        <v>-7.580174927</v>
      </c>
      <c r="L407" s="62"/>
      <c r="M407" s="62"/>
      <c r="N407" s="63" t="s">
        <v>303</v>
      </c>
      <c r="O407" s="65"/>
      <c r="P407" s="65"/>
      <c r="Q407" s="65"/>
      <c r="R407" s="65"/>
      <c r="S407" s="65"/>
      <c r="T407" s="65"/>
      <c r="U407" s="65"/>
      <c r="V407" s="65"/>
      <c r="W407" s="65"/>
      <c r="X407" s="65"/>
      <c r="Y407" s="65"/>
      <c r="Z407" s="65"/>
      <c r="AA407" s="65"/>
      <c r="AB407" s="65"/>
      <c r="AC407" s="65"/>
    </row>
    <row r="408">
      <c r="A408" s="62" t="s">
        <v>295</v>
      </c>
      <c r="B408" s="62" t="s">
        <v>302</v>
      </c>
      <c r="C408" s="63" t="s">
        <v>300</v>
      </c>
      <c r="D408" s="63" t="s">
        <v>298</v>
      </c>
      <c r="E408" s="58">
        <f t="shared" si="11"/>
        <v>68.6</v>
      </c>
      <c r="F408" s="63">
        <v>64.8</v>
      </c>
      <c r="G408" s="63">
        <v>-3.8</v>
      </c>
      <c r="H408" s="58">
        <f t="shared" si="1"/>
        <v>-3.8</v>
      </c>
      <c r="I408" s="63">
        <f t="shared" si="12"/>
        <v>-3.8</v>
      </c>
      <c r="J408" s="67">
        <f t="shared" si="13"/>
        <v>-5.539358601</v>
      </c>
      <c r="K408" s="67">
        <f t="shared" si="10"/>
        <v>-5.539358601</v>
      </c>
      <c r="L408" s="62"/>
      <c r="M408" s="62"/>
      <c r="N408" s="63" t="s">
        <v>303</v>
      </c>
      <c r="O408" s="65"/>
      <c r="P408" s="65"/>
      <c r="Q408" s="65"/>
      <c r="R408" s="65"/>
      <c r="S408" s="65"/>
      <c r="T408" s="65"/>
      <c r="U408" s="65"/>
      <c r="V408" s="65"/>
      <c r="W408" s="65"/>
      <c r="X408" s="65"/>
      <c r="Y408" s="65"/>
      <c r="Z408" s="65"/>
      <c r="AA408" s="65"/>
      <c r="AB408" s="65"/>
      <c r="AC408" s="65"/>
    </row>
    <row r="409">
      <c r="A409" s="62" t="s">
        <v>295</v>
      </c>
      <c r="B409" s="62" t="s">
        <v>302</v>
      </c>
      <c r="C409" s="63" t="s">
        <v>300</v>
      </c>
      <c r="D409" s="63" t="s">
        <v>298</v>
      </c>
      <c r="E409" s="58">
        <f t="shared" si="11"/>
        <v>68.2</v>
      </c>
      <c r="F409" s="63">
        <v>63.6</v>
      </c>
      <c r="G409" s="63">
        <v>-4.6</v>
      </c>
      <c r="H409" s="58">
        <f t="shared" si="1"/>
        <v>-4.6</v>
      </c>
      <c r="I409" s="63">
        <f t="shared" si="12"/>
        <v>-4.6</v>
      </c>
      <c r="J409" s="67">
        <f t="shared" si="13"/>
        <v>-6.744868035</v>
      </c>
      <c r="K409" s="67">
        <f t="shared" si="10"/>
        <v>-6.744868035</v>
      </c>
      <c r="L409" s="62"/>
      <c r="M409" s="62"/>
      <c r="N409" s="63" t="s">
        <v>303</v>
      </c>
      <c r="O409" s="65"/>
      <c r="P409" s="65"/>
      <c r="Q409" s="65"/>
      <c r="R409" s="65"/>
      <c r="S409" s="65"/>
      <c r="T409" s="65"/>
      <c r="U409" s="65"/>
      <c r="V409" s="65"/>
      <c r="W409" s="65"/>
      <c r="X409" s="65"/>
      <c r="Y409" s="65"/>
      <c r="Z409" s="65"/>
      <c r="AA409" s="65"/>
      <c r="AB409" s="65"/>
      <c r="AC409" s="65"/>
    </row>
    <row r="410">
      <c r="A410" s="62" t="s">
        <v>295</v>
      </c>
      <c r="B410" s="62" t="s">
        <v>302</v>
      </c>
      <c r="C410" s="63" t="s">
        <v>300</v>
      </c>
      <c r="D410" s="63" t="s">
        <v>298</v>
      </c>
      <c r="E410" s="58">
        <f t="shared" si="11"/>
        <v>64.6</v>
      </c>
      <c r="F410" s="63">
        <v>46.7</v>
      </c>
      <c r="G410" s="63">
        <v>-17.9</v>
      </c>
      <c r="H410" s="58">
        <f t="shared" si="1"/>
        <v>-17.9</v>
      </c>
      <c r="I410" s="63">
        <f t="shared" si="12"/>
        <v>-17.9</v>
      </c>
      <c r="J410" s="67">
        <f t="shared" si="13"/>
        <v>-27.70897833</v>
      </c>
      <c r="K410" s="67">
        <f t="shared" si="10"/>
        <v>-27.70897833</v>
      </c>
      <c r="L410" s="62"/>
      <c r="M410" s="62"/>
      <c r="N410" s="63" t="s">
        <v>303</v>
      </c>
      <c r="O410" s="65"/>
      <c r="P410" s="65"/>
      <c r="Q410" s="65"/>
      <c r="R410" s="65"/>
      <c r="S410" s="65"/>
      <c r="T410" s="65"/>
      <c r="U410" s="65"/>
      <c r="V410" s="65"/>
      <c r="W410" s="65"/>
      <c r="X410" s="65"/>
      <c r="Y410" s="65"/>
      <c r="Z410" s="65"/>
      <c r="AA410" s="65"/>
      <c r="AB410" s="65"/>
      <c r="AC410" s="65"/>
    </row>
    <row r="411">
      <c r="A411" s="62" t="s">
        <v>295</v>
      </c>
      <c r="B411" s="62" t="s">
        <v>302</v>
      </c>
      <c r="C411" s="63" t="s">
        <v>300</v>
      </c>
      <c r="D411" s="63" t="s">
        <v>298</v>
      </c>
      <c r="E411" s="58">
        <f t="shared" si="11"/>
        <v>57.8</v>
      </c>
      <c r="F411" s="63">
        <v>80.0</v>
      </c>
      <c r="G411" s="63">
        <v>22.2</v>
      </c>
      <c r="H411" s="58">
        <f t="shared" si="1"/>
        <v>22.2</v>
      </c>
      <c r="I411" s="63">
        <f t="shared" si="12"/>
        <v>22.2</v>
      </c>
      <c r="J411" s="67">
        <f t="shared" si="13"/>
        <v>38.4083045</v>
      </c>
      <c r="K411" s="67">
        <f t="shared" si="10"/>
        <v>38.4083045</v>
      </c>
      <c r="L411" s="62"/>
      <c r="M411" s="62"/>
      <c r="N411" s="63" t="s">
        <v>303</v>
      </c>
      <c r="O411" s="65"/>
      <c r="P411" s="65"/>
      <c r="Q411" s="65"/>
      <c r="R411" s="65"/>
      <c r="S411" s="65"/>
      <c r="T411" s="65"/>
      <c r="U411" s="65"/>
      <c r="V411" s="65"/>
      <c r="W411" s="65"/>
      <c r="X411" s="65"/>
      <c r="Y411" s="65"/>
      <c r="Z411" s="65"/>
      <c r="AA411" s="65"/>
      <c r="AB411" s="65"/>
      <c r="AC411" s="65"/>
    </row>
    <row r="412">
      <c r="A412" s="62" t="s">
        <v>295</v>
      </c>
      <c r="B412" s="62" t="s">
        <v>302</v>
      </c>
      <c r="C412" s="63" t="s">
        <v>300</v>
      </c>
      <c r="D412" s="63" t="s">
        <v>298</v>
      </c>
      <c r="E412" s="58">
        <f t="shared" si="11"/>
        <v>82.7</v>
      </c>
      <c r="F412" s="63">
        <v>80.8</v>
      </c>
      <c r="G412" s="63">
        <v>-1.9</v>
      </c>
      <c r="H412" s="58">
        <f t="shared" si="1"/>
        <v>-1.9</v>
      </c>
      <c r="I412" s="63">
        <f t="shared" si="12"/>
        <v>-1.9</v>
      </c>
      <c r="J412" s="67">
        <f t="shared" si="13"/>
        <v>-2.297460701</v>
      </c>
      <c r="K412" s="67">
        <f t="shared" si="10"/>
        <v>-2.297460701</v>
      </c>
      <c r="L412" s="62"/>
      <c r="M412" s="62"/>
      <c r="N412" s="63" t="s">
        <v>303</v>
      </c>
      <c r="O412" s="65"/>
      <c r="P412" s="65"/>
      <c r="Q412" s="65"/>
      <c r="R412" s="65"/>
      <c r="S412" s="65"/>
      <c r="T412" s="65"/>
      <c r="U412" s="65"/>
      <c r="V412" s="65"/>
      <c r="W412" s="65"/>
      <c r="X412" s="65"/>
      <c r="Y412" s="65"/>
      <c r="Z412" s="65"/>
      <c r="AA412" s="65"/>
      <c r="AB412" s="65"/>
      <c r="AC412" s="65"/>
    </row>
    <row r="413">
      <c r="A413" s="62" t="s">
        <v>295</v>
      </c>
      <c r="B413" s="62" t="s">
        <v>302</v>
      </c>
      <c r="C413" s="63" t="s">
        <v>300</v>
      </c>
      <c r="D413" s="63" t="s">
        <v>298</v>
      </c>
      <c r="E413" s="58">
        <f t="shared" si="11"/>
        <v>82.5</v>
      </c>
      <c r="F413" s="63">
        <v>80.5</v>
      </c>
      <c r="G413" s="63">
        <v>-2.0</v>
      </c>
      <c r="H413" s="58">
        <f t="shared" si="1"/>
        <v>-2</v>
      </c>
      <c r="I413" s="63">
        <f t="shared" si="12"/>
        <v>-2</v>
      </c>
      <c r="J413" s="67">
        <f t="shared" si="13"/>
        <v>-2.424242424</v>
      </c>
      <c r="K413" s="67">
        <f t="shared" si="10"/>
        <v>-2.424242424</v>
      </c>
      <c r="L413" s="62"/>
      <c r="M413" s="62"/>
      <c r="N413" s="63" t="s">
        <v>303</v>
      </c>
      <c r="O413" s="65"/>
      <c r="P413" s="65"/>
      <c r="Q413" s="65"/>
      <c r="R413" s="65"/>
      <c r="S413" s="65"/>
      <c r="T413" s="65"/>
      <c r="U413" s="65"/>
      <c r="V413" s="65"/>
      <c r="W413" s="65"/>
      <c r="X413" s="65"/>
      <c r="Y413" s="65"/>
      <c r="Z413" s="65"/>
      <c r="AA413" s="65"/>
      <c r="AB413" s="65"/>
      <c r="AC413" s="65"/>
    </row>
    <row r="414">
      <c r="A414" s="62" t="s">
        <v>295</v>
      </c>
      <c r="B414" s="62" t="s">
        <v>302</v>
      </c>
      <c r="C414" s="63" t="s">
        <v>300</v>
      </c>
      <c r="D414" s="63" t="s">
        <v>298</v>
      </c>
      <c r="E414" s="58">
        <f t="shared" si="11"/>
        <v>81.3</v>
      </c>
      <c r="F414" s="63">
        <v>79.7</v>
      </c>
      <c r="G414" s="63">
        <v>-1.6</v>
      </c>
      <c r="H414" s="58">
        <f t="shared" si="1"/>
        <v>-1.6</v>
      </c>
      <c r="I414" s="63">
        <f t="shared" si="12"/>
        <v>-1.6</v>
      </c>
      <c r="J414" s="67">
        <f t="shared" si="13"/>
        <v>-1.96801968</v>
      </c>
      <c r="K414" s="67">
        <f t="shared" si="10"/>
        <v>-1.96801968</v>
      </c>
      <c r="L414" s="62"/>
      <c r="M414" s="62"/>
      <c r="N414" s="63" t="s">
        <v>303</v>
      </c>
      <c r="O414" s="65"/>
      <c r="P414" s="65"/>
      <c r="Q414" s="65"/>
      <c r="R414" s="65"/>
      <c r="S414" s="65"/>
      <c r="T414" s="65"/>
      <c r="U414" s="65"/>
      <c r="V414" s="65"/>
      <c r="W414" s="65"/>
      <c r="X414" s="65"/>
      <c r="Y414" s="65"/>
      <c r="Z414" s="65"/>
      <c r="AA414" s="65"/>
      <c r="AB414" s="65"/>
      <c r="AC414" s="65"/>
    </row>
    <row r="415">
      <c r="A415" s="62" t="s">
        <v>295</v>
      </c>
      <c r="B415" s="62" t="s">
        <v>302</v>
      </c>
      <c r="C415" s="63" t="s">
        <v>300</v>
      </c>
      <c r="D415" s="63" t="s">
        <v>298</v>
      </c>
      <c r="E415" s="58">
        <f t="shared" si="11"/>
        <v>65.3</v>
      </c>
      <c r="F415" s="63">
        <v>81.1</v>
      </c>
      <c r="G415" s="63">
        <v>15.8</v>
      </c>
      <c r="H415" s="58">
        <f t="shared" si="1"/>
        <v>15.8</v>
      </c>
      <c r="I415" s="63">
        <f t="shared" si="12"/>
        <v>15.8</v>
      </c>
      <c r="J415" s="67">
        <f t="shared" si="13"/>
        <v>24.19601838</v>
      </c>
      <c r="K415" s="67">
        <f t="shared" si="10"/>
        <v>24.19601838</v>
      </c>
      <c r="L415" s="62"/>
      <c r="M415" s="62"/>
      <c r="N415" s="63" t="s">
        <v>303</v>
      </c>
      <c r="O415" s="65"/>
      <c r="P415" s="65"/>
      <c r="Q415" s="65"/>
      <c r="R415" s="65"/>
      <c r="S415" s="65"/>
      <c r="T415" s="65"/>
      <c r="U415" s="65"/>
      <c r="V415" s="65"/>
      <c r="W415" s="65"/>
      <c r="X415" s="65"/>
      <c r="Y415" s="65"/>
      <c r="Z415" s="65"/>
      <c r="AA415" s="65"/>
      <c r="AB415" s="65"/>
      <c r="AC415" s="65"/>
    </row>
    <row r="416">
      <c r="A416" s="62" t="s">
        <v>295</v>
      </c>
      <c r="B416" s="62" t="s">
        <v>302</v>
      </c>
      <c r="C416" s="63" t="s">
        <v>300</v>
      </c>
      <c r="D416" s="63" t="s">
        <v>298</v>
      </c>
      <c r="E416" s="58">
        <f t="shared" si="11"/>
        <v>83.7</v>
      </c>
      <c r="F416" s="63">
        <v>79.7</v>
      </c>
      <c r="G416" s="63">
        <v>-4.0</v>
      </c>
      <c r="H416" s="58">
        <f t="shared" si="1"/>
        <v>-4</v>
      </c>
      <c r="I416" s="63">
        <f t="shared" si="12"/>
        <v>-4</v>
      </c>
      <c r="J416" s="67">
        <f t="shared" si="13"/>
        <v>-4.778972521</v>
      </c>
      <c r="K416" s="67">
        <f t="shared" si="10"/>
        <v>-4.778972521</v>
      </c>
      <c r="L416" s="62"/>
      <c r="M416" s="62"/>
      <c r="N416" s="63" t="s">
        <v>303</v>
      </c>
      <c r="O416" s="65"/>
      <c r="P416" s="65"/>
      <c r="Q416" s="65"/>
      <c r="R416" s="65"/>
      <c r="S416" s="65"/>
      <c r="T416" s="65"/>
      <c r="U416" s="65"/>
      <c r="V416" s="65"/>
      <c r="W416" s="65"/>
      <c r="X416" s="65"/>
      <c r="Y416" s="65"/>
      <c r="Z416" s="65"/>
      <c r="AA416" s="65"/>
      <c r="AB416" s="65"/>
      <c r="AC416" s="65"/>
    </row>
    <row r="417">
      <c r="A417" s="62" t="s">
        <v>295</v>
      </c>
      <c r="B417" s="62" t="s">
        <v>302</v>
      </c>
      <c r="C417" s="63" t="s">
        <v>300</v>
      </c>
      <c r="D417" s="63" t="s">
        <v>298</v>
      </c>
      <c r="E417" s="58">
        <f t="shared" si="11"/>
        <v>81.6</v>
      </c>
      <c r="F417" s="63">
        <v>79.2</v>
      </c>
      <c r="G417" s="63">
        <v>-2.4</v>
      </c>
      <c r="H417" s="58">
        <f t="shared" si="1"/>
        <v>-2.4</v>
      </c>
      <c r="I417" s="63">
        <f t="shared" si="12"/>
        <v>-2.4</v>
      </c>
      <c r="J417" s="67">
        <f t="shared" si="13"/>
        <v>-2.941176471</v>
      </c>
      <c r="K417" s="67">
        <f t="shared" si="10"/>
        <v>-2.941176471</v>
      </c>
      <c r="L417" s="62"/>
      <c r="M417" s="62"/>
      <c r="N417" s="63" t="s">
        <v>303</v>
      </c>
      <c r="O417" s="65"/>
      <c r="P417" s="65"/>
      <c r="Q417" s="65"/>
      <c r="R417" s="65"/>
      <c r="S417" s="65"/>
      <c r="T417" s="65"/>
      <c r="U417" s="65"/>
      <c r="V417" s="65"/>
      <c r="W417" s="65"/>
      <c r="X417" s="65"/>
      <c r="Y417" s="65"/>
      <c r="Z417" s="65"/>
      <c r="AA417" s="65"/>
      <c r="AB417" s="65"/>
      <c r="AC417" s="65"/>
    </row>
    <row r="418">
      <c r="A418" s="62" t="s">
        <v>295</v>
      </c>
      <c r="B418" s="62" t="s">
        <v>302</v>
      </c>
      <c r="C418" s="63" t="s">
        <v>300</v>
      </c>
      <c r="D418" s="63" t="s">
        <v>298</v>
      </c>
      <c r="E418" s="58">
        <f t="shared" si="11"/>
        <v>80.6</v>
      </c>
      <c r="F418" s="63">
        <v>78.8</v>
      </c>
      <c r="G418" s="63">
        <v>-1.8</v>
      </c>
      <c r="H418" s="58">
        <f t="shared" si="1"/>
        <v>-1.8</v>
      </c>
      <c r="I418" s="63">
        <f t="shared" si="12"/>
        <v>-1.8</v>
      </c>
      <c r="J418" s="67">
        <f t="shared" si="13"/>
        <v>-2.23325062</v>
      </c>
      <c r="K418" s="67">
        <f t="shared" si="10"/>
        <v>-2.23325062</v>
      </c>
      <c r="L418" s="62"/>
      <c r="M418" s="62"/>
      <c r="N418" s="63" t="s">
        <v>303</v>
      </c>
      <c r="O418" s="65"/>
      <c r="P418" s="65"/>
      <c r="Q418" s="65"/>
      <c r="R418" s="65"/>
      <c r="S418" s="65"/>
      <c r="T418" s="65"/>
      <c r="U418" s="65"/>
      <c r="V418" s="65"/>
      <c r="W418" s="65"/>
      <c r="X418" s="65"/>
      <c r="Y418" s="65"/>
      <c r="Z418" s="65"/>
      <c r="AA418" s="65"/>
      <c r="AB418" s="65"/>
      <c r="AC418" s="65"/>
    </row>
    <row r="419">
      <c r="A419" s="62" t="s">
        <v>295</v>
      </c>
      <c r="B419" s="62" t="s">
        <v>302</v>
      </c>
      <c r="C419" s="63" t="s">
        <v>300</v>
      </c>
      <c r="D419" s="63" t="s">
        <v>298</v>
      </c>
      <c r="E419" s="58">
        <f t="shared" si="11"/>
        <v>79.4</v>
      </c>
      <c r="F419" s="63">
        <v>64.7</v>
      </c>
      <c r="G419" s="63">
        <v>-14.7</v>
      </c>
      <c r="H419" s="58">
        <f t="shared" si="1"/>
        <v>-14.7</v>
      </c>
      <c r="I419" s="63">
        <f t="shared" si="12"/>
        <v>-14.7</v>
      </c>
      <c r="J419" s="67">
        <f t="shared" si="13"/>
        <v>-18.5138539</v>
      </c>
      <c r="K419" s="67">
        <f t="shared" si="10"/>
        <v>-18.5138539</v>
      </c>
      <c r="L419" s="62"/>
      <c r="M419" s="62"/>
      <c r="N419" s="63" t="s">
        <v>303</v>
      </c>
      <c r="O419" s="65"/>
      <c r="P419" s="65"/>
      <c r="Q419" s="65"/>
      <c r="R419" s="65"/>
      <c r="S419" s="65"/>
      <c r="T419" s="65"/>
      <c r="U419" s="65"/>
      <c r="V419" s="65"/>
      <c r="W419" s="65"/>
      <c r="X419" s="65"/>
      <c r="Y419" s="65"/>
      <c r="Z419" s="65"/>
      <c r="AA419" s="65"/>
      <c r="AB419" s="65"/>
      <c r="AC419" s="65"/>
    </row>
    <row r="420">
      <c r="A420" s="62" t="s">
        <v>295</v>
      </c>
      <c r="B420" s="62" t="s">
        <v>302</v>
      </c>
      <c r="C420" s="63" t="s">
        <v>300</v>
      </c>
      <c r="D420" s="63" t="s">
        <v>298</v>
      </c>
      <c r="E420" s="58">
        <f t="shared" si="11"/>
        <v>58.7</v>
      </c>
      <c r="F420" s="63">
        <v>59.6</v>
      </c>
      <c r="G420" s="63">
        <v>0.9</v>
      </c>
      <c r="H420" s="58">
        <f t="shared" si="1"/>
        <v>0.9</v>
      </c>
      <c r="I420" s="63">
        <f t="shared" si="12"/>
        <v>0.9</v>
      </c>
      <c r="J420" s="67">
        <f t="shared" si="13"/>
        <v>1.533219761</v>
      </c>
      <c r="K420" s="67">
        <f t="shared" si="10"/>
        <v>1.533219761</v>
      </c>
      <c r="L420" s="62"/>
      <c r="M420" s="62"/>
      <c r="N420" s="63" t="s">
        <v>303</v>
      </c>
      <c r="O420" s="65"/>
      <c r="P420" s="65"/>
      <c r="Q420" s="65"/>
      <c r="R420" s="65"/>
      <c r="S420" s="65"/>
      <c r="T420" s="65"/>
      <c r="U420" s="65"/>
      <c r="V420" s="65"/>
      <c r="W420" s="65"/>
      <c r="X420" s="65"/>
      <c r="Y420" s="65"/>
      <c r="Z420" s="65"/>
      <c r="AA420" s="65"/>
      <c r="AB420" s="65"/>
      <c r="AC420" s="65"/>
    </row>
    <row r="421">
      <c r="A421" s="62" t="s">
        <v>295</v>
      </c>
      <c r="B421" s="62" t="s">
        <v>302</v>
      </c>
      <c r="C421" s="63" t="s">
        <v>300</v>
      </c>
      <c r="D421" s="63" t="s">
        <v>298</v>
      </c>
      <c r="E421" s="58">
        <f t="shared" si="11"/>
        <v>72.1</v>
      </c>
      <c r="F421" s="63">
        <v>71.6</v>
      </c>
      <c r="G421" s="63">
        <v>-0.5</v>
      </c>
      <c r="H421" s="58">
        <f t="shared" si="1"/>
        <v>-0.5</v>
      </c>
      <c r="I421" s="63">
        <f t="shared" si="12"/>
        <v>-0.5</v>
      </c>
      <c r="J421" s="67">
        <f t="shared" si="13"/>
        <v>-0.693481276</v>
      </c>
      <c r="K421" s="67">
        <f t="shared" si="10"/>
        <v>-0.693481276</v>
      </c>
      <c r="L421" s="62"/>
      <c r="M421" s="62"/>
      <c r="N421" s="63" t="s">
        <v>303</v>
      </c>
      <c r="O421" s="65"/>
      <c r="P421" s="65"/>
      <c r="Q421" s="65"/>
      <c r="R421" s="65"/>
      <c r="S421" s="65"/>
      <c r="T421" s="65"/>
      <c r="U421" s="65"/>
      <c r="V421" s="65"/>
      <c r="W421" s="65"/>
      <c r="X421" s="65"/>
      <c r="Y421" s="65"/>
      <c r="Z421" s="65"/>
      <c r="AA421" s="65"/>
      <c r="AB421" s="65"/>
      <c r="AC421" s="65"/>
    </row>
    <row r="422">
      <c r="A422" s="62" t="s">
        <v>295</v>
      </c>
      <c r="B422" s="62" t="s">
        <v>302</v>
      </c>
      <c r="C422" s="63" t="s">
        <v>300</v>
      </c>
      <c r="D422" s="63" t="s">
        <v>298</v>
      </c>
      <c r="E422" s="58">
        <f t="shared" si="11"/>
        <v>69.9</v>
      </c>
      <c r="F422" s="63">
        <v>69.2</v>
      </c>
      <c r="G422" s="63">
        <v>-0.7</v>
      </c>
      <c r="H422" s="58">
        <f t="shared" si="1"/>
        <v>-0.7</v>
      </c>
      <c r="I422" s="63">
        <f t="shared" si="12"/>
        <v>-0.7</v>
      </c>
      <c r="J422" s="67">
        <f t="shared" si="13"/>
        <v>-1.001430615</v>
      </c>
      <c r="K422" s="67">
        <f t="shared" si="10"/>
        <v>-1.001430615</v>
      </c>
      <c r="L422" s="62"/>
      <c r="M422" s="62"/>
      <c r="N422" s="63" t="s">
        <v>303</v>
      </c>
      <c r="O422" s="65"/>
      <c r="P422" s="65"/>
      <c r="Q422" s="65"/>
      <c r="R422" s="65"/>
      <c r="S422" s="65"/>
      <c r="T422" s="65"/>
      <c r="U422" s="65"/>
      <c r="V422" s="65"/>
      <c r="W422" s="65"/>
      <c r="X422" s="65"/>
      <c r="Y422" s="65"/>
      <c r="Z422" s="65"/>
      <c r="AA422" s="65"/>
      <c r="AB422" s="65"/>
      <c r="AC422" s="65"/>
    </row>
    <row r="423">
      <c r="A423" s="62" t="s">
        <v>295</v>
      </c>
      <c r="B423" s="62" t="s">
        <v>302</v>
      </c>
      <c r="C423" s="63" t="s">
        <v>300</v>
      </c>
      <c r="D423" s="63" t="s">
        <v>298</v>
      </c>
      <c r="E423" s="58">
        <f t="shared" si="11"/>
        <v>70.4</v>
      </c>
      <c r="F423" s="63">
        <v>71.5</v>
      </c>
      <c r="G423" s="63">
        <v>1.1</v>
      </c>
      <c r="H423" s="58">
        <f t="shared" si="1"/>
        <v>1.1</v>
      </c>
      <c r="I423" s="63">
        <f t="shared" si="12"/>
        <v>1.1</v>
      </c>
      <c r="J423" s="67">
        <f t="shared" si="13"/>
        <v>1.5625</v>
      </c>
      <c r="K423" s="67">
        <f t="shared" si="10"/>
        <v>1.5625</v>
      </c>
      <c r="L423" s="62"/>
      <c r="M423" s="62"/>
      <c r="N423" s="63" t="s">
        <v>303</v>
      </c>
      <c r="O423" s="65"/>
      <c r="P423" s="65"/>
      <c r="Q423" s="65"/>
      <c r="R423" s="65"/>
      <c r="S423" s="65"/>
      <c r="T423" s="65"/>
      <c r="U423" s="65"/>
      <c r="V423" s="65"/>
      <c r="W423" s="65"/>
      <c r="X423" s="65"/>
      <c r="Y423" s="65"/>
      <c r="Z423" s="65"/>
      <c r="AA423" s="65"/>
      <c r="AB423" s="65"/>
      <c r="AC423" s="65"/>
    </row>
    <row r="424">
      <c r="A424" s="62" t="s">
        <v>295</v>
      </c>
      <c r="B424" s="62" t="s">
        <v>302</v>
      </c>
      <c r="C424" s="63" t="s">
        <v>300</v>
      </c>
      <c r="D424" s="63" t="s">
        <v>298</v>
      </c>
      <c r="E424" s="58">
        <f t="shared" si="11"/>
        <v>66.3</v>
      </c>
      <c r="F424" s="63">
        <v>67.0</v>
      </c>
      <c r="G424" s="63">
        <v>0.7</v>
      </c>
      <c r="H424" s="58">
        <f t="shared" si="1"/>
        <v>0.7</v>
      </c>
      <c r="I424" s="63">
        <f t="shared" si="12"/>
        <v>0.7</v>
      </c>
      <c r="J424" s="67">
        <f t="shared" si="13"/>
        <v>1.055806938</v>
      </c>
      <c r="K424" s="67">
        <f t="shared" si="10"/>
        <v>1.055806938</v>
      </c>
      <c r="L424" s="62"/>
      <c r="M424" s="62"/>
      <c r="N424" s="63" t="s">
        <v>303</v>
      </c>
      <c r="O424" s="65"/>
      <c r="P424" s="65"/>
      <c r="Q424" s="65"/>
      <c r="R424" s="65"/>
      <c r="S424" s="65"/>
      <c r="T424" s="65"/>
      <c r="U424" s="65"/>
      <c r="V424" s="65"/>
      <c r="W424" s="65"/>
      <c r="X424" s="65"/>
      <c r="Y424" s="65"/>
      <c r="Z424" s="65"/>
      <c r="AA424" s="65"/>
      <c r="AB424" s="65"/>
      <c r="AC424" s="65"/>
    </row>
    <row r="425">
      <c r="A425" s="62" t="s">
        <v>295</v>
      </c>
      <c r="B425" s="62" t="s">
        <v>302</v>
      </c>
      <c r="C425" s="63" t="s">
        <v>300</v>
      </c>
      <c r="D425" s="63" t="s">
        <v>298</v>
      </c>
      <c r="E425" s="58">
        <f t="shared" si="11"/>
        <v>73.4</v>
      </c>
      <c r="F425" s="63">
        <v>72.4</v>
      </c>
      <c r="G425" s="63">
        <v>-1.0</v>
      </c>
      <c r="H425" s="58">
        <f t="shared" si="1"/>
        <v>-1</v>
      </c>
      <c r="I425" s="63">
        <f t="shared" si="12"/>
        <v>-1</v>
      </c>
      <c r="J425" s="67">
        <f t="shared" si="13"/>
        <v>-1.36239782</v>
      </c>
      <c r="K425" s="67">
        <f t="shared" si="10"/>
        <v>-1.36239782</v>
      </c>
      <c r="L425" s="62"/>
      <c r="M425" s="62"/>
      <c r="N425" s="63" t="s">
        <v>303</v>
      </c>
      <c r="O425" s="65"/>
      <c r="P425" s="65"/>
      <c r="Q425" s="65"/>
      <c r="R425" s="65"/>
      <c r="S425" s="65"/>
      <c r="T425" s="65"/>
      <c r="U425" s="65"/>
      <c r="V425" s="65"/>
      <c r="W425" s="65"/>
      <c r="X425" s="65"/>
      <c r="Y425" s="65"/>
      <c r="Z425" s="65"/>
      <c r="AA425" s="65"/>
      <c r="AB425" s="65"/>
      <c r="AC425" s="65"/>
    </row>
    <row r="426">
      <c r="A426" s="62" t="s">
        <v>295</v>
      </c>
      <c r="B426" s="62" t="s">
        <v>302</v>
      </c>
      <c r="C426" s="63" t="s">
        <v>300</v>
      </c>
      <c r="D426" s="63" t="s">
        <v>298</v>
      </c>
      <c r="E426" s="58">
        <f t="shared" si="11"/>
        <v>70.9</v>
      </c>
      <c r="F426" s="63">
        <v>70.5</v>
      </c>
      <c r="G426" s="63">
        <v>-0.4</v>
      </c>
      <c r="H426" s="58">
        <f t="shared" si="1"/>
        <v>-0.4</v>
      </c>
      <c r="I426" s="63">
        <f t="shared" si="12"/>
        <v>-0.4</v>
      </c>
      <c r="J426" s="67">
        <f t="shared" si="13"/>
        <v>-0.5641748942</v>
      </c>
      <c r="K426" s="67">
        <f t="shared" si="10"/>
        <v>-0.5641748942</v>
      </c>
      <c r="L426" s="62"/>
      <c r="M426" s="62"/>
      <c r="N426" s="63" t="s">
        <v>303</v>
      </c>
      <c r="O426" s="65"/>
      <c r="P426" s="65"/>
      <c r="Q426" s="65"/>
      <c r="R426" s="65"/>
      <c r="S426" s="65"/>
      <c r="T426" s="65"/>
      <c r="U426" s="65"/>
      <c r="V426" s="65"/>
      <c r="W426" s="65"/>
      <c r="X426" s="65"/>
      <c r="Y426" s="65"/>
      <c r="Z426" s="65"/>
      <c r="AA426" s="65"/>
      <c r="AB426" s="65"/>
      <c r="AC426" s="65"/>
    </row>
    <row r="427">
      <c r="A427" s="62" t="s">
        <v>295</v>
      </c>
      <c r="B427" s="62" t="s">
        <v>302</v>
      </c>
      <c r="C427" s="63" t="s">
        <v>300</v>
      </c>
      <c r="D427" s="63" t="s">
        <v>298</v>
      </c>
      <c r="E427" s="58">
        <f t="shared" si="11"/>
        <v>71.2</v>
      </c>
      <c r="F427" s="63">
        <v>71.5</v>
      </c>
      <c r="G427" s="63">
        <v>0.3</v>
      </c>
      <c r="H427" s="58">
        <f t="shared" si="1"/>
        <v>0.3</v>
      </c>
      <c r="I427" s="63">
        <f t="shared" si="12"/>
        <v>0.3</v>
      </c>
      <c r="J427" s="67">
        <f t="shared" si="13"/>
        <v>0.4213483146</v>
      </c>
      <c r="K427" s="67">
        <f t="shared" si="10"/>
        <v>0.4213483146</v>
      </c>
      <c r="L427" s="62"/>
      <c r="M427" s="62"/>
      <c r="N427" s="63" t="s">
        <v>303</v>
      </c>
      <c r="O427" s="65"/>
      <c r="P427" s="65"/>
      <c r="Q427" s="65"/>
      <c r="R427" s="65"/>
      <c r="S427" s="65"/>
      <c r="T427" s="65"/>
      <c r="U427" s="65"/>
      <c r="V427" s="65"/>
      <c r="W427" s="65"/>
      <c r="X427" s="65"/>
      <c r="Y427" s="65"/>
      <c r="Z427" s="65"/>
      <c r="AA427" s="65"/>
      <c r="AB427" s="65"/>
      <c r="AC427" s="65"/>
    </row>
    <row r="428">
      <c r="A428" s="62" t="s">
        <v>295</v>
      </c>
      <c r="B428" s="62" t="s">
        <v>302</v>
      </c>
      <c r="C428" s="63" t="s">
        <v>300</v>
      </c>
      <c r="D428" s="63" t="s">
        <v>298</v>
      </c>
      <c r="E428" s="58">
        <f t="shared" si="11"/>
        <v>62.5</v>
      </c>
      <c r="F428" s="63">
        <v>48.2</v>
      </c>
      <c r="G428" s="63">
        <v>-14.3</v>
      </c>
      <c r="H428" s="58">
        <f t="shared" si="1"/>
        <v>-14.3</v>
      </c>
      <c r="I428" s="63">
        <f t="shared" si="12"/>
        <v>-14.3</v>
      </c>
      <c r="J428" s="67">
        <f t="shared" si="13"/>
        <v>-22.88</v>
      </c>
      <c r="K428" s="67">
        <f t="shared" si="10"/>
        <v>-22.88</v>
      </c>
      <c r="L428" s="62"/>
      <c r="M428" s="62"/>
      <c r="N428" s="63" t="s">
        <v>303</v>
      </c>
      <c r="O428" s="65"/>
      <c r="P428" s="65"/>
      <c r="Q428" s="65"/>
      <c r="R428" s="65"/>
      <c r="S428" s="65"/>
      <c r="T428" s="65"/>
      <c r="U428" s="65"/>
      <c r="V428" s="65"/>
      <c r="W428" s="65"/>
      <c r="X428" s="65"/>
      <c r="Y428" s="65"/>
      <c r="Z428" s="65"/>
      <c r="AA428" s="65"/>
      <c r="AB428" s="65"/>
      <c r="AC428" s="65"/>
    </row>
    <row r="429">
      <c r="A429" s="62" t="s">
        <v>295</v>
      </c>
      <c r="B429" s="62" t="s">
        <v>302</v>
      </c>
      <c r="C429" s="63" t="s">
        <v>301</v>
      </c>
      <c r="D429" s="63" t="s">
        <v>298</v>
      </c>
      <c r="E429" s="58">
        <f t="shared" si="11"/>
        <v>53.72</v>
      </c>
      <c r="F429" s="63">
        <v>56.1</v>
      </c>
      <c r="G429" s="63">
        <v>2.38</v>
      </c>
      <c r="H429" s="58">
        <f t="shared" si="1"/>
        <v>2.38</v>
      </c>
      <c r="I429" s="63">
        <f t="shared" si="12"/>
        <v>2.38</v>
      </c>
      <c r="J429" s="67">
        <f t="shared" si="13"/>
        <v>4.430379747</v>
      </c>
      <c r="K429" s="67">
        <f t="shared" si="10"/>
        <v>4.430379747</v>
      </c>
      <c r="L429" s="62"/>
      <c r="M429" s="62"/>
      <c r="N429" s="63" t="s">
        <v>303</v>
      </c>
      <c r="O429" s="65"/>
      <c r="P429" s="65"/>
      <c r="Q429" s="65"/>
      <c r="R429" s="65"/>
      <c r="S429" s="65"/>
      <c r="T429" s="65"/>
      <c r="U429" s="65"/>
      <c r="V429" s="65"/>
      <c r="W429" s="65"/>
      <c r="X429" s="65"/>
      <c r="Y429" s="65"/>
      <c r="Z429" s="65"/>
      <c r="AA429" s="65"/>
      <c r="AB429" s="65"/>
      <c r="AC429" s="65"/>
    </row>
    <row r="430">
      <c r="A430" s="62" t="s">
        <v>295</v>
      </c>
      <c r="B430" s="62" t="s">
        <v>302</v>
      </c>
      <c r="C430" s="63" t="s">
        <v>301</v>
      </c>
      <c r="D430" s="63" t="s">
        <v>298</v>
      </c>
      <c r="E430" s="58">
        <f t="shared" si="11"/>
        <v>73.26</v>
      </c>
      <c r="F430" s="63">
        <v>74.4</v>
      </c>
      <c r="G430" s="63">
        <v>1.14</v>
      </c>
      <c r="H430" s="58">
        <f t="shared" si="1"/>
        <v>1.14</v>
      </c>
      <c r="I430" s="63">
        <f t="shared" si="12"/>
        <v>1.14</v>
      </c>
      <c r="J430" s="67">
        <f t="shared" si="13"/>
        <v>1.556101556</v>
      </c>
      <c r="K430" s="67">
        <f t="shared" si="10"/>
        <v>1.556101556</v>
      </c>
      <c r="L430" s="62"/>
      <c r="M430" s="62"/>
      <c r="N430" s="63" t="s">
        <v>303</v>
      </c>
      <c r="O430" s="65"/>
      <c r="P430" s="65"/>
      <c r="Q430" s="65"/>
      <c r="R430" s="65"/>
      <c r="S430" s="65"/>
      <c r="T430" s="65"/>
      <c r="U430" s="65"/>
      <c r="V430" s="65"/>
      <c r="W430" s="65"/>
      <c r="X430" s="65"/>
      <c r="Y430" s="65"/>
      <c r="Z430" s="65"/>
      <c r="AA430" s="65"/>
      <c r="AB430" s="65"/>
      <c r="AC430" s="65"/>
    </row>
    <row r="431">
      <c r="A431" s="62" t="s">
        <v>295</v>
      </c>
      <c r="B431" s="62" t="s">
        <v>302</v>
      </c>
      <c r="C431" s="63" t="s">
        <v>301</v>
      </c>
      <c r="D431" s="63" t="s">
        <v>298</v>
      </c>
      <c r="E431" s="58">
        <f t="shared" si="11"/>
        <v>61.13</v>
      </c>
      <c r="F431" s="63">
        <v>62.1</v>
      </c>
      <c r="G431" s="63">
        <v>0.97</v>
      </c>
      <c r="H431" s="58">
        <f t="shared" si="1"/>
        <v>0.97</v>
      </c>
      <c r="I431" s="63">
        <f t="shared" si="12"/>
        <v>0.97</v>
      </c>
      <c r="J431" s="67">
        <f t="shared" si="13"/>
        <v>1.586782267</v>
      </c>
      <c r="K431" s="67">
        <f t="shared" si="10"/>
        <v>1.586782267</v>
      </c>
      <c r="L431" s="62"/>
      <c r="M431" s="62"/>
      <c r="N431" s="63" t="s">
        <v>303</v>
      </c>
      <c r="O431" s="65"/>
      <c r="P431" s="65"/>
      <c r="Q431" s="65"/>
      <c r="R431" s="65"/>
      <c r="S431" s="65"/>
      <c r="T431" s="65"/>
      <c r="U431" s="65"/>
      <c r="V431" s="65"/>
      <c r="W431" s="65"/>
      <c r="X431" s="65"/>
      <c r="Y431" s="65"/>
      <c r="Z431" s="65"/>
      <c r="AA431" s="65"/>
      <c r="AB431" s="65"/>
      <c r="AC431" s="65"/>
    </row>
    <row r="432">
      <c r="A432" s="62" t="s">
        <v>295</v>
      </c>
      <c r="B432" s="62" t="s">
        <v>302</v>
      </c>
      <c r="C432" s="63" t="s">
        <v>301</v>
      </c>
      <c r="D432" s="63" t="s">
        <v>298</v>
      </c>
      <c r="E432" s="58">
        <f t="shared" si="11"/>
        <v>59.69</v>
      </c>
      <c r="F432" s="63">
        <v>64.0</v>
      </c>
      <c r="G432" s="63">
        <v>4.31</v>
      </c>
      <c r="H432" s="58">
        <f t="shared" si="1"/>
        <v>4.31</v>
      </c>
      <c r="I432" s="63">
        <f t="shared" si="12"/>
        <v>4.31</v>
      </c>
      <c r="J432" s="67">
        <f t="shared" si="13"/>
        <v>7.220639973</v>
      </c>
      <c r="K432" s="67">
        <f t="shared" si="10"/>
        <v>7.220639973</v>
      </c>
      <c r="L432" s="62"/>
      <c r="M432" s="62"/>
      <c r="N432" s="63" t="s">
        <v>303</v>
      </c>
      <c r="O432" s="65"/>
      <c r="P432" s="65"/>
      <c r="Q432" s="65"/>
      <c r="R432" s="65"/>
      <c r="S432" s="65"/>
      <c r="T432" s="65"/>
      <c r="U432" s="65"/>
      <c r="V432" s="65"/>
      <c r="W432" s="65"/>
      <c r="X432" s="65"/>
      <c r="Y432" s="65"/>
      <c r="Z432" s="65"/>
      <c r="AA432" s="65"/>
      <c r="AB432" s="65"/>
      <c r="AC432" s="65"/>
    </row>
    <row r="433">
      <c r="A433" s="62" t="s">
        <v>295</v>
      </c>
      <c r="B433" s="62" t="s">
        <v>302</v>
      </c>
      <c r="C433" s="63" t="s">
        <v>301</v>
      </c>
      <c r="D433" s="63" t="s">
        <v>298</v>
      </c>
      <c r="E433" s="58">
        <f t="shared" si="11"/>
        <v>47.61</v>
      </c>
      <c r="F433" s="63">
        <v>49.3</v>
      </c>
      <c r="G433" s="63">
        <v>1.69</v>
      </c>
      <c r="H433" s="58">
        <f t="shared" si="1"/>
        <v>1.69</v>
      </c>
      <c r="I433" s="63">
        <f t="shared" si="12"/>
        <v>1.69</v>
      </c>
      <c r="J433" s="67">
        <f t="shared" si="13"/>
        <v>3.549674438</v>
      </c>
      <c r="K433" s="67">
        <f t="shared" si="10"/>
        <v>3.549674438</v>
      </c>
      <c r="L433" s="62"/>
      <c r="M433" s="62"/>
      <c r="N433" s="63" t="s">
        <v>303</v>
      </c>
      <c r="O433" s="65"/>
      <c r="P433" s="65"/>
      <c r="Q433" s="65"/>
      <c r="R433" s="65"/>
      <c r="S433" s="65"/>
      <c r="T433" s="65"/>
      <c r="U433" s="65"/>
      <c r="V433" s="65"/>
      <c r="W433" s="65"/>
      <c r="X433" s="65"/>
      <c r="Y433" s="65"/>
      <c r="Z433" s="65"/>
      <c r="AA433" s="65"/>
      <c r="AB433" s="65"/>
      <c r="AC433" s="65"/>
    </row>
    <row r="434">
      <c r="A434" s="62" t="s">
        <v>295</v>
      </c>
      <c r="B434" s="62" t="s">
        <v>302</v>
      </c>
      <c r="C434" s="63" t="s">
        <v>301</v>
      </c>
      <c r="D434" s="63" t="s">
        <v>298</v>
      </c>
      <c r="E434" s="58">
        <f t="shared" si="11"/>
        <v>67.8</v>
      </c>
      <c r="F434" s="63">
        <v>69.4</v>
      </c>
      <c r="G434" s="63">
        <v>1.6</v>
      </c>
      <c r="H434" s="58">
        <f t="shared" si="1"/>
        <v>1.6</v>
      </c>
      <c r="I434" s="63">
        <f t="shared" si="12"/>
        <v>1.6</v>
      </c>
      <c r="J434" s="67">
        <f t="shared" si="13"/>
        <v>2.359882006</v>
      </c>
      <c r="K434" s="67">
        <f t="shared" si="10"/>
        <v>2.359882006</v>
      </c>
      <c r="L434" s="62"/>
      <c r="M434" s="62"/>
      <c r="N434" s="63" t="s">
        <v>303</v>
      </c>
      <c r="O434" s="65"/>
      <c r="P434" s="65"/>
      <c r="Q434" s="65"/>
      <c r="R434" s="65"/>
      <c r="S434" s="65"/>
      <c r="T434" s="65"/>
      <c r="U434" s="65"/>
      <c r="V434" s="65"/>
      <c r="W434" s="65"/>
      <c r="X434" s="65"/>
      <c r="Y434" s="65"/>
      <c r="Z434" s="65"/>
      <c r="AA434" s="65"/>
      <c r="AB434" s="65"/>
      <c r="AC434" s="65"/>
    </row>
    <row r="435">
      <c r="A435" s="62" t="s">
        <v>295</v>
      </c>
      <c r="B435" s="62" t="s">
        <v>302</v>
      </c>
      <c r="C435" s="63" t="s">
        <v>301</v>
      </c>
      <c r="D435" s="63" t="s">
        <v>298</v>
      </c>
      <c r="E435" s="58">
        <f t="shared" si="11"/>
        <v>64.29</v>
      </c>
      <c r="F435" s="63">
        <v>65.9</v>
      </c>
      <c r="G435" s="63">
        <v>1.61</v>
      </c>
      <c r="H435" s="58">
        <f t="shared" si="1"/>
        <v>1.61</v>
      </c>
      <c r="I435" s="63">
        <f t="shared" si="12"/>
        <v>1.61</v>
      </c>
      <c r="J435" s="67">
        <f t="shared" si="13"/>
        <v>2.504277493</v>
      </c>
      <c r="K435" s="67">
        <f t="shared" si="10"/>
        <v>2.504277493</v>
      </c>
      <c r="L435" s="62"/>
      <c r="M435" s="62"/>
      <c r="N435" s="63" t="s">
        <v>303</v>
      </c>
      <c r="O435" s="65"/>
      <c r="P435" s="65"/>
      <c r="Q435" s="65"/>
      <c r="R435" s="65"/>
      <c r="S435" s="65"/>
      <c r="T435" s="65"/>
      <c r="U435" s="65"/>
      <c r="V435" s="65"/>
      <c r="W435" s="65"/>
      <c r="X435" s="65"/>
      <c r="Y435" s="65"/>
      <c r="Z435" s="65"/>
      <c r="AA435" s="65"/>
      <c r="AB435" s="65"/>
      <c r="AC435" s="65"/>
    </row>
    <row r="436">
      <c r="A436" s="62" t="s">
        <v>295</v>
      </c>
      <c r="B436" s="62" t="s">
        <v>302</v>
      </c>
      <c r="C436" s="63" t="s">
        <v>301</v>
      </c>
      <c r="D436" s="63" t="s">
        <v>298</v>
      </c>
      <c r="E436" s="58">
        <f t="shared" si="11"/>
        <v>48.32</v>
      </c>
      <c r="F436" s="63">
        <v>48.9</v>
      </c>
      <c r="G436" s="63">
        <v>0.58</v>
      </c>
      <c r="H436" s="63">
        <f t="shared" si="1"/>
        <v>0.58</v>
      </c>
      <c r="I436" s="63">
        <f t="shared" si="12"/>
        <v>0.58</v>
      </c>
      <c r="J436" s="67">
        <f t="shared" si="13"/>
        <v>1.200331126</v>
      </c>
      <c r="K436" s="67">
        <f t="shared" si="10"/>
        <v>1.200331126</v>
      </c>
      <c r="L436" s="62"/>
      <c r="M436" s="62"/>
      <c r="N436" s="63" t="s">
        <v>303</v>
      </c>
      <c r="O436" s="65"/>
      <c r="P436" s="65"/>
      <c r="Q436" s="65"/>
      <c r="R436" s="65"/>
      <c r="S436" s="65"/>
      <c r="T436" s="65"/>
      <c r="U436" s="65"/>
      <c r="V436" s="65"/>
      <c r="W436" s="65"/>
      <c r="X436" s="65"/>
      <c r="Y436" s="65"/>
      <c r="Z436" s="65"/>
      <c r="AA436" s="65"/>
      <c r="AB436" s="65"/>
      <c r="AC436" s="65"/>
    </row>
    <row r="437">
      <c r="A437" s="55" t="s">
        <v>295</v>
      </c>
      <c r="B437" s="55" t="s">
        <v>304</v>
      </c>
      <c r="C437" s="58" t="s">
        <v>297</v>
      </c>
      <c r="D437" s="63" t="s">
        <v>298</v>
      </c>
      <c r="E437" s="58">
        <v>0.428</v>
      </c>
      <c r="F437" s="58">
        <v>0.574</v>
      </c>
      <c r="G437" s="57"/>
      <c r="H437" s="63">
        <f t="shared" si="1"/>
        <v>0.146</v>
      </c>
      <c r="I437" s="63">
        <f t="shared" si="12"/>
        <v>0.146</v>
      </c>
      <c r="J437" s="59">
        <f t="shared" si="13"/>
        <v>34.11214953</v>
      </c>
      <c r="K437" s="59">
        <f t="shared" si="10"/>
        <v>34.11214953</v>
      </c>
      <c r="L437" s="57"/>
      <c r="M437" s="57"/>
      <c r="N437" s="58" t="s">
        <v>305</v>
      </c>
      <c r="O437" s="53"/>
      <c r="P437" s="53"/>
      <c r="Q437" s="53"/>
      <c r="R437" s="53"/>
      <c r="S437" s="53"/>
      <c r="T437" s="53"/>
      <c r="U437" s="53"/>
      <c r="V437" s="53"/>
      <c r="W437" s="53"/>
      <c r="X437" s="53"/>
      <c r="Y437" s="53"/>
      <c r="Z437" s="53"/>
      <c r="AA437" s="53"/>
      <c r="AB437" s="53"/>
      <c r="AC437" s="53"/>
    </row>
    <row r="438">
      <c r="A438" s="62" t="s">
        <v>295</v>
      </c>
      <c r="B438" s="62" t="s">
        <v>304</v>
      </c>
      <c r="C438" s="63" t="s">
        <v>297</v>
      </c>
      <c r="D438" s="63" t="s">
        <v>298</v>
      </c>
      <c r="E438" s="63">
        <v>0.721</v>
      </c>
      <c r="F438" s="63">
        <v>0.606</v>
      </c>
      <c r="G438" s="62"/>
      <c r="H438" s="63">
        <f t="shared" si="1"/>
        <v>-0.115</v>
      </c>
      <c r="I438" s="63">
        <f t="shared" si="12"/>
        <v>-0.115</v>
      </c>
      <c r="J438" s="64">
        <f t="shared" si="13"/>
        <v>-15.95006935</v>
      </c>
      <c r="K438" s="64">
        <f t="shared" si="10"/>
        <v>-15.95006935</v>
      </c>
      <c r="L438" s="62"/>
      <c r="M438" s="62"/>
      <c r="N438" s="62" t="s">
        <v>305</v>
      </c>
      <c r="O438" s="65"/>
      <c r="P438" s="65"/>
      <c r="Q438" s="65"/>
      <c r="R438" s="65"/>
      <c r="S438" s="65"/>
      <c r="T438" s="65"/>
      <c r="U438" s="65"/>
      <c r="V438" s="65"/>
      <c r="W438" s="65"/>
      <c r="X438" s="65"/>
      <c r="Y438" s="65"/>
      <c r="Z438" s="65"/>
      <c r="AA438" s="65"/>
      <c r="AB438" s="65"/>
      <c r="AC438" s="65"/>
    </row>
    <row r="439">
      <c r="A439" s="62" t="s">
        <v>295</v>
      </c>
      <c r="B439" s="62" t="s">
        <v>304</v>
      </c>
      <c r="C439" s="63" t="s">
        <v>297</v>
      </c>
      <c r="D439" s="63" t="s">
        <v>298</v>
      </c>
      <c r="E439" s="63">
        <v>0.726</v>
      </c>
      <c r="F439" s="63">
        <v>0.68</v>
      </c>
      <c r="G439" s="62"/>
      <c r="H439" s="63">
        <f t="shared" si="1"/>
        <v>-0.046</v>
      </c>
      <c r="I439" s="63">
        <f t="shared" si="12"/>
        <v>-0.046</v>
      </c>
      <c r="J439" s="64">
        <f t="shared" si="13"/>
        <v>-6.336088154</v>
      </c>
      <c r="K439" s="64">
        <f t="shared" si="10"/>
        <v>-6.336088154</v>
      </c>
      <c r="L439" s="62"/>
      <c r="M439" s="62"/>
      <c r="N439" s="63" t="s">
        <v>305</v>
      </c>
      <c r="O439" s="65"/>
      <c r="P439" s="65"/>
      <c r="Q439" s="65"/>
      <c r="R439" s="65"/>
      <c r="S439" s="65"/>
      <c r="T439" s="65"/>
      <c r="U439" s="65"/>
      <c r="V439" s="65"/>
      <c r="W439" s="65"/>
      <c r="X439" s="65"/>
      <c r="Y439" s="65"/>
      <c r="Z439" s="65"/>
      <c r="AA439" s="65"/>
      <c r="AB439" s="65"/>
      <c r="AC439" s="65"/>
    </row>
    <row r="440">
      <c r="A440" s="62" t="s">
        <v>295</v>
      </c>
      <c r="B440" s="62" t="s">
        <v>304</v>
      </c>
      <c r="C440" s="63" t="s">
        <v>297</v>
      </c>
      <c r="D440" s="63" t="s">
        <v>298</v>
      </c>
      <c r="E440" s="63">
        <v>0.703</v>
      </c>
      <c r="F440" s="63">
        <v>0.651</v>
      </c>
      <c r="G440" s="62"/>
      <c r="H440" s="63">
        <f t="shared" si="1"/>
        <v>-0.052</v>
      </c>
      <c r="I440" s="63">
        <f t="shared" si="12"/>
        <v>-0.052</v>
      </c>
      <c r="J440" s="64">
        <f t="shared" si="13"/>
        <v>-7.396870555</v>
      </c>
      <c r="K440" s="64">
        <f t="shared" si="10"/>
        <v>-7.396870555</v>
      </c>
      <c r="L440" s="62"/>
      <c r="M440" s="62"/>
      <c r="N440" s="62" t="s">
        <v>305</v>
      </c>
      <c r="O440" s="65"/>
      <c r="P440" s="65"/>
      <c r="Q440" s="65"/>
      <c r="R440" s="65"/>
      <c r="S440" s="65"/>
      <c r="T440" s="65"/>
      <c r="U440" s="65"/>
      <c r="V440" s="65"/>
      <c r="W440" s="65"/>
      <c r="X440" s="65"/>
      <c r="Y440" s="65"/>
      <c r="Z440" s="65"/>
      <c r="AA440" s="65"/>
      <c r="AB440" s="65"/>
      <c r="AC440" s="65"/>
    </row>
    <row r="441">
      <c r="A441" s="62" t="s">
        <v>295</v>
      </c>
      <c r="B441" s="62" t="s">
        <v>304</v>
      </c>
      <c r="C441" s="63" t="s">
        <v>297</v>
      </c>
      <c r="D441" s="63" t="s">
        <v>298</v>
      </c>
      <c r="E441" s="63">
        <v>0.449</v>
      </c>
      <c r="F441" s="63">
        <v>0.597</v>
      </c>
      <c r="G441" s="62"/>
      <c r="H441" s="63">
        <f t="shared" si="1"/>
        <v>0.148</v>
      </c>
      <c r="I441" s="63">
        <f t="shared" si="12"/>
        <v>0.148</v>
      </c>
      <c r="J441" s="64">
        <f t="shared" si="13"/>
        <v>32.96213808</v>
      </c>
      <c r="K441" s="64">
        <f t="shared" si="10"/>
        <v>32.96213808</v>
      </c>
      <c r="L441" s="62"/>
      <c r="M441" s="62"/>
      <c r="N441" s="62" t="s">
        <v>305</v>
      </c>
      <c r="O441" s="65"/>
      <c r="P441" s="65"/>
      <c r="Q441" s="65"/>
      <c r="R441" s="65"/>
      <c r="S441" s="65"/>
      <c r="T441" s="65"/>
      <c r="U441" s="65"/>
      <c r="V441" s="65"/>
      <c r="W441" s="65"/>
      <c r="X441" s="65"/>
      <c r="Y441" s="65"/>
      <c r="Z441" s="65"/>
      <c r="AA441" s="65"/>
      <c r="AB441" s="65"/>
      <c r="AC441" s="65"/>
    </row>
    <row r="442">
      <c r="A442" s="62" t="s">
        <v>295</v>
      </c>
      <c r="B442" s="62" t="s">
        <v>304</v>
      </c>
      <c r="C442" s="63" t="s">
        <v>297</v>
      </c>
      <c r="D442" s="63" t="s">
        <v>298</v>
      </c>
      <c r="E442" s="63">
        <v>0.693</v>
      </c>
      <c r="F442" s="63">
        <v>0.659</v>
      </c>
      <c r="G442" s="62"/>
      <c r="H442" s="63">
        <f t="shared" si="1"/>
        <v>-0.034</v>
      </c>
      <c r="I442" s="63">
        <f t="shared" si="12"/>
        <v>-0.034</v>
      </c>
      <c r="J442" s="64">
        <f t="shared" si="13"/>
        <v>-4.906204906</v>
      </c>
      <c r="K442" s="64">
        <f t="shared" si="10"/>
        <v>-4.906204906</v>
      </c>
      <c r="L442" s="62"/>
      <c r="M442" s="62"/>
      <c r="N442" s="62" t="s">
        <v>305</v>
      </c>
      <c r="O442" s="65"/>
      <c r="P442" s="65"/>
      <c r="Q442" s="65"/>
      <c r="R442" s="65"/>
      <c r="S442" s="65"/>
      <c r="T442" s="65"/>
      <c r="U442" s="65"/>
      <c r="V442" s="65"/>
      <c r="W442" s="65"/>
      <c r="X442" s="65"/>
      <c r="Y442" s="65"/>
      <c r="Z442" s="65"/>
      <c r="AA442" s="65"/>
      <c r="AB442" s="65"/>
      <c r="AC442" s="65"/>
    </row>
    <row r="443">
      <c r="A443" s="62" t="s">
        <v>295</v>
      </c>
      <c r="B443" s="62" t="s">
        <v>304</v>
      </c>
      <c r="C443" s="63" t="s">
        <v>297</v>
      </c>
      <c r="D443" s="63" t="s">
        <v>298</v>
      </c>
      <c r="E443" s="63">
        <v>0.719</v>
      </c>
      <c r="F443" s="63">
        <v>0.607</v>
      </c>
      <c r="G443" s="63" t="s">
        <v>238</v>
      </c>
      <c r="H443" s="63">
        <f t="shared" si="1"/>
        <v>-0.112</v>
      </c>
      <c r="I443" s="63">
        <f t="shared" si="12"/>
        <v>-0.112</v>
      </c>
      <c r="J443" s="67">
        <f t="shared" si="13"/>
        <v>-15.57719054</v>
      </c>
      <c r="K443" s="67">
        <f t="shared" si="10"/>
        <v>-15.57719054</v>
      </c>
      <c r="L443" s="62"/>
      <c r="M443" s="62"/>
      <c r="N443" s="62" t="s">
        <v>305</v>
      </c>
      <c r="O443" s="65"/>
      <c r="P443" s="65"/>
      <c r="Q443" s="65"/>
      <c r="R443" s="65"/>
      <c r="S443" s="65"/>
      <c r="T443" s="65"/>
      <c r="U443" s="65"/>
      <c r="V443" s="65"/>
      <c r="W443" s="65"/>
      <c r="X443" s="65"/>
      <c r="Y443" s="65"/>
      <c r="Z443" s="65"/>
      <c r="AA443" s="65"/>
      <c r="AB443" s="65"/>
      <c r="AC443" s="65"/>
    </row>
    <row r="444">
      <c r="A444" s="62" t="s">
        <v>295</v>
      </c>
      <c r="B444" s="62" t="s">
        <v>304</v>
      </c>
      <c r="C444" s="63" t="s">
        <v>297</v>
      </c>
      <c r="D444" s="63" t="s">
        <v>298</v>
      </c>
      <c r="E444" s="63">
        <v>0.724</v>
      </c>
      <c r="F444" s="63">
        <v>0.681</v>
      </c>
      <c r="G444" s="63" t="s">
        <v>238</v>
      </c>
      <c r="H444" s="63">
        <f t="shared" si="1"/>
        <v>-0.043</v>
      </c>
      <c r="I444" s="63">
        <f t="shared" si="12"/>
        <v>-0.043</v>
      </c>
      <c r="J444" s="67">
        <f t="shared" si="13"/>
        <v>-5.939226519</v>
      </c>
      <c r="K444" s="67">
        <f t="shared" si="10"/>
        <v>-5.939226519</v>
      </c>
      <c r="L444" s="62"/>
      <c r="M444" s="62"/>
      <c r="N444" s="62" t="s">
        <v>305</v>
      </c>
      <c r="O444" s="65"/>
      <c r="P444" s="65"/>
      <c r="Q444" s="65"/>
      <c r="R444" s="65"/>
      <c r="S444" s="65"/>
      <c r="T444" s="65"/>
      <c r="U444" s="65"/>
      <c r="V444" s="65"/>
      <c r="W444" s="65"/>
      <c r="X444" s="65"/>
      <c r="Y444" s="65"/>
      <c r="Z444" s="65"/>
      <c r="AA444" s="65"/>
      <c r="AB444" s="65"/>
      <c r="AC444" s="65"/>
    </row>
    <row r="445">
      <c r="A445" s="62" t="s">
        <v>295</v>
      </c>
      <c r="B445" s="62" t="s">
        <v>304</v>
      </c>
      <c r="C445" s="63" t="s">
        <v>297</v>
      </c>
      <c r="D445" s="63" t="s">
        <v>298</v>
      </c>
      <c r="E445" s="63">
        <v>0.693</v>
      </c>
      <c r="F445" s="63">
        <v>0.653</v>
      </c>
      <c r="G445" s="63" t="s">
        <v>238</v>
      </c>
      <c r="H445" s="63">
        <f t="shared" si="1"/>
        <v>-0.04</v>
      </c>
      <c r="I445" s="63">
        <f t="shared" si="12"/>
        <v>-0.04</v>
      </c>
      <c r="J445" s="67">
        <f t="shared" si="13"/>
        <v>-5.772005772</v>
      </c>
      <c r="K445" s="67">
        <f t="shared" si="10"/>
        <v>-5.772005772</v>
      </c>
      <c r="L445" s="62"/>
      <c r="M445" s="62"/>
      <c r="N445" s="62" t="s">
        <v>305</v>
      </c>
      <c r="O445" s="65"/>
      <c r="P445" s="65"/>
      <c r="Q445" s="65"/>
      <c r="R445" s="65"/>
      <c r="S445" s="65"/>
      <c r="T445" s="65"/>
      <c r="U445" s="65"/>
      <c r="V445" s="65"/>
      <c r="W445" s="65"/>
      <c r="X445" s="65"/>
      <c r="Y445" s="65"/>
      <c r="Z445" s="65"/>
      <c r="AA445" s="65"/>
      <c r="AB445" s="65"/>
      <c r="AC445" s="65"/>
    </row>
    <row r="446">
      <c r="A446" s="62" t="s">
        <v>295</v>
      </c>
      <c r="B446" s="62" t="s">
        <v>304</v>
      </c>
      <c r="C446" s="63" t="s">
        <v>297</v>
      </c>
      <c r="D446" s="63" t="s">
        <v>298</v>
      </c>
      <c r="E446" s="63">
        <v>0.471</v>
      </c>
      <c r="F446" s="63">
        <v>0.647</v>
      </c>
      <c r="G446" s="63" t="s">
        <v>199</v>
      </c>
      <c r="H446" s="63">
        <f t="shared" si="1"/>
        <v>0.176</v>
      </c>
      <c r="I446" s="63">
        <f t="shared" si="12"/>
        <v>0.176</v>
      </c>
      <c r="J446" s="67">
        <f t="shared" si="13"/>
        <v>37.36730361</v>
      </c>
      <c r="K446" s="67">
        <f t="shared" si="10"/>
        <v>37.36730361</v>
      </c>
      <c r="L446" s="62"/>
      <c r="M446" s="62"/>
      <c r="N446" s="62" t="s">
        <v>305</v>
      </c>
      <c r="O446" s="65"/>
      <c r="P446" s="65"/>
      <c r="Q446" s="65"/>
      <c r="R446" s="65"/>
      <c r="S446" s="65"/>
      <c r="T446" s="65"/>
      <c r="U446" s="65"/>
      <c r="V446" s="65"/>
      <c r="W446" s="65"/>
      <c r="X446" s="65"/>
      <c r="Y446" s="65"/>
      <c r="Z446" s="65"/>
      <c r="AA446" s="65"/>
      <c r="AB446" s="65"/>
      <c r="AC446" s="65"/>
    </row>
    <row r="447">
      <c r="A447" s="62" t="s">
        <v>295</v>
      </c>
      <c r="B447" s="62" t="s">
        <v>304</v>
      </c>
      <c r="C447" s="63" t="s">
        <v>297</v>
      </c>
      <c r="D447" s="63" t="s">
        <v>298</v>
      </c>
      <c r="E447" s="63">
        <v>0.689</v>
      </c>
      <c r="F447" s="63">
        <v>0.657</v>
      </c>
      <c r="G447" s="63" t="s">
        <v>199</v>
      </c>
      <c r="H447" s="63">
        <f t="shared" si="1"/>
        <v>-0.032</v>
      </c>
      <c r="I447" s="63">
        <f t="shared" si="12"/>
        <v>-0.032</v>
      </c>
      <c r="J447" s="67">
        <f t="shared" si="13"/>
        <v>-4.644412192</v>
      </c>
      <c r="K447" s="67">
        <f t="shared" si="10"/>
        <v>-4.644412192</v>
      </c>
      <c r="L447" s="62"/>
      <c r="M447" s="62"/>
      <c r="N447" s="62" t="s">
        <v>305</v>
      </c>
      <c r="O447" s="65"/>
      <c r="P447" s="65"/>
      <c r="Q447" s="65"/>
      <c r="R447" s="65"/>
      <c r="S447" s="65"/>
      <c r="T447" s="65"/>
      <c r="U447" s="65"/>
      <c r="V447" s="65"/>
      <c r="W447" s="65"/>
      <c r="X447" s="65"/>
      <c r="Y447" s="65"/>
      <c r="Z447" s="65"/>
      <c r="AA447" s="65"/>
      <c r="AB447" s="65"/>
      <c r="AC447" s="65"/>
    </row>
    <row r="448">
      <c r="A448" s="62" t="s">
        <v>295</v>
      </c>
      <c r="B448" s="62" t="s">
        <v>304</v>
      </c>
      <c r="C448" s="63" t="s">
        <v>300</v>
      </c>
      <c r="D448" s="63" t="s">
        <v>298</v>
      </c>
      <c r="E448" s="63">
        <v>0.497</v>
      </c>
      <c r="F448" s="63">
        <v>0.616</v>
      </c>
      <c r="G448" s="63">
        <v>0.0</v>
      </c>
      <c r="H448" s="63">
        <f t="shared" si="1"/>
        <v>0.119</v>
      </c>
      <c r="I448" s="63">
        <f t="shared" si="12"/>
        <v>0.119</v>
      </c>
      <c r="J448" s="67">
        <f t="shared" si="13"/>
        <v>23.94366197</v>
      </c>
      <c r="K448" s="67">
        <f t="shared" si="10"/>
        <v>23.94366197</v>
      </c>
      <c r="L448" s="62"/>
      <c r="M448" s="62"/>
      <c r="N448" s="62" t="s">
        <v>305</v>
      </c>
      <c r="O448" s="65"/>
      <c r="P448" s="65"/>
      <c r="Q448" s="65"/>
      <c r="R448" s="65"/>
      <c r="S448" s="65"/>
      <c r="T448" s="65"/>
      <c r="U448" s="65"/>
      <c r="V448" s="65"/>
      <c r="W448" s="65"/>
      <c r="X448" s="65"/>
      <c r="Y448" s="65"/>
      <c r="Z448" s="65"/>
      <c r="AA448" s="65"/>
      <c r="AB448" s="65"/>
      <c r="AC448" s="65"/>
    </row>
    <row r="449">
      <c r="A449" s="62" t="s">
        <v>295</v>
      </c>
      <c r="B449" s="62" t="s">
        <v>304</v>
      </c>
      <c r="C449" s="63" t="s">
        <v>300</v>
      </c>
      <c r="D449" s="63" t="s">
        <v>298</v>
      </c>
      <c r="E449" s="63">
        <v>0.666</v>
      </c>
      <c r="F449" s="63">
        <v>0.59</v>
      </c>
      <c r="G449" s="63">
        <v>0.0</v>
      </c>
      <c r="H449" s="63">
        <f t="shared" si="1"/>
        <v>-0.076</v>
      </c>
      <c r="I449" s="63">
        <f t="shared" si="12"/>
        <v>-0.076</v>
      </c>
      <c r="J449" s="67">
        <f t="shared" si="13"/>
        <v>-11.41141141</v>
      </c>
      <c r="K449" s="67">
        <f t="shared" si="10"/>
        <v>-11.41141141</v>
      </c>
      <c r="L449" s="62"/>
      <c r="M449" s="62"/>
      <c r="N449" s="62" t="s">
        <v>305</v>
      </c>
      <c r="O449" s="65"/>
      <c r="P449" s="65"/>
      <c r="Q449" s="65"/>
      <c r="R449" s="65"/>
      <c r="S449" s="65"/>
      <c r="T449" s="65"/>
      <c r="U449" s="65"/>
      <c r="V449" s="65"/>
      <c r="W449" s="65"/>
      <c r="X449" s="65"/>
      <c r="Y449" s="65"/>
      <c r="Z449" s="65"/>
      <c r="AA449" s="65"/>
      <c r="AB449" s="65"/>
      <c r="AC449" s="65"/>
    </row>
    <row r="450">
      <c r="A450" s="62" t="s">
        <v>295</v>
      </c>
      <c r="B450" s="62" t="s">
        <v>304</v>
      </c>
      <c r="C450" s="63" t="s">
        <v>300</v>
      </c>
      <c r="D450" s="63" t="s">
        <v>298</v>
      </c>
      <c r="E450" s="63">
        <v>0.663</v>
      </c>
      <c r="F450" s="63">
        <v>0.659</v>
      </c>
      <c r="G450" s="63"/>
      <c r="H450" s="63">
        <f t="shared" si="1"/>
        <v>-0.004</v>
      </c>
      <c r="I450" s="63">
        <f t="shared" si="12"/>
        <v>-0.004</v>
      </c>
      <c r="J450" s="67">
        <f t="shared" si="13"/>
        <v>-0.6033182504</v>
      </c>
      <c r="K450" s="67">
        <f t="shared" si="10"/>
        <v>-0.6033182504</v>
      </c>
      <c r="L450" s="62"/>
      <c r="M450" s="62"/>
      <c r="N450" s="62" t="s">
        <v>305</v>
      </c>
      <c r="O450" s="65"/>
      <c r="P450" s="65"/>
      <c r="Q450" s="65"/>
      <c r="R450" s="65"/>
      <c r="S450" s="65"/>
      <c r="T450" s="65"/>
      <c r="U450" s="65"/>
      <c r="V450" s="65"/>
      <c r="W450" s="65"/>
      <c r="X450" s="65"/>
      <c r="Y450" s="65"/>
      <c r="Z450" s="65"/>
      <c r="AA450" s="65"/>
      <c r="AB450" s="65"/>
      <c r="AC450" s="65"/>
    </row>
    <row r="451">
      <c r="A451" s="62" t="s">
        <v>295</v>
      </c>
      <c r="B451" s="62" t="s">
        <v>304</v>
      </c>
      <c r="C451" s="63" t="s">
        <v>300</v>
      </c>
      <c r="D451" s="63" t="s">
        <v>298</v>
      </c>
      <c r="E451" s="63">
        <v>0.663</v>
      </c>
      <c r="F451" s="63">
        <v>0.637</v>
      </c>
      <c r="G451" s="63"/>
      <c r="H451" s="63">
        <f t="shared" si="1"/>
        <v>-0.026</v>
      </c>
      <c r="I451" s="63">
        <f t="shared" si="12"/>
        <v>-0.026</v>
      </c>
      <c r="J451" s="67">
        <f t="shared" si="13"/>
        <v>-3.921568627</v>
      </c>
      <c r="K451" s="67">
        <f t="shared" si="10"/>
        <v>-3.921568627</v>
      </c>
      <c r="L451" s="62"/>
      <c r="M451" s="62"/>
      <c r="N451" s="62" t="s">
        <v>305</v>
      </c>
      <c r="O451" s="65"/>
      <c r="P451" s="65"/>
      <c r="Q451" s="65"/>
      <c r="R451" s="65"/>
      <c r="S451" s="65"/>
      <c r="T451" s="65"/>
      <c r="U451" s="65"/>
      <c r="V451" s="65"/>
      <c r="W451" s="65"/>
      <c r="X451" s="65"/>
      <c r="Y451" s="65"/>
      <c r="Z451" s="65"/>
      <c r="AA451" s="65"/>
      <c r="AB451" s="65"/>
      <c r="AC451" s="65"/>
    </row>
    <row r="452">
      <c r="A452" s="62" t="s">
        <v>295</v>
      </c>
      <c r="B452" s="62" t="s">
        <v>304</v>
      </c>
      <c r="C452" s="63" t="s">
        <v>300</v>
      </c>
      <c r="D452" s="63" t="s">
        <v>298</v>
      </c>
      <c r="E452" s="63">
        <v>0.553</v>
      </c>
      <c r="F452" s="63">
        <v>0.625</v>
      </c>
      <c r="G452" s="63"/>
      <c r="H452" s="63">
        <f t="shared" si="1"/>
        <v>0.072</v>
      </c>
      <c r="I452" s="63">
        <f t="shared" si="12"/>
        <v>0.072</v>
      </c>
      <c r="J452" s="67">
        <f t="shared" si="13"/>
        <v>13.0198915</v>
      </c>
      <c r="K452" s="67">
        <f t="shared" si="10"/>
        <v>13.0198915</v>
      </c>
      <c r="L452" s="62"/>
      <c r="M452" s="62"/>
      <c r="N452" s="62" t="s">
        <v>305</v>
      </c>
      <c r="O452" s="65"/>
      <c r="P452" s="65"/>
      <c r="Q452" s="65"/>
      <c r="R452" s="65"/>
      <c r="S452" s="65"/>
      <c r="T452" s="65"/>
      <c r="U452" s="65"/>
      <c r="V452" s="65"/>
      <c r="W452" s="65"/>
      <c r="X452" s="65"/>
      <c r="Y452" s="65"/>
      <c r="Z452" s="65"/>
      <c r="AA452" s="65"/>
      <c r="AB452" s="65"/>
      <c r="AC452" s="65"/>
    </row>
    <row r="453">
      <c r="A453" s="62" t="s">
        <v>295</v>
      </c>
      <c r="B453" s="62" t="s">
        <v>304</v>
      </c>
      <c r="C453" s="63" t="s">
        <v>300</v>
      </c>
      <c r="D453" s="63" t="s">
        <v>298</v>
      </c>
      <c r="E453" s="63">
        <v>0.686</v>
      </c>
      <c r="F453" s="63">
        <v>0.638</v>
      </c>
      <c r="G453" s="63"/>
      <c r="H453" s="63">
        <f t="shared" si="1"/>
        <v>-0.048</v>
      </c>
      <c r="I453" s="63">
        <f t="shared" si="12"/>
        <v>-0.048</v>
      </c>
      <c r="J453" s="67">
        <f t="shared" si="13"/>
        <v>-6.997084548</v>
      </c>
      <c r="K453" s="67">
        <f t="shared" si="10"/>
        <v>-6.997084548</v>
      </c>
      <c r="L453" s="62"/>
      <c r="M453" s="62"/>
      <c r="N453" s="62" t="s">
        <v>305</v>
      </c>
      <c r="O453" s="65"/>
      <c r="P453" s="65"/>
      <c r="Q453" s="65"/>
      <c r="R453" s="65"/>
      <c r="S453" s="65"/>
      <c r="T453" s="65"/>
      <c r="U453" s="65"/>
      <c r="V453" s="65"/>
      <c r="W453" s="65"/>
      <c r="X453" s="65"/>
      <c r="Y453" s="65"/>
      <c r="Z453" s="65"/>
      <c r="AA453" s="65"/>
      <c r="AB453" s="65"/>
      <c r="AC453" s="65"/>
    </row>
    <row r="454">
      <c r="A454" s="62" t="s">
        <v>295</v>
      </c>
      <c r="B454" s="62" t="s">
        <v>304</v>
      </c>
      <c r="C454" s="63" t="s">
        <v>300</v>
      </c>
      <c r="D454" s="63" t="s">
        <v>298</v>
      </c>
      <c r="E454" s="63">
        <v>0.686</v>
      </c>
      <c r="F454" s="63">
        <v>0.653</v>
      </c>
      <c r="G454" s="63"/>
      <c r="H454" s="63">
        <f t="shared" si="1"/>
        <v>-0.033</v>
      </c>
      <c r="I454" s="63">
        <f t="shared" si="12"/>
        <v>-0.033</v>
      </c>
      <c r="J454" s="67">
        <f t="shared" si="13"/>
        <v>-4.810495627</v>
      </c>
      <c r="K454" s="67">
        <f t="shared" si="10"/>
        <v>-4.810495627</v>
      </c>
      <c r="L454" s="62"/>
      <c r="M454" s="62"/>
      <c r="N454" s="62" t="s">
        <v>305</v>
      </c>
      <c r="O454" s="65"/>
      <c r="P454" s="65"/>
      <c r="Q454" s="65"/>
      <c r="R454" s="65"/>
      <c r="S454" s="65"/>
      <c r="T454" s="65"/>
      <c r="U454" s="65"/>
      <c r="V454" s="65"/>
      <c r="W454" s="65"/>
      <c r="X454" s="65"/>
      <c r="Y454" s="65"/>
      <c r="Z454" s="65"/>
      <c r="AA454" s="65"/>
      <c r="AB454" s="65"/>
      <c r="AC454" s="65"/>
    </row>
    <row r="455">
      <c r="A455" s="62" t="s">
        <v>295</v>
      </c>
      <c r="B455" s="62" t="s">
        <v>304</v>
      </c>
      <c r="C455" s="63" t="s">
        <v>300</v>
      </c>
      <c r="D455" s="63" t="s">
        <v>298</v>
      </c>
      <c r="E455" s="63">
        <v>0.682</v>
      </c>
      <c r="F455" s="63">
        <v>0.637</v>
      </c>
      <c r="G455" s="63"/>
      <c r="H455" s="63">
        <f t="shared" si="1"/>
        <v>-0.045</v>
      </c>
      <c r="I455" s="63">
        <f t="shared" si="12"/>
        <v>-0.045</v>
      </c>
      <c r="J455" s="67">
        <f t="shared" si="13"/>
        <v>-6.598240469</v>
      </c>
      <c r="K455" s="67">
        <f t="shared" si="10"/>
        <v>-6.598240469</v>
      </c>
      <c r="L455" s="62"/>
      <c r="M455" s="62"/>
      <c r="N455" s="62" t="s">
        <v>305</v>
      </c>
      <c r="O455" s="65"/>
      <c r="P455" s="65"/>
      <c r="Q455" s="65"/>
      <c r="R455" s="65"/>
      <c r="S455" s="65"/>
      <c r="T455" s="65"/>
      <c r="U455" s="65"/>
      <c r="V455" s="65"/>
      <c r="W455" s="65"/>
      <c r="X455" s="65"/>
      <c r="Y455" s="65"/>
      <c r="Z455" s="65"/>
      <c r="AA455" s="65"/>
      <c r="AB455" s="65"/>
      <c r="AC455" s="65"/>
    </row>
    <row r="456">
      <c r="A456" s="62" t="s">
        <v>295</v>
      </c>
      <c r="B456" s="62" t="s">
        <v>304</v>
      </c>
      <c r="C456" s="63" t="s">
        <v>300</v>
      </c>
      <c r="D456" s="63" t="s">
        <v>298</v>
      </c>
      <c r="E456" s="63">
        <v>0.646</v>
      </c>
      <c r="F456" s="63">
        <v>0.602</v>
      </c>
      <c r="G456" s="63"/>
      <c r="H456" s="63">
        <f t="shared" si="1"/>
        <v>-0.044</v>
      </c>
      <c r="I456" s="63">
        <f t="shared" si="12"/>
        <v>-0.044</v>
      </c>
      <c r="J456" s="67">
        <f t="shared" si="13"/>
        <v>-6.811145511</v>
      </c>
      <c r="K456" s="67">
        <f t="shared" si="10"/>
        <v>-6.811145511</v>
      </c>
      <c r="L456" s="62"/>
      <c r="M456" s="62"/>
      <c r="N456" s="62" t="s">
        <v>305</v>
      </c>
      <c r="O456" s="65"/>
      <c r="P456" s="65"/>
      <c r="Q456" s="65"/>
      <c r="R456" s="65"/>
      <c r="S456" s="65"/>
      <c r="T456" s="65"/>
      <c r="U456" s="65"/>
      <c r="V456" s="65"/>
      <c r="W456" s="65"/>
      <c r="X456" s="65"/>
      <c r="Y456" s="65"/>
      <c r="Z456" s="65"/>
      <c r="AA456" s="65"/>
      <c r="AB456" s="65"/>
      <c r="AC456" s="65"/>
    </row>
    <row r="457">
      <c r="A457" s="62" t="s">
        <v>295</v>
      </c>
      <c r="B457" s="62" t="s">
        <v>304</v>
      </c>
      <c r="C457" s="63" t="s">
        <v>300</v>
      </c>
      <c r="D457" s="63" t="s">
        <v>298</v>
      </c>
      <c r="E457" s="63">
        <v>0.578</v>
      </c>
      <c r="F457" s="63">
        <v>0.8</v>
      </c>
      <c r="G457" s="63"/>
      <c r="H457" s="63">
        <f t="shared" si="1"/>
        <v>0.222</v>
      </c>
      <c r="I457" s="63">
        <f t="shared" si="12"/>
        <v>0.222</v>
      </c>
      <c r="J457" s="67">
        <f t="shared" si="13"/>
        <v>38.4083045</v>
      </c>
      <c r="K457" s="67">
        <f t="shared" si="10"/>
        <v>38.4083045</v>
      </c>
      <c r="L457" s="62"/>
      <c r="M457" s="62"/>
      <c r="N457" s="62" t="s">
        <v>305</v>
      </c>
      <c r="O457" s="65"/>
      <c r="P457" s="65"/>
      <c r="Q457" s="65"/>
      <c r="R457" s="65"/>
      <c r="S457" s="65"/>
      <c r="T457" s="65"/>
      <c r="U457" s="65"/>
      <c r="V457" s="65"/>
      <c r="W457" s="65"/>
      <c r="X457" s="65"/>
      <c r="Y457" s="65"/>
      <c r="Z457" s="65"/>
      <c r="AA457" s="65"/>
      <c r="AB457" s="65"/>
      <c r="AC457" s="65"/>
    </row>
    <row r="458">
      <c r="A458" s="62" t="s">
        <v>295</v>
      </c>
      <c r="B458" s="62" t="s">
        <v>304</v>
      </c>
      <c r="C458" s="63" t="s">
        <v>300</v>
      </c>
      <c r="D458" s="63" t="s">
        <v>298</v>
      </c>
      <c r="E458" s="63">
        <v>0.827</v>
      </c>
      <c r="F458" s="63">
        <v>0.8</v>
      </c>
      <c r="G458" s="63"/>
      <c r="H458" s="63">
        <f t="shared" si="1"/>
        <v>-0.027</v>
      </c>
      <c r="I458" s="63">
        <f t="shared" si="12"/>
        <v>-0.027</v>
      </c>
      <c r="J458" s="67">
        <f t="shared" si="13"/>
        <v>-3.264812576</v>
      </c>
      <c r="K458" s="67">
        <f t="shared" si="10"/>
        <v>-3.264812576</v>
      </c>
      <c r="L458" s="62"/>
      <c r="M458" s="62"/>
      <c r="N458" s="62" t="s">
        <v>305</v>
      </c>
      <c r="O458" s="65"/>
      <c r="P458" s="65"/>
      <c r="Q458" s="65"/>
      <c r="R458" s="65"/>
      <c r="S458" s="65"/>
      <c r="T458" s="65"/>
      <c r="U458" s="65"/>
      <c r="V458" s="65"/>
      <c r="W458" s="65"/>
      <c r="X458" s="65"/>
      <c r="Y458" s="65"/>
      <c r="Z458" s="65"/>
      <c r="AA458" s="65"/>
      <c r="AB458" s="65"/>
      <c r="AC458" s="65"/>
    </row>
    <row r="459">
      <c r="A459" s="62" t="s">
        <v>295</v>
      </c>
      <c r="B459" s="62" t="s">
        <v>304</v>
      </c>
      <c r="C459" s="63" t="s">
        <v>300</v>
      </c>
      <c r="D459" s="63" t="s">
        <v>298</v>
      </c>
      <c r="E459" s="63">
        <v>0.825</v>
      </c>
      <c r="F459" s="63">
        <v>0.801</v>
      </c>
      <c r="G459" s="63"/>
      <c r="H459" s="63">
        <f t="shared" si="1"/>
        <v>-0.024</v>
      </c>
      <c r="I459" s="63">
        <f t="shared" si="12"/>
        <v>-0.024</v>
      </c>
      <c r="J459" s="67">
        <f t="shared" si="13"/>
        <v>-2.909090909</v>
      </c>
      <c r="K459" s="67">
        <f t="shared" si="10"/>
        <v>-2.909090909</v>
      </c>
      <c r="L459" s="62"/>
      <c r="M459" s="62"/>
      <c r="N459" s="62" t="s">
        <v>305</v>
      </c>
      <c r="O459" s="65"/>
      <c r="P459" s="65"/>
      <c r="Q459" s="65"/>
      <c r="R459" s="65"/>
      <c r="S459" s="65"/>
      <c r="T459" s="65"/>
      <c r="U459" s="65"/>
      <c r="V459" s="65"/>
      <c r="W459" s="65"/>
      <c r="X459" s="65"/>
      <c r="Y459" s="65"/>
      <c r="Z459" s="65"/>
      <c r="AA459" s="65"/>
      <c r="AB459" s="65"/>
      <c r="AC459" s="65"/>
    </row>
    <row r="460">
      <c r="A460" s="62" t="s">
        <v>295</v>
      </c>
      <c r="B460" s="62" t="s">
        <v>304</v>
      </c>
      <c r="C460" s="63" t="s">
        <v>300</v>
      </c>
      <c r="D460" s="63" t="s">
        <v>298</v>
      </c>
      <c r="E460" s="63">
        <v>0.813</v>
      </c>
      <c r="F460" s="63">
        <v>0.808</v>
      </c>
      <c r="G460" s="63"/>
      <c r="H460" s="63">
        <f t="shared" si="1"/>
        <v>-0.005</v>
      </c>
      <c r="I460" s="63">
        <f t="shared" si="12"/>
        <v>-0.005</v>
      </c>
      <c r="J460" s="67">
        <f t="shared" si="13"/>
        <v>-0.6150061501</v>
      </c>
      <c r="K460" s="67">
        <f t="shared" si="10"/>
        <v>-0.6150061501</v>
      </c>
      <c r="L460" s="62"/>
      <c r="M460" s="62"/>
      <c r="N460" s="62" t="s">
        <v>305</v>
      </c>
      <c r="O460" s="65"/>
      <c r="P460" s="65"/>
      <c r="Q460" s="65"/>
      <c r="R460" s="65"/>
      <c r="S460" s="65"/>
      <c r="T460" s="65"/>
      <c r="U460" s="65"/>
      <c r="V460" s="65"/>
      <c r="W460" s="65"/>
      <c r="X460" s="65"/>
      <c r="Y460" s="65"/>
      <c r="Z460" s="65"/>
      <c r="AA460" s="65"/>
      <c r="AB460" s="65"/>
      <c r="AC460" s="65"/>
    </row>
    <row r="461">
      <c r="A461" s="62" t="s">
        <v>295</v>
      </c>
      <c r="B461" s="62" t="s">
        <v>304</v>
      </c>
      <c r="C461" s="63" t="s">
        <v>300</v>
      </c>
      <c r="D461" s="63" t="s">
        <v>298</v>
      </c>
      <c r="E461" s="63">
        <v>0.653</v>
      </c>
      <c r="F461" s="63">
        <v>0.807</v>
      </c>
      <c r="G461" s="63"/>
      <c r="H461" s="63">
        <f t="shared" si="1"/>
        <v>0.154</v>
      </c>
      <c r="I461" s="63">
        <f t="shared" si="12"/>
        <v>0.154</v>
      </c>
      <c r="J461" s="67">
        <f t="shared" si="13"/>
        <v>23.58346095</v>
      </c>
      <c r="K461" s="67">
        <f t="shared" si="10"/>
        <v>23.58346095</v>
      </c>
      <c r="L461" s="62"/>
      <c r="M461" s="62"/>
      <c r="N461" s="62" t="s">
        <v>305</v>
      </c>
      <c r="O461" s="65"/>
      <c r="P461" s="65"/>
      <c r="Q461" s="65"/>
      <c r="R461" s="65"/>
      <c r="S461" s="65"/>
      <c r="T461" s="65"/>
      <c r="U461" s="65"/>
      <c r="V461" s="65"/>
      <c r="W461" s="65"/>
      <c r="X461" s="65"/>
      <c r="Y461" s="65"/>
      <c r="Z461" s="65"/>
      <c r="AA461" s="65"/>
      <c r="AB461" s="65"/>
      <c r="AC461" s="65"/>
    </row>
    <row r="462">
      <c r="A462" s="62" t="s">
        <v>295</v>
      </c>
      <c r="B462" s="62" t="s">
        <v>304</v>
      </c>
      <c r="C462" s="63" t="s">
        <v>300</v>
      </c>
      <c r="D462" s="63" t="s">
        <v>298</v>
      </c>
      <c r="E462" s="63">
        <v>0.837</v>
      </c>
      <c r="F462" s="63">
        <v>0.793</v>
      </c>
      <c r="G462" s="63"/>
      <c r="H462" s="63">
        <f t="shared" si="1"/>
        <v>-0.044</v>
      </c>
      <c r="I462" s="63">
        <f t="shared" si="12"/>
        <v>-0.044</v>
      </c>
      <c r="J462" s="67">
        <f t="shared" si="13"/>
        <v>-5.256869773</v>
      </c>
      <c r="K462" s="67">
        <f t="shared" si="10"/>
        <v>-5.256869773</v>
      </c>
      <c r="L462" s="62"/>
      <c r="M462" s="62"/>
      <c r="N462" s="62" t="s">
        <v>305</v>
      </c>
      <c r="O462" s="65"/>
      <c r="P462" s="65"/>
      <c r="Q462" s="65"/>
      <c r="R462" s="65"/>
      <c r="S462" s="65"/>
      <c r="T462" s="65"/>
      <c r="U462" s="65"/>
      <c r="V462" s="65"/>
      <c r="W462" s="65"/>
      <c r="X462" s="65"/>
      <c r="Y462" s="65"/>
      <c r="Z462" s="65"/>
      <c r="AA462" s="65"/>
      <c r="AB462" s="65"/>
      <c r="AC462" s="65"/>
    </row>
    <row r="463">
      <c r="A463" s="62" t="s">
        <v>295</v>
      </c>
      <c r="B463" s="62" t="s">
        <v>304</v>
      </c>
      <c r="C463" s="63" t="s">
        <v>300</v>
      </c>
      <c r="D463" s="63" t="s">
        <v>298</v>
      </c>
      <c r="E463" s="63">
        <v>0.816</v>
      </c>
      <c r="F463" s="63">
        <v>0.792</v>
      </c>
      <c r="G463" s="63"/>
      <c r="H463" s="63">
        <f t="shared" si="1"/>
        <v>-0.024</v>
      </c>
      <c r="I463" s="63">
        <f t="shared" si="12"/>
        <v>-0.024</v>
      </c>
      <c r="J463" s="67">
        <f t="shared" si="13"/>
        <v>-2.941176471</v>
      </c>
      <c r="K463" s="67">
        <f t="shared" si="10"/>
        <v>-2.941176471</v>
      </c>
      <c r="L463" s="62"/>
      <c r="M463" s="62"/>
      <c r="N463" s="62" t="s">
        <v>305</v>
      </c>
      <c r="O463" s="65"/>
      <c r="P463" s="65"/>
      <c r="Q463" s="65"/>
      <c r="R463" s="65"/>
      <c r="S463" s="65"/>
      <c r="T463" s="65"/>
      <c r="U463" s="65"/>
      <c r="V463" s="65"/>
      <c r="W463" s="65"/>
      <c r="X463" s="65"/>
      <c r="Y463" s="65"/>
      <c r="Z463" s="65"/>
      <c r="AA463" s="65"/>
      <c r="AB463" s="65"/>
      <c r="AC463" s="65"/>
    </row>
    <row r="464">
      <c r="A464" s="62" t="s">
        <v>295</v>
      </c>
      <c r="B464" s="62" t="s">
        <v>304</v>
      </c>
      <c r="C464" s="63" t="s">
        <v>300</v>
      </c>
      <c r="D464" s="63" t="s">
        <v>298</v>
      </c>
      <c r="E464" s="63">
        <v>0.806</v>
      </c>
      <c r="F464" s="63">
        <v>0.782</v>
      </c>
      <c r="G464" s="63" t="s">
        <v>199</v>
      </c>
      <c r="H464" s="63">
        <f t="shared" si="1"/>
        <v>-0.024</v>
      </c>
      <c r="I464" s="63">
        <f t="shared" si="12"/>
        <v>-0.024</v>
      </c>
      <c r="J464" s="67">
        <f t="shared" si="13"/>
        <v>-2.977667494</v>
      </c>
      <c r="K464" s="67">
        <f t="shared" si="10"/>
        <v>-2.977667494</v>
      </c>
      <c r="L464" s="62"/>
      <c r="M464" s="62"/>
      <c r="N464" s="62" t="s">
        <v>305</v>
      </c>
      <c r="O464" s="65"/>
      <c r="P464" s="65"/>
      <c r="Q464" s="65"/>
      <c r="R464" s="65"/>
      <c r="S464" s="65"/>
      <c r="T464" s="65"/>
      <c r="U464" s="65"/>
      <c r="V464" s="65"/>
      <c r="W464" s="65"/>
      <c r="X464" s="65"/>
      <c r="Y464" s="65"/>
      <c r="Z464" s="65"/>
      <c r="AA464" s="65"/>
      <c r="AB464" s="65"/>
      <c r="AC464" s="65"/>
    </row>
    <row r="465">
      <c r="A465" s="62" t="s">
        <v>295</v>
      </c>
      <c r="B465" s="62" t="s">
        <v>304</v>
      </c>
      <c r="C465" s="63" t="s">
        <v>300</v>
      </c>
      <c r="D465" s="63" t="s">
        <v>298</v>
      </c>
      <c r="E465" s="63">
        <v>0.794</v>
      </c>
      <c r="F465" s="63">
        <v>0.771</v>
      </c>
      <c r="G465" s="63" t="s">
        <v>199</v>
      </c>
      <c r="H465" s="63">
        <f t="shared" si="1"/>
        <v>-0.023</v>
      </c>
      <c r="I465" s="63">
        <f t="shared" si="12"/>
        <v>-0.023</v>
      </c>
      <c r="J465" s="67">
        <f t="shared" si="13"/>
        <v>-2.896725441</v>
      </c>
      <c r="K465" s="67">
        <f t="shared" si="10"/>
        <v>-2.896725441</v>
      </c>
      <c r="L465" s="62"/>
      <c r="M465" s="62"/>
      <c r="N465" s="62" t="s">
        <v>305</v>
      </c>
      <c r="O465" s="65"/>
      <c r="P465" s="65"/>
      <c r="Q465" s="65"/>
      <c r="R465" s="65"/>
      <c r="S465" s="65"/>
      <c r="T465" s="65"/>
      <c r="U465" s="65"/>
      <c r="V465" s="65"/>
      <c r="W465" s="65"/>
      <c r="X465" s="65"/>
      <c r="Y465" s="65"/>
      <c r="Z465" s="65"/>
      <c r="AA465" s="65"/>
      <c r="AB465" s="65"/>
      <c r="AC465" s="65"/>
    </row>
    <row r="466">
      <c r="A466" s="62" t="s">
        <v>295</v>
      </c>
      <c r="B466" s="62" t="s">
        <v>304</v>
      </c>
      <c r="C466" s="63" t="s">
        <v>300</v>
      </c>
      <c r="D466" s="63" t="s">
        <v>298</v>
      </c>
      <c r="E466" s="63">
        <v>0.587</v>
      </c>
      <c r="F466" s="63">
        <v>0.596</v>
      </c>
      <c r="G466" s="63" t="s">
        <v>199</v>
      </c>
      <c r="H466" s="63">
        <f t="shared" si="1"/>
        <v>0.009</v>
      </c>
      <c r="I466" s="63">
        <f t="shared" si="12"/>
        <v>0.009</v>
      </c>
      <c r="J466" s="67">
        <f t="shared" si="13"/>
        <v>1.533219761</v>
      </c>
      <c r="K466" s="67">
        <f t="shared" si="10"/>
        <v>1.533219761</v>
      </c>
      <c r="L466" s="62"/>
      <c r="M466" s="62"/>
      <c r="N466" s="62" t="s">
        <v>305</v>
      </c>
      <c r="O466" s="65"/>
      <c r="P466" s="65"/>
      <c r="Q466" s="65"/>
      <c r="R466" s="65"/>
      <c r="S466" s="65"/>
      <c r="T466" s="65"/>
      <c r="U466" s="65"/>
      <c r="V466" s="65"/>
      <c r="W466" s="65"/>
      <c r="X466" s="65"/>
      <c r="Y466" s="65"/>
      <c r="Z466" s="65"/>
      <c r="AA466" s="65"/>
      <c r="AB466" s="65"/>
      <c r="AC466" s="65"/>
    </row>
    <row r="467">
      <c r="A467" s="62" t="s">
        <v>295</v>
      </c>
      <c r="B467" s="62" t="s">
        <v>304</v>
      </c>
      <c r="C467" s="63" t="s">
        <v>300</v>
      </c>
      <c r="D467" s="63" t="s">
        <v>298</v>
      </c>
      <c r="E467" s="63">
        <v>0.721</v>
      </c>
      <c r="F467" s="63">
        <v>0.728</v>
      </c>
      <c r="G467" s="63" t="s">
        <v>199</v>
      </c>
      <c r="H467" s="63">
        <f t="shared" si="1"/>
        <v>0.007</v>
      </c>
      <c r="I467" s="63">
        <f t="shared" si="12"/>
        <v>0.007</v>
      </c>
      <c r="J467" s="67">
        <f t="shared" si="13"/>
        <v>0.9708737864</v>
      </c>
      <c r="K467" s="67">
        <f t="shared" si="10"/>
        <v>0.9708737864</v>
      </c>
      <c r="L467" s="62"/>
      <c r="M467" s="62"/>
      <c r="N467" s="62" t="s">
        <v>305</v>
      </c>
      <c r="O467" s="65"/>
      <c r="P467" s="65"/>
      <c r="Q467" s="65"/>
      <c r="R467" s="65"/>
      <c r="S467" s="65"/>
      <c r="T467" s="65"/>
      <c r="U467" s="65"/>
      <c r="V467" s="65"/>
      <c r="W467" s="65"/>
      <c r="X467" s="65"/>
      <c r="Y467" s="65"/>
      <c r="Z467" s="65"/>
      <c r="AA467" s="65"/>
      <c r="AB467" s="65"/>
      <c r="AC467" s="65"/>
    </row>
    <row r="468">
      <c r="A468" s="62" t="s">
        <v>295</v>
      </c>
      <c r="B468" s="62" t="s">
        <v>304</v>
      </c>
      <c r="C468" s="63" t="s">
        <v>300</v>
      </c>
      <c r="D468" s="63" t="s">
        <v>298</v>
      </c>
      <c r="E468" s="63">
        <v>0.699</v>
      </c>
      <c r="F468" s="63">
        <v>0.679</v>
      </c>
      <c r="G468" s="63" t="s">
        <v>199</v>
      </c>
      <c r="H468" s="63">
        <f t="shared" si="1"/>
        <v>-0.02</v>
      </c>
      <c r="I468" s="63">
        <f t="shared" si="12"/>
        <v>-0.02</v>
      </c>
      <c r="J468" s="67">
        <f t="shared" si="13"/>
        <v>-2.861230329</v>
      </c>
      <c r="K468" s="67">
        <f t="shared" si="10"/>
        <v>-2.861230329</v>
      </c>
      <c r="L468" s="62"/>
      <c r="M468" s="62"/>
      <c r="N468" s="62" t="s">
        <v>305</v>
      </c>
      <c r="O468" s="65"/>
      <c r="P468" s="65"/>
      <c r="Q468" s="65"/>
      <c r="R468" s="65"/>
      <c r="S468" s="65"/>
      <c r="T468" s="65"/>
      <c r="U468" s="65"/>
      <c r="V468" s="65"/>
      <c r="W468" s="65"/>
      <c r="X468" s="65"/>
      <c r="Y468" s="65"/>
      <c r="Z468" s="65"/>
      <c r="AA468" s="65"/>
      <c r="AB468" s="65"/>
      <c r="AC468" s="65"/>
    </row>
    <row r="469">
      <c r="A469" s="62" t="s">
        <v>295</v>
      </c>
      <c r="B469" s="62" t="s">
        <v>304</v>
      </c>
      <c r="C469" s="63" t="s">
        <v>300</v>
      </c>
      <c r="D469" s="63" t="s">
        <v>298</v>
      </c>
      <c r="E469" s="63">
        <v>0.704</v>
      </c>
      <c r="F469" s="63">
        <v>0.707</v>
      </c>
      <c r="G469" s="63" t="s">
        <v>199</v>
      </c>
      <c r="H469" s="63">
        <f t="shared" si="1"/>
        <v>0.003</v>
      </c>
      <c r="I469" s="63">
        <f t="shared" si="12"/>
        <v>0.003</v>
      </c>
      <c r="J469" s="67">
        <f t="shared" si="13"/>
        <v>0.4261363636</v>
      </c>
      <c r="K469" s="67">
        <f t="shared" si="10"/>
        <v>0.4261363636</v>
      </c>
      <c r="L469" s="62"/>
      <c r="M469" s="62"/>
      <c r="N469" s="62" t="s">
        <v>305</v>
      </c>
      <c r="O469" s="65"/>
      <c r="P469" s="65"/>
      <c r="Q469" s="65"/>
      <c r="R469" s="65"/>
      <c r="S469" s="65"/>
      <c r="T469" s="65"/>
      <c r="U469" s="65"/>
      <c r="V469" s="65"/>
      <c r="W469" s="65"/>
      <c r="X469" s="65"/>
      <c r="Y469" s="65"/>
      <c r="Z469" s="65"/>
      <c r="AA469" s="65"/>
      <c r="AB469" s="65"/>
      <c r="AC469" s="65"/>
    </row>
    <row r="470">
      <c r="A470" s="62" t="s">
        <v>295</v>
      </c>
      <c r="B470" s="62" t="s">
        <v>304</v>
      </c>
      <c r="C470" s="63" t="s">
        <v>300</v>
      </c>
      <c r="D470" s="63" t="s">
        <v>298</v>
      </c>
      <c r="E470" s="63">
        <v>0.663</v>
      </c>
      <c r="F470" s="63">
        <v>0.663</v>
      </c>
      <c r="G470" s="63" t="s">
        <v>199</v>
      </c>
      <c r="H470" s="63">
        <f t="shared" si="1"/>
        <v>0</v>
      </c>
      <c r="I470" s="63">
        <f t="shared" si="12"/>
        <v>0</v>
      </c>
      <c r="J470" s="67">
        <f t="shared" si="13"/>
        <v>0</v>
      </c>
      <c r="K470" s="67">
        <f t="shared" si="10"/>
        <v>0</v>
      </c>
      <c r="L470" s="62"/>
      <c r="M470" s="62"/>
      <c r="N470" s="62" t="s">
        <v>305</v>
      </c>
      <c r="O470" s="65"/>
      <c r="P470" s="65"/>
      <c r="Q470" s="65"/>
      <c r="R470" s="65"/>
      <c r="S470" s="65"/>
      <c r="T470" s="65"/>
      <c r="U470" s="65"/>
      <c r="V470" s="65"/>
      <c r="W470" s="65"/>
      <c r="X470" s="65"/>
      <c r="Y470" s="65"/>
      <c r="Z470" s="65"/>
      <c r="AA470" s="65"/>
      <c r="AB470" s="65"/>
      <c r="AC470" s="65"/>
    </row>
    <row r="471">
      <c r="A471" s="62" t="s">
        <v>295</v>
      </c>
      <c r="B471" s="62" t="s">
        <v>304</v>
      </c>
      <c r="C471" s="63" t="s">
        <v>300</v>
      </c>
      <c r="D471" s="63" t="s">
        <v>298</v>
      </c>
      <c r="E471" s="63">
        <v>0.734</v>
      </c>
      <c r="F471" s="63">
        <v>0.721</v>
      </c>
      <c r="G471" s="63" t="s">
        <v>199</v>
      </c>
      <c r="H471" s="63">
        <f t="shared" si="1"/>
        <v>-0.013</v>
      </c>
      <c r="I471" s="63">
        <f t="shared" si="12"/>
        <v>-0.013</v>
      </c>
      <c r="J471" s="67">
        <f t="shared" si="13"/>
        <v>-1.771117166</v>
      </c>
      <c r="K471" s="67">
        <f t="shared" si="10"/>
        <v>-1.771117166</v>
      </c>
      <c r="L471" s="62"/>
      <c r="M471" s="62"/>
      <c r="N471" s="63" t="s">
        <v>305</v>
      </c>
      <c r="O471" s="65"/>
      <c r="P471" s="65"/>
      <c r="Q471" s="65"/>
      <c r="R471" s="65"/>
      <c r="S471" s="65"/>
      <c r="T471" s="65"/>
      <c r="U471" s="65"/>
      <c r="V471" s="65"/>
      <c r="W471" s="65"/>
      <c r="X471" s="65"/>
      <c r="Y471" s="65"/>
      <c r="Z471" s="65"/>
      <c r="AA471" s="65"/>
      <c r="AB471" s="65"/>
      <c r="AC471" s="65"/>
    </row>
    <row r="472">
      <c r="A472" s="62" t="s">
        <v>295</v>
      </c>
      <c r="B472" s="62" t="s">
        <v>304</v>
      </c>
      <c r="C472" s="63" t="s">
        <v>300</v>
      </c>
      <c r="D472" s="63" t="s">
        <v>298</v>
      </c>
      <c r="E472" s="63">
        <v>0.709</v>
      </c>
      <c r="F472" s="63">
        <v>0.687</v>
      </c>
      <c r="G472" s="63" t="s">
        <v>199</v>
      </c>
      <c r="H472" s="63">
        <f t="shared" si="1"/>
        <v>-0.022</v>
      </c>
      <c r="I472" s="63">
        <f t="shared" si="12"/>
        <v>-0.022</v>
      </c>
      <c r="J472" s="67">
        <f t="shared" si="13"/>
        <v>-3.102961918</v>
      </c>
      <c r="K472" s="67">
        <f t="shared" si="10"/>
        <v>-3.102961918</v>
      </c>
      <c r="L472" s="62"/>
      <c r="M472" s="62"/>
      <c r="N472" s="63" t="s">
        <v>305</v>
      </c>
      <c r="O472" s="65"/>
      <c r="P472" s="65"/>
      <c r="Q472" s="65"/>
      <c r="R472" s="65"/>
      <c r="S472" s="65"/>
      <c r="T472" s="65"/>
      <c r="U472" s="65"/>
      <c r="V472" s="65"/>
      <c r="W472" s="65"/>
      <c r="X472" s="65"/>
      <c r="Y472" s="65"/>
      <c r="Z472" s="65"/>
      <c r="AA472" s="65"/>
      <c r="AB472" s="65"/>
      <c r="AC472" s="65"/>
    </row>
    <row r="473">
      <c r="A473" s="62" t="s">
        <v>295</v>
      </c>
      <c r="B473" s="62" t="s">
        <v>304</v>
      </c>
      <c r="C473" s="63" t="s">
        <v>300</v>
      </c>
      <c r="D473" s="63" t="s">
        <v>298</v>
      </c>
      <c r="E473" s="63">
        <v>0.712</v>
      </c>
      <c r="F473" s="63">
        <v>0.73</v>
      </c>
      <c r="G473" s="63" t="s">
        <v>199</v>
      </c>
      <c r="H473" s="63">
        <f t="shared" si="1"/>
        <v>0.018</v>
      </c>
      <c r="I473" s="63">
        <f t="shared" si="12"/>
        <v>0.018</v>
      </c>
      <c r="J473" s="67">
        <f t="shared" si="13"/>
        <v>2.528089888</v>
      </c>
      <c r="K473" s="67">
        <f t="shared" si="10"/>
        <v>2.528089888</v>
      </c>
      <c r="L473" s="62"/>
      <c r="M473" s="62"/>
      <c r="N473" s="62" t="s">
        <v>305</v>
      </c>
      <c r="O473" s="65"/>
      <c r="P473" s="65"/>
      <c r="Q473" s="65"/>
      <c r="R473" s="65"/>
      <c r="S473" s="65"/>
      <c r="T473" s="65"/>
      <c r="U473" s="65"/>
      <c r="V473" s="65"/>
      <c r="W473" s="65"/>
      <c r="X473" s="65"/>
      <c r="Y473" s="65"/>
      <c r="Z473" s="65"/>
      <c r="AA473" s="65"/>
      <c r="AB473" s="65"/>
      <c r="AC473" s="65"/>
    </row>
    <row r="474">
      <c r="A474" s="62" t="s">
        <v>295</v>
      </c>
      <c r="B474" s="62" t="s">
        <v>304</v>
      </c>
      <c r="C474" s="63" t="s">
        <v>300</v>
      </c>
      <c r="D474" s="63" t="s">
        <v>298</v>
      </c>
      <c r="E474" s="63">
        <v>0.625</v>
      </c>
      <c r="F474" s="63">
        <v>0.623</v>
      </c>
      <c r="G474" s="63" t="s">
        <v>199</v>
      </c>
      <c r="H474" s="63">
        <f t="shared" si="1"/>
        <v>-0.002</v>
      </c>
      <c r="I474" s="63">
        <f t="shared" si="12"/>
        <v>-0.002</v>
      </c>
      <c r="J474" s="67">
        <f t="shared" si="13"/>
        <v>-0.32</v>
      </c>
      <c r="K474" s="67">
        <f t="shared" si="10"/>
        <v>-0.32</v>
      </c>
      <c r="L474" s="62"/>
      <c r="M474" s="62"/>
      <c r="N474" s="62" t="s">
        <v>305</v>
      </c>
      <c r="O474" s="65"/>
      <c r="P474" s="65"/>
      <c r="Q474" s="65"/>
      <c r="R474" s="65"/>
      <c r="S474" s="65"/>
      <c r="T474" s="65"/>
      <c r="U474" s="65"/>
      <c r="V474" s="65"/>
      <c r="W474" s="65"/>
      <c r="X474" s="65"/>
      <c r="Y474" s="65"/>
      <c r="Z474" s="65"/>
      <c r="AA474" s="65"/>
      <c r="AB474" s="65"/>
      <c r="AC474" s="65"/>
    </row>
    <row r="475">
      <c r="A475" s="62" t="s">
        <v>295</v>
      </c>
      <c r="B475" s="62" t="s">
        <v>304</v>
      </c>
      <c r="C475" s="63" t="s">
        <v>301</v>
      </c>
      <c r="D475" s="63" t="s">
        <v>298</v>
      </c>
      <c r="E475" s="63">
        <v>0.553</v>
      </c>
      <c r="F475" s="63">
        <v>0.553</v>
      </c>
      <c r="G475" s="63" t="s">
        <v>238</v>
      </c>
      <c r="H475" s="63">
        <f t="shared" si="1"/>
        <v>0</v>
      </c>
      <c r="I475" s="63">
        <f t="shared" si="12"/>
        <v>0</v>
      </c>
      <c r="J475" s="67">
        <f t="shared" si="13"/>
        <v>0</v>
      </c>
      <c r="K475" s="67">
        <f t="shared" si="10"/>
        <v>0</v>
      </c>
      <c r="L475" s="62"/>
      <c r="M475" s="62"/>
      <c r="N475" s="63" t="s">
        <v>305</v>
      </c>
      <c r="O475" s="65"/>
      <c r="P475" s="65"/>
      <c r="Q475" s="65"/>
      <c r="R475" s="65"/>
      <c r="S475" s="65"/>
      <c r="T475" s="65"/>
      <c r="U475" s="65"/>
      <c r="V475" s="65"/>
      <c r="W475" s="65"/>
      <c r="X475" s="65"/>
      <c r="Y475" s="65"/>
      <c r="Z475" s="65"/>
      <c r="AA475" s="65"/>
      <c r="AB475" s="65"/>
      <c r="AC475" s="65"/>
    </row>
    <row r="476">
      <c r="A476" s="62" t="s">
        <v>295</v>
      </c>
      <c r="B476" s="62" t="s">
        <v>304</v>
      </c>
      <c r="C476" s="63" t="s">
        <v>301</v>
      </c>
      <c r="D476" s="63" t="s">
        <v>298</v>
      </c>
      <c r="E476" s="63">
        <v>0.758</v>
      </c>
      <c r="F476" s="63">
        <v>0.751</v>
      </c>
      <c r="G476" s="63" t="s">
        <v>199</v>
      </c>
      <c r="H476" s="63">
        <f t="shared" si="1"/>
        <v>-0.007</v>
      </c>
      <c r="I476" s="63">
        <f t="shared" si="12"/>
        <v>-0.007</v>
      </c>
      <c r="J476" s="67">
        <f t="shared" si="13"/>
        <v>-0.9234828496</v>
      </c>
      <c r="K476" s="67">
        <f t="shared" si="10"/>
        <v>-0.9234828496</v>
      </c>
      <c r="L476" s="62"/>
      <c r="M476" s="62"/>
      <c r="N476" s="62" t="s">
        <v>305</v>
      </c>
      <c r="O476" s="65"/>
      <c r="P476" s="65"/>
      <c r="Q476" s="65"/>
      <c r="R476" s="65"/>
      <c r="S476" s="65"/>
      <c r="T476" s="65"/>
      <c r="U476" s="65"/>
      <c r="V476" s="65"/>
      <c r="W476" s="65"/>
      <c r="X476" s="65"/>
      <c r="Y476" s="65"/>
      <c r="Z476" s="65"/>
      <c r="AA476" s="65"/>
      <c r="AB476" s="65"/>
      <c r="AC476" s="65"/>
    </row>
    <row r="477">
      <c r="A477" s="62" t="s">
        <v>295</v>
      </c>
      <c r="B477" s="62" t="s">
        <v>304</v>
      </c>
      <c r="C477" s="63" t="s">
        <v>301</v>
      </c>
      <c r="D477" s="63" t="s">
        <v>298</v>
      </c>
      <c r="E477" s="63">
        <v>0.624</v>
      </c>
      <c r="F477" s="63">
        <v>0.601</v>
      </c>
      <c r="G477" s="63" t="s">
        <v>199</v>
      </c>
      <c r="H477" s="63">
        <f t="shared" si="1"/>
        <v>-0.023</v>
      </c>
      <c r="I477" s="63">
        <f t="shared" si="12"/>
        <v>-0.023</v>
      </c>
      <c r="J477" s="67">
        <f t="shared" si="13"/>
        <v>-3.685897436</v>
      </c>
      <c r="K477" s="67">
        <f t="shared" si="10"/>
        <v>-3.685897436</v>
      </c>
      <c r="L477" s="62"/>
      <c r="M477" s="62"/>
      <c r="N477" s="62" t="s">
        <v>305</v>
      </c>
      <c r="O477" s="65"/>
      <c r="P477" s="65"/>
      <c r="Q477" s="65"/>
      <c r="R477" s="65"/>
      <c r="S477" s="65"/>
      <c r="T477" s="65"/>
      <c r="U477" s="65"/>
      <c r="V477" s="65"/>
      <c r="W477" s="65"/>
      <c r="X477" s="65"/>
      <c r="Y477" s="65"/>
      <c r="Z477" s="65"/>
      <c r="AA477" s="65"/>
      <c r="AB477" s="65"/>
      <c r="AC477" s="65"/>
    </row>
    <row r="478">
      <c r="A478" s="62" t="s">
        <v>295</v>
      </c>
      <c r="B478" s="62" t="s">
        <v>304</v>
      </c>
      <c r="C478" s="63" t="s">
        <v>301</v>
      </c>
      <c r="D478" s="63" t="s">
        <v>298</v>
      </c>
      <c r="E478" s="63">
        <v>0.63</v>
      </c>
      <c r="F478" s="63">
        <v>0.575</v>
      </c>
      <c r="G478" s="63" t="s">
        <v>199</v>
      </c>
      <c r="H478" s="63">
        <f t="shared" si="1"/>
        <v>-0.055</v>
      </c>
      <c r="I478" s="63">
        <f t="shared" si="12"/>
        <v>-0.055</v>
      </c>
      <c r="J478" s="67">
        <f t="shared" si="13"/>
        <v>-8.73015873</v>
      </c>
      <c r="K478" s="67">
        <f t="shared" si="10"/>
        <v>-8.73015873</v>
      </c>
      <c r="L478" s="62"/>
      <c r="M478" s="62"/>
      <c r="N478" s="62" t="s">
        <v>305</v>
      </c>
      <c r="O478" s="65"/>
      <c r="P478" s="65"/>
      <c r="Q478" s="65"/>
      <c r="R478" s="65"/>
      <c r="S478" s="65"/>
      <c r="T478" s="65"/>
      <c r="U478" s="65"/>
      <c r="V478" s="65"/>
      <c r="W478" s="65"/>
      <c r="X478" s="65"/>
      <c r="Y478" s="65"/>
      <c r="Z478" s="65"/>
      <c r="AA478" s="65"/>
      <c r="AB478" s="65"/>
      <c r="AC478" s="65"/>
    </row>
    <row r="479">
      <c r="A479" s="62" t="s">
        <v>295</v>
      </c>
      <c r="B479" s="62" t="s">
        <v>304</v>
      </c>
      <c r="C479" s="63" t="s">
        <v>301</v>
      </c>
      <c r="D479" s="63" t="s">
        <v>298</v>
      </c>
      <c r="E479" s="63">
        <v>0.487</v>
      </c>
      <c r="F479" s="63">
        <v>0.487</v>
      </c>
      <c r="G479" s="63" t="s">
        <v>199</v>
      </c>
      <c r="H479" s="63">
        <f t="shared" si="1"/>
        <v>0</v>
      </c>
      <c r="I479" s="63">
        <f t="shared" si="12"/>
        <v>0</v>
      </c>
      <c r="J479" s="67">
        <f t="shared" si="13"/>
        <v>0</v>
      </c>
      <c r="K479" s="67">
        <f t="shared" si="10"/>
        <v>0</v>
      </c>
      <c r="L479" s="62"/>
      <c r="M479" s="62"/>
      <c r="N479" s="62" t="s">
        <v>305</v>
      </c>
      <c r="O479" s="65"/>
      <c r="P479" s="65"/>
      <c r="Q479" s="65"/>
      <c r="R479" s="65"/>
      <c r="S479" s="65"/>
      <c r="T479" s="65"/>
      <c r="U479" s="65"/>
      <c r="V479" s="65"/>
      <c r="W479" s="65"/>
      <c r="X479" s="65"/>
      <c r="Y479" s="65"/>
      <c r="Z479" s="65"/>
      <c r="AA479" s="65"/>
      <c r="AB479" s="65"/>
      <c r="AC479" s="65"/>
    </row>
    <row r="480">
      <c r="A480" s="62" t="s">
        <v>295</v>
      </c>
      <c r="B480" s="62" t="s">
        <v>304</v>
      </c>
      <c r="C480" s="63" t="s">
        <v>301</v>
      </c>
      <c r="D480" s="63" t="s">
        <v>298</v>
      </c>
      <c r="E480" s="63">
        <v>0.649</v>
      </c>
      <c r="F480" s="63">
        <v>0.68</v>
      </c>
      <c r="G480" s="63" t="s">
        <v>199</v>
      </c>
      <c r="H480" s="63">
        <f t="shared" si="1"/>
        <v>0.031</v>
      </c>
      <c r="I480" s="63">
        <f t="shared" si="12"/>
        <v>0.031</v>
      </c>
      <c r="J480" s="67">
        <f t="shared" si="13"/>
        <v>4.776579353</v>
      </c>
      <c r="K480" s="67">
        <f t="shared" si="10"/>
        <v>4.776579353</v>
      </c>
      <c r="L480" s="62"/>
      <c r="M480" s="62"/>
      <c r="N480" s="62" t="s">
        <v>305</v>
      </c>
      <c r="O480" s="65"/>
      <c r="P480" s="65"/>
      <c r="Q480" s="65"/>
      <c r="R480" s="65"/>
      <c r="S480" s="65"/>
      <c r="T480" s="65"/>
      <c r="U480" s="65"/>
      <c r="V480" s="65"/>
      <c r="W480" s="65"/>
      <c r="X480" s="65"/>
      <c r="Y480" s="65"/>
      <c r="Z480" s="65"/>
      <c r="AA480" s="65"/>
      <c r="AB480" s="65"/>
      <c r="AC480" s="65"/>
    </row>
    <row r="481">
      <c r="A481" s="62" t="s">
        <v>295</v>
      </c>
      <c r="B481" s="62" t="s">
        <v>304</v>
      </c>
      <c r="C481" s="63" t="s">
        <v>301</v>
      </c>
      <c r="D481" s="63" t="s">
        <v>298</v>
      </c>
      <c r="E481" s="63">
        <v>0.653</v>
      </c>
      <c r="F481" s="63">
        <v>0.665</v>
      </c>
      <c r="G481" s="63" t="s">
        <v>199</v>
      </c>
      <c r="H481" s="63">
        <f t="shared" si="1"/>
        <v>0.012</v>
      </c>
      <c r="I481" s="63">
        <f t="shared" si="12"/>
        <v>0.012</v>
      </c>
      <c r="J481" s="67">
        <f t="shared" si="13"/>
        <v>1.837672282</v>
      </c>
      <c r="K481" s="67">
        <f t="shared" si="10"/>
        <v>1.837672282</v>
      </c>
      <c r="L481" s="62"/>
      <c r="M481" s="62"/>
      <c r="N481" s="62" t="s">
        <v>305</v>
      </c>
      <c r="O481" s="65"/>
      <c r="P481" s="65"/>
      <c r="Q481" s="65"/>
      <c r="R481" s="65"/>
      <c r="S481" s="65"/>
      <c r="T481" s="65"/>
      <c r="U481" s="65"/>
      <c r="V481" s="65"/>
      <c r="W481" s="65"/>
      <c r="X481" s="65"/>
      <c r="Y481" s="65"/>
      <c r="Z481" s="65"/>
      <c r="AA481" s="65"/>
      <c r="AB481" s="65"/>
      <c r="AC481" s="65"/>
    </row>
    <row r="482">
      <c r="A482" s="62" t="s">
        <v>295</v>
      </c>
      <c r="B482" s="62" t="s">
        <v>304</v>
      </c>
      <c r="C482" s="63" t="s">
        <v>301</v>
      </c>
      <c r="D482" s="63" t="s">
        <v>298</v>
      </c>
      <c r="E482" s="63">
        <v>0.475</v>
      </c>
      <c r="F482" s="63">
        <v>0.476</v>
      </c>
      <c r="G482" s="63" t="s">
        <v>199</v>
      </c>
      <c r="H482" s="63">
        <f t="shared" si="1"/>
        <v>0.001</v>
      </c>
      <c r="I482" s="63">
        <f t="shared" si="12"/>
        <v>0.001</v>
      </c>
      <c r="J482" s="67">
        <f t="shared" si="13"/>
        <v>0.2105263158</v>
      </c>
      <c r="K482" s="67">
        <f t="shared" si="10"/>
        <v>0.2105263158</v>
      </c>
      <c r="L482" s="62"/>
      <c r="M482" s="62"/>
      <c r="N482" s="63" t="s">
        <v>305</v>
      </c>
      <c r="O482" s="65"/>
      <c r="P482" s="65"/>
      <c r="Q482" s="65"/>
      <c r="R482" s="65"/>
      <c r="S482" s="65"/>
      <c r="T482" s="65"/>
      <c r="U482" s="65"/>
      <c r="V482" s="65"/>
      <c r="W482" s="65"/>
      <c r="X482" s="65"/>
      <c r="Y482" s="65"/>
      <c r="Z482" s="65"/>
      <c r="AA482" s="65"/>
      <c r="AB482" s="65"/>
      <c r="AC482" s="65"/>
    </row>
    <row r="483">
      <c r="A483" s="55" t="s">
        <v>295</v>
      </c>
      <c r="B483" s="57" t="s">
        <v>306</v>
      </c>
      <c r="C483" s="58" t="s">
        <v>297</v>
      </c>
      <c r="D483" s="63" t="s">
        <v>298</v>
      </c>
      <c r="E483" s="58">
        <f t="shared" ref="E483:E528" si="14">F483+(G483*-1)</f>
        <v>0.428</v>
      </c>
      <c r="F483" s="58">
        <v>0.426</v>
      </c>
      <c r="G483" s="58">
        <v>-0.002</v>
      </c>
      <c r="H483" s="63">
        <f t="shared" si="1"/>
        <v>-0.002</v>
      </c>
      <c r="I483" s="58">
        <f t="shared" si="12"/>
        <v>-0.002</v>
      </c>
      <c r="J483" s="61">
        <f t="shared" si="13"/>
        <v>-0.4672897196</v>
      </c>
      <c r="K483" s="61">
        <f t="shared" si="10"/>
        <v>-0.4672897196</v>
      </c>
      <c r="L483" s="57"/>
      <c r="M483" s="57"/>
      <c r="N483" s="58" t="s">
        <v>307</v>
      </c>
      <c r="O483" s="53"/>
      <c r="P483" s="53"/>
      <c r="Q483" s="53"/>
      <c r="R483" s="53"/>
      <c r="S483" s="53"/>
      <c r="T483" s="53"/>
      <c r="U483" s="53"/>
      <c r="V483" s="53"/>
      <c r="W483" s="53"/>
      <c r="X483" s="53"/>
      <c r="Y483" s="53"/>
      <c r="Z483" s="53"/>
      <c r="AA483" s="53"/>
      <c r="AB483" s="53"/>
      <c r="AC483" s="53"/>
    </row>
    <row r="484">
      <c r="A484" s="62" t="s">
        <v>295</v>
      </c>
      <c r="B484" s="62" t="s">
        <v>306</v>
      </c>
      <c r="C484" s="63" t="s">
        <v>297</v>
      </c>
      <c r="D484" s="63" t="s">
        <v>298</v>
      </c>
      <c r="E484" s="58">
        <f t="shared" si="14"/>
        <v>0.721</v>
      </c>
      <c r="F484" s="63">
        <v>0.605</v>
      </c>
      <c r="G484" s="63">
        <v>-0.116</v>
      </c>
      <c r="H484" s="63">
        <f t="shared" si="1"/>
        <v>-0.116</v>
      </c>
      <c r="I484" s="63">
        <f t="shared" si="12"/>
        <v>-0.116</v>
      </c>
      <c r="J484" s="67">
        <f t="shared" si="13"/>
        <v>-16.0887656</v>
      </c>
      <c r="K484" s="67">
        <f t="shared" si="10"/>
        <v>-16.0887656</v>
      </c>
      <c r="L484" s="62"/>
      <c r="M484" s="62"/>
      <c r="N484" s="62" t="s">
        <v>307</v>
      </c>
      <c r="O484" s="65"/>
      <c r="P484" s="65"/>
      <c r="Q484" s="65"/>
      <c r="R484" s="65"/>
      <c r="S484" s="65"/>
      <c r="T484" s="65"/>
      <c r="U484" s="65"/>
      <c r="V484" s="65"/>
      <c r="W484" s="65"/>
      <c r="X484" s="65"/>
      <c r="Y484" s="65"/>
      <c r="Z484" s="65"/>
      <c r="AA484" s="65"/>
      <c r="AB484" s="65"/>
      <c r="AC484" s="65"/>
    </row>
    <row r="485">
      <c r="A485" s="62" t="s">
        <v>295</v>
      </c>
      <c r="B485" s="62" t="s">
        <v>306</v>
      </c>
      <c r="C485" s="63" t="s">
        <v>297</v>
      </c>
      <c r="D485" s="63" t="s">
        <v>298</v>
      </c>
      <c r="E485" s="58">
        <f t="shared" si="14"/>
        <v>0.726</v>
      </c>
      <c r="F485" s="63">
        <v>0.68</v>
      </c>
      <c r="G485" s="63">
        <v>-0.046</v>
      </c>
      <c r="H485" s="63">
        <f t="shared" si="1"/>
        <v>-0.046</v>
      </c>
      <c r="I485" s="63">
        <f t="shared" si="12"/>
        <v>-0.046</v>
      </c>
      <c r="J485" s="67">
        <f t="shared" si="13"/>
        <v>-6.336088154</v>
      </c>
      <c r="K485" s="67">
        <f t="shared" si="10"/>
        <v>-6.336088154</v>
      </c>
      <c r="L485" s="62"/>
      <c r="M485" s="62"/>
      <c r="N485" s="62" t="s">
        <v>307</v>
      </c>
      <c r="O485" s="65"/>
      <c r="P485" s="65"/>
      <c r="Q485" s="65"/>
      <c r="R485" s="65"/>
      <c r="S485" s="65"/>
      <c r="T485" s="65"/>
      <c r="U485" s="65"/>
      <c r="V485" s="65"/>
      <c r="W485" s="65"/>
      <c r="X485" s="65"/>
      <c r="Y485" s="65"/>
      <c r="Z485" s="65"/>
      <c r="AA485" s="65"/>
      <c r="AB485" s="65"/>
      <c r="AC485" s="65"/>
    </row>
    <row r="486">
      <c r="A486" s="62" t="s">
        <v>295</v>
      </c>
      <c r="B486" s="62" t="s">
        <v>306</v>
      </c>
      <c r="C486" s="63" t="s">
        <v>297</v>
      </c>
      <c r="D486" s="63" t="s">
        <v>298</v>
      </c>
      <c r="E486" s="58">
        <f t="shared" si="14"/>
        <v>0.703</v>
      </c>
      <c r="F486" s="63">
        <v>0.65</v>
      </c>
      <c r="G486" s="63">
        <v>-0.053</v>
      </c>
      <c r="H486" s="63">
        <f t="shared" si="1"/>
        <v>-0.053</v>
      </c>
      <c r="I486" s="63">
        <f t="shared" si="12"/>
        <v>-0.053</v>
      </c>
      <c r="J486" s="67">
        <f t="shared" si="13"/>
        <v>-7.539118065</v>
      </c>
      <c r="K486" s="67">
        <f t="shared" si="10"/>
        <v>-7.539118065</v>
      </c>
      <c r="L486" s="62"/>
      <c r="M486" s="62"/>
      <c r="N486" s="62" t="s">
        <v>307</v>
      </c>
      <c r="O486" s="65"/>
      <c r="P486" s="65"/>
      <c r="Q486" s="65"/>
      <c r="R486" s="65"/>
      <c r="S486" s="65"/>
      <c r="T486" s="65"/>
      <c r="U486" s="65"/>
      <c r="V486" s="65"/>
      <c r="W486" s="65"/>
      <c r="X486" s="65"/>
      <c r="Y486" s="65"/>
      <c r="Z486" s="65"/>
      <c r="AA486" s="65"/>
      <c r="AB486" s="65"/>
      <c r="AC486" s="65"/>
    </row>
    <row r="487">
      <c r="A487" s="62" t="s">
        <v>295</v>
      </c>
      <c r="B487" s="62" t="s">
        <v>306</v>
      </c>
      <c r="C487" s="63" t="s">
        <v>297</v>
      </c>
      <c r="D487" s="63" t="s">
        <v>298</v>
      </c>
      <c r="E487" s="58">
        <f t="shared" si="14"/>
        <v>0.449</v>
      </c>
      <c r="F487" s="63">
        <v>0.433</v>
      </c>
      <c r="G487" s="63">
        <v>-0.016</v>
      </c>
      <c r="H487" s="63">
        <f t="shared" si="1"/>
        <v>-0.016</v>
      </c>
      <c r="I487" s="63">
        <f t="shared" si="12"/>
        <v>-0.016</v>
      </c>
      <c r="J487" s="67">
        <f t="shared" si="13"/>
        <v>-3.563474388</v>
      </c>
      <c r="K487" s="67">
        <f t="shared" si="10"/>
        <v>-3.563474388</v>
      </c>
      <c r="L487" s="62"/>
      <c r="M487" s="62"/>
      <c r="N487" s="62" t="s">
        <v>307</v>
      </c>
      <c r="O487" s="65"/>
      <c r="P487" s="65"/>
      <c r="Q487" s="65"/>
      <c r="R487" s="65"/>
      <c r="S487" s="65"/>
      <c r="T487" s="65"/>
      <c r="U487" s="65"/>
      <c r="V487" s="65"/>
      <c r="W487" s="65"/>
      <c r="X487" s="65"/>
      <c r="Y487" s="65"/>
      <c r="Z487" s="65"/>
      <c r="AA487" s="65"/>
      <c r="AB487" s="65"/>
      <c r="AC487" s="65"/>
    </row>
    <row r="488">
      <c r="A488" s="62" t="s">
        <v>295</v>
      </c>
      <c r="B488" s="62" t="s">
        <v>306</v>
      </c>
      <c r="C488" s="63" t="s">
        <v>297</v>
      </c>
      <c r="D488" s="63" t="s">
        <v>298</v>
      </c>
      <c r="E488" s="58">
        <f t="shared" si="14"/>
        <v>0.693</v>
      </c>
      <c r="F488" s="63">
        <v>0.683</v>
      </c>
      <c r="G488" s="63">
        <v>-0.01</v>
      </c>
      <c r="H488" s="63">
        <f t="shared" si="1"/>
        <v>-0.01</v>
      </c>
      <c r="I488" s="63">
        <f t="shared" si="12"/>
        <v>-0.01</v>
      </c>
      <c r="J488" s="67">
        <f t="shared" si="13"/>
        <v>-1.443001443</v>
      </c>
      <c r="K488" s="67">
        <f t="shared" si="10"/>
        <v>-1.443001443</v>
      </c>
      <c r="L488" s="62"/>
      <c r="M488" s="62"/>
      <c r="N488" s="62" t="s">
        <v>307</v>
      </c>
      <c r="O488" s="65"/>
      <c r="P488" s="65"/>
      <c r="Q488" s="65"/>
      <c r="R488" s="65"/>
      <c r="S488" s="65"/>
      <c r="T488" s="65"/>
      <c r="U488" s="65"/>
      <c r="V488" s="65"/>
      <c r="W488" s="65"/>
      <c r="X488" s="65"/>
      <c r="Y488" s="65"/>
      <c r="Z488" s="65"/>
      <c r="AA488" s="65"/>
      <c r="AB488" s="65"/>
      <c r="AC488" s="65"/>
    </row>
    <row r="489">
      <c r="A489" s="62" t="s">
        <v>295</v>
      </c>
      <c r="B489" s="62" t="s">
        <v>306</v>
      </c>
      <c r="C489" s="63" t="s">
        <v>297</v>
      </c>
      <c r="D489" s="63" t="s">
        <v>298</v>
      </c>
      <c r="E489" s="58">
        <f t="shared" si="14"/>
        <v>0.719</v>
      </c>
      <c r="F489" s="63">
        <v>0.607</v>
      </c>
      <c r="G489" s="63">
        <v>-0.112</v>
      </c>
      <c r="H489" s="63">
        <f t="shared" si="1"/>
        <v>-0.112</v>
      </c>
      <c r="I489" s="63">
        <f t="shared" si="12"/>
        <v>-0.112</v>
      </c>
      <c r="J489" s="67">
        <f t="shared" si="13"/>
        <v>-15.57719054</v>
      </c>
      <c r="K489" s="67">
        <f t="shared" si="10"/>
        <v>-15.57719054</v>
      </c>
      <c r="L489" s="62"/>
      <c r="M489" s="62"/>
      <c r="N489" s="62" t="s">
        <v>307</v>
      </c>
      <c r="O489" s="65"/>
      <c r="P489" s="65"/>
      <c r="Q489" s="65"/>
      <c r="R489" s="65"/>
      <c r="S489" s="65"/>
      <c r="T489" s="65"/>
      <c r="U489" s="65"/>
      <c r="V489" s="65"/>
      <c r="W489" s="65"/>
      <c r="X489" s="65"/>
      <c r="Y489" s="65"/>
      <c r="Z489" s="65"/>
      <c r="AA489" s="65"/>
      <c r="AB489" s="65"/>
      <c r="AC489" s="65"/>
    </row>
    <row r="490">
      <c r="A490" s="62" t="s">
        <v>295</v>
      </c>
      <c r="B490" s="62" t="s">
        <v>306</v>
      </c>
      <c r="C490" s="63" t="s">
        <v>297</v>
      </c>
      <c r="D490" s="63" t="s">
        <v>298</v>
      </c>
      <c r="E490" s="58">
        <f t="shared" si="14"/>
        <v>0.724</v>
      </c>
      <c r="F490" s="63">
        <v>0.68</v>
      </c>
      <c r="G490" s="63">
        <v>-0.044</v>
      </c>
      <c r="H490" s="63">
        <f t="shared" si="1"/>
        <v>-0.044</v>
      </c>
      <c r="I490" s="63">
        <f t="shared" si="12"/>
        <v>-0.044</v>
      </c>
      <c r="J490" s="67">
        <f t="shared" si="13"/>
        <v>-6.077348066</v>
      </c>
      <c r="K490" s="67">
        <f t="shared" si="10"/>
        <v>-6.077348066</v>
      </c>
      <c r="L490" s="62"/>
      <c r="M490" s="62"/>
      <c r="N490" s="62" t="s">
        <v>307</v>
      </c>
      <c r="O490" s="65"/>
      <c r="P490" s="65"/>
      <c r="Q490" s="65"/>
      <c r="R490" s="65"/>
      <c r="S490" s="65"/>
      <c r="T490" s="65"/>
      <c r="U490" s="65"/>
      <c r="V490" s="65"/>
      <c r="W490" s="65"/>
      <c r="X490" s="65"/>
      <c r="Y490" s="65"/>
      <c r="Z490" s="65"/>
      <c r="AA490" s="65"/>
      <c r="AB490" s="65"/>
      <c r="AC490" s="65"/>
    </row>
    <row r="491">
      <c r="A491" s="62" t="s">
        <v>295</v>
      </c>
      <c r="B491" s="62" t="s">
        <v>306</v>
      </c>
      <c r="C491" s="63" t="s">
        <v>297</v>
      </c>
      <c r="D491" s="63" t="s">
        <v>298</v>
      </c>
      <c r="E491" s="58">
        <f t="shared" si="14"/>
        <v>0.693</v>
      </c>
      <c r="F491" s="63">
        <v>0.652</v>
      </c>
      <c r="G491" s="63">
        <v>-0.041</v>
      </c>
      <c r="H491" s="63">
        <f t="shared" si="1"/>
        <v>-0.041</v>
      </c>
      <c r="I491" s="63">
        <f t="shared" si="12"/>
        <v>-0.041</v>
      </c>
      <c r="J491" s="67">
        <f t="shared" si="13"/>
        <v>-5.916305916</v>
      </c>
      <c r="K491" s="67">
        <f t="shared" si="10"/>
        <v>-5.916305916</v>
      </c>
      <c r="L491" s="62"/>
      <c r="M491" s="62"/>
      <c r="N491" s="62" t="s">
        <v>307</v>
      </c>
      <c r="O491" s="65"/>
      <c r="P491" s="65"/>
      <c r="Q491" s="65"/>
      <c r="R491" s="65"/>
      <c r="S491" s="65"/>
      <c r="T491" s="65"/>
      <c r="U491" s="65"/>
      <c r="V491" s="65"/>
      <c r="W491" s="65"/>
      <c r="X491" s="65"/>
      <c r="Y491" s="65"/>
      <c r="Z491" s="65"/>
      <c r="AA491" s="65"/>
      <c r="AB491" s="65"/>
      <c r="AC491" s="65"/>
    </row>
    <row r="492">
      <c r="A492" s="62" t="s">
        <v>295</v>
      </c>
      <c r="B492" s="62" t="s">
        <v>306</v>
      </c>
      <c r="C492" s="63" t="s">
        <v>297</v>
      </c>
      <c r="D492" s="63" t="s">
        <v>298</v>
      </c>
      <c r="E492" s="58">
        <f t="shared" si="14"/>
        <v>0.471</v>
      </c>
      <c r="F492" s="63">
        <v>0.447</v>
      </c>
      <c r="G492" s="63">
        <v>-0.024</v>
      </c>
      <c r="H492" s="63">
        <f t="shared" si="1"/>
        <v>-0.024</v>
      </c>
      <c r="I492" s="63">
        <f t="shared" si="12"/>
        <v>-0.024</v>
      </c>
      <c r="J492" s="67">
        <f t="shared" si="13"/>
        <v>-5.095541401</v>
      </c>
      <c r="K492" s="67">
        <f t="shared" si="10"/>
        <v>-5.095541401</v>
      </c>
      <c r="L492" s="62"/>
      <c r="M492" s="62"/>
      <c r="N492" s="62" t="s">
        <v>307</v>
      </c>
      <c r="O492" s="65"/>
      <c r="P492" s="65"/>
      <c r="Q492" s="65"/>
      <c r="R492" s="65"/>
      <c r="S492" s="65"/>
      <c r="T492" s="65"/>
      <c r="U492" s="65"/>
      <c r="V492" s="65"/>
      <c r="W492" s="65"/>
      <c r="X492" s="65"/>
      <c r="Y492" s="65"/>
      <c r="Z492" s="65"/>
      <c r="AA492" s="65"/>
      <c r="AB492" s="65"/>
      <c r="AC492" s="65"/>
    </row>
    <row r="493">
      <c r="A493" s="62" t="s">
        <v>295</v>
      </c>
      <c r="B493" s="62" t="s">
        <v>306</v>
      </c>
      <c r="C493" s="63" t="s">
        <v>297</v>
      </c>
      <c r="D493" s="63" t="s">
        <v>298</v>
      </c>
      <c r="E493" s="58">
        <f t="shared" si="14"/>
        <v>0.689</v>
      </c>
      <c r="F493" s="63">
        <v>0.681</v>
      </c>
      <c r="G493" s="63">
        <v>-0.008</v>
      </c>
      <c r="H493" s="63">
        <f t="shared" si="1"/>
        <v>-0.008</v>
      </c>
      <c r="I493" s="63">
        <f t="shared" si="12"/>
        <v>-0.008</v>
      </c>
      <c r="J493" s="67">
        <f t="shared" si="13"/>
        <v>-1.161103048</v>
      </c>
      <c r="K493" s="67">
        <f t="shared" si="10"/>
        <v>-1.161103048</v>
      </c>
      <c r="L493" s="62"/>
      <c r="M493" s="62"/>
      <c r="N493" s="62" t="s">
        <v>307</v>
      </c>
      <c r="O493" s="65"/>
      <c r="P493" s="65"/>
      <c r="Q493" s="65"/>
      <c r="R493" s="65"/>
      <c r="S493" s="65"/>
      <c r="T493" s="65"/>
      <c r="U493" s="65"/>
      <c r="V493" s="65"/>
      <c r="W493" s="65"/>
      <c r="X493" s="65"/>
      <c r="Y493" s="65"/>
      <c r="Z493" s="65"/>
      <c r="AA493" s="65"/>
      <c r="AB493" s="65"/>
      <c r="AC493" s="65"/>
    </row>
    <row r="494">
      <c r="A494" s="62" t="s">
        <v>295</v>
      </c>
      <c r="B494" s="62" t="s">
        <v>306</v>
      </c>
      <c r="C494" s="63" t="s">
        <v>300</v>
      </c>
      <c r="D494" s="63" t="s">
        <v>298</v>
      </c>
      <c r="E494" s="58">
        <f t="shared" si="14"/>
        <v>0.497</v>
      </c>
      <c r="F494" s="63">
        <v>0.477</v>
      </c>
      <c r="G494" s="63">
        <v>-0.02</v>
      </c>
      <c r="H494" s="63">
        <f t="shared" si="1"/>
        <v>-0.02</v>
      </c>
      <c r="I494" s="63">
        <f t="shared" si="12"/>
        <v>-0.02</v>
      </c>
      <c r="J494" s="67">
        <f t="shared" si="13"/>
        <v>-4.024144869</v>
      </c>
      <c r="K494" s="67">
        <f t="shared" si="10"/>
        <v>-4.024144869</v>
      </c>
      <c r="L494" s="62"/>
      <c r="M494" s="62"/>
      <c r="N494" s="62" t="s">
        <v>307</v>
      </c>
      <c r="O494" s="65"/>
      <c r="P494" s="65"/>
      <c r="Q494" s="65"/>
      <c r="R494" s="65"/>
      <c r="S494" s="65"/>
      <c r="T494" s="65"/>
      <c r="U494" s="65"/>
      <c r="V494" s="65"/>
      <c r="W494" s="65"/>
      <c r="X494" s="65"/>
      <c r="Y494" s="65"/>
      <c r="Z494" s="65"/>
      <c r="AA494" s="65"/>
      <c r="AB494" s="65"/>
      <c r="AC494" s="65"/>
    </row>
    <row r="495">
      <c r="A495" s="62" t="s">
        <v>295</v>
      </c>
      <c r="B495" s="62" t="s">
        <v>306</v>
      </c>
      <c r="C495" s="63" t="s">
        <v>300</v>
      </c>
      <c r="D495" s="63" t="s">
        <v>298</v>
      </c>
      <c r="E495" s="58">
        <f t="shared" si="14"/>
        <v>0.666</v>
      </c>
      <c r="F495" s="63">
        <v>0.589</v>
      </c>
      <c r="G495" s="63">
        <v>-0.077</v>
      </c>
      <c r="H495" s="63">
        <f t="shared" si="1"/>
        <v>-0.077</v>
      </c>
      <c r="I495" s="63">
        <f t="shared" si="12"/>
        <v>-0.077</v>
      </c>
      <c r="J495" s="67">
        <f t="shared" si="13"/>
        <v>-11.56156156</v>
      </c>
      <c r="K495" s="67">
        <f t="shared" si="10"/>
        <v>-11.56156156</v>
      </c>
      <c r="L495" s="62"/>
      <c r="M495" s="62"/>
      <c r="N495" s="62" t="s">
        <v>307</v>
      </c>
      <c r="O495" s="65"/>
      <c r="P495" s="65"/>
      <c r="Q495" s="65"/>
      <c r="R495" s="65"/>
      <c r="S495" s="65"/>
      <c r="T495" s="65"/>
      <c r="U495" s="65"/>
      <c r="V495" s="65"/>
      <c r="W495" s="65"/>
      <c r="X495" s="65"/>
      <c r="Y495" s="65"/>
      <c r="Z495" s="65"/>
      <c r="AA495" s="65"/>
      <c r="AB495" s="65"/>
      <c r="AC495" s="65"/>
    </row>
    <row r="496">
      <c r="A496" s="62" t="s">
        <v>295</v>
      </c>
      <c r="B496" s="62" t="s">
        <v>306</v>
      </c>
      <c r="C496" s="63" t="s">
        <v>300</v>
      </c>
      <c r="D496" s="63" t="s">
        <v>298</v>
      </c>
      <c r="E496" s="58">
        <f t="shared" si="14"/>
        <v>0.663</v>
      </c>
      <c r="F496" s="63">
        <v>0.658</v>
      </c>
      <c r="G496" s="63">
        <v>-0.005</v>
      </c>
      <c r="H496" s="63">
        <f t="shared" si="1"/>
        <v>-0.005</v>
      </c>
      <c r="I496" s="63">
        <f t="shared" si="12"/>
        <v>-0.005</v>
      </c>
      <c r="J496" s="67">
        <f t="shared" si="13"/>
        <v>-0.754147813</v>
      </c>
      <c r="K496" s="67">
        <f t="shared" si="10"/>
        <v>-0.754147813</v>
      </c>
      <c r="L496" s="62"/>
      <c r="M496" s="62"/>
      <c r="N496" s="62" t="s">
        <v>307</v>
      </c>
      <c r="O496" s="65"/>
      <c r="P496" s="65"/>
      <c r="Q496" s="65"/>
      <c r="R496" s="65"/>
      <c r="S496" s="65"/>
      <c r="T496" s="65"/>
      <c r="U496" s="65"/>
      <c r="V496" s="65"/>
      <c r="W496" s="65"/>
      <c r="X496" s="65"/>
      <c r="Y496" s="65"/>
      <c r="Z496" s="65"/>
      <c r="AA496" s="65"/>
      <c r="AB496" s="65"/>
      <c r="AC496" s="65"/>
    </row>
    <row r="497">
      <c r="A497" s="62" t="s">
        <v>295</v>
      </c>
      <c r="B497" s="62" t="s">
        <v>306</v>
      </c>
      <c r="C497" s="63" t="s">
        <v>300</v>
      </c>
      <c r="D497" s="63" t="s">
        <v>298</v>
      </c>
      <c r="E497" s="58">
        <f t="shared" si="14"/>
        <v>0.663</v>
      </c>
      <c r="F497" s="63">
        <v>0.637</v>
      </c>
      <c r="G497" s="63">
        <v>-0.026</v>
      </c>
      <c r="H497" s="63">
        <f t="shared" si="1"/>
        <v>-0.026</v>
      </c>
      <c r="I497" s="63">
        <f t="shared" si="12"/>
        <v>-0.026</v>
      </c>
      <c r="J497" s="67">
        <f t="shared" si="13"/>
        <v>-3.921568627</v>
      </c>
      <c r="K497" s="67">
        <f t="shared" si="10"/>
        <v>-3.921568627</v>
      </c>
      <c r="L497" s="62"/>
      <c r="M497" s="62"/>
      <c r="N497" s="62" t="s">
        <v>307</v>
      </c>
      <c r="O497" s="65"/>
      <c r="P497" s="65"/>
      <c r="Q497" s="65"/>
      <c r="R497" s="65"/>
      <c r="S497" s="65"/>
      <c r="T497" s="65"/>
      <c r="U497" s="65"/>
      <c r="V497" s="65"/>
      <c r="W497" s="65"/>
      <c r="X497" s="65"/>
      <c r="Y497" s="65"/>
      <c r="Z497" s="65"/>
      <c r="AA497" s="65"/>
      <c r="AB497" s="65"/>
      <c r="AC497" s="65"/>
    </row>
    <row r="498">
      <c r="A498" s="62" t="s">
        <v>295</v>
      </c>
      <c r="B498" s="62" t="s">
        <v>306</v>
      </c>
      <c r="C498" s="63" t="s">
        <v>300</v>
      </c>
      <c r="D498" s="63" t="s">
        <v>298</v>
      </c>
      <c r="E498" s="58">
        <f t="shared" si="14"/>
        <v>0.533</v>
      </c>
      <c r="F498" s="63">
        <v>0.52</v>
      </c>
      <c r="G498" s="63">
        <v>-0.013</v>
      </c>
      <c r="H498" s="63">
        <f t="shared" si="1"/>
        <v>-0.013</v>
      </c>
      <c r="I498" s="63">
        <f t="shared" si="12"/>
        <v>-0.013</v>
      </c>
      <c r="J498" s="67">
        <f t="shared" si="13"/>
        <v>-2.43902439</v>
      </c>
      <c r="K498" s="67">
        <f t="shared" si="10"/>
        <v>-2.43902439</v>
      </c>
      <c r="L498" s="62"/>
      <c r="M498" s="62"/>
      <c r="N498" s="62" t="s">
        <v>307</v>
      </c>
      <c r="O498" s="65"/>
      <c r="P498" s="65"/>
      <c r="Q498" s="65"/>
      <c r="R498" s="65"/>
      <c r="S498" s="65"/>
      <c r="T498" s="65"/>
      <c r="U498" s="65"/>
      <c r="V498" s="65"/>
      <c r="W498" s="65"/>
      <c r="X498" s="65"/>
      <c r="Y498" s="65"/>
      <c r="Z498" s="65"/>
      <c r="AA498" s="65"/>
      <c r="AB498" s="65"/>
      <c r="AC498" s="65"/>
    </row>
    <row r="499">
      <c r="A499" s="62" t="s">
        <v>295</v>
      </c>
      <c r="B499" s="62" t="s">
        <v>306</v>
      </c>
      <c r="C499" s="63" t="s">
        <v>300</v>
      </c>
      <c r="D499" s="63" t="s">
        <v>298</v>
      </c>
      <c r="E499" s="58">
        <f t="shared" si="14"/>
        <v>0.686</v>
      </c>
      <c r="F499" s="63">
        <v>0.644</v>
      </c>
      <c r="G499" s="63">
        <v>-0.042</v>
      </c>
      <c r="H499" s="63">
        <f t="shared" si="1"/>
        <v>-0.042</v>
      </c>
      <c r="I499" s="63">
        <f t="shared" si="12"/>
        <v>-0.042</v>
      </c>
      <c r="J499" s="67">
        <f t="shared" si="13"/>
        <v>-6.12244898</v>
      </c>
      <c r="K499" s="67">
        <f t="shared" si="10"/>
        <v>-6.12244898</v>
      </c>
      <c r="L499" s="62"/>
      <c r="M499" s="62"/>
      <c r="N499" s="62" t="s">
        <v>307</v>
      </c>
      <c r="O499" s="65"/>
      <c r="P499" s="65"/>
      <c r="Q499" s="65"/>
      <c r="R499" s="65"/>
      <c r="S499" s="65"/>
      <c r="T499" s="65"/>
      <c r="U499" s="65"/>
      <c r="V499" s="65"/>
      <c r="W499" s="65"/>
      <c r="X499" s="65"/>
      <c r="Y499" s="65"/>
      <c r="Z499" s="65"/>
      <c r="AA499" s="65"/>
      <c r="AB499" s="65"/>
      <c r="AC499" s="65"/>
    </row>
    <row r="500">
      <c r="A500" s="62" t="s">
        <v>295</v>
      </c>
      <c r="B500" s="62" t="s">
        <v>306</v>
      </c>
      <c r="C500" s="63" t="s">
        <v>300</v>
      </c>
      <c r="D500" s="63" t="s">
        <v>298</v>
      </c>
      <c r="E500" s="58">
        <f t="shared" si="14"/>
        <v>0.686</v>
      </c>
      <c r="F500" s="63">
        <v>0.646</v>
      </c>
      <c r="G500" s="63">
        <v>-0.04</v>
      </c>
      <c r="H500" s="63">
        <f t="shared" si="1"/>
        <v>-0.04</v>
      </c>
      <c r="I500" s="63">
        <f t="shared" si="12"/>
        <v>-0.04</v>
      </c>
      <c r="J500" s="67">
        <f t="shared" si="13"/>
        <v>-5.83090379</v>
      </c>
      <c r="K500" s="67">
        <f t="shared" si="10"/>
        <v>-5.83090379</v>
      </c>
      <c r="L500" s="62"/>
      <c r="M500" s="62"/>
      <c r="N500" s="62" t="s">
        <v>307</v>
      </c>
      <c r="O500" s="65"/>
      <c r="P500" s="65"/>
      <c r="Q500" s="65"/>
      <c r="R500" s="65"/>
      <c r="S500" s="65"/>
      <c r="T500" s="65"/>
      <c r="U500" s="65"/>
      <c r="V500" s="65"/>
      <c r="W500" s="65"/>
      <c r="X500" s="65"/>
      <c r="Y500" s="65"/>
      <c r="Z500" s="65"/>
      <c r="AA500" s="65"/>
      <c r="AB500" s="65"/>
      <c r="AC500" s="65"/>
    </row>
    <row r="501">
      <c r="A501" s="62" t="s">
        <v>295</v>
      </c>
      <c r="B501" s="62" t="s">
        <v>306</v>
      </c>
      <c r="C501" s="63" t="s">
        <v>300</v>
      </c>
      <c r="D501" s="63" t="s">
        <v>298</v>
      </c>
      <c r="E501" s="58">
        <f t="shared" si="14"/>
        <v>0.682</v>
      </c>
      <c r="F501" s="63">
        <v>0.639</v>
      </c>
      <c r="G501" s="63">
        <v>-0.043</v>
      </c>
      <c r="H501" s="63">
        <f t="shared" si="1"/>
        <v>-0.043</v>
      </c>
      <c r="I501" s="63">
        <f t="shared" si="12"/>
        <v>-0.043</v>
      </c>
      <c r="J501" s="67">
        <f t="shared" si="13"/>
        <v>-6.304985337</v>
      </c>
      <c r="K501" s="67">
        <f t="shared" si="10"/>
        <v>-6.304985337</v>
      </c>
      <c r="L501" s="62"/>
      <c r="M501" s="62"/>
      <c r="N501" s="62" t="s">
        <v>307</v>
      </c>
      <c r="O501" s="65"/>
      <c r="P501" s="65"/>
      <c r="Q501" s="65"/>
      <c r="R501" s="65"/>
      <c r="S501" s="65"/>
      <c r="T501" s="65"/>
      <c r="U501" s="65"/>
      <c r="V501" s="65"/>
      <c r="W501" s="65"/>
      <c r="X501" s="65"/>
      <c r="Y501" s="65"/>
      <c r="Z501" s="65"/>
      <c r="AA501" s="65"/>
      <c r="AB501" s="65"/>
      <c r="AC501" s="65"/>
    </row>
    <row r="502">
      <c r="A502" s="62" t="s">
        <v>295</v>
      </c>
      <c r="B502" s="62" t="s">
        <v>306</v>
      </c>
      <c r="C502" s="63" t="s">
        <v>300</v>
      </c>
      <c r="D502" s="63" t="s">
        <v>298</v>
      </c>
      <c r="E502" s="58">
        <f t="shared" si="14"/>
        <v>0.646</v>
      </c>
      <c r="F502" s="63">
        <v>0.633</v>
      </c>
      <c r="G502" s="63">
        <v>-0.013</v>
      </c>
      <c r="H502" s="63">
        <f t="shared" si="1"/>
        <v>-0.013</v>
      </c>
      <c r="I502" s="63">
        <f t="shared" si="12"/>
        <v>-0.013</v>
      </c>
      <c r="J502" s="67">
        <f t="shared" si="13"/>
        <v>-2.012383901</v>
      </c>
      <c r="K502" s="67">
        <f t="shared" si="10"/>
        <v>-2.012383901</v>
      </c>
      <c r="L502" s="62"/>
      <c r="M502" s="62"/>
      <c r="N502" s="62" t="s">
        <v>307</v>
      </c>
      <c r="O502" s="65"/>
      <c r="P502" s="65"/>
      <c r="Q502" s="65"/>
      <c r="R502" s="65"/>
      <c r="S502" s="65"/>
      <c r="T502" s="65"/>
      <c r="U502" s="65"/>
      <c r="V502" s="65"/>
      <c r="W502" s="65"/>
      <c r="X502" s="65"/>
      <c r="Y502" s="65"/>
      <c r="Z502" s="65"/>
      <c r="AA502" s="65"/>
      <c r="AB502" s="65"/>
      <c r="AC502" s="65"/>
    </row>
    <row r="503">
      <c r="A503" s="62" t="s">
        <v>295</v>
      </c>
      <c r="B503" s="62" t="s">
        <v>306</v>
      </c>
      <c r="C503" s="63" t="s">
        <v>300</v>
      </c>
      <c r="D503" s="63" t="s">
        <v>298</v>
      </c>
      <c r="E503" s="58">
        <f t="shared" si="14"/>
        <v>0.578</v>
      </c>
      <c r="F503" s="63">
        <v>0.573</v>
      </c>
      <c r="G503" s="63">
        <v>-0.005</v>
      </c>
      <c r="H503" s="63">
        <f t="shared" si="1"/>
        <v>-0.005</v>
      </c>
      <c r="I503" s="63">
        <f t="shared" si="12"/>
        <v>-0.005</v>
      </c>
      <c r="J503" s="67">
        <f t="shared" si="13"/>
        <v>-0.8650519031</v>
      </c>
      <c r="K503" s="67">
        <f t="shared" si="10"/>
        <v>-0.8650519031</v>
      </c>
      <c r="L503" s="62"/>
      <c r="M503" s="62"/>
      <c r="N503" s="62" t="s">
        <v>307</v>
      </c>
      <c r="O503" s="65"/>
      <c r="P503" s="65"/>
      <c r="Q503" s="65"/>
      <c r="R503" s="65"/>
      <c r="S503" s="65"/>
      <c r="T503" s="65"/>
      <c r="U503" s="65"/>
      <c r="V503" s="65"/>
      <c r="W503" s="65"/>
      <c r="X503" s="65"/>
      <c r="Y503" s="65"/>
      <c r="Z503" s="65"/>
      <c r="AA503" s="65"/>
      <c r="AB503" s="65"/>
      <c r="AC503" s="65"/>
    </row>
    <row r="504">
      <c r="A504" s="62" t="s">
        <v>295</v>
      </c>
      <c r="B504" s="62" t="s">
        <v>306</v>
      </c>
      <c r="C504" s="63" t="s">
        <v>300</v>
      </c>
      <c r="D504" s="63" t="s">
        <v>298</v>
      </c>
      <c r="E504" s="58">
        <f t="shared" si="14"/>
        <v>0.827</v>
      </c>
      <c r="F504" s="63">
        <v>0.799</v>
      </c>
      <c r="G504" s="63">
        <v>-0.028</v>
      </c>
      <c r="H504" s="63">
        <f t="shared" si="1"/>
        <v>-0.028</v>
      </c>
      <c r="I504" s="63">
        <f t="shared" si="12"/>
        <v>-0.028</v>
      </c>
      <c r="J504" s="67">
        <f t="shared" si="13"/>
        <v>-3.38573156</v>
      </c>
      <c r="K504" s="67">
        <f t="shared" si="10"/>
        <v>-3.38573156</v>
      </c>
      <c r="L504" s="62"/>
      <c r="M504" s="62"/>
      <c r="N504" s="62" t="s">
        <v>307</v>
      </c>
      <c r="O504" s="65"/>
      <c r="P504" s="65"/>
      <c r="Q504" s="65"/>
      <c r="R504" s="65"/>
      <c r="S504" s="65"/>
      <c r="T504" s="65"/>
      <c r="U504" s="65"/>
      <c r="V504" s="65"/>
      <c r="W504" s="65"/>
      <c r="X504" s="65"/>
      <c r="Y504" s="65"/>
      <c r="Z504" s="65"/>
      <c r="AA504" s="65"/>
      <c r="AB504" s="65"/>
      <c r="AC504" s="65"/>
    </row>
    <row r="505">
      <c r="A505" s="62" t="s">
        <v>295</v>
      </c>
      <c r="B505" s="62" t="s">
        <v>306</v>
      </c>
      <c r="C505" s="63" t="s">
        <v>300</v>
      </c>
      <c r="D505" s="63" t="s">
        <v>298</v>
      </c>
      <c r="E505" s="58">
        <f t="shared" si="14"/>
        <v>0.825</v>
      </c>
      <c r="F505" s="63">
        <v>0.801</v>
      </c>
      <c r="G505" s="63">
        <v>-0.024</v>
      </c>
      <c r="H505" s="63">
        <f t="shared" si="1"/>
        <v>-0.024</v>
      </c>
      <c r="I505" s="63">
        <f t="shared" si="12"/>
        <v>-0.024</v>
      </c>
      <c r="J505" s="67">
        <f t="shared" si="13"/>
        <v>-2.909090909</v>
      </c>
      <c r="K505" s="67">
        <f t="shared" si="10"/>
        <v>-2.909090909</v>
      </c>
      <c r="L505" s="62"/>
      <c r="M505" s="62"/>
      <c r="N505" s="62" t="s">
        <v>307</v>
      </c>
      <c r="O505" s="65"/>
      <c r="P505" s="65"/>
      <c r="Q505" s="65"/>
      <c r="R505" s="65"/>
      <c r="S505" s="65"/>
      <c r="T505" s="65"/>
      <c r="U505" s="65"/>
      <c r="V505" s="65"/>
      <c r="W505" s="65"/>
      <c r="X505" s="65"/>
      <c r="Y505" s="65"/>
      <c r="Z505" s="65"/>
      <c r="AA505" s="65"/>
      <c r="AB505" s="65"/>
      <c r="AC505" s="65"/>
    </row>
    <row r="506">
      <c r="A506" s="62" t="s">
        <v>295</v>
      </c>
      <c r="B506" s="62" t="s">
        <v>306</v>
      </c>
      <c r="C506" s="63" t="s">
        <v>300</v>
      </c>
      <c r="D506" s="63" t="s">
        <v>298</v>
      </c>
      <c r="E506" s="58">
        <f t="shared" si="14"/>
        <v>0.806</v>
      </c>
      <c r="F506" s="63">
        <v>0.8</v>
      </c>
      <c r="G506" s="63">
        <v>-0.006</v>
      </c>
      <c r="H506" s="63">
        <f t="shared" si="1"/>
        <v>-0.006</v>
      </c>
      <c r="I506" s="63">
        <f t="shared" si="12"/>
        <v>-0.006</v>
      </c>
      <c r="J506" s="67">
        <f t="shared" si="13"/>
        <v>-0.7444168734</v>
      </c>
      <c r="K506" s="67">
        <f t="shared" si="10"/>
        <v>-0.7444168734</v>
      </c>
      <c r="L506" s="62"/>
      <c r="M506" s="62"/>
      <c r="N506" s="62" t="s">
        <v>307</v>
      </c>
      <c r="O506" s="65"/>
      <c r="P506" s="65"/>
      <c r="Q506" s="65"/>
      <c r="R506" s="65"/>
      <c r="S506" s="65"/>
      <c r="T506" s="65"/>
      <c r="U506" s="65"/>
      <c r="V506" s="65"/>
      <c r="W506" s="65"/>
      <c r="X506" s="65"/>
      <c r="Y506" s="65"/>
      <c r="Z506" s="65"/>
      <c r="AA506" s="65"/>
      <c r="AB506" s="65"/>
      <c r="AC506" s="65"/>
    </row>
    <row r="507">
      <c r="A507" s="62" t="s">
        <v>295</v>
      </c>
      <c r="B507" s="62" t="s">
        <v>306</v>
      </c>
      <c r="C507" s="63" t="s">
        <v>300</v>
      </c>
      <c r="D507" s="63" t="s">
        <v>298</v>
      </c>
      <c r="E507" s="58">
        <f t="shared" si="14"/>
        <v>0.653</v>
      </c>
      <c r="F507" s="63">
        <v>0.654</v>
      </c>
      <c r="G507" s="63">
        <v>0.001</v>
      </c>
      <c r="H507" s="63">
        <f t="shared" si="1"/>
        <v>0.001</v>
      </c>
      <c r="I507" s="63">
        <f t="shared" si="12"/>
        <v>0.001</v>
      </c>
      <c r="J507" s="67">
        <f t="shared" si="13"/>
        <v>0.1531393568</v>
      </c>
      <c r="K507" s="67">
        <f t="shared" si="10"/>
        <v>0.1531393568</v>
      </c>
      <c r="L507" s="62"/>
      <c r="M507" s="62"/>
      <c r="N507" s="62" t="s">
        <v>307</v>
      </c>
      <c r="O507" s="65"/>
      <c r="P507" s="65"/>
      <c r="Q507" s="65"/>
      <c r="R507" s="65"/>
      <c r="S507" s="65"/>
      <c r="T507" s="65"/>
      <c r="U507" s="65"/>
      <c r="V507" s="65"/>
      <c r="W507" s="65"/>
      <c r="X507" s="65"/>
      <c r="Y507" s="65"/>
      <c r="Z507" s="65"/>
      <c r="AA507" s="65"/>
      <c r="AB507" s="65"/>
      <c r="AC507" s="65"/>
    </row>
    <row r="508">
      <c r="A508" s="62" t="s">
        <v>295</v>
      </c>
      <c r="B508" s="62" t="s">
        <v>306</v>
      </c>
      <c r="C508" s="63" t="s">
        <v>300</v>
      </c>
      <c r="D508" s="63" t="s">
        <v>298</v>
      </c>
      <c r="E508" s="58">
        <f t="shared" si="14"/>
        <v>0.837</v>
      </c>
      <c r="F508" s="63">
        <v>0.793</v>
      </c>
      <c r="G508" s="63">
        <v>-0.044</v>
      </c>
      <c r="H508" s="63">
        <f t="shared" si="1"/>
        <v>-0.044</v>
      </c>
      <c r="I508" s="63">
        <f t="shared" si="12"/>
        <v>-0.044</v>
      </c>
      <c r="J508" s="67">
        <f t="shared" si="13"/>
        <v>-5.256869773</v>
      </c>
      <c r="K508" s="67">
        <f t="shared" si="10"/>
        <v>-5.256869773</v>
      </c>
      <c r="L508" s="62"/>
      <c r="M508" s="62"/>
      <c r="N508" s="62" t="s">
        <v>307</v>
      </c>
      <c r="O508" s="65"/>
      <c r="P508" s="65"/>
      <c r="Q508" s="65"/>
      <c r="R508" s="65"/>
      <c r="S508" s="65"/>
      <c r="T508" s="65"/>
      <c r="U508" s="65"/>
      <c r="V508" s="65"/>
      <c r="W508" s="65"/>
      <c r="X508" s="65"/>
      <c r="Y508" s="65"/>
      <c r="Z508" s="65"/>
      <c r="AA508" s="65"/>
      <c r="AB508" s="65"/>
      <c r="AC508" s="65"/>
    </row>
    <row r="509">
      <c r="A509" s="62" t="s">
        <v>295</v>
      </c>
      <c r="B509" s="62" t="s">
        <v>306</v>
      </c>
      <c r="C509" s="63" t="s">
        <v>300</v>
      </c>
      <c r="D509" s="63" t="s">
        <v>298</v>
      </c>
      <c r="E509" s="58">
        <f t="shared" si="14"/>
        <v>0.816</v>
      </c>
      <c r="F509" s="63">
        <v>0.796</v>
      </c>
      <c r="G509" s="63">
        <v>-0.02</v>
      </c>
      <c r="H509" s="63">
        <f t="shared" si="1"/>
        <v>-0.02</v>
      </c>
      <c r="I509" s="63">
        <f t="shared" si="12"/>
        <v>-0.02</v>
      </c>
      <c r="J509" s="67">
        <f t="shared" si="13"/>
        <v>-2.450980392</v>
      </c>
      <c r="K509" s="67">
        <f t="shared" si="10"/>
        <v>-2.450980392</v>
      </c>
      <c r="L509" s="62"/>
      <c r="M509" s="62"/>
      <c r="N509" s="62" t="s">
        <v>307</v>
      </c>
      <c r="O509" s="65"/>
      <c r="P509" s="65"/>
      <c r="Q509" s="65"/>
      <c r="R509" s="65"/>
      <c r="S509" s="65"/>
      <c r="T509" s="65"/>
      <c r="U509" s="65"/>
      <c r="V509" s="65"/>
      <c r="W509" s="65"/>
      <c r="X509" s="65"/>
      <c r="Y509" s="65"/>
      <c r="Z509" s="65"/>
      <c r="AA509" s="65"/>
      <c r="AB509" s="65"/>
      <c r="AC509" s="65"/>
    </row>
    <row r="510">
      <c r="A510" s="62" t="s">
        <v>295</v>
      </c>
      <c r="B510" s="62" t="s">
        <v>306</v>
      </c>
      <c r="C510" s="63" t="s">
        <v>300</v>
      </c>
      <c r="D510" s="63" t="s">
        <v>298</v>
      </c>
      <c r="E510" s="58">
        <f t="shared" si="14"/>
        <v>0.806</v>
      </c>
      <c r="F510" s="63">
        <v>0.784</v>
      </c>
      <c r="G510" s="63">
        <v>-0.022</v>
      </c>
      <c r="H510" s="63">
        <f t="shared" si="1"/>
        <v>-0.022</v>
      </c>
      <c r="I510" s="63">
        <f t="shared" si="12"/>
        <v>-0.022</v>
      </c>
      <c r="J510" s="67">
        <f t="shared" si="13"/>
        <v>-2.729528536</v>
      </c>
      <c r="K510" s="67">
        <f t="shared" si="10"/>
        <v>-2.729528536</v>
      </c>
      <c r="L510" s="62"/>
      <c r="M510" s="62"/>
      <c r="N510" s="62" t="s">
        <v>307</v>
      </c>
      <c r="O510" s="65"/>
      <c r="P510" s="65"/>
      <c r="Q510" s="65"/>
      <c r="R510" s="65"/>
      <c r="S510" s="65"/>
      <c r="T510" s="65"/>
      <c r="U510" s="65"/>
      <c r="V510" s="65"/>
      <c r="W510" s="65"/>
      <c r="X510" s="65"/>
      <c r="Y510" s="65"/>
      <c r="Z510" s="65"/>
      <c r="AA510" s="65"/>
      <c r="AB510" s="65"/>
      <c r="AC510" s="65"/>
    </row>
    <row r="511">
      <c r="A511" s="62" t="s">
        <v>295</v>
      </c>
      <c r="B511" s="62" t="s">
        <v>306</v>
      </c>
      <c r="C511" s="63" t="s">
        <v>300</v>
      </c>
      <c r="D511" s="63" t="s">
        <v>298</v>
      </c>
      <c r="E511" s="58">
        <f t="shared" si="14"/>
        <v>0.794</v>
      </c>
      <c r="F511" s="63">
        <v>0.804</v>
      </c>
      <c r="G511" s="63">
        <v>0.01</v>
      </c>
      <c r="H511" s="63">
        <f t="shared" si="1"/>
        <v>0.01</v>
      </c>
      <c r="I511" s="63">
        <f t="shared" si="12"/>
        <v>0.01</v>
      </c>
      <c r="J511" s="67">
        <f t="shared" si="13"/>
        <v>1.259445844</v>
      </c>
      <c r="K511" s="67">
        <f t="shared" si="10"/>
        <v>1.259445844</v>
      </c>
      <c r="L511" s="62"/>
      <c r="M511" s="62"/>
      <c r="N511" s="62" t="s">
        <v>307</v>
      </c>
      <c r="O511" s="65"/>
      <c r="P511" s="65"/>
      <c r="Q511" s="65"/>
      <c r="R511" s="65"/>
      <c r="S511" s="65"/>
      <c r="T511" s="65"/>
      <c r="U511" s="65"/>
      <c r="V511" s="65"/>
      <c r="W511" s="65"/>
      <c r="X511" s="65"/>
      <c r="Y511" s="65"/>
      <c r="Z511" s="65"/>
      <c r="AA511" s="65"/>
      <c r="AB511" s="65"/>
      <c r="AC511" s="65"/>
    </row>
    <row r="512">
      <c r="A512" s="62" t="s">
        <v>295</v>
      </c>
      <c r="B512" s="62" t="s">
        <v>306</v>
      </c>
      <c r="C512" s="63" t="s">
        <v>300</v>
      </c>
      <c r="D512" s="63" t="s">
        <v>298</v>
      </c>
      <c r="E512" s="58">
        <f t="shared" si="14"/>
        <v>0.587</v>
      </c>
      <c r="F512" s="63">
        <v>0.613</v>
      </c>
      <c r="G512" s="63">
        <v>0.026</v>
      </c>
      <c r="H512" s="63">
        <f t="shared" si="1"/>
        <v>0.026</v>
      </c>
      <c r="I512" s="63">
        <f t="shared" si="12"/>
        <v>0.026</v>
      </c>
      <c r="J512" s="67">
        <f t="shared" si="13"/>
        <v>4.429301533</v>
      </c>
      <c r="K512" s="67">
        <f t="shared" si="10"/>
        <v>4.429301533</v>
      </c>
      <c r="L512" s="62"/>
      <c r="M512" s="62"/>
      <c r="N512" s="62" t="s">
        <v>307</v>
      </c>
      <c r="O512" s="65"/>
      <c r="P512" s="65"/>
      <c r="Q512" s="65"/>
      <c r="R512" s="65"/>
      <c r="S512" s="65"/>
      <c r="T512" s="65"/>
      <c r="U512" s="65"/>
      <c r="V512" s="65"/>
      <c r="W512" s="65"/>
      <c r="X512" s="65"/>
      <c r="Y512" s="65"/>
      <c r="Z512" s="65"/>
      <c r="AA512" s="65"/>
      <c r="AB512" s="65"/>
      <c r="AC512" s="65"/>
    </row>
    <row r="513">
      <c r="A513" s="62" t="s">
        <v>295</v>
      </c>
      <c r="B513" s="62" t="s">
        <v>306</v>
      </c>
      <c r="C513" s="63" t="s">
        <v>300</v>
      </c>
      <c r="D513" s="63" t="s">
        <v>298</v>
      </c>
      <c r="E513" s="58">
        <f t="shared" si="14"/>
        <v>0.721</v>
      </c>
      <c r="F513" s="63">
        <v>0.727</v>
      </c>
      <c r="G513" s="63">
        <v>0.006</v>
      </c>
      <c r="H513" s="63">
        <f t="shared" si="1"/>
        <v>0.006</v>
      </c>
      <c r="I513" s="63">
        <f t="shared" si="12"/>
        <v>0.006</v>
      </c>
      <c r="J513" s="67">
        <f t="shared" si="13"/>
        <v>0.8321775312</v>
      </c>
      <c r="K513" s="67">
        <f t="shared" si="10"/>
        <v>0.8321775312</v>
      </c>
      <c r="L513" s="62"/>
      <c r="M513" s="62"/>
      <c r="N513" s="62" t="s">
        <v>307</v>
      </c>
      <c r="O513" s="65"/>
      <c r="P513" s="65"/>
      <c r="Q513" s="65"/>
      <c r="R513" s="65"/>
      <c r="S513" s="65"/>
      <c r="T513" s="65"/>
      <c r="U513" s="65"/>
      <c r="V513" s="65"/>
      <c r="W513" s="65"/>
      <c r="X513" s="65"/>
      <c r="Y513" s="65"/>
      <c r="Z513" s="65"/>
      <c r="AA513" s="65"/>
      <c r="AB513" s="65"/>
      <c r="AC513" s="65"/>
    </row>
    <row r="514">
      <c r="A514" s="62" t="s">
        <v>295</v>
      </c>
      <c r="B514" s="62" t="s">
        <v>306</v>
      </c>
      <c r="C514" s="63" t="s">
        <v>300</v>
      </c>
      <c r="D514" s="63" t="s">
        <v>298</v>
      </c>
      <c r="E514" s="58">
        <f t="shared" si="14"/>
        <v>0.699</v>
      </c>
      <c r="F514" s="63">
        <v>0.678</v>
      </c>
      <c r="G514" s="63">
        <v>-0.021</v>
      </c>
      <c r="H514" s="63">
        <f t="shared" si="1"/>
        <v>-0.021</v>
      </c>
      <c r="I514" s="63">
        <f t="shared" si="12"/>
        <v>-0.021</v>
      </c>
      <c r="J514" s="67">
        <f t="shared" si="13"/>
        <v>-3.004291845</v>
      </c>
      <c r="K514" s="67">
        <f t="shared" si="10"/>
        <v>-3.004291845</v>
      </c>
      <c r="L514" s="62"/>
      <c r="M514" s="62"/>
      <c r="N514" s="62" t="s">
        <v>307</v>
      </c>
      <c r="O514" s="65"/>
      <c r="P514" s="65"/>
      <c r="Q514" s="65"/>
      <c r="R514" s="65"/>
      <c r="S514" s="65"/>
      <c r="T514" s="65"/>
      <c r="U514" s="65"/>
      <c r="V514" s="65"/>
      <c r="W514" s="65"/>
      <c r="X514" s="65"/>
      <c r="Y514" s="65"/>
      <c r="Z514" s="65"/>
      <c r="AA514" s="65"/>
      <c r="AB514" s="65"/>
      <c r="AC514" s="65"/>
    </row>
    <row r="515">
      <c r="A515" s="62" t="s">
        <v>295</v>
      </c>
      <c r="B515" s="62" t="s">
        <v>306</v>
      </c>
      <c r="C515" s="63" t="s">
        <v>300</v>
      </c>
      <c r="D515" s="63" t="s">
        <v>298</v>
      </c>
      <c r="E515" s="58">
        <f t="shared" si="14"/>
        <v>0.704</v>
      </c>
      <c r="F515" s="63">
        <v>0.706</v>
      </c>
      <c r="G515" s="63">
        <v>0.002</v>
      </c>
      <c r="H515" s="63">
        <f t="shared" si="1"/>
        <v>0.002</v>
      </c>
      <c r="I515" s="63">
        <f t="shared" si="12"/>
        <v>0.002</v>
      </c>
      <c r="J515" s="67">
        <f t="shared" si="13"/>
        <v>0.2840909091</v>
      </c>
      <c r="K515" s="67">
        <f t="shared" si="10"/>
        <v>0.2840909091</v>
      </c>
      <c r="L515" s="62"/>
      <c r="M515" s="62"/>
      <c r="N515" s="62" t="s">
        <v>307</v>
      </c>
      <c r="O515" s="65"/>
      <c r="P515" s="65"/>
      <c r="Q515" s="65"/>
      <c r="R515" s="65"/>
      <c r="S515" s="65"/>
      <c r="T515" s="65"/>
      <c r="U515" s="65"/>
      <c r="V515" s="65"/>
      <c r="W515" s="65"/>
      <c r="X515" s="65"/>
      <c r="Y515" s="65"/>
      <c r="Z515" s="65"/>
      <c r="AA515" s="65"/>
      <c r="AB515" s="65"/>
      <c r="AC515" s="65"/>
    </row>
    <row r="516">
      <c r="A516" s="62" t="s">
        <v>295</v>
      </c>
      <c r="B516" s="62" t="s">
        <v>306</v>
      </c>
      <c r="C516" s="63" t="s">
        <v>300</v>
      </c>
      <c r="D516" s="63" t="s">
        <v>298</v>
      </c>
      <c r="E516" s="58">
        <f t="shared" si="14"/>
        <v>0.663</v>
      </c>
      <c r="F516" s="63">
        <v>0.629</v>
      </c>
      <c r="G516" s="63">
        <v>-0.034</v>
      </c>
      <c r="H516" s="63">
        <f t="shared" si="1"/>
        <v>-0.034</v>
      </c>
      <c r="I516" s="63">
        <f t="shared" si="12"/>
        <v>-0.034</v>
      </c>
      <c r="J516" s="67">
        <f t="shared" si="13"/>
        <v>-5.128205128</v>
      </c>
      <c r="K516" s="67">
        <f t="shared" si="10"/>
        <v>-5.128205128</v>
      </c>
      <c r="L516" s="62"/>
      <c r="M516" s="62"/>
      <c r="N516" s="63" t="s">
        <v>307</v>
      </c>
      <c r="O516" s="65"/>
      <c r="P516" s="65"/>
      <c r="Q516" s="65"/>
      <c r="R516" s="65"/>
      <c r="S516" s="65"/>
      <c r="T516" s="65"/>
      <c r="U516" s="65"/>
      <c r="V516" s="65"/>
      <c r="W516" s="65"/>
      <c r="X516" s="65"/>
      <c r="Y516" s="65"/>
      <c r="Z516" s="65"/>
      <c r="AA516" s="65"/>
      <c r="AB516" s="65"/>
      <c r="AC516" s="65"/>
    </row>
    <row r="517">
      <c r="A517" s="62" t="s">
        <v>295</v>
      </c>
      <c r="B517" s="62" t="s">
        <v>306</v>
      </c>
      <c r="C517" s="63" t="s">
        <v>300</v>
      </c>
      <c r="D517" s="63" t="s">
        <v>298</v>
      </c>
      <c r="E517" s="58">
        <f t="shared" si="14"/>
        <v>0.734</v>
      </c>
      <c r="F517" s="63">
        <v>0.72</v>
      </c>
      <c r="G517" s="63">
        <v>-0.014</v>
      </c>
      <c r="H517" s="63">
        <f t="shared" si="1"/>
        <v>-0.014</v>
      </c>
      <c r="I517" s="63">
        <f t="shared" si="12"/>
        <v>-0.014</v>
      </c>
      <c r="J517" s="67">
        <f t="shared" si="13"/>
        <v>-1.907356948</v>
      </c>
      <c r="K517" s="67">
        <f t="shared" si="10"/>
        <v>-1.907356948</v>
      </c>
      <c r="L517" s="62"/>
      <c r="M517" s="62"/>
      <c r="N517" s="62" t="s">
        <v>307</v>
      </c>
      <c r="O517" s="65"/>
      <c r="P517" s="65"/>
      <c r="Q517" s="65"/>
      <c r="R517" s="65"/>
      <c r="S517" s="65"/>
      <c r="T517" s="65"/>
      <c r="U517" s="65"/>
      <c r="V517" s="65"/>
      <c r="W517" s="65"/>
      <c r="X517" s="65"/>
      <c r="Y517" s="65"/>
      <c r="Z517" s="65"/>
      <c r="AA517" s="65"/>
      <c r="AB517" s="65"/>
      <c r="AC517" s="65"/>
    </row>
    <row r="518">
      <c r="A518" s="62" t="s">
        <v>295</v>
      </c>
      <c r="B518" s="62" t="s">
        <v>306</v>
      </c>
      <c r="C518" s="63" t="s">
        <v>300</v>
      </c>
      <c r="D518" s="63" t="s">
        <v>298</v>
      </c>
      <c r="E518" s="58">
        <f t="shared" si="14"/>
        <v>0.709</v>
      </c>
      <c r="F518" s="63">
        <v>0.687</v>
      </c>
      <c r="G518" s="63">
        <v>-0.022</v>
      </c>
      <c r="H518" s="63">
        <f t="shared" si="1"/>
        <v>-0.022</v>
      </c>
      <c r="I518" s="63">
        <f t="shared" si="12"/>
        <v>-0.022</v>
      </c>
      <c r="J518" s="67">
        <f t="shared" si="13"/>
        <v>-3.102961918</v>
      </c>
      <c r="K518" s="67">
        <f t="shared" si="10"/>
        <v>-3.102961918</v>
      </c>
      <c r="L518" s="62"/>
      <c r="M518" s="62"/>
      <c r="N518" s="62" t="s">
        <v>307</v>
      </c>
      <c r="O518" s="65"/>
      <c r="P518" s="65"/>
      <c r="Q518" s="65"/>
      <c r="R518" s="65"/>
      <c r="S518" s="65"/>
      <c r="T518" s="65"/>
      <c r="U518" s="65"/>
      <c r="V518" s="65"/>
      <c r="W518" s="65"/>
      <c r="X518" s="65"/>
      <c r="Y518" s="65"/>
      <c r="Z518" s="65"/>
      <c r="AA518" s="65"/>
      <c r="AB518" s="65"/>
      <c r="AC518" s="65"/>
    </row>
    <row r="519">
      <c r="A519" s="62" t="s">
        <v>295</v>
      </c>
      <c r="B519" s="62" t="s">
        <v>306</v>
      </c>
      <c r="C519" s="63" t="s">
        <v>300</v>
      </c>
      <c r="D519" s="63" t="s">
        <v>298</v>
      </c>
      <c r="E519" s="58">
        <f t="shared" si="14"/>
        <v>0.712</v>
      </c>
      <c r="F519" s="63">
        <v>0.73</v>
      </c>
      <c r="G519" s="63">
        <v>0.018</v>
      </c>
      <c r="H519" s="63">
        <f t="shared" si="1"/>
        <v>0.018</v>
      </c>
      <c r="I519" s="63">
        <f t="shared" si="12"/>
        <v>0.018</v>
      </c>
      <c r="J519" s="67">
        <f t="shared" si="13"/>
        <v>2.528089888</v>
      </c>
      <c r="K519" s="67">
        <f t="shared" si="10"/>
        <v>2.528089888</v>
      </c>
      <c r="L519" s="62"/>
      <c r="M519" s="62"/>
      <c r="N519" s="62" t="s">
        <v>307</v>
      </c>
      <c r="O519" s="65"/>
      <c r="P519" s="65"/>
      <c r="Q519" s="65"/>
      <c r="R519" s="65"/>
      <c r="S519" s="65"/>
      <c r="T519" s="65"/>
      <c r="U519" s="65"/>
      <c r="V519" s="65"/>
      <c r="W519" s="65"/>
      <c r="X519" s="65"/>
      <c r="Y519" s="65"/>
      <c r="Z519" s="65"/>
      <c r="AA519" s="65"/>
      <c r="AB519" s="65"/>
      <c r="AC519" s="65"/>
    </row>
    <row r="520">
      <c r="A520" s="62" t="s">
        <v>295</v>
      </c>
      <c r="B520" s="62" t="s">
        <v>306</v>
      </c>
      <c r="C520" s="63" t="s">
        <v>300</v>
      </c>
      <c r="D520" s="63" t="s">
        <v>298</v>
      </c>
      <c r="E520" s="58">
        <f t="shared" si="14"/>
        <v>0.625</v>
      </c>
      <c r="F520" s="63">
        <v>0.653</v>
      </c>
      <c r="G520" s="63">
        <v>0.028</v>
      </c>
      <c r="H520" s="63">
        <f t="shared" si="1"/>
        <v>0.028</v>
      </c>
      <c r="I520" s="63">
        <f t="shared" si="12"/>
        <v>0.028</v>
      </c>
      <c r="J520" s="67">
        <f t="shared" si="13"/>
        <v>4.48</v>
      </c>
      <c r="K520" s="67">
        <f t="shared" si="10"/>
        <v>4.48</v>
      </c>
      <c r="L520" s="62"/>
      <c r="M520" s="62"/>
      <c r="N520" s="63" t="s">
        <v>307</v>
      </c>
      <c r="O520" s="65"/>
      <c r="P520" s="65"/>
      <c r="Q520" s="65"/>
      <c r="R520" s="65"/>
      <c r="S520" s="65"/>
      <c r="T520" s="65"/>
      <c r="U520" s="65"/>
      <c r="V520" s="65"/>
      <c r="W520" s="65"/>
      <c r="X520" s="65"/>
      <c r="Y520" s="65"/>
      <c r="Z520" s="65"/>
      <c r="AA520" s="65"/>
      <c r="AB520" s="65"/>
      <c r="AC520" s="65"/>
    </row>
    <row r="521">
      <c r="A521" s="62" t="s">
        <v>295</v>
      </c>
      <c r="B521" s="62" t="s">
        <v>306</v>
      </c>
      <c r="C521" s="63" t="s">
        <v>301</v>
      </c>
      <c r="D521" s="63" t="s">
        <v>298</v>
      </c>
      <c r="E521" s="58">
        <f t="shared" si="14"/>
        <v>0.553</v>
      </c>
      <c r="F521" s="63">
        <v>0.553</v>
      </c>
      <c r="G521" s="63">
        <v>0.0</v>
      </c>
      <c r="H521" s="63">
        <f t="shared" si="1"/>
        <v>0</v>
      </c>
      <c r="I521" s="63">
        <f t="shared" si="12"/>
        <v>0</v>
      </c>
      <c r="J521" s="67">
        <f t="shared" si="13"/>
        <v>0</v>
      </c>
      <c r="K521" s="67">
        <f t="shared" si="10"/>
        <v>0</v>
      </c>
      <c r="L521" s="62"/>
      <c r="M521" s="62"/>
      <c r="N521" s="63" t="s">
        <v>307</v>
      </c>
      <c r="O521" s="65"/>
      <c r="P521" s="65"/>
      <c r="Q521" s="65"/>
      <c r="R521" s="65"/>
      <c r="S521" s="65"/>
      <c r="T521" s="65"/>
      <c r="U521" s="65"/>
      <c r="V521" s="65"/>
      <c r="W521" s="65"/>
      <c r="X521" s="65"/>
      <c r="Y521" s="65"/>
      <c r="Z521" s="65"/>
      <c r="AA521" s="65"/>
      <c r="AB521" s="65"/>
      <c r="AC521" s="65"/>
    </row>
    <row r="522">
      <c r="A522" s="62" t="s">
        <v>295</v>
      </c>
      <c r="B522" s="62" t="s">
        <v>306</v>
      </c>
      <c r="C522" s="63" t="s">
        <v>301</v>
      </c>
      <c r="D522" s="63" t="s">
        <v>298</v>
      </c>
      <c r="E522" s="58">
        <f t="shared" si="14"/>
        <v>0.758</v>
      </c>
      <c r="F522" s="63">
        <v>0.752</v>
      </c>
      <c r="G522" s="63">
        <v>-0.006</v>
      </c>
      <c r="H522" s="63">
        <f t="shared" si="1"/>
        <v>-0.006</v>
      </c>
      <c r="I522" s="63">
        <f t="shared" si="12"/>
        <v>-0.006</v>
      </c>
      <c r="J522" s="67">
        <f t="shared" si="13"/>
        <v>-0.7915567282</v>
      </c>
      <c r="K522" s="67">
        <f t="shared" si="10"/>
        <v>-0.7915567282</v>
      </c>
      <c r="L522" s="62"/>
      <c r="M522" s="62"/>
      <c r="N522" s="62" t="s">
        <v>307</v>
      </c>
      <c r="O522" s="65"/>
      <c r="P522" s="65"/>
      <c r="Q522" s="65"/>
      <c r="R522" s="65"/>
      <c r="S522" s="65"/>
      <c r="T522" s="65"/>
      <c r="U522" s="65"/>
      <c r="V522" s="65"/>
      <c r="W522" s="65"/>
      <c r="X522" s="65"/>
      <c r="Y522" s="65"/>
      <c r="Z522" s="65"/>
      <c r="AA522" s="65"/>
      <c r="AB522" s="65"/>
      <c r="AC522" s="65"/>
    </row>
    <row r="523">
      <c r="A523" s="62" t="s">
        <v>295</v>
      </c>
      <c r="B523" s="62" t="s">
        <v>306</v>
      </c>
      <c r="C523" s="63" t="s">
        <v>301</v>
      </c>
      <c r="D523" s="63" t="s">
        <v>298</v>
      </c>
      <c r="E523" s="58">
        <f t="shared" si="14"/>
        <v>0.623</v>
      </c>
      <c r="F523" s="63">
        <v>0.6</v>
      </c>
      <c r="G523" s="63">
        <v>-0.023</v>
      </c>
      <c r="H523" s="63">
        <f t="shared" si="1"/>
        <v>-0.023</v>
      </c>
      <c r="I523" s="63">
        <f t="shared" si="12"/>
        <v>-0.023</v>
      </c>
      <c r="J523" s="67">
        <f t="shared" si="13"/>
        <v>-3.691813804</v>
      </c>
      <c r="K523" s="67">
        <f t="shared" si="10"/>
        <v>-3.691813804</v>
      </c>
      <c r="L523" s="62"/>
      <c r="M523" s="62"/>
      <c r="N523" s="62" t="s">
        <v>307</v>
      </c>
      <c r="O523" s="65"/>
      <c r="P523" s="65"/>
      <c r="Q523" s="65"/>
      <c r="R523" s="65"/>
      <c r="S523" s="65"/>
      <c r="T523" s="65"/>
      <c r="U523" s="65"/>
      <c r="V523" s="65"/>
      <c r="W523" s="65"/>
      <c r="X523" s="65"/>
      <c r="Y523" s="65"/>
      <c r="Z523" s="65"/>
      <c r="AA523" s="65"/>
      <c r="AB523" s="65"/>
      <c r="AC523" s="65"/>
    </row>
    <row r="524">
      <c r="A524" s="62" t="s">
        <v>295</v>
      </c>
      <c r="B524" s="62" t="s">
        <v>306</v>
      </c>
      <c r="C524" s="63" t="s">
        <v>301</v>
      </c>
      <c r="D524" s="63" t="s">
        <v>298</v>
      </c>
      <c r="E524" s="58">
        <f t="shared" si="14"/>
        <v>0.621</v>
      </c>
      <c r="F524" s="63">
        <v>0.62</v>
      </c>
      <c r="G524" s="63">
        <v>-0.001</v>
      </c>
      <c r="H524" s="63">
        <f t="shared" si="1"/>
        <v>-0.001</v>
      </c>
      <c r="I524" s="63">
        <f t="shared" si="12"/>
        <v>-0.001</v>
      </c>
      <c r="J524" s="67">
        <f t="shared" si="13"/>
        <v>-0.1610305958</v>
      </c>
      <c r="K524" s="67">
        <f t="shared" si="10"/>
        <v>-0.1610305958</v>
      </c>
      <c r="L524" s="62"/>
      <c r="M524" s="62"/>
      <c r="N524" s="62" t="s">
        <v>307</v>
      </c>
      <c r="O524" s="65"/>
      <c r="P524" s="65"/>
      <c r="Q524" s="65"/>
      <c r="R524" s="65"/>
      <c r="S524" s="65"/>
      <c r="T524" s="65"/>
      <c r="U524" s="65"/>
      <c r="V524" s="65"/>
      <c r="W524" s="65"/>
      <c r="X524" s="65"/>
      <c r="Y524" s="65"/>
      <c r="Z524" s="65"/>
      <c r="AA524" s="65"/>
      <c r="AB524" s="65"/>
      <c r="AC524" s="65"/>
    </row>
    <row r="525">
      <c r="A525" s="62" t="s">
        <v>295</v>
      </c>
      <c r="B525" s="62" t="s">
        <v>306</v>
      </c>
      <c r="C525" s="63" t="s">
        <v>301</v>
      </c>
      <c r="D525" s="63" t="s">
        <v>298</v>
      </c>
      <c r="E525" s="58">
        <f t="shared" si="14"/>
        <v>0.48</v>
      </c>
      <c r="F525" s="63">
        <v>0.48</v>
      </c>
      <c r="G525" s="63">
        <v>0.0</v>
      </c>
      <c r="H525" s="63">
        <f t="shared" si="1"/>
        <v>0</v>
      </c>
      <c r="I525" s="63">
        <f t="shared" si="12"/>
        <v>0</v>
      </c>
      <c r="J525" s="67">
        <f t="shared" si="13"/>
        <v>0</v>
      </c>
      <c r="K525" s="67">
        <f t="shared" si="10"/>
        <v>0</v>
      </c>
      <c r="L525" s="62"/>
      <c r="M525" s="62"/>
      <c r="N525" s="62" t="s">
        <v>307</v>
      </c>
      <c r="O525" s="65"/>
      <c r="P525" s="65"/>
      <c r="Q525" s="65"/>
      <c r="R525" s="65"/>
      <c r="S525" s="65"/>
      <c r="T525" s="65"/>
      <c r="U525" s="65"/>
      <c r="V525" s="65"/>
      <c r="W525" s="65"/>
      <c r="X525" s="65"/>
      <c r="Y525" s="65"/>
      <c r="Z525" s="65"/>
      <c r="AA525" s="65"/>
      <c r="AB525" s="65"/>
      <c r="AC525" s="65"/>
    </row>
    <row r="526">
      <c r="A526" s="62" t="s">
        <v>295</v>
      </c>
      <c r="B526" s="62" t="s">
        <v>306</v>
      </c>
      <c r="C526" s="63" t="s">
        <v>301</v>
      </c>
      <c r="D526" s="63" t="s">
        <v>298</v>
      </c>
      <c r="E526" s="58">
        <f t="shared" si="14"/>
        <v>0.649</v>
      </c>
      <c r="F526" s="63">
        <v>0.679</v>
      </c>
      <c r="G526" s="63">
        <v>0.03</v>
      </c>
      <c r="H526" s="63">
        <f t="shared" si="1"/>
        <v>0.03</v>
      </c>
      <c r="I526" s="63">
        <f t="shared" si="12"/>
        <v>0.03</v>
      </c>
      <c r="J526" s="67">
        <f t="shared" si="13"/>
        <v>4.622496148</v>
      </c>
      <c r="K526" s="67">
        <f t="shared" si="10"/>
        <v>4.622496148</v>
      </c>
      <c r="L526" s="62"/>
      <c r="M526" s="62"/>
      <c r="N526" s="62" t="s">
        <v>307</v>
      </c>
      <c r="O526" s="65"/>
      <c r="P526" s="65"/>
      <c r="Q526" s="65"/>
      <c r="R526" s="65"/>
      <c r="S526" s="65"/>
      <c r="T526" s="65"/>
      <c r="U526" s="65"/>
      <c r="V526" s="65"/>
      <c r="W526" s="65"/>
      <c r="X526" s="65"/>
      <c r="Y526" s="65"/>
      <c r="Z526" s="65"/>
      <c r="AA526" s="65"/>
      <c r="AB526" s="65"/>
      <c r="AC526" s="65"/>
    </row>
    <row r="527">
      <c r="A527" s="62" t="s">
        <v>295</v>
      </c>
      <c r="B527" s="62" t="s">
        <v>306</v>
      </c>
      <c r="C527" s="63" t="s">
        <v>301</v>
      </c>
      <c r="D527" s="63" t="s">
        <v>298</v>
      </c>
      <c r="E527" s="58">
        <f t="shared" si="14"/>
        <v>0.672</v>
      </c>
      <c r="F527" s="63">
        <v>0.66</v>
      </c>
      <c r="G527" s="63">
        <v>-0.012</v>
      </c>
      <c r="H527" s="63">
        <f t="shared" si="1"/>
        <v>-0.012</v>
      </c>
      <c r="I527" s="63">
        <f t="shared" si="12"/>
        <v>-0.012</v>
      </c>
      <c r="J527" s="67">
        <f t="shared" si="13"/>
        <v>-1.785714286</v>
      </c>
      <c r="K527" s="67">
        <f t="shared" si="10"/>
        <v>-1.785714286</v>
      </c>
      <c r="L527" s="62"/>
      <c r="M527" s="62"/>
      <c r="N527" s="62" t="s">
        <v>307</v>
      </c>
      <c r="O527" s="65"/>
      <c r="P527" s="65"/>
      <c r="Q527" s="65"/>
      <c r="R527" s="65"/>
      <c r="S527" s="65"/>
      <c r="T527" s="65"/>
      <c r="U527" s="65"/>
      <c r="V527" s="65"/>
      <c r="W527" s="65"/>
      <c r="X527" s="65"/>
      <c r="Y527" s="65"/>
      <c r="Z527" s="65"/>
      <c r="AA527" s="65"/>
      <c r="AB527" s="65"/>
      <c r="AC527" s="65"/>
    </row>
    <row r="528">
      <c r="A528" s="62" t="s">
        <v>295</v>
      </c>
      <c r="B528" s="62" t="s">
        <v>306</v>
      </c>
      <c r="C528" s="63" t="s">
        <v>301</v>
      </c>
      <c r="D528" s="63" t="s">
        <v>298</v>
      </c>
      <c r="E528" s="58">
        <f t="shared" si="14"/>
        <v>0.469</v>
      </c>
      <c r="F528" s="63">
        <v>0.46</v>
      </c>
      <c r="G528" s="63">
        <v>-0.009</v>
      </c>
      <c r="H528" s="63">
        <f t="shared" si="1"/>
        <v>-0.009</v>
      </c>
      <c r="I528" s="63">
        <f t="shared" si="12"/>
        <v>-0.009</v>
      </c>
      <c r="J528" s="67">
        <f t="shared" si="13"/>
        <v>-1.918976546</v>
      </c>
      <c r="K528" s="67">
        <f t="shared" si="10"/>
        <v>-1.918976546</v>
      </c>
      <c r="L528" s="62"/>
      <c r="M528" s="62"/>
      <c r="N528" s="62" t="s">
        <v>307</v>
      </c>
      <c r="O528" s="65"/>
      <c r="P528" s="65"/>
      <c r="Q528" s="65"/>
      <c r="R528" s="65"/>
      <c r="S528" s="65"/>
      <c r="T528" s="65"/>
      <c r="U528" s="65"/>
      <c r="V528" s="65"/>
      <c r="W528" s="65"/>
      <c r="X528" s="65"/>
      <c r="Y528" s="65"/>
      <c r="Z528" s="65"/>
      <c r="AA528" s="65"/>
      <c r="AB528" s="65"/>
      <c r="AC528" s="65"/>
    </row>
    <row r="529">
      <c r="A529" s="55" t="s">
        <v>308</v>
      </c>
      <c r="B529" s="55" t="s">
        <v>309</v>
      </c>
      <c r="C529" s="58" t="s">
        <v>310</v>
      </c>
      <c r="D529" s="58" t="s">
        <v>249</v>
      </c>
      <c r="E529" s="58">
        <v>0.78</v>
      </c>
      <c r="F529" s="58">
        <v>0.78</v>
      </c>
      <c r="G529" s="57"/>
      <c r="H529" s="57">
        <f t="shared" si="1"/>
        <v>0</v>
      </c>
      <c r="I529" s="57">
        <f t="shared" si="12"/>
        <v>0</v>
      </c>
      <c r="J529" s="59">
        <f t="shared" si="13"/>
        <v>0</v>
      </c>
      <c r="K529" s="59">
        <f t="shared" si="10"/>
        <v>0</v>
      </c>
      <c r="L529" s="57"/>
      <c r="M529" s="57"/>
      <c r="N529" s="57" t="s">
        <v>311</v>
      </c>
      <c r="O529" s="53"/>
      <c r="P529" s="53"/>
      <c r="Q529" s="53"/>
      <c r="R529" s="53"/>
      <c r="S529" s="53"/>
      <c r="T529" s="53"/>
      <c r="U529" s="53"/>
      <c r="V529" s="53"/>
      <c r="W529" s="53"/>
      <c r="X529" s="53"/>
      <c r="Y529" s="53"/>
      <c r="Z529" s="53"/>
      <c r="AA529" s="53"/>
      <c r="AB529" s="53"/>
      <c r="AC529" s="53"/>
    </row>
    <row r="530">
      <c r="A530" s="62" t="s">
        <v>308</v>
      </c>
      <c r="B530" s="62" t="s">
        <v>309</v>
      </c>
      <c r="C530" s="63" t="s">
        <v>312</v>
      </c>
      <c r="D530" s="63" t="s">
        <v>249</v>
      </c>
      <c r="E530" s="63">
        <v>0.91</v>
      </c>
      <c r="F530" s="63">
        <v>0.87</v>
      </c>
      <c r="G530" s="62"/>
      <c r="H530" s="57">
        <f t="shared" si="1"/>
        <v>-0.04</v>
      </c>
      <c r="I530" s="57">
        <f t="shared" si="12"/>
        <v>-0.04</v>
      </c>
      <c r="J530" s="64">
        <f t="shared" si="13"/>
        <v>-4.395604396</v>
      </c>
      <c r="K530" s="64">
        <f t="shared" si="10"/>
        <v>-4.395604396</v>
      </c>
      <c r="L530" s="62"/>
      <c r="M530" s="62"/>
      <c r="N530" s="62" t="s">
        <v>311</v>
      </c>
      <c r="O530" s="65"/>
      <c r="P530" s="65"/>
      <c r="Q530" s="65"/>
      <c r="R530" s="65"/>
      <c r="S530" s="65"/>
      <c r="T530" s="65"/>
      <c r="U530" s="65"/>
      <c r="V530" s="65"/>
      <c r="W530" s="65"/>
      <c r="X530" s="65"/>
      <c r="Y530" s="65"/>
      <c r="Z530" s="65"/>
      <c r="AA530" s="65"/>
      <c r="AB530" s="65"/>
      <c r="AC530" s="65"/>
    </row>
    <row r="531">
      <c r="A531" s="122" t="s">
        <v>313</v>
      </c>
      <c r="B531" s="123" t="s">
        <v>314</v>
      </c>
      <c r="C531" s="124" t="s">
        <v>213</v>
      </c>
      <c r="D531" s="124" t="s">
        <v>315</v>
      </c>
      <c r="E531" s="125">
        <v>4.6</v>
      </c>
      <c r="F531" s="125">
        <v>4.71</v>
      </c>
      <c r="G531" s="125">
        <v>-0.11</v>
      </c>
      <c r="H531" s="125">
        <f t="shared" si="1"/>
        <v>0.11</v>
      </c>
      <c r="I531" s="125">
        <f t="shared" si="12"/>
        <v>0.11</v>
      </c>
      <c r="J531" s="126">
        <f t="shared" si="13"/>
        <v>2.391304348</v>
      </c>
      <c r="K531" s="126">
        <f t="shared" si="10"/>
        <v>2.391304348</v>
      </c>
      <c r="L531" s="127"/>
      <c r="M531" s="127"/>
      <c r="N531" s="127" t="s">
        <v>316</v>
      </c>
      <c r="O531" s="53"/>
      <c r="P531" s="53"/>
      <c r="Q531" s="53"/>
      <c r="R531" s="53"/>
      <c r="S531" s="53"/>
      <c r="T531" s="53"/>
      <c r="U531" s="53"/>
      <c r="V531" s="53"/>
      <c r="W531" s="53"/>
      <c r="X531" s="53"/>
      <c r="Y531" s="53"/>
      <c r="Z531" s="53"/>
      <c r="AA531" s="53"/>
      <c r="AB531" s="53"/>
      <c r="AC531" s="53"/>
    </row>
    <row r="532">
      <c r="A532" s="128" t="s">
        <v>313</v>
      </c>
      <c r="B532" s="125" t="s">
        <v>314</v>
      </c>
      <c r="C532" s="124" t="s">
        <v>213</v>
      </c>
      <c r="D532" s="124" t="s">
        <v>315</v>
      </c>
      <c r="E532" s="125">
        <v>2.16</v>
      </c>
      <c r="F532" s="125">
        <v>2.18</v>
      </c>
      <c r="G532" s="125">
        <v>-0.02</v>
      </c>
      <c r="H532" s="125">
        <f t="shared" si="1"/>
        <v>0.02</v>
      </c>
      <c r="I532" s="125">
        <f t="shared" si="12"/>
        <v>0.02</v>
      </c>
      <c r="J532" s="126">
        <f t="shared" si="13"/>
        <v>0.9259259259</v>
      </c>
      <c r="K532" s="126">
        <f t="shared" si="10"/>
        <v>0.9259259259</v>
      </c>
      <c r="L532" s="128"/>
      <c r="M532" s="128"/>
      <c r="N532" s="128" t="s">
        <v>316</v>
      </c>
      <c r="O532" s="65"/>
      <c r="P532" s="65"/>
      <c r="Q532" s="65"/>
      <c r="R532" s="65"/>
      <c r="S532" s="65"/>
      <c r="T532" s="65"/>
      <c r="U532" s="65"/>
      <c r="V532" s="65"/>
      <c r="W532" s="65"/>
      <c r="X532" s="65"/>
      <c r="Y532" s="65"/>
      <c r="Z532" s="65"/>
      <c r="AA532" s="65"/>
      <c r="AB532" s="65"/>
      <c r="AC532" s="65"/>
    </row>
    <row r="533">
      <c r="A533" s="128" t="s">
        <v>313</v>
      </c>
      <c r="B533" s="125" t="s">
        <v>314</v>
      </c>
      <c r="C533" s="124" t="s">
        <v>213</v>
      </c>
      <c r="D533" s="124" t="s">
        <v>315</v>
      </c>
      <c r="E533" s="124">
        <v>29.98</v>
      </c>
      <c r="F533" s="124">
        <v>29.14</v>
      </c>
      <c r="G533" s="124">
        <v>0.84</v>
      </c>
      <c r="H533" s="125">
        <f t="shared" si="1"/>
        <v>-0.84</v>
      </c>
      <c r="I533" s="125">
        <f t="shared" si="12"/>
        <v>-0.84</v>
      </c>
      <c r="J533" s="129">
        <f t="shared" si="13"/>
        <v>-2.801867912</v>
      </c>
      <c r="K533" s="129">
        <f t="shared" si="10"/>
        <v>-2.801867912</v>
      </c>
      <c r="L533" s="128"/>
      <c r="M533" s="128"/>
      <c r="N533" s="128" t="s">
        <v>316</v>
      </c>
      <c r="O533" s="65"/>
      <c r="P533" s="65"/>
      <c r="Q533" s="65"/>
      <c r="R533" s="65"/>
      <c r="S533" s="65"/>
      <c r="T533" s="65"/>
      <c r="U533" s="65"/>
      <c r="V533" s="65"/>
      <c r="W533" s="65"/>
      <c r="X533" s="65"/>
      <c r="Y533" s="65"/>
      <c r="Z533" s="65"/>
      <c r="AA533" s="65"/>
      <c r="AB533" s="65"/>
      <c r="AC533" s="65"/>
    </row>
    <row r="534">
      <c r="A534" s="128" t="s">
        <v>313</v>
      </c>
      <c r="B534" s="125" t="s">
        <v>314</v>
      </c>
      <c r="C534" s="124" t="s">
        <v>317</v>
      </c>
      <c r="D534" s="124" t="s">
        <v>315</v>
      </c>
      <c r="E534" s="124">
        <v>3.6</v>
      </c>
      <c r="F534" s="124">
        <v>3.2</v>
      </c>
      <c r="G534" s="124">
        <v>0.4</v>
      </c>
      <c r="H534" s="125">
        <f t="shared" si="1"/>
        <v>-0.4</v>
      </c>
      <c r="I534" s="125">
        <f t="shared" si="12"/>
        <v>-0.4</v>
      </c>
      <c r="J534" s="129">
        <f t="shared" si="13"/>
        <v>-11.11111111</v>
      </c>
      <c r="K534" s="129">
        <f t="shared" si="10"/>
        <v>-11.11111111</v>
      </c>
      <c r="L534" s="128"/>
      <c r="M534" s="128"/>
      <c r="N534" s="128" t="s">
        <v>316</v>
      </c>
      <c r="O534" s="65"/>
      <c r="P534" s="65"/>
      <c r="Q534" s="65"/>
      <c r="R534" s="65"/>
      <c r="S534" s="65"/>
      <c r="T534" s="65"/>
      <c r="U534" s="65"/>
      <c r="V534" s="65"/>
      <c r="W534" s="65"/>
      <c r="X534" s="65"/>
      <c r="Y534" s="65"/>
      <c r="Z534" s="65"/>
      <c r="AA534" s="65"/>
      <c r="AB534" s="65"/>
      <c r="AC534" s="65"/>
    </row>
    <row r="535">
      <c r="A535" s="128" t="s">
        <v>313</v>
      </c>
      <c r="B535" s="125" t="s">
        <v>314</v>
      </c>
      <c r="C535" s="124" t="s">
        <v>318</v>
      </c>
      <c r="D535" s="124" t="s">
        <v>315</v>
      </c>
      <c r="E535" s="125">
        <v>5.01</v>
      </c>
      <c r="F535" s="125">
        <v>5.79</v>
      </c>
      <c r="G535" s="125">
        <v>-0.78</v>
      </c>
      <c r="H535" s="125">
        <f t="shared" si="1"/>
        <v>0.78</v>
      </c>
      <c r="I535" s="125">
        <f t="shared" si="12"/>
        <v>0.78</v>
      </c>
      <c r="J535" s="126">
        <f t="shared" si="13"/>
        <v>15.56886228</v>
      </c>
      <c r="K535" s="126">
        <f t="shared" si="10"/>
        <v>15.56886228</v>
      </c>
      <c r="L535" s="128"/>
      <c r="M535" s="128"/>
      <c r="N535" s="128" t="s">
        <v>316</v>
      </c>
      <c r="O535" s="65"/>
      <c r="P535" s="65"/>
      <c r="Q535" s="65"/>
      <c r="R535" s="65"/>
      <c r="S535" s="65"/>
      <c r="T535" s="65"/>
      <c r="U535" s="65"/>
      <c r="V535" s="65"/>
      <c r="W535" s="65"/>
      <c r="X535" s="65"/>
      <c r="Y535" s="65"/>
      <c r="Z535" s="65"/>
      <c r="AA535" s="65"/>
      <c r="AB535" s="65"/>
      <c r="AC535" s="65"/>
    </row>
    <row r="536">
      <c r="A536" s="128" t="s">
        <v>313</v>
      </c>
      <c r="B536" s="125" t="s">
        <v>314</v>
      </c>
      <c r="C536" s="124" t="s">
        <v>318</v>
      </c>
      <c r="D536" s="124" t="s">
        <v>315</v>
      </c>
      <c r="E536" s="125">
        <v>0.8</v>
      </c>
      <c r="F536" s="125">
        <v>0.71</v>
      </c>
      <c r="G536" s="125">
        <v>0.09</v>
      </c>
      <c r="H536" s="125">
        <f t="shared" si="1"/>
        <v>-0.09</v>
      </c>
      <c r="I536" s="125">
        <f t="shared" si="12"/>
        <v>-0.09</v>
      </c>
      <c r="J536" s="126">
        <f t="shared" si="13"/>
        <v>-11.25</v>
      </c>
      <c r="K536" s="126">
        <f t="shared" si="10"/>
        <v>-11.25</v>
      </c>
      <c r="L536" s="128"/>
      <c r="M536" s="128"/>
      <c r="N536" s="128" t="s">
        <v>316</v>
      </c>
      <c r="O536" s="65"/>
      <c r="P536" s="65"/>
      <c r="Q536" s="65"/>
      <c r="R536" s="65"/>
      <c r="S536" s="65"/>
      <c r="T536" s="65"/>
      <c r="U536" s="65"/>
      <c r="V536" s="65"/>
      <c r="W536" s="65"/>
      <c r="X536" s="65"/>
      <c r="Y536" s="65"/>
      <c r="Z536" s="65"/>
      <c r="AA536" s="65"/>
      <c r="AB536" s="65"/>
      <c r="AC536" s="65"/>
    </row>
    <row r="537">
      <c r="A537" s="122" t="s">
        <v>319</v>
      </c>
      <c r="B537" s="122" t="s">
        <v>320</v>
      </c>
      <c r="C537" s="124" t="s">
        <v>321</v>
      </c>
      <c r="D537" s="124" t="s">
        <v>322</v>
      </c>
      <c r="E537" s="124">
        <v>65.72</v>
      </c>
      <c r="F537" s="124">
        <v>66.81</v>
      </c>
      <c r="G537" s="124">
        <v>1.09</v>
      </c>
      <c r="H537" s="125">
        <f t="shared" si="1"/>
        <v>1.09</v>
      </c>
      <c r="I537" s="125">
        <f t="shared" si="12"/>
        <v>1.09</v>
      </c>
      <c r="J537" s="129">
        <f t="shared" si="13"/>
        <v>1.65855143</v>
      </c>
      <c r="K537" s="129">
        <f t="shared" si="10"/>
        <v>1.65855143</v>
      </c>
      <c r="L537" s="127"/>
      <c r="M537" s="127"/>
      <c r="N537" s="127" t="s">
        <v>323</v>
      </c>
      <c r="O537" s="53"/>
      <c r="P537" s="53"/>
      <c r="Q537" s="53"/>
      <c r="R537" s="53"/>
      <c r="S537" s="53"/>
      <c r="T537" s="53"/>
      <c r="U537" s="53"/>
      <c r="V537" s="53"/>
      <c r="W537" s="53"/>
      <c r="X537" s="53"/>
      <c r="Y537" s="53"/>
      <c r="Z537" s="53"/>
      <c r="AA537" s="53"/>
      <c r="AB537" s="53"/>
      <c r="AC537" s="53"/>
    </row>
    <row r="538">
      <c r="A538" s="128" t="s">
        <v>319</v>
      </c>
      <c r="B538" s="128" t="s">
        <v>320</v>
      </c>
      <c r="C538" s="125" t="s">
        <v>321</v>
      </c>
      <c r="D538" s="124" t="s">
        <v>322</v>
      </c>
      <c r="E538" s="124">
        <v>66.05</v>
      </c>
      <c r="F538" s="124">
        <v>67.13</v>
      </c>
      <c r="G538" s="124">
        <f t="shared" ref="G538:G542" si="15">F538-E538</f>
        <v>1.08</v>
      </c>
      <c r="H538" s="125">
        <f t="shared" si="1"/>
        <v>1.08</v>
      </c>
      <c r="I538" s="125">
        <f t="shared" si="12"/>
        <v>1.08</v>
      </c>
      <c r="J538" s="129">
        <f t="shared" si="13"/>
        <v>1.635124905</v>
      </c>
      <c r="K538" s="129">
        <f t="shared" si="10"/>
        <v>1.635124905</v>
      </c>
      <c r="L538" s="128"/>
      <c r="M538" s="128"/>
      <c r="N538" s="128" t="s">
        <v>323</v>
      </c>
      <c r="O538" s="65"/>
      <c r="P538" s="65"/>
      <c r="Q538" s="65"/>
      <c r="R538" s="65"/>
      <c r="S538" s="65"/>
      <c r="T538" s="65"/>
      <c r="U538" s="65"/>
      <c r="V538" s="65"/>
      <c r="W538" s="65"/>
      <c r="X538" s="65"/>
      <c r="Y538" s="65"/>
      <c r="Z538" s="65"/>
      <c r="AA538" s="65"/>
      <c r="AB538" s="65"/>
      <c r="AC538" s="65"/>
    </row>
    <row r="539">
      <c r="A539" s="128" t="s">
        <v>319</v>
      </c>
      <c r="B539" s="128" t="s">
        <v>320</v>
      </c>
      <c r="C539" s="125" t="s">
        <v>321</v>
      </c>
      <c r="D539" s="124" t="s">
        <v>322</v>
      </c>
      <c r="E539" s="124">
        <v>67.24</v>
      </c>
      <c r="F539" s="124">
        <v>68.61</v>
      </c>
      <c r="G539" s="124">
        <f t="shared" si="15"/>
        <v>1.37</v>
      </c>
      <c r="H539" s="125">
        <f t="shared" si="1"/>
        <v>1.37</v>
      </c>
      <c r="I539" s="125">
        <f t="shared" si="12"/>
        <v>1.37</v>
      </c>
      <c r="J539" s="129">
        <f t="shared" si="13"/>
        <v>2.037477692</v>
      </c>
      <c r="K539" s="129">
        <f t="shared" si="10"/>
        <v>2.037477692</v>
      </c>
      <c r="L539" s="128"/>
      <c r="M539" s="128"/>
      <c r="N539" s="128" t="s">
        <v>323</v>
      </c>
      <c r="O539" s="65"/>
      <c r="P539" s="65"/>
      <c r="Q539" s="65"/>
      <c r="R539" s="65"/>
      <c r="S539" s="65"/>
      <c r="T539" s="65"/>
      <c r="U539" s="65"/>
      <c r="V539" s="65"/>
      <c r="W539" s="65"/>
      <c r="X539" s="65"/>
      <c r="Y539" s="65"/>
      <c r="Z539" s="65"/>
      <c r="AA539" s="65"/>
      <c r="AB539" s="65"/>
      <c r="AC539" s="65"/>
    </row>
    <row r="540">
      <c r="A540" s="128" t="s">
        <v>319</v>
      </c>
      <c r="B540" s="128" t="s">
        <v>320</v>
      </c>
      <c r="C540" s="125" t="s">
        <v>321</v>
      </c>
      <c r="D540" s="124" t="s">
        <v>322</v>
      </c>
      <c r="E540" s="124">
        <v>65.56</v>
      </c>
      <c r="F540" s="124">
        <v>66.81</v>
      </c>
      <c r="G540" s="124">
        <f t="shared" si="15"/>
        <v>1.25</v>
      </c>
      <c r="H540" s="125">
        <f t="shared" si="1"/>
        <v>1.25</v>
      </c>
      <c r="I540" s="125">
        <f t="shared" si="12"/>
        <v>1.25</v>
      </c>
      <c r="J540" s="129">
        <f t="shared" si="13"/>
        <v>1.906650397</v>
      </c>
      <c r="K540" s="129">
        <f t="shared" si="10"/>
        <v>1.906650397</v>
      </c>
      <c r="L540" s="128"/>
      <c r="M540" s="128"/>
      <c r="N540" s="128" t="s">
        <v>323</v>
      </c>
      <c r="O540" s="65"/>
      <c r="P540" s="65"/>
      <c r="Q540" s="65"/>
      <c r="R540" s="65"/>
      <c r="S540" s="65"/>
      <c r="T540" s="65"/>
      <c r="U540" s="65"/>
      <c r="V540" s="65"/>
      <c r="W540" s="65"/>
      <c r="X540" s="65"/>
      <c r="Y540" s="65"/>
      <c r="Z540" s="65"/>
      <c r="AA540" s="65"/>
      <c r="AB540" s="65"/>
      <c r="AC540" s="65"/>
    </row>
    <row r="541">
      <c r="A541" s="128" t="s">
        <v>319</v>
      </c>
      <c r="B541" s="128" t="s">
        <v>320</v>
      </c>
      <c r="C541" s="125" t="s">
        <v>321</v>
      </c>
      <c r="D541" s="124" t="s">
        <v>322</v>
      </c>
      <c r="E541" s="124">
        <v>67.4</v>
      </c>
      <c r="F541" s="124">
        <v>68.37</v>
      </c>
      <c r="G541" s="124">
        <f t="shared" si="15"/>
        <v>0.97</v>
      </c>
      <c r="H541" s="125">
        <f t="shared" si="1"/>
        <v>0.97</v>
      </c>
      <c r="I541" s="125">
        <f t="shared" si="12"/>
        <v>0.97</v>
      </c>
      <c r="J541" s="129">
        <f t="shared" si="13"/>
        <v>1.439169139</v>
      </c>
      <c r="K541" s="129">
        <f t="shared" si="10"/>
        <v>1.439169139</v>
      </c>
      <c r="L541" s="128"/>
      <c r="M541" s="128"/>
      <c r="N541" s="128" t="s">
        <v>323</v>
      </c>
      <c r="O541" s="65"/>
      <c r="P541" s="65"/>
      <c r="Q541" s="65"/>
      <c r="R541" s="65"/>
      <c r="S541" s="65"/>
      <c r="T541" s="65"/>
      <c r="U541" s="65"/>
      <c r="V541" s="65"/>
      <c r="W541" s="65"/>
      <c r="X541" s="65"/>
      <c r="Y541" s="65"/>
      <c r="Z541" s="65"/>
      <c r="AA541" s="65"/>
      <c r="AB541" s="65"/>
      <c r="AC541" s="65"/>
    </row>
    <row r="542">
      <c r="A542" s="128" t="s">
        <v>319</v>
      </c>
      <c r="B542" s="128" t="s">
        <v>320</v>
      </c>
      <c r="C542" s="125" t="s">
        <v>321</v>
      </c>
      <c r="D542" s="124" t="s">
        <v>322</v>
      </c>
      <c r="E542" s="124">
        <v>67.3</v>
      </c>
      <c r="F542" s="124">
        <v>68.23</v>
      </c>
      <c r="G542" s="124">
        <f t="shared" si="15"/>
        <v>0.93</v>
      </c>
      <c r="H542" s="125">
        <f t="shared" si="1"/>
        <v>0.93</v>
      </c>
      <c r="I542" s="125">
        <f t="shared" si="12"/>
        <v>0.93</v>
      </c>
      <c r="J542" s="129">
        <f t="shared" si="13"/>
        <v>1.381872214</v>
      </c>
      <c r="K542" s="129">
        <f t="shared" si="10"/>
        <v>1.381872214</v>
      </c>
      <c r="L542" s="128"/>
      <c r="M542" s="128"/>
      <c r="N542" s="128" t="s">
        <v>323</v>
      </c>
      <c r="O542" s="65"/>
      <c r="P542" s="65"/>
      <c r="Q542" s="65"/>
      <c r="R542" s="65"/>
      <c r="S542" s="65"/>
      <c r="T542" s="65"/>
      <c r="U542" s="65"/>
      <c r="V542" s="65"/>
      <c r="W542" s="65"/>
      <c r="X542" s="65"/>
      <c r="Y542" s="65"/>
      <c r="Z542" s="65"/>
      <c r="AA542" s="65"/>
      <c r="AB542" s="65"/>
      <c r="AC542" s="65"/>
    </row>
    <row r="543">
      <c r="A543" s="122" t="s">
        <v>324</v>
      </c>
      <c r="B543" s="122" t="s">
        <v>320</v>
      </c>
      <c r="C543" s="124" t="s">
        <v>321</v>
      </c>
      <c r="D543" s="124" t="s">
        <v>322</v>
      </c>
      <c r="E543" s="51">
        <v>52.5</v>
      </c>
      <c r="F543" s="51">
        <v>53.0</v>
      </c>
      <c r="G543" s="51">
        <v>0.5</v>
      </c>
      <c r="H543" s="130">
        <f t="shared" si="1"/>
        <v>0.5</v>
      </c>
      <c r="I543" s="130">
        <f t="shared" si="12"/>
        <v>0.5</v>
      </c>
      <c r="J543" s="54">
        <f t="shared" si="13"/>
        <v>0.9523809524</v>
      </c>
      <c r="K543" s="54">
        <f t="shared" si="10"/>
        <v>0.9523809524</v>
      </c>
      <c r="L543" s="127"/>
      <c r="M543" s="51" t="s">
        <v>325</v>
      </c>
      <c r="N543" s="127" t="s">
        <v>326</v>
      </c>
      <c r="O543" s="53"/>
      <c r="P543" s="53"/>
      <c r="Q543" s="53"/>
      <c r="R543" s="53"/>
      <c r="S543" s="53"/>
      <c r="T543" s="53"/>
      <c r="U543" s="53"/>
      <c r="V543" s="53"/>
      <c r="W543" s="53"/>
      <c r="X543" s="53"/>
      <c r="Y543" s="53"/>
      <c r="Z543" s="53"/>
      <c r="AA543" s="53"/>
      <c r="AB543" s="53"/>
      <c r="AC543" s="53"/>
    </row>
    <row r="544">
      <c r="A544" s="128" t="s">
        <v>324</v>
      </c>
      <c r="B544" s="128" t="s">
        <v>320</v>
      </c>
      <c r="C544" s="125" t="s">
        <v>321</v>
      </c>
      <c r="D544" s="124" t="s">
        <v>322</v>
      </c>
      <c r="E544" s="130">
        <v>56.0</v>
      </c>
      <c r="F544" s="130">
        <v>55.0</v>
      </c>
      <c r="G544" s="130">
        <v>-1.0</v>
      </c>
      <c r="H544" s="130">
        <f t="shared" si="1"/>
        <v>-1</v>
      </c>
      <c r="I544" s="130">
        <f t="shared" si="12"/>
        <v>-1</v>
      </c>
      <c r="J544" s="75">
        <f t="shared" si="13"/>
        <v>-1.785714286</v>
      </c>
      <c r="K544" s="75">
        <f t="shared" si="10"/>
        <v>-1.785714286</v>
      </c>
      <c r="L544" s="128"/>
      <c r="M544" s="51" t="s">
        <v>325</v>
      </c>
      <c r="N544" s="128" t="s">
        <v>326</v>
      </c>
      <c r="O544" s="65"/>
      <c r="P544" s="65"/>
      <c r="Q544" s="65"/>
      <c r="R544" s="65"/>
      <c r="S544" s="65"/>
      <c r="T544" s="65"/>
      <c r="U544" s="65"/>
      <c r="V544" s="65"/>
      <c r="W544" s="65"/>
      <c r="X544" s="65"/>
      <c r="Y544" s="65"/>
      <c r="Z544" s="65"/>
      <c r="AA544" s="65"/>
      <c r="AB544" s="65"/>
      <c r="AC544" s="65"/>
    </row>
    <row r="545">
      <c r="A545" s="128" t="s">
        <v>324</v>
      </c>
      <c r="B545" s="128" t="s">
        <v>320</v>
      </c>
      <c r="C545" s="125" t="s">
        <v>321</v>
      </c>
      <c r="D545" s="124" t="s">
        <v>322</v>
      </c>
      <c r="E545" s="51">
        <v>61.0</v>
      </c>
      <c r="F545" s="51">
        <v>62.0</v>
      </c>
      <c r="G545" s="51">
        <v>1.0</v>
      </c>
      <c r="H545" s="130">
        <f t="shared" si="1"/>
        <v>1</v>
      </c>
      <c r="I545" s="130">
        <f t="shared" si="12"/>
        <v>1</v>
      </c>
      <c r="J545" s="54">
        <f t="shared" si="13"/>
        <v>1.639344262</v>
      </c>
      <c r="K545" s="54">
        <f t="shared" si="10"/>
        <v>1.639344262</v>
      </c>
      <c r="L545" s="128"/>
      <c r="M545" s="51" t="s">
        <v>325</v>
      </c>
      <c r="N545" s="128" t="s">
        <v>326</v>
      </c>
      <c r="O545" s="65"/>
      <c r="P545" s="65"/>
      <c r="Q545" s="65"/>
      <c r="R545" s="65"/>
      <c r="S545" s="65"/>
      <c r="T545" s="65"/>
      <c r="U545" s="65"/>
      <c r="V545" s="65"/>
      <c r="W545" s="65"/>
      <c r="X545" s="65"/>
      <c r="Y545" s="65"/>
      <c r="Z545" s="65"/>
      <c r="AA545" s="65"/>
      <c r="AB545" s="65"/>
      <c r="AC545" s="65"/>
    </row>
    <row r="546">
      <c r="A546" s="128" t="s">
        <v>324</v>
      </c>
      <c r="B546" s="128" t="s">
        <v>320</v>
      </c>
      <c r="C546" s="125" t="s">
        <v>321</v>
      </c>
      <c r="D546" s="124" t="s">
        <v>322</v>
      </c>
      <c r="E546" s="130">
        <v>70.5</v>
      </c>
      <c r="F546" s="130">
        <v>69.5</v>
      </c>
      <c r="G546" s="130">
        <v>-1.0</v>
      </c>
      <c r="H546" s="130">
        <f t="shared" si="1"/>
        <v>-1</v>
      </c>
      <c r="I546" s="130">
        <f t="shared" si="12"/>
        <v>-1</v>
      </c>
      <c r="J546" s="75">
        <f t="shared" si="13"/>
        <v>-1.418439716</v>
      </c>
      <c r="K546" s="75">
        <f t="shared" si="10"/>
        <v>-1.418439716</v>
      </c>
      <c r="L546" s="128"/>
      <c r="M546" s="51" t="s">
        <v>325</v>
      </c>
      <c r="N546" s="128" t="s">
        <v>326</v>
      </c>
      <c r="O546" s="65"/>
      <c r="P546" s="65"/>
      <c r="Q546" s="65"/>
      <c r="R546" s="65"/>
      <c r="S546" s="65"/>
      <c r="T546" s="65"/>
      <c r="U546" s="65"/>
      <c r="V546" s="65"/>
      <c r="W546" s="65"/>
      <c r="X546" s="65"/>
      <c r="Y546" s="65"/>
      <c r="Z546" s="65"/>
      <c r="AA546" s="65"/>
      <c r="AB546" s="65"/>
      <c r="AC546" s="65"/>
    </row>
    <row r="547">
      <c r="A547" s="128" t="s">
        <v>324</v>
      </c>
      <c r="B547" s="128" t="s">
        <v>320</v>
      </c>
      <c r="C547" s="125" t="s">
        <v>321</v>
      </c>
      <c r="D547" s="124" t="s">
        <v>322</v>
      </c>
      <c r="E547" s="130">
        <v>72.0</v>
      </c>
      <c r="F547" s="130">
        <v>70.0</v>
      </c>
      <c r="G547" s="130">
        <v>-2.0</v>
      </c>
      <c r="H547" s="130">
        <f t="shared" si="1"/>
        <v>-2</v>
      </c>
      <c r="I547" s="130">
        <f t="shared" si="12"/>
        <v>-2</v>
      </c>
      <c r="J547" s="75">
        <f t="shared" si="13"/>
        <v>-2.777777778</v>
      </c>
      <c r="K547" s="75">
        <f t="shared" si="10"/>
        <v>-2.777777778</v>
      </c>
      <c r="L547" s="128"/>
      <c r="M547" s="51" t="s">
        <v>325</v>
      </c>
      <c r="N547" s="128" t="s">
        <v>326</v>
      </c>
      <c r="O547" s="65"/>
      <c r="P547" s="65"/>
      <c r="Q547" s="65"/>
      <c r="R547" s="65"/>
      <c r="S547" s="65"/>
      <c r="T547" s="65"/>
      <c r="U547" s="65"/>
      <c r="V547" s="65"/>
      <c r="W547" s="65"/>
      <c r="X547" s="65"/>
      <c r="Y547" s="65"/>
      <c r="Z547" s="65"/>
      <c r="AA547" s="65"/>
      <c r="AB547" s="65"/>
      <c r="AC547" s="65"/>
    </row>
    <row r="548">
      <c r="A548" s="122" t="s">
        <v>327</v>
      </c>
      <c r="B548" s="122" t="s">
        <v>320</v>
      </c>
      <c r="C548" s="124" t="s">
        <v>321</v>
      </c>
      <c r="D548" s="124" t="s">
        <v>328</v>
      </c>
      <c r="E548" s="125">
        <v>64.7</v>
      </c>
      <c r="F548" s="125">
        <v>64.34</v>
      </c>
      <c r="G548" s="125">
        <v>-0.36</v>
      </c>
      <c r="H548" s="125">
        <f t="shared" si="1"/>
        <v>-0.36</v>
      </c>
      <c r="I548" s="125">
        <f t="shared" si="12"/>
        <v>-0.36</v>
      </c>
      <c r="J548" s="126">
        <f t="shared" si="13"/>
        <v>-0.5564142195</v>
      </c>
      <c r="K548" s="126">
        <f t="shared" si="10"/>
        <v>-0.5564142195</v>
      </c>
      <c r="L548" s="127"/>
      <c r="M548" s="127"/>
      <c r="N548" s="127" t="s">
        <v>329</v>
      </c>
      <c r="O548" s="53"/>
      <c r="P548" s="53"/>
      <c r="Q548" s="53"/>
      <c r="R548" s="53"/>
      <c r="S548" s="53"/>
      <c r="T548" s="53"/>
      <c r="U548" s="53"/>
      <c r="V548" s="53"/>
      <c r="W548" s="53"/>
      <c r="X548" s="53"/>
      <c r="Y548" s="53"/>
      <c r="Z548" s="53"/>
      <c r="AA548" s="53"/>
      <c r="AB548" s="53"/>
      <c r="AC548" s="53"/>
    </row>
    <row r="549">
      <c r="A549" s="128" t="s">
        <v>327</v>
      </c>
      <c r="B549" s="128" t="s">
        <v>320</v>
      </c>
      <c r="C549" s="125" t="s">
        <v>321</v>
      </c>
      <c r="D549" s="124" t="s">
        <v>328</v>
      </c>
      <c r="E549" s="125">
        <v>69.0</v>
      </c>
      <c r="F549" s="125">
        <v>67.04</v>
      </c>
      <c r="G549" s="125">
        <v>-1.96</v>
      </c>
      <c r="H549" s="125">
        <f t="shared" si="1"/>
        <v>-1.96</v>
      </c>
      <c r="I549" s="125">
        <f t="shared" si="12"/>
        <v>-1.96</v>
      </c>
      <c r="J549" s="126">
        <f t="shared" si="13"/>
        <v>-2.84057971</v>
      </c>
      <c r="K549" s="126">
        <f t="shared" si="10"/>
        <v>-2.84057971</v>
      </c>
      <c r="L549" s="128"/>
      <c r="M549" s="128"/>
      <c r="N549" s="128" t="s">
        <v>329</v>
      </c>
      <c r="O549" s="65"/>
      <c r="P549" s="65"/>
      <c r="Q549" s="65"/>
      <c r="R549" s="65"/>
      <c r="S549" s="65"/>
      <c r="T549" s="65"/>
      <c r="U549" s="65"/>
      <c r="V549" s="65"/>
      <c r="W549" s="65"/>
      <c r="X549" s="65"/>
      <c r="Y549" s="65"/>
      <c r="Z549" s="65"/>
      <c r="AA549" s="65"/>
      <c r="AB549" s="65"/>
      <c r="AC549" s="65"/>
    </row>
    <row r="550">
      <c r="A550" s="128" t="s">
        <v>327</v>
      </c>
      <c r="B550" s="128" t="s">
        <v>320</v>
      </c>
      <c r="C550" s="125" t="s">
        <v>321</v>
      </c>
      <c r="D550" s="124" t="s">
        <v>328</v>
      </c>
      <c r="E550" s="125">
        <v>69.5</v>
      </c>
      <c r="F550" s="125">
        <v>67.66</v>
      </c>
      <c r="G550" s="125">
        <v>-1.84</v>
      </c>
      <c r="H550" s="125">
        <f t="shared" si="1"/>
        <v>-1.84</v>
      </c>
      <c r="I550" s="125">
        <f t="shared" si="12"/>
        <v>-1.84</v>
      </c>
      <c r="J550" s="126">
        <f t="shared" si="13"/>
        <v>-2.647482014</v>
      </c>
      <c r="K550" s="126">
        <f t="shared" si="10"/>
        <v>-2.647482014</v>
      </c>
      <c r="L550" s="128"/>
      <c r="M550" s="128"/>
      <c r="N550" s="128" t="s">
        <v>329</v>
      </c>
      <c r="O550" s="65"/>
      <c r="P550" s="65"/>
      <c r="Q550" s="65"/>
      <c r="R550" s="65"/>
      <c r="S550" s="65"/>
      <c r="T550" s="65"/>
      <c r="U550" s="65"/>
      <c r="V550" s="65"/>
      <c r="W550" s="65"/>
      <c r="X550" s="65"/>
      <c r="Y550" s="65"/>
      <c r="Z550" s="65"/>
      <c r="AA550" s="65"/>
      <c r="AB550" s="65"/>
      <c r="AC550" s="65"/>
    </row>
    <row r="551">
      <c r="A551" s="53"/>
      <c r="B551" s="53"/>
      <c r="C551" s="131"/>
      <c r="D551" s="131"/>
      <c r="E551" s="131"/>
      <c r="F551" s="131"/>
      <c r="G551" s="131"/>
      <c r="H551" s="131"/>
      <c r="I551" s="131"/>
      <c r="J551" s="132"/>
      <c r="K551" s="132"/>
      <c r="L551" s="131"/>
      <c r="M551" s="131"/>
      <c r="N551" s="131"/>
      <c r="O551" s="53"/>
      <c r="P551" s="53"/>
      <c r="Q551" s="53"/>
      <c r="R551" s="53"/>
      <c r="S551" s="53"/>
      <c r="T551" s="53"/>
      <c r="U551" s="53"/>
      <c r="V551" s="53"/>
      <c r="W551" s="53"/>
      <c r="X551" s="53"/>
      <c r="Y551" s="53"/>
      <c r="Z551" s="53"/>
      <c r="AA551" s="53"/>
      <c r="AB551" s="53"/>
      <c r="AC551" s="53"/>
    </row>
    <row r="552">
      <c r="A552" s="21" t="s">
        <v>330</v>
      </c>
      <c r="C552" s="131"/>
      <c r="D552" s="133" t="s">
        <v>331</v>
      </c>
      <c r="G552" s="131"/>
      <c r="H552" s="131"/>
      <c r="I552" s="131"/>
      <c r="J552" s="21" t="s">
        <v>332</v>
      </c>
      <c r="M552" s="131"/>
      <c r="N552" s="131"/>
      <c r="O552" s="53"/>
      <c r="P552" s="53"/>
      <c r="Q552" s="53"/>
      <c r="R552" s="53"/>
      <c r="S552" s="53"/>
      <c r="T552" s="53"/>
      <c r="U552" s="53"/>
      <c r="V552" s="53"/>
      <c r="W552" s="53"/>
      <c r="X552" s="53"/>
      <c r="Y552" s="53"/>
      <c r="Z552" s="53"/>
      <c r="AA552" s="53"/>
      <c r="AB552" s="53"/>
      <c r="AC552" s="53"/>
    </row>
    <row r="553">
      <c r="A553" s="134" t="s">
        <v>333</v>
      </c>
      <c r="B553" s="134">
        <f>counta(B2:B550)</f>
        <v>549</v>
      </c>
      <c r="C553" s="131"/>
      <c r="D553" s="131"/>
      <c r="E553" s="131"/>
      <c r="F553" s="131"/>
      <c r="G553" s="131"/>
      <c r="H553" s="131"/>
      <c r="I553" s="131"/>
      <c r="J553" s="135" t="s">
        <v>334</v>
      </c>
      <c r="K553" s="135">
        <f>AVERAGE(K2:K550)</f>
        <v>-0.5574894764</v>
      </c>
      <c r="L553" s="131"/>
      <c r="M553" s="131"/>
      <c r="P553" s="53"/>
      <c r="Q553" s="53"/>
      <c r="R553" s="53"/>
      <c r="S553" s="53"/>
      <c r="T553" s="53"/>
      <c r="U553" s="53"/>
      <c r="V553" s="53"/>
      <c r="W553" s="53"/>
      <c r="X553" s="53"/>
      <c r="Y553" s="53"/>
      <c r="Z553" s="53"/>
      <c r="AA553" s="53"/>
      <c r="AB553" s="53"/>
      <c r="AC553" s="53"/>
    </row>
    <row r="554">
      <c r="A554" s="25" t="s">
        <v>335</v>
      </c>
      <c r="B554" s="131">
        <f>countif(L2:L550,"=yes")</f>
        <v>36</v>
      </c>
      <c r="C554" s="131"/>
      <c r="D554" s="131"/>
      <c r="E554" s="131"/>
      <c r="F554" s="131"/>
      <c r="G554" s="131"/>
      <c r="H554" s="131"/>
      <c r="I554" s="131"/>
      <c r="J554" s="135" t="s">
        <v>336</v>
      </c>
      <c r="K554" s="136">
        <f>countifs(K2:K550,"&gt;0",K2:K550,"&lt;=1")</f>
        <v>52</v>
      </c>
      <c r="L554" s="131"/>
      <c r="M554" s="131"/>
      <c r="P554" s="53"/>
      <c r="Q554" s="53"/>
      <c r="R554" s="53"/>
      <c r="S554" s="53"/>
      <c r="T554" s="53"/>
      <c r="U554" s="53"/>
      <c r="V554" s="53"/>
      <c r="W554" s="53"/>
      <c r="X554" s="53"/>
      <c r="Y554" s="53"/>
      <c r="Z554" s="53"/>
      <c r="AA554" s="53"/>
      <c r="AB554" s="53"/>
      <c r="AC554" s="53"/>
    </row>
    <row r="555">
      <c r="A555" s="137" t="s">
        <v>337</v>
      </c>
      <c r="B555" s="138">
        <f>B553-B554</f>
        <v>513</v>
      </c>
      <c r="C555" s="131"/>
      <c r="D555" s="131"/>
      <c r="E555" s="131"/>
      <c r="F555" s="131"/>
      <c r="G555" s="131"/>
      <c r="H555" s="131"/>
      <c r="I555" s="131"/>
      <c r="J555" s="135" t="s">
        <v>338</v>
      </c>
      <c r="K555" s="136">
        <f>countifs(K3:K551,"&gt;1",K3:K551,"&lt;=5")</f>
        <v>65</v>
      </c>
      <c r="L555" s="131"/>
      <c r="M555" s="131"/>
      <c r="P555" s="53"/>
      <c r="Q555" s="53"/>
      <c r="R555" s="53"/>
      <c r="S555" s="53"/>
      <c r="T555" s="53"/>
      <c r="U555" s="53"/>
      <c r="V555" s="53"/>
      <c r="W555" s="53"/>
      <c r="X555" s="53"/>
      <c r="Y555" s="53"/>
      <c r="Z555" s="53"/>
      <c r="AA555" s="53"/>
      <c r="AB555" s="53"/>
      <c r="AC555" s="53"/>
    </row>
    <row r="556">
      <c r="A556" s="25" t="s">
        <v>339</v>
      </c>
      <c r="B556" s="131">
        <f>countif(E2:E550,"=0")</f>
        <v>18</v>
      </c>
      <c r="C556" s="131"/>
      <c r="D556" s="131"/>
      <c r="E556" s="131"/>
      <c r="F556" s="131"/>
      <c r="G556" s="131"/>
      <c r="H556" s="131"/>
      <c r="I556" s="131"/>
      <c r="J556" s="135" t="s">
        <v>340</v>
      </c>
      <c r="K556" s="136">
        <f>countifs(K3:K551,"&gt;5",K3:K551,"&lt;=10")</f>
        <v>7</v>
      </c>
      <c r="L556" s="131"/>
      <c r="M556" s="131"/>
      <c r="P556" s="53"/>
      <c r="Q556" s="53"/>
      <c r="R556" s="53"/>
      <c r="S556" s="53"/>
      <c r="T556" s="53"/>
      <c r="U556" s="53"/>
      <c r="V556" s="53"/>
      <c r="W556" s="53"/>
      <c r="X556" s="53"/>
      <c r="Y556" s="53"/>
      <c r="Z556" s="53"/>
      <c r="AA556" s="53"/>
      <c r="AB556" s="53"/>
      <c r="AC556" s="53"/>
    </row>
    <row r="557">
      <c r="A557" s="25" t="s">
        <v>341</v>
      </c>
      <c r="B557" s="131">
        <f>countif(F2:F550,"=0")</f>
        <v>2</v>
      </c>
      <c r="C557" s="139" t="s">
        <v>238</v>
      </c>
      <c r="D557" s="131"/>
      <c r="E557" s="131"/>
      <c r="F557" s="131"/>
      <c r="G557" s="131"/>
      <c r="H557" s="131"/>
      <c r="I557" s="131"/>
      <c r="J557" s="135" t="s">
        <v>342</v>
      </c>
      <c r="K557" s="136">
        <f>countifs(K2:K550,"&gt;10",K2:K550,"&lt;=20")</f>
        <v>9</v>
      </c>
      <c r="L557" s="131"/>
      <c r="M557" s="131"/>
      <c r="P557" s="53"/>
      <c r="Q557" s="53"/>
      <c r="R557" s="53"/>
      <c r="S557" s="53"/>
      <c r="T557" s="53"/>
      <c r="U557" s="53"/>
      <c r="V557" s="53"/>
      <c r="W557" s="53"/>
      <c r="X557" s="53"/>
      <c r="Y557" s="53"/>
      <c r="Z557" s="53"/>
      <c r="AA557" s="53"/>
      <c r="AB557" s="53"/>
      <c r="AC557" s="53"/>
    </row>
    <row r="558">
      <c r="A558" s="140" t="s">
        <v>343</v>
      </c>
      <c r="B558" s="136">
        <f>countif(K2:K550,"=0")</f>
        <v>77</v>
      </c>
      <c r="C558" s="131"/>
      <c r="D558" s="131"/>
      <c r="E558" s="131"/>
      <c r="F558" s="131"/>
      <c r="G558" s="131"/>
      <c r="H558" s="131"/>
      <c r="I558" s="131"/>
      <c r="J558" s="135" t="s">
        <v>344</v>
      </c>
      <c r="K558" s="136">
        <f>countifs(K2:K550,"&gt;20",K2:K550,"&lt;=30")</f>
        <v>12</v>
      </c>
      <c r="L558" s="131"/>
      <c r="M558" s="131"/>
      <c r="P558" s="53"/>
      <c r="Q558" s="53"/>
      <c r="R558" s="53"/>
      <c r="S558" s="53"/>
      <c r="T558" s="53"/>
      <c r="U558" s="53"/>
      <c r="V558" s="53"/>
      <c r="W558" s="53"/>
      <c r="X558" s="53"/>
      <c r="Y558" s="53"/>
      <c r="Z558" s="53"/>
      <c r="AA558" s="53"/>
      <c r="AB558" s="53"/>
      <c r="AC558" s="53"/>
    </row>
    <row r="559">
      <c r="A559" s="140" t="s">
        <v>345</v>
      </c>
      <c r="B559" s="136">
        <f>sum(K572,K578)</f>
        <v>408</v>
      </c>
      <c r="C559" s="139" t="s">
        <v>238</v>
      </c>
      <c r="D559" s="131"/>
      <c r="E559" s="131"/>
      <c r="F559" s="131"/>
      <c r="G559" s="131"/>
      <c r="H559" s="131"/>
      <c r="I559" s="131"/>
      <c r="J559" s="135" t="s">
        <v>346</v>
      </c>
      <c r="K559" s="136">
        <f>countif(K2:K550,"&gt;30")</f>
        <v>11</v>
      </c>
      <c r="L559" s="131"/>
      <c r="M559" s="131"/>
      <c r="P559" s="53"/>
      <c r="Q559" s="53"/>
      <c r="R559" s="53"/>
      <c r="S559" s="53"/>
      <c r="T559" s="53"/>
      <c r="U559" s="53"/>
      <c r="V559" s="53"/>
      <c r="W559" s="53"/>
      <c r="X559" s="53"/>
      <c r="Y559" s="53"/>
      <c r="Z559" s="53"/>
      <c r="AA559" s="53"/>
      <c r="AB559" s="53"/>
      <c r="AC559" s="53"/>
    </row>
    <row r="560">
      <c r="A560" s="25" t="s">
        <v>347</v>
      </c>
      <c r="B560" s="141">
        <f>sum(K583:K586)</f>
        <v>64</v>
      </c>
      <c r="C560" s="131"/>
      <c r="D560" s="131"/>
      <c r="E560" s="131"/>
      <c r="F560" s="131"/>
      <c r="G560" s="131"/>
      <c r="H560" s="131"/>
      <c r="I560" s="131"/>
      <c r="J560" s="135" t="s">
        <v>348</v>
      </c>
      <c r="K560" s="136">
        <f>countifs(K2:K550,"&lt;0",K2:K550,"&gt;=-1")</f>
        <v>111</v>
      </c>
      <c r="L560" s="131"/>
      <c r="M560" s="131"/>
      <c r="P560" s="53"/>
      <c r="Q560" s="53"/>
      <c r="R560" s="53"/>
      <c r="S560" s="53"/>
      <c r="T560" s="53"/>
      <c r="U560" s="53"/>
      <c r="V560" s="53"/>
      <c r="W560" s="53"/>
      <c r="X560" s="53"/>
      <c r="Y560" s="53"/>
      <c r="Z560" s="53"/>
      <c r="AA560" s="53"/>
      <c r="AB560" s="53"/>
      <c r="AC560" s="53"/>
    </row>
    <row r="561">
      <c r="A561" s="25" t="s">
        <v>349</v>
      </c>
      <c r="B561" s="141">
        <f>B553-B560</f>
        <v>485</v>
      </c>
      <c r="C561" s="131"/>
      <c r="D561" s="131"/>
      <c r="E561" s="131"/>
      <c r="F561" s="131"/>
      <c r="G561" s="131"/>
      <c r="H561" s="131"/>
      <c r="I561" s="131"/>
      <c r="J561" s="135" t="s">
        <v>350</v>
      </c>
      <c r="K561" s="136">
        <f>countifs(K3:K551,"&lt;-1",K3:K551,"&gt;=-5")</f>
        <v>79</v>
      </c>
      <c r="L561" s="131"/>
      <c r="M561" s="131"/>
      <c r="P561" s="53"/>
      <c r="Q561" s="53"/>
      <c r="R561" s="53"/>
      <c r="S561" s="53"/>
      <c r="T561" s="53"/>
      <c r="U561" s="53"/>
      <c r="V561" s="53"/>
      <c r="W561" s="53"/>
      <c r="X561" s="53"/>
      <c r="Y561" s="53"/>
      <c r="Z561" s="53"/>
      <c r="AA561" s="53"/>
      <c r="AB561" s="53"/>
      <c r="AC561" s="53"/>
    </row>
    <row r="562">
      <c r="C562" s="131"/>
      <c r="D562" s="131"/>
      <c r="E562" s="131"/>
      <c r="F562" s="131"/>
      <c r="G562" s="131"/>
      <c r="H562" s="131"/>
      <c r="I562" s="139" t="s">
        <v>238</v>
      </c>
      <c r="J562" s="135" t="s">
        <v>351</v>
      </c>
      <c r="K562" s="136">
        <f>countifs(K4:K553,"&lt;-5",K4:K553,"&gt;=-10")</f>
        <v>29</v>
      </c>
      <c r="L562" s="131"/>
      <c r="M562" s="131"/>
      <c r="P562" s="53"/>
      <c r="Q562" s="53"/>
      <c r="R562" s="53"/>
      <c r="S562" s="53"/>
      <c r="T562" s="53"/>
      <c r="U562" s="53"/>
      <c r="V562" s="53"/>
      <c r="W562" s="53"/>
      <c r="X562" s="53"/>
      <c r="Y562" s="53"/>
      <c r="Z562" s="53"/>
      <c r="AA562" s="53"/>
      <c r="AB562" s="53"/>
      <c r="AC562" s="53"/>
    </row>
    <row r="563">
      <c r="A563" s="142" t="s">
        <v>352</v>
      </c>
      <c r="B563" s="143">
        <f>K572/B559</f>
        <v>0.3823529412</v>
      </c>
      <c r="C563" s="131"/>
      <c r="D563" s="131"/>
      <c r="E563" s="131"/>
      <c r="F563" s="131"/>
      <c r="G563" s="131"/>
      <c r="H563" s="131"/>
      <c r="I563" s="139" t="s">
        <v>238</v>
      </c>
      <c r="J563" s="135" t="s">
        <v>353</v>
      </c>
      <c r="K563" s="136">
        <f>countifs(K2:K550,"&lt;-10",K2:K550,"&gt;=-20")</f>
        <v>19</v>
      </c>
      <c r="L563" s="131"/>
      <c r="M563" s="131"/>
      <c r="P563" s="53"/>
      <c r="Q563" s="53"/>
      <c r="R563" s="53"/>
      <c r="S563" s="53"/>
      <c r="T563" s="53"/>
      <c r="U563" s="53"/>
      <c r="V563" s="53"/>
      <c r="W563" s="53"/>
      <c r="X563" s="53"/>
      <c r="Y563" s="53"/>
      <c r="Z563" s="53"/>
      <c r="AA563" s="53"/>
      <c r="AB563" s="53"/>
      <c r="AC563" s="53"/>
    </row>
    <row r="564">
      <c r="A564" s="142" t="s">
        <v>354</v>
      </c>
      <c r="B564" s="143">
        <f>K578/B559</f>
        <v>0.6176470588</v>
      </c>
      <c r="C564" s="131"/>
      <c r="D564" s="131"/>
      <c r="E564" s="144" t="s">
        <v>355</v>
      </c>
      <c r="F564" s="145">
        <f>countifs(K2:K550,"&gt;=-20",K2:K550,"&lt;-19")</f>
        <v>1</v>
      </c>
      <c r="G564" s="131"/>
      <c r="H564" s="131"/>
      <c r="I564" s="139" t="s">
        <v>238</v>
      </c>
      <c r="J564" s="135" t="s">
        <v>356</v>
      </c>
      <c r="K564" s="136">
        <f>countifs(K2:K550,"&lt;-20",K2:K550,"&gt;=-30")</f>
        <v>3</v>
      </c>
      <c r="L564" s="131"/>
      <c r="M564" s="131"/>
      <c r="P564" s="53"/>
      <c r="Q564" s="53"/>
      <c r="R564" s="53"/>
      <c r="S564" s="53"/>
      <c r="T564" s="53"/>
      <c r="U564" s="53"/>
      <c r="V564" s="53"/>
      <c r="W564" s="53"/>
      <c r="X564" s="53"/>
      <c r="Y564" s="53"/>
      <c r="Z564" s="53"/>
      <c r="AA564" s="53"/>
      <c r="AB564" s="53"/>
      <c r="AC564" s="53"/>
    </row>
    <row r="565">
      <c r="A565" s="142" t="s">
        <v>357</v>
      </c>
      <c r="B565" s="143">
        <f>B558/B553</f>
        <v>0.1402550091</v>
      </c>
      <c r="C565" s="131"/>
      <c r="D565" s="131"/>
      <c r="E565" s="144" t="s">
        <v>358</v>
      </c>
      <c r="F565" s="145">
        <f>countifs(K2:K550,"&gt;=-19",K2:K550,"&lt;-18")</f>
        <v>2</v>
      </c>
      <c r="G565" s="131"/>
      <c r="H565" s="131"/>
      <c r="I565" s="139" t="s">
        <v>238</v>
      </c>
      <c r="J565" s="135" t="s">
        <v>359</v>
      </c>
      <c r="K565" s="136">
        <f>countif(K2:K550,"&lt;-30")</f>
        <v>11</v>
      </c>
      <c r="L565" s="131"/>
      <c r="M565" s="131"/>
      <c r="P565" s="53"/>
      <c r="Q565" s="53"/>
      <c r="R565" s="53"/>
      <c r="S565" s="53"/>
      <c r="T565" s="53"/>
      <c r="U565" s="53"/>
      <c r="V565" s="53"/>
      <c r="W565" s="53"/>
      <c r="X565" s="53"/>
      <c r="Y565" s="53"/>
      <c r="Z565" s="53"/>
      <c r="AA565" s="53"/>
      <c r="AB565" s="53"/>
      <c r="AC565" s="53"/>
    </row>
    <row r="566">
      <c r="A566" s="53"/>
      <c r="B566" s="53"/>
      <c r="C566" s="131"/>
      <c r="D566" s="131"/>
      <c r="E566" s="144" t="s">
        <v>360</v>
      </c>
      <c r="F566" s="145">
        <f>countifs(K2:K550,"&gt;=-18",K2:K550,"&lt;-17")</f>
        <v>1</v>
      </c>
      <c r="G566" s="131"/>
      <c r="H566" s="131"/>
      <c r="I566" s="131"/>
      <c r="J566" s="132"/>
      <c r="K566" s="136"/>
      <c r="L566" s="131"/>
      <c r="P566" s="53"/>
      <c r="Q566" s="53"/>
      <c r="R566" s="53"/>
      <c r="S566" s="53"/>
      <c r="T566" s="53"/>
      <c r="U566" s="53"/>
      <c r="V566" s="53"/>
      <c r="W566" s="53"/>
      <c r="X566" s="53"/>
      <c r="Y566" s="53"/>
      <c r="Z566" s="53"/>
      <c r="AA566" s="53"/>
      <c r="AB566" s="53"/>
      <c r="AC566" s="53"/>
    </row>
    <row r="567">
      <c r="A567" s="137" t="s">
        <v>361</v>
      </c>
      <c r="B567" s="146">
        <f>(K567+K573)/K581</f>
        <v>0.3995098039</v>
      </c>
      <c r="C567" s="131"/>
      <c r="D567" s="131"/>
      <c r="E567" s="144" t="s">
        <v>362</v>
      </c>
      <c r="F567" s="145">
        <f>countifs(K2:K550,"&gt;=-17",K2:K550,"&lt;-16")</f>
        <v>2</v>
      </c>
      <c r="G567" s="131"/>
      <c r="H567" s="131"/>
      <c r="I567" s="131"/>
      <c r="J567" s="135" t="s">
        <v>336</v>
      </c>
      <c r="K567" s="136">
        <f>countifs(K2:K550,"&gt;0",K2:K550,"&lt;=1")</f>
        <v>52</v>
      </c>
      <c r="L567" s="131"/>
      <c r="P567" s="53"/>
      <c r="Q567" s="53"/>
      <c r="R567" s="53"/>
      <c r="S567" s="53"/>
      <c r="T567" s="53"/>
      <c r="U567" s="53"/>
      <c r="V567" s="53"/>
      <c r="W567" s="53"/>
      <c r="X567" s="53"/>
      <c r="Y567" s="53"/>
      <c r="Z567" s="53"/>
      <c r="AA567" s="53"/>
      <c r="AB567" s="53"/>
      <c r="AC567" s="53"/>
    </row>
    <row r="568">
      <c r="A568" s="137" t="s">
        <v>363</v>
      </c>
      <c r="B568" s="146">
        <f>(K568+K574)/K581</f>
        <v>0.7524509804</v>
      </c>
      <c r="C568" s="131"/>
      <c r="D568" s="131"/>
      <c r="E568" s="144" t="s">
        <v>364</v>
      </c>
      <c r="F568" s="145">
        <f>countifs(K2:K550,"&gt;=-16",K2:K550,"&lt;-15")</f>
        <v>4</v>
      </c>
      <c r="G568" s="131"/>
      <c r="H568" s="131"/>
      <c r="I568" s="131"/>
      <c r="J568" s="135" t="s">
        <v>365</v>
      </c>
      <c r="K568" s="136">
        <f>countifs(K2:K550,"&gt;0",K2:K550,"&lt;=5")</f>
        <v>117</v>
      </c>
      <c r="L568" s="131"/>
      <c r="M568" s="131"/>
      <c r="P568" s="53"/>
      <c r="Q568" s="53"/>
      <c r="R568" s="53"/>
      <c r="S568" s="53"/>
      <c r="T568" s="53"/>
      <c r="U568" s="53"/>
      <c r="V568" s="53"/>
      <c r="W568" s="53"/>
      <c r="X568" s="53"/>
      <c r="Y568" s="53"/>
      <c r="Z568" s="53"/>
      <c r="AA568" s="53"/>
      <c r="AB568" s="53"/>
      <c r="AC568" s="53"/>
    </row>
    <row r="569">
      <c r="A569" s="53"/>
      <c r="B569" s="53"/>
      <c r="C569" s="131"/>
      <c r="D569" s="131"/>
      <c r="E569" s="144" t="s">
        <v>366</v>
      </c>
      <c r="F569" s="145">
        <f>countifs(K2:K550,"&gt;=-15",K2:K550,"&lt;-14")</f>
        <v>0</v>
      </c>
      <c r="G569" s="131"/>
      <c r="H569" s="131"/>
      <c r="I569" s="131"/>
      <c r="J569" s="135" t="s">
        <v>367</v>
      </c>
      <c r="K569" s="136">
        <f>countifs(K2:K550,"&gt;0",K2:K550,"&lt;=10")</f>
        <v>124</v>
      </c>
      <c r="L569" s="131"/>
      <c r="M569" s="131"/>
      <c r="P569" s="53"/>
      <c r="Q569" s="53"/>
      <c r="R569" s="53"/>
      <c r="S569" s="53"/>
      <c r="T569" s="53"/>
      <c r="U569" s="53"/>
      <c r="V569" s="53"/>
      <c r="W569" s="53"/>
      <c r="X569" s="53"/>
      <c r="Y569" s="53"/>
      <c r="Z569" s="53"/>
      <c r="AA569" s="53"/>
      <c r="AB569" s="53"/>
      <c r="AC569" s="53"/>
    </row>
    <row r="570">
      <c r="A570" s="53"/>
      <c r="B570" s="53"/>
      <c r="C570" s="131"/>
      <c r="D570" s="131"/>
      <c r="E570" s="144" t="s">
        <v>368</v>
      </c>
      <c r="F570" s="145">
        <f>countifs(K2:K550,"&gt;=-14",K2:K550,"&lt;-13")</f>
        <v>2</v>
      </c>
      <c r="G570" s="131"/>
      <c r="H570" s="131"/>
      <c r="I570" s="131"/>
      <c r="J570" s="135" t="s">
        <v>369</v>
      </c>
      <c r="K570" s="136">
        <f>countifs(K2:K550,"&gt;0",K2:K550,"&lt;=20")</f>
        <v>133</v>
      </c>
      <c r="L570" s="131"/>
      <c r="M570" s="131"/>
      <c r="P570" s="53"/>
      <c r="Q570" s="53"/>
      <c r="R570" s="53"/>
      <c r="S570" s="53"/>
      <c r="T570" s="53"/>
      <c r="U570" s="53"/>
      <c r="V570" s="53"/>
      <c r="W570" s="53"/>
      <c r="X570" s="53"/>
      <c r="Y570" s="53"/>
      <c r="Z570" s="53"/>
      <c r="AA570" s="53"/>
      <c r="AB570" s="53"/>
      <c r="AC570" s="53"/>
    </row>
    <row r="571">
      <c r="A571" s="53"/>
      <c r="B571" s="53"/>
      <c r="C571" s="131"/>
      <c r="D571" s="131"/>
      <c r="E571" s="144" t="s">
        <v>370</v>
      </c>
      <c r="F571" s="145">
        <f>countifs(K2:K550,"&gt;=-13",K2:K550,"&lt;-12")</f>
        <v>1</v>
      </c>
      <c r="G571" s="131"/>
      <c r="H571" s="131"/>
      <c r="I571" s="131"/>
      <c r="J571" s="135" t="s">
        <v>371</v>
      </c>
      <c r="K571" s="136">
        <f>countifs(K2:K550,"&gt;0",K2:K550,"&lt;=30")</f>
        <v>145</v>
      </c>
      <c r="L571" s="131"/>
      <c r="M571" s="131"/>
      <c r="P571" s="53"/>
      <c r="Q571" s="53"/>
      <c r="R571" s="53"/>
      <c r="S571" s="53"/>
      <c r="T571" s="53"/>
      <c r="U571" s="53"/>
      <c r="V571" s="53"/>
      <c r="W571" s="53"/>
      <c r="X571" s="53"/>
      <c r="Y571" s="53"/>
      <c r="Z571" s="53"/>
      <c r="AA571" s="53"/>
      <c r="AB571" s="53"/>
      <c r="AC571" s="53"/>
    </row>
    <row r="572">
      <c r="A572" s="53"/>
      <c r="B572" s="53"/>
      <c r="C572" s="131"/>
      <c r="D572" s="131"/>
      <c r="E572" s="144" t="s">
        <v>372</v>
      </c>
      <c r="F572" s="145">
        <f>countifs(K2:K550,"&gt;=-12",K2:K550,"&lt;-11")</f>
        <v>4</v>
      </c>
      <c r="G572" s="131"/>
      <c r="H572" s="131"/>
      <c r="I572" s="131"/>
      <c r="J572" s="135" t="s">
        <v>373</v>
      </c>
      <c r="K572" s="136">
        <f>countif(K2:K550,"&gt;0")</f>
        <v>156</v>
      </c>
      <c r="L572" s="131"/>
      <c r="M572" s="131"/>
      <c r="P572" s="53"/>
      <c r="Q572" s="53"/>
      <c r="R572" s="53"/>
      <c r="S572" s="53"/>
      <c r="T572" s="53"/>
      <c r="U572" s="53"/>
      <c r="V572" s="53"/>
      <c r="W572" s="53"/>
      <c r="X572" s="53"/>
      <c r="Y572" s="53"/>
      <c r="Z572" s="53"/>
      <c r="AA572" s="53"/>
      <c r="AB572" s="53"/>
      <c r="AC572" s="53"/>
    </row>
    <row r="573">
      <c r="A573" s="53"/>
      <c r="B573" s="53"/>
      <c r="C573" s="131"/>
      <c r="D573" s="131"/>
      <c r="E573" s="144" t="s">
        <v>374</v>
      </c>
      <c r="F573" s="145">
        <f>countifs(K2:K550,"&gt;=-11",K2:K550,"&lt;-10")</f>
        <v>2</v>
      </c>
      <c r="G573" s="131"/>
      <c r="H573" s="131"/>
      <c r="I573" s="131"/>
      <c r="J573" s="135" t="s">
        <v>348</v>
      </c>
      <c r="K573" s="136">
        <f>countifs(K2:K550,"&lt;0",K2:K550,"&gt;=-1")</f>
        <v>111</v>
      </c>
      <c r="L573" s="131"/>
      <c r="M573" s="131"/>
      <c r="P573" s="53"/>
      <c r="Q573" s="53"/>
      <c r="R573" s="53"/>
      <c r="S573" s="53"/>
      <c r="T573" s="53"/>
      <c r="U573" s="53"/>
      <c r="V573" s="53"/>
      <c r="W573" s="53"/>
      <c r="X573" s="53"/>
      <c r="Y573" s="53"/>
      <c r="Z573" s="53"/>
      <c r="AA573" s="53"/>
      <c r="AB573" s="53"/>
      <c r="AC573" s="53"/>
    </row>
    <row r="574">
      <c r="A574" s="53"/>
      <c r="B574" s="53"/>
      <c r="C574" s="131"/>
      <c r="D574" s="131"/>
      <c r="E574" s="144" t="s">
        <v>375</v>
      </c>
      <c r="F574" s="145">
        <f>countifs(K2:K550,"&gt;=-10",K2:K550,"&lt;-9")</f>
        <v>0</v>
      </c>
      <c r="G574" s="131"/>
      <c r="H574" s="131"/>
      <c r="I574" s="131"/>
      <c r="J574" s="135" t="s">
        <v>376</v>
      </c>
      <c r="K574" s="136">
        <f>countifs(K2:K550,"&lt;0",K2:K550,"&gt;=-5")</f>
        <v>190</v>
      </c>
      <c r="L574" s="131"/>
      <c r="M574" s="131"/>
      <c r="P574" s="53"/>
      <c r="Q574" s="53"/>
      <c r="R574" s="53"/>
      <c r="S574" s="53"/>
      <c r="T574" s="53"/>
      <c r="U574" s="53"/>
      <c r="V574" s="53"/>
      <c r="W574" s="53"/>
      <c r="X574" s="53"/>
      <c r="Y574" s="53"/>
      <c r="Z574" s="53"/>
      <c r="AA574" s="53"/>
      <c r="AB574" s="53"/>
      <c r="AC574" s="53"/>
    </row>
    <row r="575">
      <c r="A575" s="53"/>
      <c r="B575" s="53"/>
      <c r="C575" s="131"/>
      <c r="D575" s="131"/>
      <c r="E575" s="144" t="s">
        <v>377</v>
      </c>
      <c r="F575" s="145">
        <f>countifs(K2:K550,"&gt;=-9",K2:K550,"&lt;-8")</f>
        <v>2</v>
      </c>
      <c r="G575" s="131"/>
      <c r="H575" s="131"/>
      <c r="I575" s="131"/>
      <c r="J575" s="135" t="s">
        <v>378</v>
      </c>
      <c r="K575" s="136">
        <f>countifs(K2:K550,"&lt;0",K2:K550,"&gt;=-10")</f>
        <v>219</v>
      </c>
      <c r="L575" s="131"/>
      <c r="M575" s="131"/>
      <c r="P575" s="53"/>
      <c r="Q575" s="53"/>
      <c r="R575" s="53"/>
      <c r="S575" s="53"/>
      <c r="T575" s="53"/>
      <c r="U575" s="53"/>
      <c r="V575" s="53"/>
      <c r="W575" s="53"/>
      <c r="X575" s="53"/>
      <c r="Y575" s="53"/>
      <c r="Z575" s="53"/>
      <c r="AA575" s="53"/>
      <c r="AB575" s="53"/>
      <c r="AC575" s="53"/>
    </row>
    <row r="576">
      <c r="A576" s="53"/>
      <c r="B576" s="53"/>
      <c r="C576" s="131"/>
      <c r="D576" s="131"/>
      <c r="E576" s="144" t="s">
        <v>379</v>
      </c>
      <c r="F576" s="145">
        <f>countifs(K2:K550,"&gt;=-8",K2:K550,"&lt;-7")</f>
        <v>5</v>
      </c>
      <c r="G576" s="131"/>
      <c r="H576" s="131"/>
      <c r="I576" s="131"/>
      <c r="J576" s="135" t="s">
        <v>380</v>
      </c>
      <c r="K576" s="136">
        <f>countifs(K2:K550,"&lt;0",K2:K550,"&gt;=-20")</f>
        <v>238</v>
      </c>
      <c r="L576" s="131"/>
      <c r="M576" s="131"/>
      <c r="P576" s="53"/>
      <c r="Q576" s="53"/>
      <c r="R576" s="53"/>
      <c r="S576" s="53"/>
      <c r="T576" s="53"/>
      <c r="U576" s="53"/>
      <c r="V576" s="53"/>
      <c r="W576" s="53"/>
      <c r="X576" s="53"/>
      <c r="Y576" s="53"/>
      <c r="Z576" s="53"/>
      <c r="AA576" s="53"/>
      <c r="AB576" s="53"/>
      <c r="AC576" s="53"/>
    </row>
    <row r="577">
      <c r="A577" s="53"/>
      <c r="B577" s="53"/>
      <c r="C577" s="131"/>
      <c r="D577" s="131"/>
      <c r="E577" s="144" t="s">
        <v>381</v>
      </c>
      <c r="F577" s="145">
        <f>countifs(K2:K550,"&gt;=-7",K2:K550,"&lt;-6")</f>
        <v>12</v>
      </c>
      <c r="G577" s="131"/>
      <c r="H577" s="131"/>
      <c r="I577" s="131"/>
      <c r="J577" s="135" t="s">
        <v>382</v>
      </c>
      <c r="K577" s="136">
        <f>countifs(K2:K550,"&lt;0",K2:K550,"&gt;=-30")</f>
        <v>241</v>
      </c>
      <c r="L577" s="131"/>
      <c r="M577" s="131"/>
      <c r="P577" s="53"/>
      <c r="Q577" s="53"/>
      <c r="R577" s="53"/>
      <c r="S577" s="53"/>
      <c r="T577" s="53"/>
      <c r="U577" s="53"/>
      <c r="V577" s="53"/>
      <c r="W577" s="53"/>
      <c r="X577" s="53"/>
      <c r="Y577" s="53"/>
      <c r="Z577" s="53"/>
      <c r="AA577" s="53"/>
      <c r="AB577" s="53"/>
      <c r="AC577" s="53"/>
    </row>
    <row r="578">
      <c r="A578" s="53"/>
      <c r="B578" s="53"/>
      <c r="C578" s="131"/>
      <c r="D578" s="131"/>
      <c r="E578" s="144" t="s">
        <v>383</v>
      </c>
      <c r="F578" s="145">
        <f>countifs(K2:K550,"&gt;=-6",K2:K550,"&lt;-5")</f>
        <v>10</v>
      </c>
      <c r="G578" s="131"/>
      <c r="H578" s="131"/>
      <c r="I578" s="131"/>
      <c r="J578" s="135" t="s">
        <v>384</v>
      </c>
      <c r="K578" s="136">
        <f>COUNTIF(K2:K550,"&lt;0")</f>
        <v>252</v>
      </c>
      <c r="L578" s="131"/>
      <c r="M578" s="139"/>
      <c r="P578" s="53"/>
      <c r="Q578" s="53"/>
      <c r="R578" s="53"/>
      <c r="S578" s="53"/>
      <c r="T578" s="53"/>
      <c r="U578" s="53"/>
      <c r="V578" s="53"/>
      <c r="W578" s="53"/>
      <c r="X578" s="53"/>
      <c r="Y578" s="53"/>
      <c r="Z578" s="53"/>
      <c r="AA578" s="53"/>
      <c r="AB578" s="53"/>
      <c r="AC578" s="53"/>
    </row>
    <row r="579">
      <c r="A579" s="53"/>
      <c r="B579" s="147"/>
      <c r="C579" s="139"/>
      <c r="D579" s="131"/>
      <c r="E579" s="144" t="s">
        <v>385</v>
      </c>
      <c r="F579" s="145">
        <f>countifs(K2:K550,"&gt;=-5",K2:K550,"&lt;-4")</f>
        <v>9</v>
      </c>
      <c r="G579" s="131"/>
      <c r="H579" s="131"/>
      <c r="I579" s="131"/>
      <c r="J579" s="135" t="s">
        <v>386</v>
      </c>
      <c r="K579" s="136">
        <f>countif(K2:K550,"=0")</f>
        <v>77</v>
      </c>
      <c r="L579" s="131"/>
      <c r="M579" s="131"/>
      <c r="P579" s="53"/>
      <c r="Q579" s="53"/>
      <c r="R579" s="53"/>
      <c r="S579" s="53"/>
      <c r="T579" s="53"/>
      <c r="U579" s="53"/>
      <c r="V579" s="53"/>
      <c r="W579" s="53"/>
      <c r="X579" s="53"/>
      <c r="Y579" s="53"/>
      <c r="Z579" s="53"/>
      <c r="AA579" s="53"/>
      <c r="AB579" s="53"/>
      <c r="AC579" s="53"/>
    </row>
    <row r="580">
      <c r="A580" s="53"/>
      <c r="B580" s="53"/>
      <c r="C580" s="148"/>
      <c r="D580" s="149"/>
      <c r="E580" s="144" t="s">
        <v>387</v>
      </c>
      <c r="F580" s="145">
        <f>countifs(K2:K550,"&gt;=-4",K2:K550,"&lt;-3")</f>
        <v>16</v>
      </c>
      <c r="G580" s="131"/>
      <c r="H580" s="131"/>
      <c r="I580" s="131"/>
      <c r="J580" s="132"/>
      <c r="K580" s="136"/>
      <c r="L580" s="131"/>
      <c r="M580" s="149"/>
      <c r="P580" s="53"/>
      <c r="Q580" s="53"/>
      <c r="R580" s="53"/>
      <c r="S580" s="53"/>
      <c r="T580" s="53"/>
      <c r="U580" s="53"/>
      <c r="V580" s="53"/>
      <c r="W580" s="53"/>
      <c r="X580" s="53"/>
      <c r="Y580" s="53"/>
      <c r="Z580" s="53"/>
      <c r="AA580" s="53"/>
      <c r="AB580" s="53"/>
      <c r="AC580" s="53"/>
    </row>
    <row r="581">
      <c r="A581" s="53"/>
      <c r="B581" s="53"/>
      <c r="C581" s="139"/>
      <c r="D581" s="131"/>
      <c r="E581" s="144" t="s">
        <v>388</v>
      </c>
      <c r="F581" s="145">
        <f>countifs(K2:K550,"&gt;=-3",K2:K550,"&lt;-2")</f>
        <v>22</v>
      </c>
      <c r="G581" s="131"/>
      <c r="H581" s="131"/>
      <c r="I581" s="131"/>
      <c r="J581" s="135" t="s">
        <v>389</v>
      </c>
      <c r="K581" s="136">
        <f>sum(K572,K578)</f>
        <v>408</v>
      </c>
      <c r="L581" s="131"/>
      <c r="M581" s="131"/>
      <c r="P581" s="53"/>
      <c r="Q581" s="53"/>
      <c r="R581" s="53"/>
      <c r="S581" s="53"/>
      <c r="T581" s="53"/>
      <c r="U581" s="53"/>
      <c r="V581" s="53"/>
      <c r="W581" s="53"/>
      <c r="X581" s="53"/>
      <c r="Y581" s="53"/>
      <c r="Z581" s="53"/>
      <c r="AA581" s="53"/>
      <c r="AB581" s="53"/>
      <c r="AC581" s="53"/>
    </row>
    <row r="582">
      <c r="A582" s="53"/>
      <c r="B582" s="53"/>
      <c r="C582" s="131"/>
      <c r="D582" s="131"/>
      <c r="E582" s="144" t="s">
        <v>390</v>
      </c>
      <c r="F582" s="145">
        <f>countifs(K2:K550,"&gt;=-2",K2:K550,"&lt;-1")</f>
        <v>32</v>
      </c>
      <c r="G582" s="131"/>
      <c r="H582" s="131"/>
      <c r="I582" s="131"/>
      <c r="L582" s="131"/>
      <c r="M582" s="131"/>
      <c r="P582" s="53"/>
      <c r="Q582" s="53"/>
      <c r="R582" s="53"/>
      <c r="S582" s="53"/>
      <c r="T582" s="53"/>
      <c r="U582" s="53"/>
      <c r="V582" s="53"/>
      <c r="W582" s="53"/>
      <c r="X582" s="53"/>
      <c r="Y582" s="53"/>
      <c r="Z582" s="53"/>
      <c r="AA582" s="53"/>
      <c r="AB582" s="53"/>
      <c r="AC582" s="53"/>
    </row>
    <row r="583">
      <c r="A583" s="53"/>
      <c r="B583" s="53"/>
      <c r="C583" s="131"/>
      <c r="D583" s="131"/>
      <c r="E583" s="144" t="s">
        <v>391</v>
      </c>
      <c r="F583" s="145">
        <f>countifs(K2:K550,"&gt;=-1",K2:K550,"&lt;0")</f>
        <v>111</v>
      </c>
      <c r="G583" s="131"/>
      <c r="H583" s="131"/>
      <c r="I583" s="131"/>
      <c r="J583" s="135" t="s">
        <v>392</v>
      </c>
      <c r="K583" s="132">
        <f>countif(K2:K550,"error")</f>
        <v>58</v>
      </c>
      <c r="L583" s="131"/>
      <c r="M583" s="131"/>
      <c r="P583" s="53"/>
      <c r="Q583" s="53"/>
      <c r="R583" s="53"/>
      <c r="S583" s="53"/>
      <c r="T583" s="53"/>
      <c r="U583" s="53"/>
      <c r="V583" s="53"/>
      <c r="W583" s="53"/>
      <c r="X583" s="53"/>
      <c r="Y583" s="53"/>
      <c r="Z583" s="53"/>
      <c r="AA583" s="53"/>
      <c r="AB583" s="53"/>
      <c r="AC583" s="53"/>
    </row>
    <row r="584">
      <c r="A584" s="53"/>
      <c r="B584" s="140"/>
      <c r="C584" s="139"/>
      <c r="D584" s="131"/>
      <c r="E584" s="144" t="s">
        <v>336</v>
      </c>
      <c r="F584" s="145">
        <f>countifs(K2:K550,"&gt;0",K2:K550,"&lt;=1")</f>
        <v>52</v>
      </c>
      <c r="G584" s="131"/>
      <c r="H584" s="131"/>
      <c r="I584" s="131"/>
      <c r="J584" s="135" t="s">
        <v>393</v>
      </c>
      <c r="K584" s="132">
        <f>countifs(K2:K550,"outlier",J2:J550,"&gt;0")</f>
        <v>4</v>
      </c>
      <c r="L584" s="131"/>
      <c r="M584" s="131"/>
      <c r="P584" s="53"/>
      <c r="Q584" s="53"/>
      <c r="R584" s="53"/>
      <c r="S584" s="53"/>
      <c r="T584" s="53"/>
      <c r="U584" s="53"/>
      <c r="V584" s="53"/>
      <c r="W584" s="53"/>
      <c r="X584" s="53"/>
      <c r="Y584" s="53"/>
      <c r="Z584" s="53"/>
      <c r="AA584" s="53"/>
      <c r="AB584" s="53"/>
      <c r="AC584" s="53"/>
    </row>
    <row r="585">
      <c r="A585" s="53"/>
      <c r="B585" s="53"/>
      <c r="C585" s="139"/>
      <c r="D585" s="149"/>
      <c r="E585" s="144" t="s">
        <v>394</v>
      </c>
      <c r="F585" s="145">
        <f>countifs(K2:K550,"&gt;1",K2:K550,"&lt;=2")</f>
        <v>27</v>
      </c>
      <c r="G585" s="131"/>
      <c r="H585" s="139"/>
      <c r="I585" s="131"/>
      <c r="J585" s="135" t="s">
        <v>395</v>
      </c>
      <c r="K585" s="132">
        <f>countifs(K2:K550,"outlier",J2:J550,"&lt;0")</f>
        <v>0</v>
      </c>
      <c r="L585" s="131"/>
      <c r="M585" s="131"/>
      <c r="P585" s="53"/>
      <c r="Q585" s="53"/>
      <c r="R585" s="53"/>
      <c r="S585" s="53"/>
      <c r="T585" s="53"/>
      <c r="U585" s="53"/>
      <c r="V585" s="53"/>
      <c r="W585" s="53"/>
      <c r="X585" s="53"/>
      <c r="Y585" s="53"/>
      <c r="Z585" s="53"/>
      <c r="AA585" s="53"/>
      <c r="AB585" s="53"/>
      <c r="AC585" s="53"/>
    </row>
    <row r="586">
      <c r="A586" s="53"/>
      <c r="B586" s="53"/>
      <c r="C586" s="139"/>
      <c r="D586" s="131"/>
      <c r="E586" s="144" t="s">
        <v>396</v>
      </c>
      <c r="F586" s="145">
        <f>countifs(K2:K550,"&gt;2",K2:K550,"&lt;=3")</f>
        <v>17</v>
      </c>
      <c r="G586" s="131"/>
      <c r="H586" s="139"/>
      <c r="I586" s="131"/>
      <c r="J586" s="135" t="s">
        <v>231</v>
      </c>
      <c r="K586" s="132">
        <f>countifs(K2:K550,"repeatzero")</f>
        <v>2</v>
      </c>
      <c r="L586" s="131"/>
      <c r="M586" s="131"/>
      <c r="P586" s="53"/>
      <c r="Q586" s="53"/>
      <c r="R586" s="53"/>
      <c r="S586" s="53"/>
      <c r="T586" s="53"/>
      <c r="U586" s="53"/>
      <c r="V586" s="53"/>
      <c r="W586" s="53"/>
      <c r="X586" s="53"/>
      <c r="Y586" s="53"/>
      <c r="Z586" s="53"/>
      <c r="AA586" s="53"/>
      <c r="AB586" s="53"/>
      <c r="AC586" s="53"/>
    </row>
    <row r="587">
      <c r="A587" s="53"/>
      <c r="B587" s="53"/>
      <c r="C587" s="131"/>
      <c r="D587" s="131"/>
      <c r="E587" s="144" t="s">
        <v>397</v>
      </c>
      <c r="F587" s="145">
        <f>countifs(K2:K550,"&gt;3",K2:K550,"&lt;=4")</f>
        <v>14</v>
      </c>
      <c r="G587" s="131"/>
      <c r="H587" s="139"/>
      <c r="I587" s="131"/>
      <c r="J587" s="132"/>
      <c r="K587" s="132"/>
      <c r="L587" s="131"/>
      <c r="M587" s="139"/>
      <c r="P587" s="53"/>
      <c r="Q587" s="53"/>
      <c r="R587" s="53"/>
      <c r="S587" s="53"/>
      <c r="T587" s="53"/>
      <c r="U587" s="53"/>
      <c r="V587" s="53"/>
      <c r="W587" s="53"/>
      <c r="X587" s="53"/>
      <c r="Y587" s="53"/>
      <c r="Z587" s="53"/>
      <c r="AA587" s="53"/>
      <c r="AB587" s="53"/>
      <c r="AC587" s="53"/>
    </row>
    <row r="588">
      <c r="A588" s="53"/>
      <c r="B588" s="53"/>
      <c r="C588" s="131"/>
      <c r="D588" s="131"/>
      <c r="E588" s="144" t="s">
        <v>398</v>
      </c>
      <c r="F588" s="145">
        <f>countifs(K2:K550,"&gt;4",K2:K550,"&lt;=5")</f>
        <v>7</v>
      </c>
      <c r="G588" s="131"/>
      <c r="H588" s="131"/>
      <c r="I588" s="131"/>
      <c r="J588" s="135"/>
      <c r="K588" s="132"/>
      <c r="L588" s="131"/>
      <c r="M588" s="139"/>
      <c r="P588" s="53"/>
      <c r="Q588" s="53"/>
      <c r="R588" s="53"/>
      <c r="S588" s="53"/>
      <c r="T588" s="53"/>
      <c r="U588" s="53"/>
      <c r="V588" s="53"/>
      <c r="W588" s="53"/>
      <c r="X588" s="53"/>
      <c r="Y588" s="53"/>
      <c r="Z588" s="53"/>
      <c r="AA588" s="53"/>
      <c r="AB588" s="53"/>
      <c r="AC588" s="53"/>
    </row>
    <row r="589">
      <c r="A589" s="53"/>
      <c r="B589" s="53"/>
      <c r="C589" s="131"/>
      <c r="D589" s="131"/>
      <c r="E589" s="144" t="s">
        <v>399</v>
      </c>
      <c r="F589" s="145">
        <f>countifs(K2:K550,"&gt;5",K2:K550,"&lt;=6")</f>
        <v>4</v>
      </c>
      <c r="G589" s="131"/>
      <c r="H589" s="131"/>
      <c r="I589" s="131"/>
      <c r="J589" s="132"/>
      <c r="K589" s="132"/>
      <c r="L589" s="131"/>
      <c r="M589" s="139"/>
      <c r="P589" s="53"/>
      <c r="Q589" s="53"/>
      <c r="R589" s="53"/>
      <c r="S589" s="53"/>
      <c r="T589" s="53"/>
      <c r="U589" s="53"/>
      <c r="V589" s="53"/>
      <c r="W589" s="53"/>
      <c r="X589" s="53"/>
      <c r="Y589" s="53"/>
      <c r="Z589" s="53"/>
      <c r="AA589" s="53"/>
      <c r="AB589" s="53"/>
      <c r="AC589" s="53"/>
    </row>
    <row r="590">
      <c r="A590" s="53"/>
      <c r="B590" s="53"/>
      <c r="C590" s="131"/>
      <c r="D590" s="131"/>
      <c r="E590" s="144" t="s">
        <v>400</v>
      </c>
      <c r="F590" s="145">
        <f>countifs(K2:K550,"&gt;6",K2:K550,"&lt;=7")</f>
        <v>1</v>
      </c>
      <c r="G590" s="131"/>
      <c r="H590" s="131"/>
      <c r="I590" s="131"/>
      <c r="J590" s="135"/>
      <c r="K590" s="132"/>
      <c r="L590" s="131"/>
      <c r="M590" s="139"/>
      <c r="P590" s="53"/>
      <c r="Q590" s="53"/>
      <c r="R590" s="53"/>
      <c r="S590" s="53"/>
      <c r="T590" s="53"/>
      <c r="U590" s="53"/>
      <c r="V590" s="53"/>
      <c r="W590" s="53"/>
      <c r="X590" s="53"/>
      <c r="Y590" s="53"/>
      <c r="Z590" s="53"/>
      <c r="AA590" s="53"/>
      <c r="AB590" s="53"/>
      <c r="AC590" s="53"/>
    </row>
    <row r="591">
      <c r="A591" s="53"/>
      <c r="B591" s="53"/>
      <c r="C591" s="131"/>
      <c r="D591" s="131"/>
      <c r="E591" s="144" t="s">
        <v>401</v>
      </c>
      <c r="F591" s="145">
        <f>countifs(K2:K550,"&gt;7",K2:K550,"&lt;=8")</f>
        <v>1</v>
      </c>
      <c r="G591" s="131"/>
      <c r="H591" s="131"/>
      <c r="I591" s="131"/>
      <c r="J591" s="135"/>
      <c r="K591" s="132"/>
      <c r="L591" s="131"/>
      <c r="M591" s="131"/>
      <c r="P591" s="53"/>
      <c r="Q591" s="53"/>
      <c r="R591" s="53"/>
      <c r="S591" s="53"/>
      <c r="T591" s="53"/>
      <c r="U591" s="53"/>
      <c r="V591" s="53"/>
      <c r="W591" s="53"/>
      <c r="X591" s="53"/>
      <c r="Y591" s="53"/>
      <c r="Z591" s="53"/>
      <c r="AA591" s="53"/>
      <c r="AB591" s="53"/>
      <c r="AC591" s="53"/>
    </row>
    <row r="592">
      <c r="A592" s="53"/>
      <c r="B592" s="53"/>
      <c r="C592" s="131"/>
      <c r="D592" s="131"/>
      <c r="E592" s="144" t="s">
        <v>402</v>
      </c>
      <c r="F592" s="145">
        <f>countifs(K2:K550,"&gt;8",K2:K550,"&lt;=9")</f>
        <v>0</v>
      </c>
      <c r="G592" s="131"/>
      <c r="H592" s="131"/>
      <c r="I592" s="131"/>
      <c r="J592" s="132"/>
      <c r="K592" s="132"/>
      <c r="L592" s="131"/>
      <c r="M592" s="131"/>
      <c r="P592" s="53"/>
      <c r="Q592" s="53"/>
      <c r="R592" s="53"/>
      <c r="S592" s="53"/>
      <c r="T592" s="53"/>
      <c r="U592" s="53"/>
      <c r="V592" s="53"/>
      <c r="W592" s="53"/>
      <c r="X592" s="53"/>
      <c r="Y592" s="53"/>
      <c r="Z592" s="53"/>
      <c r="AA592" s="53"/>
      <c r="AB592" s="53"/>
      <c r="AC592" s="53"/>
    </row>
    <row r="593">
      <c r="A593" s="53"/>
      <c r="B593" s="53"/>
      <c r="C593" s="131"/>
      <c r="D593" s="131"/>
      <c r="E593" s="144" t="s">
        <v>403</v>
      </c>
      <c r="F593" s="145">
        <f>countifs(K2:K550,"&gt;9",K2:K550,"&lt;=10")</f>
        <v>1</v>
      </c>
      <c r="G593" s="131"/>
      <c r="H593" s="131"/>
      <c r="I593" s="131"/>
      <c r="J593" s="132"/>
      <c r="K593" s="132"/>
      <c r="L593" s="131"/>
      <c r="M593" s="131"/>
      <c r="N593" s="131"/>
      <c r="O593" s="53"/>
      <c r="P593" s="53"/>
      <c r="Q593" s="53"/>
      <c r="R593" s="53"/>
      <c r="S593" s="53"/>
      <c r="T593" s="53"/>
      <c r="U593" s="53"/>
      <c r="V593" s="53"/>
      <c r="W593" s="53"/>
      <c r="X593" s="53"/>
      <c r="Y593" s="53"/>
      <c r="Z593" s="53"/>
      <c r="AA593" s="53"/>
      <c r="AB593" s="53"/>
      <c r="AC593" s="53"/>
    </row>
    <row r="594">
      <c r="A594" s="53"/>
      <c r="B594" s="53"/>
      <c r="C594" s="131"/>
      <c r="D594" s="131"/>
      <c r="E594" s="144" t="s">
        <v>404</v>
      </c>
      <c r="F594" s="145">
        <f>countifs(K2:K550,"&gt;10",K2:K550,"&lt;=11")</f>
        <v>1</v>
      </c>
      <c r="G594" s="131"/>
      <c r="H594" s="131"/>
      <c r="I594" s="131"/>
      <c r="J594" s="132"/>
      <c r="K594" s="132"/>
      <c r="L594" s="131"/>
      <c r="M594" s="131"/>
      <c r="N594" s="131"/>
      <c r="O594" s="53"/>
      <c r="P594" s="53"/>
      <c r="Q594" s="53"/>
      <c r="R594" s="53"/>
      <c r="S594" s="53"/>
      <c r="T594" s="53"/>
      <c r="U594" s="53"/>
      <c r="V594" s="53"/>
      <c r="W594" s="53"/>
      <c r="X594" s="53"/>
      <c r="Y594" s="53"/>
      <c r="Z594" s="53"/>
      <c r="AA594" s="53"/>
      <c r="AB594" s="53"/>
      <c r="AC594" s="53"/>
    </row>
    <row r="595">
      <c r="A595" s="53"/>
      <c r="B595" s="53"/>
      <c r="C595" s="131"/>
      <c r="D595" s="131"/>
      <c r="E595" s="144" t="s">
        <v>405</v>
      </c>
      <c r="F595" s="145">
        <f>countifs(K2:K550,"&gt;11",K2:K550,"&lt;=12")</f>
        <v>1</v>
      </c>
      <c r="G595" s="131"/>
      <c r="H595" s="131"/>
      <c r="I595" s="131"/>
      <c r="J595" s="132"/>
      <c r="K595" s="132"/>
      <c r="L595" s="131"/>
      <c r="M595" s="131"/>
      <c r="N595" s="131"/>
      <c r="O595" s="53"/>
      <c r="P595" s="53"/>
      <c r="Q595" s="53"/>
      <c r="R595" s="53"/>
      <c r="S595" s="53"/>
      <c r="T595" s="53"/>
      <c r="U595" s="53"/>
      <c r="V595" s="53"/>
      <c r="W595" s="53"/>
      <c r="X595" s="53"/>
      <c r="Y595" s="53"/>
      <c r="Z595" s="53"/>
      <c r="AA595" s="53"/>
      <c r="AB595" s="53"/>
      <c r="AC595" s="53"/>
    </row>
    <row r="596">
      <c r="A596" s="53"/>
      <c r="B596" s="53"/>
      <c r="C596" s="131"/>
      <c r="D596" s="131"/>
      <c r="E596" s="144" t="s">
        <v>406</v>
      </c>
      <c r="F596" s="145">
        <f>countifs(K2:K550,"&gt;12",K2:K550,"&lt;=13")</f>
        <v>1</v>
      </c>
      <c r="G596" s="131"/>
      <c r="H596" s="131"/>
      <c r="I596" s="131"/>
      <c r="J596" s="132"/>
      <c r="K596" s="132"/>
      <c r="L596" s="131"/>
      <c r="M596" s="131"/>
      <c r="N596" s="131"/>
      <c r="O596" s="53"/>
      <c r="P596" s="53"/>
      <c r="Q596" s="53"/>
      <c r="R596" s="53"/>
      <c r="S596" s="53"/>
      <c r="T596" s="53"/>
      <c r="U596" s="53"/>
      <c r="V596" s="53"/>
      <c r="W596" s="53"/>
      <c r="X596" s="53"/>
      <c r="Y596" s="53"/>
      <c r="Z596" s="53"/>
      <c r="AA596" s="53"/>
      <c r="AB596" s="53"/>
      <c r="AC596" s="53"/>
    </row>
    <row r="597">
      <c r="A597" s="53"/>
      <c r="B597" s="53"/>
      <c r="C597" s="131"/>
      <c r="D597" s="131"/>
      <c r="E597" s="144" t="s">
        <v>407</v>
      </c>
      <c r="F597" s="145">
        <f>countifs(K2:K550,"&gt;13",K2:K550,"&lt;=14")</f>
        <v>1</v>
      </c>
      <c r="G597" s="131"/>
      <c r="H597" s="131"/>
      <c r="I597" s="131"/>
      <c r="J597" s="132"/>
      <c r="K597" s="132"/>
      <c r="L597" s="131"/>
      <c r="M597" s="131"/>
      <c r="N597" s="131"/>
      <c r="O597" s="53"/>
      <c r="P597" s="53"/>
      <c r="Q597" s="53"/>
      <c r="R597" s="53"/>
      <c r="S597" s="53"/>
      <c r="T597" s="53"/>
      <c r="U597" s="53"/>
      <c r="V597" s="53"/>
      <c r="W597" s="53"/>
      <c r="X597" s="53"/>
      <c r="Y597" s="53"/>
      <c r="Z597" s="53"/>
      <c r="AA597" s="53"/>
      <c r="AB597" s="53"/>
      <c r="AC597" s="53"/>
    </row>
    <row r="598">
      <c r="A598" s="53"/>
      <c r="B598" s="53"/>
      <c r="C598" s="131"/>
      <c r="D598" s="131"/>
      <c r="E598" s="144" t="s">
        <v>408</v>
      </c>
      <c r="F598" s="145">
        <f>countifs(K2:K550,"&gt;14",K2:K550,"&lt;=15")</f>
        <v>0</v>
      </c>
      <c r="G598" s="131"/>
      <c r="H598" s="131"/>
      <c r="I598" s="131"/>
      <c r="J598" s="132"/>
      <c r="K598" s="132"/>
      <c r="L598" s="131"/>
      <c r="M598" s="131"/>
      <c r="N598" s="131"/>
      <c r="O598" s="53"/>
      <c r="P598" s="53"/>
      <c r="Q598" s="53"/>
      <c r="R598" s="53"/>
      <c r="S598" s="53"/>
      <c r="T598" s="53"/>
      <c r="U598" s="53"/>
      <c r="V598" s="53"/>
      <c r="W598" s="53"/>
      <c r="X598" s="53"/>
      <c r="Y598" s="53"/>
      <c r="Z598" s="53"/>
      <c r="AA598" s="53"/>
      <c r="AB598" s="53"/>
      <c r="AC598" s="53"/>
    </row>
    <row r="599">
      <c r="A599" s="53"/>
      <c r="B599" s="53"/>
      <c r="C599" s="131"/>
      <c r="D599" s="131"/>
      <c r="E599" s="150" t="s">
        <v>409</v>
      </c>
      <c r="F599" s="145">
        <f>countifs(K2:K550,"&gt;15",K2:K550,"&lt;=16")</f>
        <v>2</v>
      </c>
      <c r="G599" s="131"/>
      <c r="H599" s="131"/>
      <c r="I599" s="131"/>
      <c r="J599" s="132"/>
      <c r="K599" s="132"/>
      <c r="L599" s="131"/>
      <c r="M599" s="131"/>
      <c r="N599" s="131"/>
      <c r="O599" s="53"/>
      <c r="P599" s="53"/>
      <c r="Q599" s="53"/>
      <c r="R599" s="53"/>
      <c r="S599" s="53"/>
      <c r="T599" s="53"/>
      <c r="U599" s="53"/>
      <c r="V599" s="53"/>
      <c r="W599" s="53"/>
      <c r="X599" s="53"/>
      <c r="Y599" s="53"/>
      <c r="Z599" s="53"/>
      <c r="AA599" s="53"/>
      <c r="AB599" s="53"/>
      <c r="AC599" s="53"/>
    </row>
    <row r="600">
      <c r="A600" s="53"/>
      <c r="B600" s="53"/>
      <c r="C600" s="131"/>
      <c r="D600" s="131"/>
      <c r="E600" s="144" t="s">
        <v>410</v>
      </c>
      <c r="F600" s="145">
        <f>countifs(K2:K550,"&gt;16",K2:K550,"&lt;=17")</f>
        <v>0</v>
      </c>
      <c r="G600" s="131"/>
      <c r="H600" s="131"/>
      <c r="I600" s="131"/>
      <c r="J600" s="132"/>
      <c r="K600" s="132"/>
      <c r="L600" s="131"/>
      <c r="M600" s="131"/>
      <c r="N600" s="131"/>
      <c r="O600" s="53"/>
      <c r="P600" s="53"/>
      <c r="Q600" s="53"/>
      <c r="R600" s="53"/>
      <c r="S600" s="53"/>
      <c r="T600" s="53"/>
      <c r="U600" s="53"/>
      <c r="V600" s="53"/>
      <c r="W600" s="53"/>
      <c r="X600" s="53"/>
      <c r="Y600" s="53"/>
      <c r="Z600" s="53"/>
      <c r="AA600" s="53"/>
      <c r="AB600" s="53"/>
      <c r="AC600" s="53"/>
    </row>
    <row r="601">
      <c r="A601" s="53"/>
      <c r="B601" s="53"/>
      <c r="C601" s="131"/>
      <c r="D601" s="131"/>
      <c r="E601" s="150" t="s">
        <v>411</v>
      </c>
      <c r="F601" s="145">
        <f>countifs(K2:K550,"&gt;17",K2:K550,"&lt;=18")</f>
        <v>1</v>
      </c>
      <c r="G601" s="131"/>
      <c r="H601" s="131"/>
      <c r="I601" s="131"/>
      <c r="J601" s="132"/>
      <c r="K601" s="132"/>
      <c r="L601" s="131"/>
      <c r="M601" s="131"/>
      <c r="N601" s="131"/>
      <c r="O601" s="53"/>
      <c r="P601" s="53"/>
      <c r="Q601" s="53"/>
      <c r="R601" s="53"/>
      <c r="S601" s="53"/>
      <c r="T601" s="53"/>
      <c r="U601" s="53"/>
      <c r="V601" s="53"/>
      <c r="W601" s="53"/>
      <c r="X601" s="53"/>
      <c r="Y601" s="53"/>
      <c r="Z601" s="53"/>
      <c r="AA601" s="53"/>
      <c r="AB601" s="53"/>
      <c r="AC601" s="53"/>
    </row>
    <row r="602">
      <c r="A602" s="53"/>
      <c r="B602" s="53"/>
      <c r="C602" s="131"/>
      <c r="D602" s="131"/>
      <c r="E602" s="144" t="s">
        <v>412</v>
      </c>
      <c r="F602" s="145">
        <f>countifs(K2:K550,"&gt;18",K2:K550,"&lt;=19")</f>
        <v>2</v>
      </c>
      <c r="G602" s="131"/>
      <c r="H602" s="131"/>
      <c r="I602" s="131"/>
      <c r="J602" s="132"/>
      <c r="K602" s="132"/>
      <c r="L602" s="131"/>
      <c r="M602" s="131"/>
      <c r="N602" s="131"/>
      <c r="O602" s="53"/>
      <c r="P602" s="53"/>
      <c r="Q602" s="53"/>
      <c r="R602" s="53"/>
      <c r="S602" s="53"/>
      <c r="T602" s="53"/>
      <c r="U602" s="53"/>
      <c r="V602" s="53"/>
      <c r="W602" s="53"/>
      <c r="X602" s="53"/>
      <c r="Y602" s="53"/>
      <c r="Z602" s="53"/>
      <c r="AA602" s="53"/>
      <c r="AB602" s="53"/>
      <c r="AC602" s="53"/>
    </row>
    <row r="603">
      <c r="A603" s="53"/>
      <c r="B603" s="53"/>
      <c r="C603" s="131"/>
      <c r="D603" s="131"/>
      <c r="E603" s="144" t="s">
        <v>413</v>
      </c>
      <c r="F603" s="145">
        <f>countifs(K2:K550,"&gt;19",K2:K550,"&lt;=20")</f>
        <v>0</v>
      </c>
      <c r="G603" s="131"/>
      <c r="H603" s="131"/>
      <c r="I603" s="131"/>
      <c r="J603" s="132"/>
      <c r="K603" s="132"/>
      <c r="L603" s="131"/>
      <c r="M603" s="131"/>
      <c r="N603" s="131"/>
      <c r="O603" s="53"/>
      <c r="P603" s="53"/>
      <c r="Q603" s="53"/>
      <c r="R603" s="53"/>
      <c r="S603" s="53"/>
      <c r="T603" s="53"/>
      <c r="U603" s="53"/>
      <c r="V603" s="53"/>
      <c r="W603" s="53"/>
      <c r="X603" s="53"/>
      <c r="Y603" s="53"/>
      <c r="Z603" s="53"/>
      <c r="AA603" s="53"/>
      <c r="AB603" s="53"/>
      <c r="AC603" s="53"/>
    </row>
    <row r="604">
      <c r="A604" s="53"/>
      <c r="B604" s="53"/>
      <c r="C604" s="131"/>
      <c r="D604" s="131"/>
      <c r="E604" s="131"/>
      <c r="F604" s="131"/>
      <c r="G604" s="131"/>
      <c r="H604" s="131"/>
      <c r="I604" s="131"/>
      <c r="J604" s="132"/>
      <c r="K604" s="132"/>
      <c r="L604" s="131"/>
      <c r="M604" s="131"/>
      <c r="N604" s="131"/>
      <c r="O604" s="53"/>
      <c r="P604" s="53"/>
      <c r="Q604" s="53"/>
      <c r="R604" s="53"/>
      <c r="S604" s="53"/>
      <c r="T604" s="53"/>
      <c r="U604" s="53"/>
      <c r="V604" s="53"/>
      <c r="W604" s="53"/>
      <c r="X604" s="53"/>
      <c r="Y604" s="53"/>
      <c r="Z604" s="53"/>
      <c r="AA604" s="53"/>
      <c r="AB604" s="53"/>
      <c r="AC604" s="53"/>
    </row>
    <row r="605">
      <c r="A605" s="53"/>
      <c r="B605" s="53"/>
      <c r="C605" s="131"/>
      <c r="D605" s="131"/>
      <c r="E605" s="131"/>
      <c r="F605" s="131"/>
      <c r="G605" s="131"/>
      <c r="H605" s="131"/>
      <c r="I605" s="131"/>
      <c r="J605" s="132"/>
      <c r="K605" s="132"/>
      <c r="L605" s="131"/>
      <c r="M605" s="131"/>
      <c r="N605" s="131"/>
      <c r="O605" s="53"/>
      <c r="P605" s="53"/>
      <c r="Q605" s="53"/>
      <c r="R605" s="53"/>
      <c r="S605" s="53"/>
      <c r="T605" s="53"/>
      <c r="U605" s="53"/>
      <c r="V605" s="53"/>
      <c r="W605" s="53"/>
      <c r="X605" s="53"/>
      <c r="Y605" s="53"/>
      <c r="Z605" s="53"/>
      <c r="AA605" s="53"/>
      <c r="AB605" s="53"/>
      <c r="AC605" s="53"/>
    </row>
    <row r="606">
      <c r="A606" s="53"/>
      <c r="B606" s="53"/>
      <c r="C606" s="131"/>
      <c r="D606" s="131"/>
      <c r="E606" s="131"/>
      <c r="F606" s="131"/>
      <c r="G606" s="131"/>
      <c r="H606" s="131"/>
      <c r="I606" s="131"/>
      <c r="J606" s="132"/>
      <c r="K606" s="132"/>
      <c r="L606" s="131"/>
      <c r="M606" s="131"/>
      <c r="N606" s="131"/>
      <c r="O606" s="53"/>
      <c r="P606" s="53"/>
      <c r="Q606" s="53"/>
      <c r="R606" s="53"/>
      <c r="S606" s="53"/>
      <c r="T606" s="53"/>
      <c r="U606" s="53"/>
      <c r="V606" s="53"/>
      <c r="W606" s="53"/>
      <c r="X606" s="53"/>
      <c r="Y606" s="53"/>
      <c r="Z606" s="53"/>
      <c r="AA606" s="53"/>
      <c r="AB606" s="53"/>
      <c r="AC606" s="53"/>
    </row>
    <row r="607">
      <c r="A607" s="53"/>
      <c r="B607" s="53"/>
      <c r="C607" s="131"/>
      <c r="D607" s="131"/>
      <c r="E607" s="131"/>
      <c r="F607" s="131"/>
      <c r="G607" s="131"/>
      <c r="H607" s="131"/>
      <c r="I607" s="131"/>
      <c r="J607" s="132"/>
      <c r="K607" s="132"/>
      <c r="L607" s="131"/>
      <c r="M607" s="131"/>
      <c r="N607" s="131"/>
      <c r="O607" s="53"/>
      <c r="P607" s="53"/>
      <c r="Q607" s="53"/>
      <c r="R607" s="53"/>
      <c r="S607" s="53"/>
      <c r="T607" s="53"/>
      <c r="U607" s="53"/>
      <c r="V607" s="53"/>
      <c r="W607" s="53"/>
      <c r="X607" s="53"/>
      <c r="Y607" s="53"/>
      <c r="Z607" s="53"/>
      <c r="AA607" s="53"/>
      <c r="AB607" s="53"/>
      <c r="AC607" s="53"/>
    </row>
    <row r="608">
      <c r="A608" s="53"/>
      <c r="B608" s="53"/>
      <c r="C608" s="131"/>
      <c r="D608" s="131"/>
      <c r="E608" s="131"/>
      <c r="F608" s="131"/>
      <c r="G608" s="131"/>
      <c r="H608" s="131"/>
      <c r="I608" s="131"/>
      <c r="J608" s="132"/>
      <c r="K608" s="132"/>
      <c r="L608" s="131"/>
      <c r="M608" s="131"/>
      <c r="N608" s="131"/>
      <c r="O608" s="53"/>
      <c r="P608" s="53"/>
      <c r="Q608" s="53"/>
      <c r="R608" s="53"/>
      <c r="S608" s="53"/>
      <c r="T608" s="53"/>
      <c r="U608" s="53"/>
      <c r="V608" s="53"/>
      <c r="W608" s="53"/>
      <c r="X608" s="53"/>
      <c r="Y608" s="53"/>
      <c r="Z608" s="53"/>
      <c r="AA608" s="53"/>
      <c r="AB608" s="53"/>
      <c r="AC608" s="53"/>
    </row>
    <row r="609">
      <c r="A609" s="53"/>
      <c r="B609" s="53"/>
      <c r="C609" s="131"/>
      <c r="D609" s="131"/>
      <c r="E609" s="131"/>
      <c r="F609" s="131"/>
      <c r="G609" s="131"/>
      <c r="H609" s="131"/>
      <c r="I609" s="131"/>
      <c r="J609" s="132"/>
      <c r="K609" s="132"/>
      <c r="L609" s="131"/>
      <c r="M609" s="131"/>
      <c r="N609" s="131"/>
      <c r="O609" s="53"/>
      <c r="P609" s="53"/>
      <c r="Q609" s="53"/>
      <c r="R609" s="53"/>
      <c r="S609" s="53"/>
      <c r="T609" s="53"/>
      <c r="U609" s="53"/>
      <c r="V609" s="53"/>
      <c r="W609" s="53"/>
      <c r="X609" s="53"/>
      <c r="Y609" s="53"/>
      <c r="Z609" s="53"/>
      <c r="AA609" s="53"/>
      <c r="AB609" s="53"/>
      <c r="AC609" s="53"/>
    </row>
    <row r="610">
      <c r="A610" s="53"/>
      <c r="B610" s="53"/>
      <c r="C610" s="131"/>
      <c r="D610" s="131"/>
      <c r="E610" s="131"/>
      <c r="F610" s="131"/>
      <c r="G610" s="131"/>
      <c r="H610" s="131"/>
      <c r="I610" s="131"/>
      <c r="J610" s="132"/>
      <c r="K610" s="132"/>
      <c r="L610" s="131"/>
      <c r="M610" s="131"/>
      <c r="N610" s="131"/>
      <c r="O610" s="53"/>
      <c r="P610" s="53"/>
      <c r="Q610" s="53"/>
      <c r="R610" s="53"/>
      <c r="S610" s="53"/>
      <c r="T610" s="53"/>
      <c r="U610" s="53"/>
      <c r="V610" s="53"/>
      <c r="W610" s="53"/>
      <c r="X610" s="53"/>
      <c r="Y610" s="53"/>
      <c r="Z610" s="53"/>
      <c r="AA610" s="53"/>
      <c r="AB610" s="53"/>
      <c r="AC610" s="53"/>
    </row>
    <row r="611">
      <c r="A611" s="53"/>
      <c r="B611" s="53"/>
      <c r="C611" s="131"/>
      <c r="D611" s="131"/>
      <c r="E611" s="131"/>
      <c r="F611" s="131"/>
      <c r="G611" s="131"/>
      <c r="H611" s="131"/>
      <c r="I611" s="131"/>
      <c r="J611" s="132"/>
      <c r="K611" s="132"/>
      <c r="L611" s="131"/>
      <c r="M611" s="131"/>
      <c r="N611" s="131"/>
      <c r="O611" s="53"/>
      <c r="P611" s="53"/>
      <c r="Q611" s="53"/>
      <c r="R611" s="53"/>
      <c r="S611" s="53"/>
      <c r="T611" s="53"/>
      <c r="U611" s="53"/>
      <c r="V611" s="53"/>
      <c r="W611" s="53"/>
      <c r="X611" s="53"/>
      <c r="Y611" s="53"/>
      <c r="Z611" s="53"/>
      <c r="AA611" s="53"/>
      <c r="AB611" s="53"/>
      <c r="AC611" s="53"/>
    </row>
    <row r="612">
      <c r="A612" s="53"/>
      <c r="B612" s="53"/>
      <c r="C612" s="131"/>
      <c r="D612" s="131"/>
      <c r="E612" s="131"/>
      <c r="F612" s="131"/>
      <c r="G612" s="131"/>
      <c r="H612" s="131"/>
      <c r="I612" s="131"/>
      <c r="J612" s="132"/>
      <c r="K612" s="132"/>
      <c r="L612" s="131"/>
      <c r="M612" s="131"/>
      <c r="N612" s="131"/>
      <c r="O612" s="53"/>
      <c r="P612" s="53"/>
      <c r="Q612" s="53"/>
      <c r="R612" s="53"/>
      <c r="S612" s="53"/>
      <c r="T612" s="53"/>
      <c r="U612" s="53"/>
      <c r="V612" s="53"/>
      <c r="W612" s="53"/>
      <c r="X612" s="53"/>
      <c r="Y612" s="53"/>
      <c r="Z612" s="53"/>
      <c r="AA612" s="53"/>
      <c r="AB612" s="53"/>
      <c r="AC612" s="53"/>
    </row>
    <row r="613">
      <c r="A613" s="53"/>
      <c r="B613" s="53"/>
      <c r="C613" s="131"/>
      <c r="D613" s="131"/>
      <c r="E613" s="131"/>
      <c r="F613" s="131"/>
      <c r="G613" s="131"/>
      <c r="H613" s="131"/>
      <c r="I613" s="131"/>
      <c r="J613" s="132"/>
      <c r="K613" s="132"/>
      <c r="L613" s="131"/>
      <c r="M613" s="131"/>
      <c r="N613" s="131"/>
      <c r="O613" s="53"/>
      <c r="P613" s="53"/>
      <c r="Q613" s="53"/>
      <c r="R613" s="53"/>
      <c r="S613" s="53"/>
      <c r="T613" s="53"/>
      <c r="U613" s="53"/>
      <c r="V613" s="53"/>
      <c r="W613" s="53"/>
      <c r="X613" s="53"/>
      <c r="Y613" s="53"/>
      <c r="Z613" s="53"/>
      <c r="AA613" s="53"/>
      <c r="AB613" s="53"/>
      <c r="AC613" s="53"/>
    </row>
    <row r="614">
      <c r="A614" s="53"/>
      <c r="B614" s="53"/>
      <c r="C614" s="131"/>
      <c r="D614" s="131"/>
      <c r="E614" s="131"/>
      <c r="F614" s="131"/>
      <c r="G614" s="131"/>
      <c r="H614" s="131"/>
      <c r="I614" s="131"/>
      <c r="J614" s="132"/>
      <c r="K614" s="132"/>
      <c r="L614" s="131"/>
      <c r="M614" s="131"/>
      <c r="N614" s="131"/>
      <c r="O614" s="53"/>
      <c r="P614" s="53"/>
      <c r="Q614" s="53"/>
      <c r="R614" s="53"/>
      <c r="S614" s="53"/>
      <c r="T614" s="53"/>
      <c r="U614" s="53"/>
      <c r="V614" s="53"/>
      <c r="W614" s="53"/>
      <c r="X614" s="53"/>
      <c r="Y614" s="53"/>
      <c r="Z614" s="53"/>
      <c r="AA614" s="53"/>
      <c r="AB614" s="53"/>
      <c r="AC614" s="53"/>
    </row>
    <row r="615">
      <c r="A615" s="53"/>
      <c r="B615" s="53"/>
      <c r="C615" s="131"/>
      <c r="D615" s="131"/>
      <c r="E615" s="131"/>
      <c r="F615" s="131"/>
      <c r="G615" s="131"/>
      <c r="H615" s="131"/>
      <c r="I615" s="131"/>
      <c r="J615" s="132"/>
      <c r="K615" s="132"/>
      <c r="L615" s="131"/>
      <c r="M615" s="131"/>
      <c r="N615" s="131"/>
      <c r="O615" s="53"/>
      <c r="P615" s="53"/>
      <c r="Q615" s="53"/>
      <c r="R615" s="53"/>
      <c r="S615" s="53"/>
      <c r="T615" s="53"/>
      <c r="U615" s="53"/>
      <c r="V615" s="53"/>
      <c r="W615" s="53"/>
      <c r="X615" s="53"/>
      <c r="Y615" s="53"/>
      <c r="Z615" s="53"/>
      <c r="AA615" s="53"/>
      <c r="AB615" s="53"/>
      <c r="AC615" s="53"/>
    </row>
    <row r="616">
      <c r="A616" s="53"/>
      <c r="B616" s="53"/>
      <c r="C616" s="131"/>
      <c r="D616" s="131"/>
      <c r="E616" s="131"/>
      <c r="F616" s="131"/>
      <c r="G616" s="131"/>
      <c r="H616" s="131"/>
      <c r="I616" s="131"/>
      <c r="J616" s="132"/>
      <c r="K616" s="132"/>
      <c r="L616" s="131"/>
      <c r="M616" s="131"/>
      <c r="N616" s="131"/>
      <c r="O616" s="53"/>
      <c r="P616" s="53"/>
      <c r="Q616" s="53"/>
      <c r="R616" s="53"/>
      <c r="S616" s="53"/>
      <c r="T616" s="53"/>
      <c r="U616" s="53"/>
      <c r="V616" s="53"/>
      <c r="W616" s="53"/>
      <c r="X616" s="53"/>
      <c r="Y616" s="53"/>
      <c r="Z616" s="53"/>
      <c r="AA616" s="53"/>
      <c r="AB616" s="53"/>
      <c r="AC616" s="53"/>
    </row>
    <row r="617">
      <c r="A617" s="53"/>
      <c r="B617" s="53"/>
      <c r="C617" s="131"/>
      <c r="D617" s="131"/>
      <c r="E617" s="131"/>
      <c r="F617" s="131"/>
      <c r="G617" s="131"/>
      <c r="H617" s="131"/>
      <c r="I617" s="131"/>
      <c r="J617" s="132"/>
      <c r="K617" s="132"/>
      <c r="L617" s="131"/>
      <c r="M617" s="131"/>
      <c r="N617" s="131"/>
      <c r="O617" s="53"/>
      <c r="P617" s="53"/>
      <c r="Q617" s="53"/>
      <c r="R617" s="53"/>
      <c r="S617" s="53"/>
      <c r="T617" s="53"/>
      <c r="U617" s="53"/>
      <c r="V617" s="53"/>
      <c r="W617" s="53"/>
      <c r="X617" s="53"/>
      <c r="Y617" s="53"/>
      <c r="Z617" s="53"/>
      <c r="AA617" s="53"/>
      <c r="AB617" s="53"/>
      <c r="AC617" s="53"/>
    </row>
    <row r="618">
      <c r="A618" s="53"/>
      <c r="B618" s="53"/>
      <c r="C618" s="131"/>
      <c r="D618" s="131"/>
      <c r="E618" s="131"/>
      <c r="F618" s="131"/>
      <c r="G618" s="131"/>
      <c r="H618" s="131"/>
      <c r="I618" s="131"/>
      <c r="J618" s="132"/>
      <c r="K618" s="132"/>
      <c r="L618" s="131"/>
      <c r="M618" s="131"/>
      <c r="N618" s="131"/>
      <c r="O618" s="53"/>
      <c r="P618" s="53"/>
      <c r="Q618" s="53"/>
      <c r="R618" s="53"/>
      <c r="S618" s="53"/>
      <c r="T618" s="53"/>
      <c r="U618" s="53"/>
      <c r="V618" s="53"/>
      <c r="W618" s="53"/>
      <c r="X618" s="53"/>
      <c r="Y618" s="53"/>
      <c r="Z618" s="53"/>
      <c r="AA618" s="53"/>
      <c r="AB618" s="53"/>
      <c r="AC618" s="53"/>
    </row>
    <row r="619">
      <c r="A619" s="53"/>
      <c r="B619" s="53"/>
      <c r="C619" s="131"/>
      <c r="D619" s="131"/>
      <c r="E619" s="131"/>
      <c r="F619" s="131"/>
      <c r="G619" s="131"/>
      <c r="H619" s="131"/>
      <c r="I619" s="131"/>
      <c r="J619" s="132"/>
      <c r="K619" s="132"/>
      <c r="L619" s="131"/>
      <c r="M619" s="131"/>
      <c r="N619" s="131"/>
      <c r="O619" s="53"/>
      <c r="P619" s="53"/>
      <c r="Q619" s="53"/>
      <c r="R619" s="53"/>
      <c r="S619" s="53"/>
      <c r="T619" s="53"/>
      <c r="U619" s="53"/>
      <c r="V619" s="53"/>
      <c r="W619" s="53"/>
      <c r="X619" s="53"/>
      <c r="Y619" s="53"/>
      <c r="Z619" s="53"/>
      <c r="AA619" s="53"/>
      <c r="AB619" s="53"/>
      <c r="AC619" s="53"/>
    </row>
    <row r="620">
      <c r="A620" s="53"/>
      <c r="B620" s="53"/>
      <c r="C620" s="131"/>
      <c r="D620" s="131"/>
      <c r="E620" s="131"/>
      <c r="F620" s="131"/>
      <c r="G620" s="131"/>
      <c r="H620" s="131"/>
      <c r="I620" s="131"/>
      <c r="J620" s="132"/>
      <c r="K620" s="132"/>
      <c r="L620" s="131"/>
      <c r="M620" s="131"/>
      <c r="N620" s="131"/>
      <c r="O620" s="53"/>
      <c r="P620" s="53"/>
      <c r="Q620" s="53"/>
      <c r="R620" s="53"/>
      <c r="S620" s="53"/>
      <c r="T620" s="53"/>
      <c r="U620" s="53"/>
      <c r="V620" s="53"/>
      <c r="W620" s="53"/>
      <c r="X620" s="53"/>
      <c r="Y620" s="53"/>
      <c r="Z620" s="53"/>
      <c r="AA620" s="53"/>
      <c r="AB620" s="53"/>
      <c r="AC620" s="53"/>
    </row>
    <row r="621">
      <c r="A621" s="53"/>
      <c r="B621" s="53"/>
      <c r="C621" s="131"/>
      <c r="D621" s="131"/>
      <c r="E621" s="131"/>
      <c r="F621" s="131"/>
      <c r="G621" s="131"/>
      <c r="H621" s="131"/>
      <c r="I621" s="131"/>
      <c r="J621" s="132"/>
      <c r="K621" s="132"/>
      <c r="L621" s="131"/>
      <c r="M621" s="131"/>
      <c r="N621" s="131"/>
      <c r="O621" s="53"/>
      <c r="P621" s="53"/>
      <c r="Q621" s="53"/>
      <c r="R621" s="53"/>
      <c r="S621" s="53"/>
      <c r="T621" s="53"/>
      <c r="U621" s="53"/>
      <c r="V621" s="53"/>
      <c r="W621" s="53"/>
      <c r="X621" s="53"/>
      <c r="Y621" s="53"/>
      <c r="Z621" s="53"/>
      <c r="AA621" s="53"/>
      <c r="AB621" s="53"/>
      <c r="AC621" s="53"/>
    </row>
    <row r="622">
      <c r="A622" s="53"/>
      <c r="B622" s="53"/>
      <c r="C622" s="131"/>
      <c r="D622" s="131"/>
      <c r="E622" s="131"/>
      <c r="F622" s="131"/>
      <c r="G622" s="131"/>
      <c r="H622" s="131"/>
      <c r="I622" s="131"/>
      <c r="J622" s="132"/>
      <c r="K622" s="132"/>
      <c r="L622" s="131"/>
      <c r="M622" s="131"/>
      <c r="N622" s="131"/>
      <c r="O622" s="53"/>
      <c r="P622" s="53"/>
      <c r="Q622" s="53"/>
      <c r="R622" s="53"/>
      <c r="S622" s="53"/>
      <c r="T622" s="53"/>
      <c r="U622" s="53"/>
      <c r="V622" s="53"/>
      <c r="W622" s="53"/>
      <c r="X622" s="53"/>
      <c r="Y622" s="53"/>
      <c r="Z622" s="53"/>
      <c r="AA622" s="53"/>
      <c r="AB622" s="53"/>
      <c r="AC622" s="53"/>
    </row>
    <row r="623">
      <c r="A623" s="53"/>
      <c r="B623" s="53"/>
      <c r="C623" s="131"/>
      <c r="D623" s="131"/>
      <c r="E623" s="131"/>
      <c r="F623" s="131"/>
      <c r="G623" s="131"/>
      <c r="H623" s="131"/>
      <c r="I623" s="131"/>
      <c r="J623" s="132"/>
      <c r="K623" s="132"/>
      <c r="L623" s="131"/>
      <c r="M623" s="131"/>
      <c r="N623" s="131"/>
      <c r="O623" s="53"/>
      <c r="P623" s="53"/>
      <c r="Q623" s="53"/>
      <c r="R623" s="53"/>
      <c r="S623" s="53"/>
      <c r="T623" s="53"/>
      <c r="U623" s="53"/>
      <c r="V623" s="53"/>
      <c r="W623" s="53"/>
      <c r="X623" s="53"/>
      <c r="Y623" s="53"/>
      <c r="Z623" s="53"/>
      <c r="AA623" s="53"/>
      <c r="AB623" s="53"/>
      <c r="AC623" s="53"/>
    </row>
    <row r="624">
      <c r="A624" s="53"/>
      <c r="B624" s="53"/>
      <c r="C624" s="131"/>
      <c r="D624" s="131"/>
      <c r="E624" s="131"/>
      <c r="F624" s="131"/>
      <c r="G624" s="131"/>
      <c r="H624" s="131"/>
      <c r="I624" s="131"/>
      <c r="J624" s="132"/>
      <c r="K624" s="132"/>
      <c r="L624" s="131"/>
      <c r="M624" s="131"/>
      <c r="N624" s="131"/>
      <c r="O624" s="53"/>
      <c r="P624" s="53"/>
      <c r="Q624" s="53"/>
      <c r="R624" s="53"/>
      <c r="S624" s="53"/>
      <c r="T624" s="53"/>
      <c r="U624" s="53"/>
      <c r="V624" s="53"/>
      <c r="W624" s="53"/>
      <c r="X624" s="53"/>
      <c r="Y624" s="53"/>
      <c r="Z624" s="53"/>
      <c r="AA624" s="53"/>
      <c r="AB624" s="53"/>
      <c r="AC624" s="53"/>
    </row>
    <row r="625">
      <c r="A625" s="53"/>
      <c r="B625" s="53"/>
      <c r="C625" s="131"/>
      <c r="D625" s="131"/>
      <c r="E625" s="131"/>
      <c r="F625" s="131"/>
      <c r="G625" s="131"/>
      <c r="H625" s="131"/>
      <c r="I625" s="131"/>
      <c r="J625" s="132"/>
      <c r="K625" s="132"/>
      <c r="L625" s="131"/>
      <c r="M625" s="131"/>
      <c r="N625" s="131"/>
      <c r="O625" s="53"/>
      <c r="P625" s="53"/>
      <c r="Q625" s="53"/>
      <c r="R625" s="53"/>
      <c r="S625" s="53"/>
      <c r="T625" s="53"/>
      <c r="U625" s="53"/>
      <c r="V625" s="53"/>
      <c r="W625" s="53"/>
      <c r="X625" s="53"/>
      <c r="Y625" s="53"/>
      <c r="Z625" s="53"/>
      <c r="AA625" s="53"/>
      <c r="AB625" s="53"/>
      <c r="AC625" s="53"/>
    </row>
    <row r="626">
      <c r="A626" s="53"/>
      <c r="B626" s="53"/>
      <c r="C626" s="131"/>
      <c r="D626" s="131"/>
      <c r="E626" s="131"/>
      <c r="F626" s="131"/>
      <c r="G626" s="131"/>
      <c r="H626" s="131"/>
      <c r="I626" s="131"/>
      <c r="J626" s="132"/>
      <c r="K626" s="132"/>
      <c r="L626" s="131"/>
      <c r="M626" s="131"/>
      <c r="N626" s="131"/>
      <c r="O626" s="53"/>
      <c r="P626" s="53"/>
      <c r="Q626" s="53"/>
      <c r="R626" s="53"/>
      <c r="S626" s="53"/>
      <c r="T626" s="53"/>
      <c r="U626" s="53"/>
      <c r="V626" s="53"/>
      <c r="W626" s="53"/>
      <c r="X626" s="53"/>
      <c r="Y626" s="53"/>
      <c r="Z626" s="53"/>
      <c r="AA626" s="53"/>
      <c r="AB626" s="53"/>
      <c r="AC626" s="53"/>
    </row>
    <row r="627">
      <c r="A627" s="53"/>
      <c r="B627" s="53"/>
      <c r="C627" s="131"/>
      <c r="D627" s="131"/>
      <c r="E627" s="131"/>
      <c r="F627" s="131"/>
      <c r="G627" s="131"/>
      <c r="H627" s="131"/>
      <c r="I627" s="131"/>
      <c r="J627" s="132"/>
      <c r="K627" s="132"/>
      <c r="L627" s="131"/>
      <c r="M627" s="131"/>
      <c r="N627" s="131"/>
      <c r="O627" s="53"/>
      <c r="P627" s="53"/>
      <c r="Q627" s="53"/>
      <c r="R627" s="53"/>
      <c r="S627" s="53"/>
      <c r="T627" s="53"/>
      <c r="U627" s="53"/>
      <c r="V627" s="53"/>
      <c r="W627" s="53"/>
      <c r="X627" s="53"/>
      <c r="Y627" s="53"/>
      <c r="Z627" s="53"/>
      <c r="AA627" s="53"/>
      <c r="AB627" s="53"/>
      <c r="AC627" s="53"/>
    </row>
    <row r="628">
      <c r="A628" s="53"/>
      <c r="B628" s="53"/>
      <c r="C628" s="131"/>
      <c r="D628" s="131"/>
      <c r="E628" s="131"/>
      <c r="F628" s="131"/>
      <c r="G628" s="131"/>
      <c r="H628" s="131"/>
      <c r="I628" s="131"/>
      <c r="J628" s="132"/>
      <c r="K628" s="132"/>
      <c r="L628" s="131"/>
      <c r="M628" s="131"/>
      <c r="N628" s="131"/>
      <c r="O628" s="53"/>
      <c r="P628" s="53"/>
      <c r="Q628" s="53"/>
      <c r="R628" s="53"/>
      <c r="S628" s="53"/>
      <c r="T628" s="53"/>
      <c r="U628" s="53"/>
      <c r="V628" s="53"/>
      <c r="W628" s="53"/>
      <c r="X628" s="53"/>
      <c r="Y628" s="53"/>
      <c r="Z628" s="53"/>
      <c r="AA628" s="53"/>
      <c r="AB628" s="53"/>
      <c r="AC628" s="53"/>
    </row>
    <row r="629">
      <c r="A629" s="53"/>
      <c r="B629" s="53"/>
      <c r="C629" s="131"/>
      <c r="D629" s="131"/>
      <c r="E629" s="131"/>
      <c r="F629" s="131"/>
      <c r="G629" s="131"/>
      <c r="H629" s="131"/>
      <c r="I629" s="131"/>
      <c r="J629" s="132"/>
      <c r="K629" s="132"/>
      <c r="L629" s="131"/>
      <c r="M629" s="131"/>
      <c r="N629" s="131"/>
      <c r="O629" s="53"/>
      <c r="P629" s="53"/>
      <c r="Q629" s="53"/>
      <c r="R629" s="53"/>
      <c r="S629" s="53"/>
      <c r="T629" s="53"/>
      <c r="U629" s="53"/>
      <c r="V629" s="53"/>
      <c r="W629" s="53"/>
      <c r="X629" s="53"/>
      <c r="Y629" s="53"/>
      <c r="Z629" s="53"/>
      <c r="AA629" s="53"/>
      <c r="AB629" s="53"/>
      <c r="AC629" s="53"/>
    </row>
    <row r="630">
      <c r="A630" s="53"/>
      <c r="B630" s="53"/>
      <c r="C630" s="131"/>
      <c r="D630" s="131"/>
      <c r="E630" s="131"/>
      <c r="F630" s="131"/>
      <c r="G630" s="131"/>
      <c r="H630" s="131"/>
      <c r="I630" s="131"/>
      <c r="J630" s="132"/>
      <c r="K630" s="132"/>
      <c r="L630" s="131"/>
      <c r="M630" s="131"/>
      <c r="N630" s="131"/>
      <c r="O630" s="53"/>
      <c r="P630" s="53"/>
      <c r="Q630" s="53"/>
      <c r="R630" s="53"/>
      <c r="S630" s="53"/>
      <c r="T630" s="53"/>
      <c r="U630" s="53"/>
      <c r="V630" s="53"/>
      <c r="W630" s="53"/>
      <c r="X630" s="53"/>
      <c r="Y630" s="53"/>
      <c r="Z630" s="53"/>
      <c r="AA630" s="53"/>
      <c r="AB630" s="53"/>
      <c r="AC630" s="53"/>
    </row>
    <row r="631">
      <c r="A631" s="53"/>
      <c r="B631" s="53"/>
      <c r="C631" s="131"/>
      <c r="D631" s="131"/>
      <c r="E631" s="131"/>
      <c r="F631" s="131"/>
      <c r="G631" s="131"/>
      <c r="H631" s="131"/>
      <c r="I631" s="131"/>
      <c r="J631" s="132"/>
      <c r="K631" s="132"/>
      <c r="L631" s="131"/>
      <c r="M631" s="131"/>
      <c r="N631" s="131"/>
      <c r="O631" s="53"/>
      <c r="P631" s="53"/>
      <c r="Q631" s="53"/>
      <c r="R631" s="53"/>
      <c r="S631" s="53"/>
      <c r="T631" s="53"/>
      <c r="U631" s="53"/>
      <c r="V631" s="53"/>
      <c r="W631" s="53"/>
      <c r="X631" s="53"/>
      <c r="Y631" s="53"/>
      <c r="Z631" s="53"/>
      <c r="AA631" s="53"/>
      <c r="AB631" s="53"/>
      <c r="AC631" s="53"/>
    </row>
    <row r="632">
      <c r="A632" s="53"/>
      <c r="B632" s="53"/>
      <c r="C632" s="131"/>
      <c r="D632" s="131"/>
      <c r="E632" s="131"/>
      <c r="F632" s="131"/>
      <c r="G632" s="131"/>
      <c r="H632" s="131"/>
      <c r="I632" s="131"/>
      <c r="J632" s="132"/>
      <c r="K632" s="132"/>
      <c r="L632" s="131"/>
      <c r="M632" s="131"/>
      <c r="N632" s="131"/>
      <c r="O632" s="53"/>
      <c r="P632" s="53"/>
      <c r="Q632" s="53"/>
      <c r="R632" s="53"/>
      <c r="S632" s="53"/>
      <c r="T632" s="53"/>
      <c r="U632" s="53"/>
      <c r="V632" s="53"/>
      <c r="W632" s="53"/>
      <c r="X632" s="53"/>
      <c r="Y632" s="53"/>
      <c r="Z632" s="53"/>
      <c r="AA632" s="53"/>
      <c r="AB632" s="53"/>
      <c r="AC632" s="53"/>
    </row>
    <row r="633">
      <c r="A633" s="53"/>
      <c r="B633" s="53"/>
      <c r="C633" s="131"/>
      <c r="D633" s="131"/>
      <c r="E633" s="131"/>
      <c r="F633" s="131"/>
      <c r="G633" s="131"/>
      <c r="H633" s="131"/>
      <c r="I633" s="131"/>
      <c r="J633" s="132"/>
      <c r="K633" s="132"/>
      <c r="L633" s="131"/>
      <c r="M633" s="131"/>
      <c r="N633" s="131"/>
      <c r="O633" s="53"/>
      <c r="P633" s="53"/>
      <c r="Q633" s="53"/>
      <c r="R633" s="53"/>
      <c r="S633" s="53"/>
      <c r="T633" s="53"/>
      <c r="U633" s="53"/>
      <c r="V633" s="53"/>
      <c r="W633" s="53"/>
      <c r="X633" s="53"/>
      <c r="Y633" s="53"/>
      <c r="Z633" s="53"/>
      <c r="AA633" s="53"/>
      <c r="AB633" s="53"/>
      <c r="AC633" s="53"/>
    </row>
    <row r="634">
      <c r="A634" s="53"/>
      <c r="B634" s="53"/>
      <c r="C634" s="131"/>
      <c r="D634" s="131"/>
      <c r="E634" s="131"/>
      <c r="F634" s="131"/>
      <c r="G634" s="131"/>
      <c r="H634" s="131"/>
      <c r="I634" s="131"/>
      <c r="J634" s="132"/>
      <c r="K634" s="132"/>
      <c r="L634" s="131"/>
      <c r="M634" s="131"/>
      <c r="N634" s="131"/>
      <c r="O634" s="53"/>
      <c r="P634" s="53"/>
      <c r="Q634" s="53"/>
      <c r="R634" s="53"/>
      <c r="S634" s="53"/>
      <c r="T634" s="53"/>
      <c r="U634" s="53"/>
      <c r="V634" s="53"/>
      <c r="W634" s="53"/>
      <c r="X634" s="53"/>
      <c r="Y634" s="53"/>
      <c r="Z634" s="53"/>
      <c r="AA634" s="53"/>
      <c r="AB634" s="53"/>
      <c r="AC634" s="53"/>
    </row>
    <row r="635">
      <c r="A635" s="53"/>
      <c r="B635" s="53"/>
      <c r="C635" s="131"/>
      <c r="D635" s="131"/>
      <c r="E635" s="131"/>
      <c r="F635" s="131"/>
      <c r="G635" s="131"/>
      <c r="H635" s="131"/>
      <c r="I635" s="131"/>
      <c r="J635" s="132"/>
      <c r="K635" s="132"/>
      <c r="L635" s="131"/>
      <c r="M635" s="131"/>
      <c r="N635" s="131"/>
      <c r="O635" s="53"/>
      <c r="P635" s="53"/>
      <c r="Q635" s="53"/>
      <c r="R635" s="53"/>
      <c r="S635" s="53"/>
      <c r="T635" s="53"/>
      <c r="U635" s="53"/>
      <c r="V635" s="53"/>
      <c r="W635" s="53"/>
      <c r="X635" s="53"/>
      <c r="Y635" s="53"/>
      <c r="Z635" s="53"/>
      <c r="AA635" s="53"/>
      <c r="AB635" s="53"/>
      <c r="AC635" s="53"/>
    </row>
    <row r="636">
      <c r="A636" s="53"/>
      <c r="B636" s="53"/>
      <c r="C636" s="131"/>
      <c r="D636" s="131"/>
      <c r="E636" s="131"/>
      <c r="F636" s="131"/>
      <c r="G636" s="131"/>
      <c r="H636" s="131"/>
      <c r="I636" s="131"/>
      <c r="J636" s="132"/>
      <c r="K636" s="132"/>
      <c r="L636" s="131"/>
      <c r="M636" s="131"/>
      <c r="N636" s="131"/>
      <c r="O636" s="53"/>
      <c r="P636" s="53"/>
      <c r="Q636" s="53"/>
      <c r="R636" s="53"/>
      <c r="S636" s="53"/>
      <c r="T636" s="53"/>
      <c r="U636" s="53"/>
      <c r="V636" s="53"/>
      <c r="W636" s="53"/>
      <c r="X636" s="53"/>
      <c r="Y636" s="53"/>
      <c r="Z636" s="53"/>
      <c r="AA636" s="53"/>
      <c r="AB636" s="53"/>
      <c r="AC636" s="53"/>
    </row>
    <row r="637">
      <c r="A637" s="53"/>
      <c r="B637" s="53"/>
      <c r="C637" s="131"/>
      <c r="D637" s="131"/>
      <c r="E637" s="131"/>
      <c r="F637" s="131"/>
      <c r="G637" s="131"/>
      <c r="H637" s="131"/>
      <c r="I637" s="131"/>
      <c r="J637" s="132"/>
      <c r="K637" s="132"/>
      <c r="L637" s="131"/>
      <c r="M637" s="131"/>
      <c r="N637" s="131"/>
      <c r="O637" s="53"/>
      <c r="P637" s="53"/>
      <c r="Q637" s="53"/>
      <c r="R637" s="53"/>
      <c r="S637" s="53"/>
      <c r="T637" s="53"/>
      <c r="U637" s="53"/>
      <c r="V637" s="53"/>
      <c r="W637" s="53"/>
      <c r="X637" s="53"/>
      <c r="Y637" s="53"/>
      <c r="Z637" s="53"/>
      <c r="AA637" s="53"/>
      <c r="AB637" s="53"/>
      <c r="AC637" s="53"/>
    </row>
    <row r="638">
      <c r="A638" s="53"/>
      <c r="B638" s="53"/>
      <c r="C638" s="131"/>
      <c r="D638" s="131"/>
      <c r="E638" s="131"/>
      <c r="F638" s="131"/>
      <c r="G638" s="131"/>
      <c r="H638" s="131"/>
      <c r="I638" s="131"/>
      <c r="J638" s="132"/>
      <c r="K638" s="132"/>
      <c r="L638" s="131"/>
      <c r="M638" s="131"/>
      <c r="N638" s="131"/>
      <c r="O638" s="53"/>
      <c r="P638" s="53"/>
      <c r="Q638" s="53"/>
      <c r="R638" s="53"/>
      <c r="S638" s="53"/>
      <c r="T638" s="53"/>
      <c r="U638" s="53"/>
      <c r="V638" s="53"/>
      <c r="W638" s="53"/>
      <c r="X638" s="53"/>
      <c r="Y638" s="53"/>
      <c r="Z638" s="53"/>
      <c r="AA638" s="53"/>
      <c r="AB638" s="53"/>
      <c r="AC638" s="53"/>
    </row>
    <row r="639">
      <c r="A639" s="53"/>
      <c r="B639" s="53"/>
      <c r="C639" s="131"/>
      <c r="D639" s="131"/>
      <c r="E639" s="131"/>
      <c r="F639" s="131"/>
      <c r="G639" s="131"/>
      <c r="H639" s="131"/>
      <c r="I639" s="131"/>
      <c r="J639" s="132"/>
      <c r="K639" s="132"/>
      <c r="L639" s="131"/>
      <c r="M639" s="131"/>
      <c r="N639" s="131"/>
      <c r="O639" s="53"/>
      <c r="P639" s="53"/>
      <c r="Q639" s="53"/>
      <c r="R639" s="53"/>
      <c r="S639" s="53"/>
      <c r="T639" s="53"/>
      <c r="U639" s="53"/>
      <c r="V639" s="53"/>
      <c r="W639" s="53"/>
      <c r="X639" s="53"/>
      <c r="Y639" s="53"/>
      <c r="Z639" s="53"/>
      <c r="AA639" s="53"/>
      <c r="AB639" s="53"/>
      <c r="AC639" s="53"/>
    </row>
    <row r="640">
      <c r="A640" s="53"/>
      <c r="B640" s="53"/>
      <c r="C640" s="131"/>
      <c r="D640" s="131"/>
      <c r="E640" s="131"/>
      <c r="F640" s="131"/>
      <c r="G640" s="131"/>
      <c r="H640" s="131"/>
      <c r="I640" s="131"/>
      <c r="J640" s="132"/>
      <c r="K640" s="132"/>
      <c r="L640" s="131"/>
      <c r="M640" s="131"/>
      <c r="N640" s="131"/>
      <c r="O640" s="53"/>
      <c r="P640" s="53"/>
      <c r="Q640" s="53"/>
      <c r="R640" s="53"/>
      <c r="S640" s="53"/>
      <c r="T640" s="53"/>
      <c r="U640" s="53"/>
      <c r="V640" s="53"/>
      <c r="W640" s="53"/>
      <c r="X640" s="53"/>
      <c r="Y640" s="53"/>
      <c r="Z640" s="53"/>
      <c r="AA640" s="53"/>
      <c r="AB640" s="53"/>
      <c r="AC640" s="53"/>
    </row>
    <row r="641">
      <c r="A641" s="53"/>
      <c r="B641" s="53"/>
      <c r="C641" s="131"/>
      <c r="D641" s="131"/>
      <c r="E641" s="131"/>
      <c r="F641" s="131"/>
      <c r="G641" s="131"/>
      <c r="H641" s="131"/>
      <c r="I641" s="131"/>
      <c r="J641" s="132"/>
      <c r="K641" s="132"/>
      <c r="L641" s="131"/>
      <c r="M641" s="131"/>
      <c r="N641" s="131"/>
      <c r="O641" s="53"/>
      <c r="P641" s="53"/>
      <c r="Q641" s="53"/>
      <c r="R641" s="53"/>
      <c r="S641" s="53"/>
      <c r="T641" s="53"/>
      <c r="U641" s="53"/>
      <c r="V641" s="53"/>
      <c r="W641" s="53"/>
      <c r="X641" s="53"/>
      <c r="Y641" s="53"/>
      <c r="Z641" s="53"/>
      <c r="AA641" s="53"/>
      <c r="AB641" s="53"/>
      <c r="AC641" s="53"/>
    </row>
    <row r="642">
      <c r="A642" s="53"/>
      <c r="B642" s="53"/>
      <c r="C642" s="131"/>
      <c r="D642" s="131"/>
      <c r="E642" s="131"/>
      <c r="F642" s="131"/>
      <c r="G642" s="131"/>
      <c r="H642" s="131"/>
      <c r="I642" s="131"/>
      <c r="J642" s="132"/>
      <c r="K642" s="132"/>
      <c r="L642" s="131"/>
      <c r="M642" s="131"/>
      <c r="N642" s="131"/>
      <c r="O642" s="53"/>
      <c r="P642" s="53"/>
      <c r="Q642" s="53"/>
      <c r="R642" s="53"/>
      <c r="S642" s="53"/>
      <c r="T642" s="53"/>
      <c r="U642" s="53"/>
      <c r="V642" s="53"/>
      <c r="W642" s="53"/>
      <c r="X642" s="53"/>
      <c r="Y642" s="53"/>
      <c r="Z642" s="53"/>
      <c r="AA642" s="53"/>
      <c r="AB642" s="53"/>
      <c r="AC642" s="53"/>
    </row>
    <row r="643">
      <c r="A643" s="53"/>
      <c r="B643" s="53"/>
      <c r="C643" s="131"/>
      <c r="D643" s="131"/>
      <c r="E643" s="131"/>
      <c r="F643" s="131"/>
      <c r="G643" s="131"/>
      <c r="H643" s="131"/>
      <c r="I643" s="131"/>
      <c r="J643" s="132"/>
      <c r="K643" s="132"/>
      <c r="L643" s="131"/>
      <c r="M643" s="131"/>
      <c r="N643" s="131"/>
      <c r="O643" s="53"/>
      <c r="P643" s="53"/>
      <c r="Q643" s="53"/>
      <c r="R643" s="53"/>
      <c r="S643" s="53"/>
      <c r="T643" s="53"/>
      <c r="U643" s="53"/>
      <c r="V643" s="53"/>
      <c r="W643" s="53"/>
      <c r="X643" s="53"/>
      <c r="Y643" s="53"/>
      <c r="Z643" s="53"/>
      <c r="AA643" s="53"/>
      <c r="AB643" s="53"/>
      <c r="AC643" s="53"/>
    </row>
    <row r="644">
      <c r="A644" s="53"/>
      <c r="B644" s="53"/>
      <c r="C644" s="131"/>
      <c r="D644" s="131"/>
      <c r="E644" s="131"/>
      <c r="F644" s="131"/>
      <c r="G644" s="131"/>
      <c r="H644" s="131"/>
      <c r="I644" s="131"/>
      <c r="J644" s="132"/>
      <c r="K644" s="132"/>
      <c r="L644" s="131"/>
      <c r="M644" s="131"/>
      <c r="N644" s="131"/>
      <c r="O644" s="53"/>
      <c r="P644" s="53"/>
      <c r="Q644" s="53"/>
      <c r="R644" s="53"/>
      <c r="S644" s="53"/>
      <c r="T644" s="53"/>
      <c r="U644" s="53"/>
      <c r="V644" s="53"/>
      <c r="W644" s="53"/>
      <c r="X644" s="53"/>
      <c r="Y644" s="53"/>
      <c r="Z644" s="53"/>
      <c r="AA644" s="53"/>
      <c r="AB644" s="53"/>
      <c r="AC644" s="53"/>
    </row>
    <row r="645">
      <c r="A645" s="53"/>
      <c r="B645" s="53"/>
      <c r="C645" s="131"/>
      <c r="D645" s="131"/>
      <c r="E645" s="131"/>
      <c r="F645" s="131"/>
      <c r="G645" s="131"/>
      <c r="H645" s="131"/>
      <c r="I645" s="131"/>
      <c r="J645" s="132"/>
      <c r="K645" s="132"/>
      <c r="L645" s="131"/>
      <c r="M645" s="131"/>
      <c r="N645" s="131"/>
      <c r="O645" s="53"/>
      <c r="P645" s="53"/>
      <c r="Q645" s="53"/>
      <c r="R645" s="53"/>
      <c r="S645" s="53"/>
      <c r="T645" s="53"/>
      <c r="U645" s="53"/>
      <c r="V645" s="53"/>
      <c r="W645" s="53"/>
      <c r="X645" s="53"/>
      <c r="Y645" s="53"/>
      <c r="Z645" s="53"/>
      <c r="AA645" s="53"/>
      <c r="AB645" s="53"/>
      <c r="AC645" s="53"/>
    </row>
    <row r="646">
      <c r="A646" s="53"/>
      <c r="B646" s="53"/>
      <c r="C646" s="131"/>
      <c r="D646" s="131"/>
      <c r="E646" s="131"/>
      <c r="F646" s="131"/>
      <c r="G646" s="131"/>
      <c r="H646" s="131"/>
      <c r="I646" s="131"/>
      <c r="J646" s="132"/>
      <c r="K646" s="132"/>
      <c r="L646" s="131"/>
      <c r="M646" s="131"/>
      <c r="N646" s="131"/>
      <c r="O646" s="53"/>
      <c r="P646" s="53"/>
      <c r="Q646" s="53"/>
      <c r="R646" s="53"/>
      <c r="S646" s="53"/>
      <c r="T646" s="53"/>
      <c r="U646" s="53"/>
      <c r="V646" s="53"/>
      <c r="W646" s="53"/>
      <c r="X646" s="53"/>
      <c r="Y646" s="53"/>
      <c r="Z646" s="53"/>
      <c r="AA646" s="53"/>
      <c r="AB646" s="53"/>
      <c r="AC646" s="53"/>
    </row>
    <row r="647">
      <c r="A647" s="53"/>
      <c r="B647" s="53"/>
      <c r="C647" s="131"/>
      <c r="D647" s="131"/>
      <c r="E647" s="131"/>
      <c r="F647" s="131"/>
      <c r="G647" s="131"/>
      <c r="H647" s="131"/>
      <c r="I647" s="131"/>
      <c r="J647" s="132"/>
      <c r="K647" s="132"/>
      <c r="L647" s="131"/>
      <c r="M647" s="131"/>
      <c r="N647" s="131"/>
      <c r="O647" s="53"/>
      <c r="P647" s="53"/>
      <c r="Q647" s="53"/>
      <c r="R647" s="53"/>
      <c r="S647" s="53"/>
      <c r="T647" s="53"/>
      <c r="U647" s="53"/>
      <c r="V647" s="53"/>
      <c r="W647" s="53"/>
      <c r="X647" s="53"/>
      <c r="Y647" s="53"/>
      <c r="Z647" s="53"/>
      <c r="AA647" s="53"/>
      <c r="AB647" s="53"/>
      <c r="AC647" s="53"/>
    </row>
    <row r="648">
      <c r="A648" s="53"/>
      <c r="B648" s="53"/>
      <c r="C648" s="131"/>
      <c r="D648" s="131"/>
      <c r="E648" s="131"/>
      <c r="F648" s="131"/>
      <c r="G648" s="131"/>
      <c r="H648" s="131"/>
      <c r="I648" s="131"/>
      <c r="J648" s="132"/>
      <c r="K648" s="132"/>
      <c r="L648" s="131"/>
      <c r="M648" s="131"/>
      <c r="N648" s="131"/>
      <c r="O648" s="53"/>
      <c r="P648" s="53"/>
      <c r="Q648" s="53"/>
      <c r="R648" s="53"/>
      <c r="S648" s="53"/>
      <c r="T648" s="53"/>
      <c r="U648" s="53"/>
      <c r="V648" s="53"/>
      <c r="W648" s="53"/>
      <c r="X648" s="53"/>
      <c r="Y648" s="53"/>
      <c r="Z648" s="53"/>
      <c r="AA648" s="53"/>
      <c r="AB648" s="53"/>
      <c r="AC648" s="53"/>
    </row>
    <row r="649">
      <c r="A649" s="53"/>
      <c r="B649" s="53"/>
      <c r="C649" s="131"/>
      <c r="D649" s="131"/>
      <c r="E649" s="131"/>
      <c r="F649" s="131"/>
      <c r="G649" s="131"/>
      <c r="H649" s="131"/>
      <c r="I649" s="131"/>
      <c r="J649" s="132"/>
      <c r="K649" s="132"/>
      <c r="L649" s="131"/>
      <c r="M649" s="131"/>
      <c r="N649" s="131"/>
      <c r="O649" s="53"/>
      <c r="P649" s="53"/>
      <c r="Q649" s="53"/>
      <c r="R649" s="53"/>
      <c r="S649" s="53"/>
      <c r="T649" s="53"/>
      <c r="U649" s="53"/>
      <c r="V649" s="53"/>
      <c r="W649" s="53"/>
      <c r="X649" s="53"/>
      <c r="Y649" s="53"/>
      <c r="Z649" s="53"/>
      <c r="AA649" s="53"/>
      <c r="AB649" s="53"/>
      <c r="AC649" s="53"/>
    </row>
    <row r="650">
      <c r="A650" s="53"/>
      <c r="B650" s="53"/>
      <c r="C650" s="131"/>
      <c r="D650" s="131"/>
      <c r="E650" s="131"/>
      <c r="F650" s="131"/>
      <c r="G650" s="131"/>
      <c r="H650" s="131"/>
      <c r="I650" s="131"/>
      <c r="J650" s="132"/>
      <c r="K650" s="132"/>
      <c r="L650" s="131"/>
      <c r="M650" s="131"/>
      <c r="N650" s="131"/>
      <c r="O650" s="53"/>
      <c r="P650" s="53"/>
      <c r="Q650" s="53"/>
      <c r="R650" s="53"/>
      <c r="S650" s="53"/>
      <c r="T650" s="53"/>
      <c r="U650" s="53"/>
      <c r="V650" s="53"/>
      <c r="W650" s="53"/>
      <c r="X650" s="53"/>
      <c r="Y650" s="53"/>
      <c r="Z650" s="53"/>
      <c r="AA650" s="53"/>
      <c r="AB650" s="53"/>
      <c r="AC650" s="53"/>
    </row>
    <row r="651">
      <c r="A651" s="53"/>
      <c r="B651" s="53"/>
      <c r="C651" s="131"/>
      <c r="D651" s="131"/>
      <c r="E651" s="131"/>
      <c r="F651" s="131"/>
      <c r="G651" s="131"/>
      <c r="H651" s="131"/>
      <c r="I651" s="131"/>
      <c r="J651" s="132"/>
      <c r="K651" s="132"/>
      <c r="L651" s="131"/>
      <c r="M651" s="131"/>
      <c r="N651" s="131"/>
      <c r="O651" s="53"/>
      <c r="P651" s="53"/>
      <c r="Q651" s="53"/>
      <c r="R651" s="53"/>
      <c r="S651" s="53"/>
      <c r="T651" s="53"/>
      <c r="U651" s="53"/>
      <c r="V651" s="53"/>
      <c r="W651" s="53"/>
      <c r="X651" s="53"/>
      <c r="Y651" s="53"/>
      <c r="Z651" s="53"/>
      <c r="AA651" s="53"/>
      <c r="AB651" s="53"/>
      <c r="AC651" s="53"/>
    </row>
    <row r="652">
      <c r="A652" s="53"/>
      <c r="B652" s="53"/>
      <c r="C652" s="131"/>
      <c r="D652" s="131"/>
      <c r="E652" s="131"/>
      <c r="F652" s="131"/>
      <c r="G652" s="131"/>
      <c r="H652" s="131"/>
      <c r="I652" s="131"/>
      <c r="J652" s="132"/>
      <c r="K652" s="132"/>
      <c r="L652" s="131"/>
      <c r="M652" s="131"/>
      <c r="N652" s="131"/>
      <c r="O652" s="53"/>
      <c r="P652" s="53"/>
      <c r="Q652" s="53"/>
      <c r="R652" s="53"/>
      <c r="S652" s="53"/>
      <c r="T652" s="53"/>
      <c r="U652" s="53"/>
      <c r="V652" s="53"/>
      <c r="W652" s="53"/>
      <c r="X652" s="53"/>
      <c r="Y652" s="53"/>
      <c r="Z652" s="53"/>
      <c r="AA652" s="53"/>
      <c r="AB652" s="53"/>
      <c r="AC652" s="53"/>
    </row>
    <row r="653">
      <c r="A653" s="53"/>
      <c r="B653" s="53"/>
      <c r="C653" s="131"/>
      <c r="D653" s="131"/>
      <c r="E653" s="131"/>
      <c r="F653" s="131"/>
      <c r="G653" s="131"/>
      <c r="H653" s="131"/>
      <c r="I653" s="131"/>
      <c r="J653" s="132"/>
      <c r="K653" s="132"/>
      <c r="L653" s="131"/>
      <c r="M653" s="131"/>
      <c r="N653" s="131"/>
      <c r="O653" s="53"/>
      <c r="P653" s="53"/>
      <c r="Q653" s="53"/>
      <c r="R653" s="53"/>
      <c r="S653" s="53"/>
      <c r="T653" s="53"/>
      <c r="U653" s="53"/>
      <c r="V653" s="53"/>
      <c r="W653" s="53"/>
      <c r="X653" s="53"/>
      <c r="Y653" s="53"/>
      <c r="Z653" s="53"/>
      <c r="AA653" s="53"/>
      <c r="AB653" s="53"/>
      <c r="AC653" s="53"/>
    </row>
    <row r="654">
      <c r="A654" s="53"/>
      <c r="B654" s="53"/>
      <c r="C654" s="131"/>
      <c r="D654" s="131"/>
      <c r="E654" s="131"/>
      <c r="F654" s="131"/>
      <c r="G654" s="131"/>
      <c r="H654" s="131"/>
      <c r="I654" s="131"/>
      <c r="J654" s="132"/>
      <c r="K654" s="132"/>
      <c r="L654" s="131"/>
      <c r="M654" s="131"/>
      <c r="N654" s="131"/>
      <c r="O654" s="53"/>
      <c r="P654" s="53"/>
      <c r="Q654" s="53"/>
      <c r="R654" s="53"/>
      <c r="S654" s="53"/>
      <c r="T654" s="53"/>
      <c r="U654" s="53"/>
      <c r="V654" s="53"/>
      <c r="W654" s="53"/>
      <c r="X654" s="53"/>
      <c r="Y654" s="53"/>
      <c r="Z654" s="53"/>
      <c r="AA654" s="53"/>
      <c r="AB654" s="53"/>
      <c r="AC654" s="53"/>
    </row>
    <row r="655">
      <c r="A655" s="53"/>
      <c r="B655" s="53"/>
      <c r="C655" s="131"/>
      <c r="D655" s="131"/>
      <c r="E655" s="131"/>
      <c r="F655" s="131"/>
      <c r="G655" s="131"/>
      <c r="H655" s="131"/>
      <c r="I655" s="131"/>
      <c r="J655" s="132"/>
      <c r="K655" s="132"/>
      <c r="L655" s="131"/>
      <c r="M655" s="131"/>
      <c r="N655" s="131"/>
      <c r="O655" s="53"/>
      <c r="P655" s="53"/>
      <c r="Q655" s="53"/>
      <c r="R655" s="53"/>
      <c r="S655" s="53"/>
      <c r="T655" s="53"/>
      <c r="U655" s="53"/>
      <c r="V655" s="53"/>
      <c r="W655" s="53"/>
      <c r="X655" s="53"/>
      <c r="Y655" s="53"/>
      <c r="Z655" s="53"/>
      <c r="AA655" s="53"/>
      <c r="AB655" s="53"/>
      <c r="AC655" s="53"/>
    </row>
    <row r="656">
      <c r="A656" s="53"/>
      <c r="B656" s="53"/>
      <c r="C656" s="131"/>
      <c r="D656" s="131"/>
      <c r="E656" s="131"/>
      <c r="F656" s="131"/>
      <c r="G656" s="131"/>
      <c r="H656" s="131"/>
      <c r="I656" s="131"/>
      <c r="J656" s="132"/>
      <c r="K656" s="132"/>
      <c r="L656" s="131"/>
      <c r="M656" s="131"/>
      <c r="N656" s="131"/>
      <c r="O656" s="53"/>
      <c r="P656" s="53"/>
      <c r="Q656" s="53"/>
      <c r="R656" s="53"/>
      <c r="S656" s="53"/>
      <c r="T656" s="53"/>
      <c r="U656" s="53"/>
      <c r="V656" s="53"/>
      <c r="W656" s="53"/>
      <c r="X656" s="53"/>
      <c r="Y656" s="53"/>
      <c r="Z656" s="53"/>
      <c r="AA656" s="53"/>
      <c r="AB656" s="53"/>
      <c r="AC656" s="53"/>
    </row>
    <row r="657">
      <c r="A657" s="53"/>
      <c r="B657" s="53"/>
      <c r="C657" s="131"/>
      <c r="D657" s="131"/>
      <c r="E657" s="131"/>
      <c r="F657" s="131"/>
      <c r="G657" s="131"/>
      <c r="H657" s="131"/>
      <c r="I657" s="131"/>
      <c r="J657" s="132"/>
      <c r="K657" s="132"/>
      <c r="L657" s="131"/>
      <c r="M657" s="131"/>
      <c r="N657" s="131"/>
      <c r="O657" s="53"/>
      <c r="P657" s="53"/>
      <c r="Q657" s="53"/>
      <c r="R657" s="53"/>
      <c r="S657" s="53"/>
      <c r="T657" s="53"/>
      <c r="U657" s="53"/>
      <c r="V657" s="53"/>
      <c r="W657" s="53"/>
      <c r="X657" s="53"/>
      <c r="Y657" s="53"/>
      <c r="Z657" s="53"/>
      <c r="AA657" s="53"/>
      <c r="AB657" s="53"/>
      <c r="AC657" s="53"/>
    </row>
    <row r="658">
      <c r="A658" s="53"/>
      <c r="B658" s="53"/>
      <c r="C658" s="131"/>
      <c r="D658" s="131"/>
      <c r="E658" s="131"/>
      <c r="F658" s="131"/>
      <c r="G658" s="131"/>
      <c r="H658" s="131"/>
      <c r="I658" s="131"/>
      <c r="J658" s="132"/>
      <c r="K658" s="132"/>
      <c r="L658" s="131"/>
      <c r="M658" s="131"/>
      <c r="N658" s="131"/>
      <c r="O658" s="53"/>
      <c r="P658" s="53"/>
      <c r="Q658" s="53"/>
      <c r="R658" s="53"/>
      <c r="S658" s="53"/>
      <c r="T658" s="53"/>
      <c r="U658" s="53"/>
      <c r="V658" s="53"/>
      <c r="W658" s="53"/>
      <c r="X658" s="53"/>
      <c r="Y658" s="53"/>
      <c r="Z658" s="53"/>
      <c r="AA658" s="53"/>
      <c r="AB658" s="53"/>
      <c r="AC658" s="53"/>
    </row>
    <row r="659">
      <c r="A659" s="53"/>
      <c r="B659" s="53"/>
      <c r="C659" s="131"/>
      <c r="D659" s="131"/>
      <c r="E659" s="131"/>
      <c r="F659" s="131"/>
      <c r="G659" s="131"/>
      <c r="H659" s="131"/>
      <c r="I659" s="131"/>
      <c r="J659" s="132"/>
      <c r="K659" s="132"/>
      <c r="L659" s="131"/>
      <c r="M659" s="131"/>
      <c r="N659" s="131"/>
      <c r="O659" s="53"/>
      <c r="P659" s="53"/>
      <c r="Q659" s="53"/>
      <c r="R659" s="53"/>
      <c r="S659" s="53"/>
      <c r="T659" s="53"/>
      <c r="U659" s="53"/>
      <c r="V659" s="53"/>
      <c r="W659" s="53"/>
      <c r="X659" s="53"/>
      <c r="Y659" s="53"/>
      <c r="Z659" s="53"/>
      <c r="AA659" s="53"/>
      <c r="AB659" s="53"/>
      <c r="AC659" s="53"/>
    </row>
    <row r="660">
      <c r="A660" s="53"/>
      <c r="B660" s="53"/>
      <c r="C660" s="131"/>
      <c r="D660" s="131"/>
      <c r="E660" s="131"/>
      <c r="F660" s="131"/>
      <c r="G660" s="131"/>
      <c r="H660" s="131"/>
      <c r="I660" s="131"/>
      <c r="J660" s="132"/>
      <c r="K660" s="132"/>
      <c r="L660" s="131"/>
      <c r="M660" s="131"/>
      <c r="N660" s="131"/>
      <c r="O660" s="53"/>
      <c r="P660" s="53"/>
      <c r="Q660" s="53"/>
      <c r="R660" s="53"/>
      <c r="S660" s="53"/>
      <c r="T660" s="53"/>
      <c r="U660" s="53"/>
      <c r="V660" s="53"/>
      <c r="W660" s="53"/>
      <c r="X660" s="53"/>
      <c r="Y660" s="53"/>
      <c r="Z660" s="53"/>
      <c r="AA660" s="53"/>
      <c r="AB660" s="53"/>
      <c r="AC660" s="53"/>
    </row>
    <row r="661">
      <c r="A661" s="53"/>
      <c r="B661" s="53"/>
      <c r="C661" s="131"/>
      <c r="D661" s="131"/>
      <c r="E661" s="131"/>
      <c r="F661" s="131"/>
      <c r="G661" s="131"/>
      <c r="H661" s="131"/>
      <c r="I661" s="131"/>
      <c r="J661" s="132"/>
      <c r="K661" s="132"/>
      <c r="L661" s="131"/>
      <c r="M661" s="131"/>
      <c r="N661" s="131"/>
      <c r="O661" s="53"/>
      <c r="P661" s="53"/>
      <c r="Q661" s="53"/>
      <c r="R661" s="53"/>
      <c r="S661" s="53"/>
      <c r="T661" s="53"/>
      <c r="U661" s="53"/>
      <c r="V661" s="53"/>
      <c r="W661" s="53"/>
      <c r="X661" s="53"/>
      <c r="Y661" s="53"/>
      <c r="Z661" s="53"/>
      <c r="AA661" s="53"/>
      <c r="AB661" s="53"/>
      <c r="AC661" s="53"/>
    </row>
    <row r="662">
      <c r="A662" s="53"/>
      <c r="B662" s="53"/>
      <c r="C662" s="131"/>
      <c r="D662" s="131"/>
      <c r="E662" s="131"/>
      <c r="F662" s="131"/>
      <c r="G662" s="131"/>
      <c r="H662" s="131"/>
      <c r="I662" s="131"/>
      <c r="J662" s="132"/>
      <c r="K662" s="132"/>
      <c r="L662" s="131"/>
      <c r="M662" s="131"/>
      <c r="N662" s="131"/>
      <c r="O662" s="53"/>
      <c r="P662" s="53"/>
      <c r="Q662" s="53"/>
      <c r="R662" s="53"/>
      <c r="S662" s="53"/>
      <c r="T662" s="53"/>
      <c r="U662" s="53"/>
      <c r="V662" s="53"/>
      <c r="W662" s="53"/>
      <c r="X662" s="53"/>
      <c r="Y662" s="53"/>
      <c r="Z662" s="53"/>
      <c r="AA662" s="53"/>
      <c r="AB662" s="53"/>
      <c r="AC662" s="53"/>
    </row>
    <row r="663">
      <c r="A663" s="53"/>
      <c r="B663" s="53"/>
      <c r="C663" s="131"/>
      <c r="D663" s="131"/>
      <c r="E663" s="131"/>
      <c r="F663" s="131"/>
      <c r="G663" s="131"/>
      <c r="H663" s="131"/>
      <c r="I663" s="131"/>
      <c r="J663" s="132"/>
      <c r="K663" s="132"/>
      <c r="L663" s="131"/>
      <c r="M663" s="131"/>
      <c r="N663" s="131"/>
      <c r="O663" s="53"/>
      <c r="P663" s="53"/>
      <c r="Q663" s="53"/>
      <c r="R663" s="53"/>
      <c r="S663" s="53"/>
      <c r="T663" s="53"/>
      <c r="U663" s="53"/>
      <c r="V663" s="53"/>
      <c r="W663" s="53"/>
      <c r="X663" s="53"/>
      <c r="Y663" s="53"/>
      <c r="Z663" s="53"/>
      <c r="AA663" s="53"/>
      <c r="AB663" s="53"/>
      <c r="AC663" s="53"/>
    </row>
    <row r="664">
      <c r="A664" s="53"/>
      <c r="B664" s="53"/>
      <c r="C664" s="131"/>
      <c r="D664" s="131"/>
      <c r="E664" s="131"/>
      <c r="F664" s="131"/>
      <c r="G664" s="131"/>
      <c r="H664" s="131"/>
      <c r="I664" s="131"/>
      <c r="J664" s="132"/>
      <c r="K664" s="132"/>
      <c r="L664" s="131"/>
      <c r="M664" s="131"/>
      <c r="N664" s="131"/>
      <c r="O664" s="53"/>
      <c r="P664" s="53"/>
      <c r="Q664" s="53"/>
      <c r="R664" s="53"/>
      <c r="S664" s="53"/>
      <c r="T664" s="53"/>
      <c r="U664" s="53"/>
      <c r="V664" s="53"/>
      <c r="W664" s="53"/>
      <c r="X664" s="53"/>
      <c r="Y664" s="53"/>
      <c r="Z664" s="53"/>
      <c r="AA664" s="53"/>
      <c r="AB664" s="53"/>
      <c r="AC664" s="53"/>
    </row>
    <row r="665">
      <c r="A665" s="53"/>
      <c r="B665" s="53"/>
      <c r="C665" s="131"/>
      <c r="D665" s="131"/>
      <c r="E665" s="131"/>
      <c r="F665" s="131"/>
      <c r="G665" s="131"/>
      <c r="H665" s="131"/>
      <c r="I665" s="131"/>
      <c r="J665" s="132"/>
      <c r="K665" s="132"/>
      <c r="L665" s="131"/>
      <c r="M665" s="131"/>
      <c r="N665" s="131"/>
      <c r="O665" s="53"/>
      <c r="P665" s="53"/>
      <c r="Q665" s="53"/>
      <c r="R665" s="53"/>
      <c r="S665" s="53"/>
      <c r="T665" s="53"/>
      <c r="U665" s="53"/>
      <c r="V665" s="53"/>
      <c r="W665" s="53"/>
      <c r="X665" s="53"/>
      <c r="Y665" s="53"/>
      <c r="Z665" s="53"/>
      <c r="AA665" s="53"/>
      <c r="AB665" s="53"/>
      <c r="AC665" s="53"/>
    </row>
    <row r="666">
      <c r="A666" s="53"/>
      <c r="B666" s="53"/>
      <c r="C666" s="131"/>
      <c r="D666" s="131"/>
      <c r="E666" s="131"/>
      <c r="F666" s="131"/>
      <c r="G666" s="131"/>
      <c r="H666" s="131"/>
      <c r="I666" s="131"/>
      <c r="J666" s="132"/>
      <c r="K666" s="132"/>
      <c r="L666" s="131"/>
      <c r="M666" s="131"/>
      <c r="N666" s="131"/>
      <c r="O666" s="53"/>
      <c r="P666" s="53"/>
      <c r="Q666" s="53"/>
      <c r="R666" s="53"/>
      <c r="S666" s="53"/>
      <c r="T666" s="53"/>
      <c r="U666" s="53"/>
      <c r="V666" s="53"/>
      <c r="W666" s="53"/>
      <c r="X666" s="53"/>
      <c r="Y666" s="53"/>
      <c r="Z666" s="53"/>
      <c r="AA666" s="53"/>
      <c r="AB666" s="53"/>
      <c r="AC666" s="53"/>
    </row>
    <row r="667">
      <c r="A667" s="53"/>
      <c r="B667" s="53"/>
      <c r="C667" s="131"/>
      <c r="D667" s="131"/>
      <c r="E667" s="131"/>
      <c r="F667" s="131"/>
      <c r="G667" s="131"/>
      <c r="H667" s="131"/>
      <c r="I667" s="131"/>
      <c r="J667" s="132"/>
      <c r="K667" s="132"/>
      <c r="L667" s="131"/>
      <c r="M667" s="131"/>
      <c r="N667" s="131"/>
      <c r="O667" s="53"/>
      <c r="P667" s="53"/>
      <c r="Q667" s="53"/>
      <c r="R667" s="53"/>
      <c r="S667" s="53"/>
      <c r="T667" s="53"/>
      <c r="U667" s="53"/>
      <c r="V667" s="53"/>
      <c r="W667" s="53"/>
      <c r="X667" s="53"/>
      <c r="Y667" s="53"/>
      <c r="Z667" s="53"/>
      <c r="AA667" s="53"/>
      <c r="AB667" s="53"/>
      <c r="AC667" s="53"/>
    </row>
    <row r="668">
      <c r="A668" s="53"/>
      <c r="B668" s="53"/>
      <c r="C668" s="131"/>
      <c r="D668" s="131"/>
      <c r="E668" s="131"/>
      <c r="F668" s="131"/>
      <c r="G668" s="131"/>
      <c r="H668" s="131"/>
      <c r="I668" s="131"/>
      <c r="J668" s="132"/>
      <c r="K668" s="132"/>
      <c r="L668" s="131"/>
      <c r="M668" s="131"/>
      <c r="N668" s="131"/>
      <c r="O668" s="53"/>
      <c r="P668" s="53"/>
      <c r="Q668" s="53"/>
      <c r="R668" s="53"/>
      <c r="S668" s="53"/>
      <c r="T668" s="53"/>
      <c r="U668" s="53"/>
      <c r="V668" s="53"/>
      <c r="W668" s="53"/>
      <c r="X668" s="53"/>
      <c r="Y668" s="53"/>
      <c r="Z668" s="53"/>
      <c r="AA668" s="53"/>
      <c r="AB668" s="53"/>
      <c r="AC668" s="53"/>
    </row>
    <row r="669">
      <c r="A669" s="53"/>
      <c r="B669" s="53"/>
      <c r="C669" s="131"/>
      <c r="D669" s="131"/>
      <c r="E669" s="131"/>
      <c r="F669" s="131"/>
      <c r="G669" s="131"/>
      <c r="H669" s="131"/>
      <c r="I669" s="131"/>
      <c r="J669" s="132"/>
      <c r="K669" s="132"/>
      <c r="L669" s="131"/>
      <c r="M669" s="131"/>
      <c r="N669" s="131"/>
      <c r="O669" s="53"/>
      <c r="P669" s="53"/>
      <c r="Q669" s="53"/>
      <c r="R669" s="53"/>
      <c r="S669" s="53"/>
      <c r="T669" s="53"/>
      <c r="U669" s="53"/>
      <c r="V669" s="53"/>
      <c r="W669" s="53"/>
      <c r="X669" s="53"/>
      <c r="Y669" s="53"/>
      <c r="Z669" s="53"/>
      <c r="AA669" s="53"/>
      <c r="AB669" s="53"/>
      <c r="AC669" s="53"/>
    </row>
    <row r="670">
      <c r="A670" s="53"/>
      <c r="B670" s="53"/>
      <c r="C670" s="131"/>
      <c r="D670" s="131"/>
      <c r="E670" s="131"/>
      <c r="F670" s="131"/>
      <c r="G670" s="131"/>
      <c r="H670" s="131"/>
      <c r="I670" s="131"/>
      <c r="J670" s="132"/>
      <c r="K670" s="132"/>
      <c r="L670" s="131"/>
      <c r="M670" s="131"/>
      <c r="N670" s="131"/>
      <c r="O670" s="53"/>
      <c r="P670" s="53"/>
      <c r="Q670" s="53"/>
      <c r="R670" s="53"/>
      <c r="S670" s="53"/>
      <c r="T670" s="53"/>
      <c r="U670" s="53"/>
      <c r="V670" s="53"/>
      <c r="W670" s="53"/>
      <c r="X670" s="53"/>
      <c r="Y670" s="53"/>
      <c r="Z670" s="53"/>
      <c r="AA670" s="53"/>
      <c r="AB670" s="53"/>
      <c r="AC670" s="53"/>
    </row>
    <row r="671">
      <c r="A671" s="53"/>
      <c r="B671" s="53"/>
      <c r="C671" s="131"/>
      <c r="D671" s="131"/>
      <c r="E671" s="131"/>
      <c r="F671" s="131"/>
      <c r="G671" s="131"/>
      <c r="H671" s="131"/>
      <c r="I671" s="131"/>
      <c r="J671" s="132"/>
      <c r="K671" s="132"/>
      <c r="L671" s="131"/>
      <c r="M671" s="131"/>
      <c r="N671" s="131"/>
      <c r="O671" s="53"/>
      <c r="P671" s="53"/>
      <c r="Q671" s="53"/>
      <c r="R671" s="53"/>
      <c r="S671" s="53"/>
      <c r="T671" s="53"/>
      <c r="U671" s="53"/>
      <c r="V671" s="53"/>
      <c r="W671" s="53"/>
      <c r="X671" s="53"/>
      <c r="Y671" s="53"/>
      <c r="Z671" s="53"/>
      <c r="AA671" s="53"/>
      <c r="AB671" s="53"/>
      <c r="AC671" s="53"/>
    </row>
    <row r="672">
      <c r="A672" s="53"/>
      <c r="B672" s="53"/>
      <c r="C672" s="131"/>
      <c r="D672" s="131"/>
      <c r="E672" s="131"/>
      <c r="F672" s="131"/>
      <c r="G672" s="131"/>
      <c r="H672" s="131"/>
      <c r="I672" s="131"/>
      <c r="J672" s="132"/>
      <c r="K672" s="132"/>
      <c r="L672" s="131"/>
      <c r="M672" s="131"/>
      <c r="N672" s="131"/>
      <c r="O672" s="53"/>
      <c r="P672" s="53"/>
      <c r="Q672" s="53"/>
      <c r="R672" s="53"/>
      <c r="S672" s="53"/>
      <c r="T672" s="53"/>
      <c r="U672" s="53"/>
      <c r="V672" s="53"/>
      <c r="W672" s="53"/>
      <c r="X672" s="53"/>
      <c r="Y672" s="53"/>
      <c r="Z672" s="53"/>
      <c r="AA672" s="53"/>
      <c r="AB672" s="53"/>
      <c r="AC672" s="53"/>
    </row>
    <row r="673">
      <c r="A673" s="53"/>
      <c r="B673" s="53"/>
      <c r="C673" s="131"/>
      <c r="D673" s="131"/>
      <c r="E673" s="131"/>
      <c r="F673" s="131"/>
      <c r="G673" s="131"/>
      <c r="H673" s="131"/>
      <c r="I673" s="131"/>
      <c r="J673" s="132"/>
      <c r="K673" s="132"/>
      <c r="L673" s="131"/>
      <c r="M673" s="131"/>
      <c r="N673" s="131"/>
      <c r="O673" s="53"/>
      <c r="P673" s="53"/>
      <c r="Q673" s="53"/>
      <c r="R673" s="53"/>
      <c r="S673" s="53"/>
      <c r="T673" s="53"/>
      <c r="U673" s="53"/>
      <c r="V673" s="53"/>
      <c r="W673" s="53"/>
      <c r="X673" s="53"/>
      <c r="Y673" s="53"/>
      <c r="Z673" s="53"/>
      <c r="AA673" s="53"/>
      <c r="AB673" s="53"/>
      <c r="AC673" s="53"/>
    </row>
    <row r="674">
      <c r="A674" s="53"/>
      <c r="B674" s="53"/>
      <c r="C674" s="131"/>
      <c r="D674" s="131"/>
      <c r="E674" s="131"/>
      <c r="F674" s="131"/>
      <c r="G674" s="131"/>
      <c r="H674" s="131"/>
      <c r="I674" s="131"/>
      <c r="J674" s="132"/>
      <c r="K674" s="132"/>
      <c r="L674" s="131"/>
      <c r="M674" s="131"/>
      <c r="N674" s="131"/>
      <c r="O674" s="53"/>
      <c r="P674" s="53"/>
      <c r="Q674" s="53"/>
      <c r="R674" s="53"/>
      <c r="S674" s="53"/>
      <c r="T674" s="53"/>
      <c r="U674" s="53"/>
      <c r="V674" s="53"/>
      <c r="W674" s="53"/>
      <c r="X674" s="53"/>
      <c r="Y674" s="53"/>
      <c r="Z674" s="53"/>
      <c r="AA674" s="53"/>
      <c r="AB674" s="53"/>
      <c r="AC674" s="53"/>
    </row>
    <row r="675">
      <c r="A675" s="53"/>
      <c r="B675" s="53"/>
      <c r="C675" s="131"/>
      <c r="D675" s="131"/>
      <c r="E675" s="131"/>
      <c r="F675" s="131"/>
      <c r="G675" s="131"/>
      <c r="H675" s="131"/>
      <c r="I675" s="131"/>
      <c r="J675" s="132"/>
      <c r="K675" s="132"/>
      <c r="L675" s="131"/>
      <c r="M675" s="131"/>
      <c r="N675" s="131"/>
      <c r="O675" s="53"/>
      <c r="P675" s="53"/>
      <c r="Q675" s="53"/>
      <c r="R675" s="53"/>
      <c r="S675" s="53"/>
      <c r="T675" s="53"/>
      <c r="U675" s="53"/>
      <c r="V675" s="53"/>
      <c r="W675" s="53"/>
      <c r="X675" s="53"/>
      <c r="Y675" s="53"/>
      <c r="Z675" s="53"/>
      <c r="AA675" s="53"/>
      <c r="AB675" s="53"/>
      <c r="AC675" s="53"/>
    </row>
    <row r="676">
      <c r="A676" s="53"/>
      <c r="B676" s="53"/>
      <c r="C676" s="131"/>
      <c r="D676" s="131"/>
      <c r="E676" s="131"/>
      <c r="F676" s="131"/>
      <c r="G676" s="131"/>
      <c r="H676" s="131"/>
      <c r="I676" s="131"/>
      <c r="J676" s="132"/>
      <c r="K676" s="132"/>
      <c r="L676" s="131"/>
      <c r="M676" s="131"/>
      <c r="N676" s="131"/>
      <c r="O676" s="53"/>
      <c r="P676" s="53"/>
      <c r="Q676" s="53"/>
      <c r="R676" s="53"/>
      <c r="S676" s="53"/>
      <c r="T676" s="53"/>
      <c r="U676" s="53"/>
      <c r="V676" s="53"/>
      <c r="W676" s="53"/>
      <c r="X676" s="53"/>
      <c r="Y676" s="53"/>
      <c r="Z676" s="53"/>
      <c r="AA676" s="53"/>
      <c r="AB676" s="53"/>
      <c r="AC676" s="53"/>
    </row>
    <row r="677">
      <c r="A677" s="53"/>
      <c r="B677" s="53"/>
      <c r="C677" s="131"/>
      <c r="D677" s="131"/>
      <c r="E677" s="131"/>
      <c r="F677" s="131"/>
      <c r="G677" s="131"/>
      <c r="H677" s="131"/>
      <c r="I677" s="131"/>
      <c r="J677" s="132"/>
      <c r="K677" s="132"/>
      <c r="L677" s="131"/>
      <c r="M677" s="131"/>
      <c r="N677" s="131"/>
      <c r="O677" s="53"/>
      <c r="P677" s="53"/>
      <c r="Q677" s="53"/>
      <c r="R677" s="53"/>
      <c r="S677" s="53"/>
      <c r="T677" s="53"/>
      <c r="U677" s="53"/>
      <c r="V677" s="53"/>
      <c r="W677" s="53"/>
      <c r="X677" s="53"/>
      <c r="Y677" s="53"/>
      <c r="Z677" s="53"/>
      <c r="AA677" s="53"/>
      <c r="AB677" s="53"/>
      <c r="AC677" s="53"/>
    </row>
    <row r="678">
      <c r="A678" s="53"/>
      <c r="B678" s="53"/>
      <c r="C678" s="131"/>
      <c r="D678" s="131"/>
      <c r="E678" s="131"/>
      <c r="F678" s="131"/>
      <c r="G678" s="131"/>
      <c r="H678" s="131"/>
      <c r="I678" s="131"/>
      <c r="J678" s="132"/>
      <c r="K678" s="132"/>
      <c r="L678" s="131"/>
      <c r="M678" s="131"/>
      <c r="N678" s="131"/>
      <c r="O678" s="53"/>
      <c r="P678" s="53"/>
      <c r="Q678" s="53"/>
      <c r="R678" s="53"/>
      <c r="S678" s="53"/>
      <c r="T678" s="53"/>
      <c r="U678" s="53"/>
      <c r="V678" s="53"/>
      <c r="W678" s="53"/>
      <c r="X678" s="53"/>
      <c r="Y678" s="53"/>
      <c r="Z678" s="53"/>
      <c r="AA678" s="53"/>
      <c r="AB678" s="53"/>
      <c r="AC678" s="53"/>
    </row>
    <row r="679">
      <c r="A679" s="53"/>
      <c r="B679" s="53"/>
      <c r="C679" s="131"/>
      <c r="D679" s="131"/>
      <c r="E679" s="131"/>
      <c r="F679" s="131"/>
      <c r="G679" s="131"/>
      <c r="H679" s="131"/>
      <c r="I679" s="131"/>
      <c r="J679" s="132"/>
      <c r="K679" s="132"/>
      <c r="L679" s="131"/>
      <c r="M679" s="131"/>
      <c r="N679" s="131"/>
      <c r="O679" s="53"/>
      <c r="P679" s="53"/>
      <c r="Q679" s="53"/>
      <c r="R679" s="53"/>
      <c r="S679" s="53"/>
      <c r="T679" s="53"/>
      <c r="U679" s="53"/>
      <c r="V679" s="53"/>
      <c r="W679" s="53"/>
      <c r="X679" s="53"/>
      <c r="Y679" s="53"/>
      <c r="Z679" s="53"/>
      <c r="AA679" s="53"/>
      <c r="AB679" s="53"/>
      <c r="AC679" s="53"/>
    </row>
    <row r="680">
      <c r="A680" s="53"/>
      <c r="B680" s="53"/>
      <c r="C680" s="131"/>
      <c r="D680" s="131"/>
      <c r="E680" s="131"/>
      <c r="F680" s="131"/>
      <c r="G680" s="131"/>
      <c r="H680" s="131"/>
      <c r="I680" s="131"/>
      <c r="J680" s="132"/>
      <c r="K680" s="132"/>
      <c r="L680" s="131"/>
      <c r="M680" s="131"/>
      <c r="N680" s="131"/>
      <c r="O680" s="53"/>
      <c r="P680" s="53"/>
      <c r="Q680" s="53"/>
      <c r="R680" s="53"/>
      <c r="S680" s="53"/>
      <c r="T680" s="53"/>
      <c r="U680" s="53"/>
      <c r="V680" s="53"/>
      <c r="W680" s="53"/>
      <c r="X680" s="53"/>
      <c r="Y680" s="53"/>
      <c r="Z680" s="53"/>
      <c r="AA680" s="53"/>
      <c r="AB680" s="53"/>
      <c r="AC680" s="53"/>
    </row>
    <row r="681">
      <c r="A681" s="53"/>
      <c r="B681" s="53"/>
      <c r="C681" s="131"/>
      <c r="D681" s="131"/>
      <c r="E681" s="131"/>
      <c r="F681" s="131"/>
      <c r="G681" s="131"/>
      <c r="H681" s="131"/>
      <c r="I681" s="131"/>
      <c r="J681" s="132"/>
      <c r="K681" s="132"/>
      <c r="L681" s="131"/>
      <c r="M681" s="131"/>
      <c r="N681" s="131"/>
      <c r="O681" s="53"/>
      <c r="P681" s="53"/>
      <c r="Q681" s="53"/>
      <c r="R681" s="53"/>
      <c r="S681" s="53"/>
      <c r="T681" s="53"/>
      <c r="U681" s="53"/>
      <c r="V681" s="53"/>
      <c r="W681" s="53"/>
      <c r="X681" s="53"/>
      <c r="Y681" s="53"/>
      <c r="Z681" s="53"/>
      <c r="AA681" s="53"/>
      <c r="AB681" s="53"/>
      <c r="AC681" s="53"/>
    </row>
    <row r="682">
      <c r="A682" s="53"/>
      <c r="B682" s="53"/>
      <c r="C682" s="131"/>
      <c r="D682" s="131"/>
      <c r="E682" s="131"/>
      <c r="F682" s="131"/>
      <c r="G682" s="131"/>
      <c r="H682" s="131"/>
      <c r="I682" s="131"/>
      <c r="J682" s="132"/>
      <c r="K682" s="132"/>
      <c r="L682" s="131"/>
      <c r="M682" s="131"/>
      <c r="N682" s="131"/>
      <c r="O682" s="53"/>
      <c r="P682" s="53"/>
      <c r="Q682" s="53"/>
      <c r="R682" s="53"/>
      <c r="S682" s="53"/>
      <c r="T682" s="53"/>
      <c r="U682" s="53"/>
      <c r="V682" s="53"/>
      <c r="W682" s="53"/>
      <c r="X682" s="53"/>
      <c r="Y682" s="53"/>
      <c r="Z682" s="53"/>
      <c r="AA682" s="53"/>
      <c r="AB682" s="53"/>
      <c r="AC682" s="53"/>
    </row>
    <row r="683">
      <c r="A683" s="53"/>
      <c r="B683" s="53"/>
      <c r="C683" s="131"/>
      <c r="D683" s="131"/>
      <c r="E683" s="131"/>
      <c r="F683" s="131"/>
      <c r="G683" s="131"/>
      <c r="H683" s="131"/>
      <c r="I683" s="131"/>
      <c r="J683" s="132"/>
      <c r="K683" s="132"/>
      <c r="L683" s="131"/>
      <c r="M683" s="131"/>
      <c r="N683" s="131"/>
      <c r="O683" s="53"/>
      <c r="P683" s="53"/>
      <c r="Q683" s="53"/>
      <c r="R683" s="53"/>
      <c r="S683" s="53"/>
      <c r="T683" s="53"/>
      <c r="U683" s="53"/>
      <c r="V683" s="53"/>
      <c r="W683" s="53"/>
      <c r="X683" s="53"/>
      <c r="Y683" s="53"/>
      <c r="Z683" s="53"/>
      <c r="AA683" s="53"/>
      <c r="AB683" s="53"/>
      <c r="AC683" s="53"/>
    </row>
    <row r="684">
      <c r="A684" s="53"/>
      <c r="B684" s="53"/>
      <c r="C684" s="131"/>
      <c r="D684" s="131"/>
      <c r="E684" s="131"/>
      <c r="F684" s="131"/>
      <c r="G684" s="131"/>
      <c r="H684" s="131"/>
      <c r="I684" s="131"/>
      <c r="J684" s="132"/>
      <c r="K684" s="132"/>
      <c r="L684" s="131"/>
      <c r="M684" s="131"/>
      <c r="N684" s="131"/>
      <c r="O684" s="53"/>
      <c r="P684" s="53"/>
      <c r="Q684" s="53"/>
      <c r="R684" s="53"/>
      <c r="S684" s="53"/>
      <c r="T684" s="53"/>
      <c r="U684" s="53"/>
      <c r="V684" s="53"/>
      <c r="W684" s="53"/>
      <c r="X684" s="53"/>
      <c r="Y684" s="53"/>
      <c r="Z684" s="53"/>
      <c r="AA684" s="53"/>
      <c r="AB684" s="53"/>
      <c r="AC684" s="53"/>
    </row>
    <row r="685">
      <c r="A685" s="53"/>
      <c r="B685" s="53"/>
      <c r="C685" s="131"/>
      <c r="D685" s="131"/>
      <c r="E685" s="131"/>
      <c r="F685" s="131"/>
      <c r="G685" s="131"/>
      <c r="H685" s="131"/>
      <c r="I685" s="131"/>
      <c r="J685" s="132"/>
      <c r="K685" s="132"/>
      <c r="L685" s="131"/>
      <c r="M685" s="131"/>
      <c r="N685" s="131"/>
      <c r="O685" s="53"/>
      <c r="P685" s="53"/>
      <c r="Q685" s="53"/>
      <c r="R685" s="53"/>
      <c r="S685" s="53"/>
      <c r="T685" s="53"/>
      <c r="U685" s="53"/>
      <c r="V685" s="53"/>
      <c r="W685" s="53"/>
      <c r="X685" s="53"/>
      <c r="Y685" s="53"/>
      <c r="Z685" s="53"/>
      <c r="AA685" s="53"/>
      <c r="AB685" s="53"/>
      <c r="AC685" s="53"/>
    </row>
    <row r="686">
      <c r="A686" s="53"/>
      <c r="B686" s="53"/>
      <c r="C686" s="131"/>
      <c r="D686" s="131"/>
      <c r="E686" s="131"/>
      <c r="F686" s="131"/>
      <c r="G686" s="131"/>
      <c r="H686" s="131"/>
      <c r="I686" s="131"/>
      <c r="J686" s="132"/>
      <c r="K686" s="132"/>
      <c r="L686" s="131"/>
      <c r="M686" s="131"/>
      <c r="N686" s="131"/>
      <c r="O686" s="53"/>
      <c r="P686" s="53"/>
      <c r="Q686" s="53"/>
      <c r="R686" s="53"/>
      <c r="S686" s="53"/>
      <c r="T686" s="53"/>
      <c r="U686" s="53"/>
      <c r="V686" s="53"/>
      <c r="W686" s="53"/>
      <c r="X686" s="53"/>
      <c r="Y686" s="53"/>
      <c r="Z686" s="53"/>
      <c r="AA686" s="53"/>
      <c r="AB686" s="53"/>
      <c r="AC686" s="53"/>
    </row>
    <row r="687">
      <c r="A687" s="53"/>
      <c r="B687" s="53"/>
      <c r="C687" s="131"/>
      <c r="D687" s="131"/>
      <c r="E687" s="131"/>
      <c r="F687" s="131"/>
      <c r="G687" s="131"/>
      <c r="H687" s="131"/>
      <c r="I687" s="131"/>
      <c r="J687" s="132"/>
      <c r="K687" s="132"/>
      <c r="L687" s="131"/>
      <c r="M687" s="131"/>
      <c r="N687" s="131"/>
      <c r="O687" s="53"/>
      <c r="P687" s="53"/>
      <c r="Q687" s="53"/>
      <c r="R687" s="53"/>
      <c r="S687" s="53"/>
      <c r="T687" s="53"/>
      <c r="U687" s="53"/>
      <c r="V687" s="53"/>
      <c r="W687" s="53"/>
      <c r="X687" s="53"/>
      <c r="Y687" s="53"/>
      <c r="Z687" s="53"/>
      <c r="AA687" s="53"/>
      <c r="AB687" s="53"/>
      <c r="AC687" s="53"/>
    </row>
    <row r="688">
      <c r="A688" s="53"/>
      <c r="B688" s="53"/>
      <c r="C688" s="131"/>
      <c r="D688" s="131"/>
      <c r="E688" s="131"/>
      <c r="F688" s="131"/>
      <c r="G688" s="131"/>
      <c r="H688" s="131"/>
      <c r="I688" s="131"/>
      <c r="J688" s="132"/>
      <c r="K688" s="132"/>
      <c r="L688" s="131"/>
      <c r="M688" s="131"/>
      <c r="N688" s="131"/>
      <c r="O688" s="53"/>
      <c r="P688" s="53"/>
      <c r="Q688" s="53"/>
      <c r="R688" s="53"/>
      <c r="S688" s="53"/>
      <c r="T688" s="53"/>
      <c r="U688" s="53"/>
      <c r="V688" s="53"/>
      <c r="W688" s="53"/>
      <c r="X688" s="53"/>
      <c r="Y688" s="53"/>
      <c r="Z688" s="53"/>
      <c r="AA688" s="53"/>
      <c r="AB688" s="53"/>
      <c r="AC688" s="53"/>
    </row>
    <row r="689">
      <c r="A689" s="53"/>
      <c r="B689" s="53"/>
      <c r="C689" s="131"/>
      <c r="D689" s="131"/>
      <c r="E689" s="131"/>
      <c r="F689" s="131"/>
      <c r="G689" s="131"/>
      <c r="H689" s="131"/>
      <c r="I689" s="131"/>
      <c r="J689" s="132"/>
      <c r="K689" s="132"/>
      <c r="L689" s="131"/>
      <c r="M689" s="131"/>
      <c r="N689" s="131"/>
      <c r="O689" s="53"/>
      <c r="P689" s="53"/>
      <c r="Q689" s="53"/>
      <c r="R689" s="53"/>
      <c r="S689" s="53"/>
      <c r="T689" s="53"/>
      <c r="U689" s="53"/>
      <c r="V689" s="53"/>
      <c r="W689" s="53"/>
      <c r="X689" s="53"/>
      <c r="Y689" s="53"/>
      <c r="Z689" s="53"/>
      <c r="AA689" s="53"/>
      <c r="AB689" s="53"/>
      <c r="AC689" s="53"/>
    </row>
    <row r="690">
      <c r="A690" s="53"/>
      <c r="B690" s="53"/>
      <c r="C690" s="131"/>
      <c r="D690" s="131"/>
      <c r="E690" s="131"/>
      <c r="F690" s="131"/>
      <c r="G690" s="131"/>
      <c r="H690" s="131"/>
      <c r="I690" s="131"/>
      <c r="J690" s="132"/>
      <c r="K690" s="132"/>
      <c r="L690" s="131"/>
      <c r="M690" s="131"/>
      <c r="N690" s="131"/>
      <c r="O690" s="53"/>
      <c r="P690" s="53"/>
      <c r="Q690" s="53"/>
      <c r="R690" s="53"/>
      <c r="S690" s="53"/>
      <c r="T690" s="53"/>
      <c r="U690" s="53"/>
      <c r="V690" s="53"/>
      <c r="W690" s="53"/>
      <c r="X690" s="53"/>
      <c r="Y690" s="53"/>
      <c r="Z690" s="53"/>
      <c r="AA690" s="53"/>
      <c r="AB690" s="53"/>
      <c r="AC690" s="53"/>
    </row>
    <row r="691">
      <c r="A691" s="53"/>
      <c r="B691" s="53"/>
      <c r="C691" s="131"/>
      <c r="D691" s="131"/>
      <c r="E691" s="131"/>
      <c r="F691" s="131"/>
      <c r="G691" s="131"/>
      <c r="H691" s="131"/>
      <c r="I691" s="131"/>
      <c r="J691" s="132"/>
      <c r="K691" s="132"/>
      <c r="L691" s="131"/>
      <c r="M691" s="131"/>
      <c r="N691" s="131"/>
      <c r="O691" s="53"/>
      <c r="P691" s="53"/>
      <c r="Q691" s="53"/>
      <c r="R691" s="53"/>
      <c r="S691" s="53"/>
      <c r="T691" s="53"/>
      <c r="U691" s="53"/>
      <c r="V691" s="53"/>
      <c r="W691" s="53"/>
      <c r="X691" s="53"/>
      <c r="Y691" s="53"/>
      <c r="Z691" s="53"/>
      <c r="AA691" s="53"/>
      <c r="AB691" s="53"/>
      <c r="AC691" s="53"/>
    </row>
    <row r="692">
      <c r="A692" s="53"/>
      <c r="B692" s="53"/>
      <c r="C692" s="131"/>
      <c r="D692" s="131"/>
      <c r="E692" s="131"/>
      <c r="F692" s="131"/>
      <c r="G692" s="131"/>
      <c r="H692" s="131"/>
      <c r="I692" s="131"/>
      <c r="J692" s="132"/>
      <c r="K692" s="132"/>
      <c r="L692" s="131"/>
      <c r="M692" s="131"/>
      <c r="N692" s="131"/>
      <c r="O692" s="53"/>
      <c r="P692" s="53"/>
      <c r="Q692" s="53"/>
      <c r="R692" s="53"/>
      <c r="S692" s="53"/>
      <c r="T692" s="53"/>
      <c r="U692" s="53"/>
      <c r="V692" s="53"/>
      <c r="W692" s="53"/>
      <c r="X692" s="53"/>
      <c r="Y692" s="53"/>
      <c r="Z692" s="53"/>
      <c r="AA692" s="53"/>
      <c r="AB692" s="53"/>
      <c r="AC692" s="53"/>
    </row>
    <row r="693">
      <c r="A693" s="53"/>
      <c r="B693" s="53"/>
      <c r="C693" s="131"/>
      <c r="D693" s="131"/>
      <c r="E693" s="131"/>
      <c r="F693" s="131"/>
      <c r="G693" s="131"/>
      <c r="H693" s="131"/>
      <c r="I693" s="131"/>
      <c r="J693" s="132"/>
      <c r="K693" s="132"/>
      <c r="L693" s="131"/>
      <c r="M693" s="131"/>
      <c r="N693" s="131"/>
      <c r="O693" s="53"/>
      <c r="P693" s="53"/>
      <c r="Q693" s="53"/>
      <c r="R693" s="53"/>
      <c r="S693" s="53"/>
      <c r="T693" s="53"/>
      <c r="U693" s="53"/>
      <c r="V693" s="53"/>
      <c r="W693" s="53"/>
      <c r="X693" s="53"/>
      <c r="Y693" s="53"/>
      <c r="Z693" s="53"/>
      <c r="AA693" s="53"/>
      <c r="AB693" s="53"/>
      <c r="AC693" s="53"/>
    </row>
    <row r="694">
      <c r="A694" s="53"/>
      <c r="B694" s="53"/>
      <c r="C694" s="131"/>
      <c r="D694" s="131"/>
      <c r="E694" s="131"/>
      <c r="F694" s="131"/>
      <c r="G694" s="131"/>
      <c r="H694" s="131"/>
      <c r="I694" s="131"/>
      <c r="J694" s="132"/>
      <c r="K694" s="132"/>
      <c r="L694" s="131"/>
      <c r="M694" s="131"/>
      <c r="N694" s="131"/>
      <c r="O694" s="53"/>
      <c r="P694" s="53"/>
      <c r="Q694" s="53"/>
      <c r="R694" s="53"/>
      <c r="S694" s="53"/>
      <c r="T694" s="53"/>
      <c r="U694" s="53"/>
      <c r="V694" s="53"/>
      <c r="W694" s="53"/>
      <c r="X694" s="53"/>
      <c r="Y694" s="53"/>
      <c r="Z694" s="53"/>
      <c r="AA694" s="53"/>
      <c r="AB694" s="53"/>
      <c r="AC694" s="53"/>
    </row>
    <row r="695">
      <c r="A695" s="53"/>
      <c r="B695" s="53"/>
      <c r="C695" s="131"/>
      <c r="D695" s="131"/>
      <c r="E695" s="131"/>
      <c r="F695" s="131"/>
      <c r="G695" s="131"/>
      <c r="H695" s="131"/>
      <c r="I695" s="131"/>
      <c r="J695" s="132"/>
      <c r="K695" s="132"/>
      <c r="L695" s="131"/>
      <c r="M695" s="131"/>
      <c r="N695" s="131"/>
      <c r="O695" s="53"/>
      <c r="P695" s="53"/>
      <c r="Q695" s="53"/>
      <c r="R695" s="53"/>
      <c r="S695" s="53"/>
      <c r="T695" s="53"/>
      <c r="U695" s="53"/>
      <c r="V695" s="53"/>
      <c r="W695" s="53"/>
      <c r="X695" s="53"/>
      <c r="Y695" s="53"/>
      <c r="Z695" s="53"/>
      <c r="AA695" s="53"/>
      <c r="AB695" s="53"/>
      <c r="AC695" s="53"/>
    </row>
    <row r="696">
      <c r="A696" s="53"/>
      <c r="B696" s="53"/>
      <c r="C696" s="131"/>
      <c r="D696" s="131"/>
      <c r="E696" s="131"/>
      <c r="F696" s="131"/>
      <c r="G696" s="131"/>
      <c r="H696" s="131"/>
      <c r="I696" s="131"/>
      <c r="J696" s="132"/>
      <c r="K696" s="132"/>
      <c r="L696" s="131"/>
      <c r="M696" s="131"/>
      <c r="N696" s="131"/>
      <c r="O696" s="53"/>
      <c r="P696" s="53"/>
      <c r="Q696" s="53"/>
      <c r="R696" s="53"/>
      <c r="S696" s="53"/>
      <c r="T696" s="53"/>
      <c r="U696" s="53"/>
      <c r="V696" s="53"/>
      <c r="W696" s="53"/>
      <c r="X696" s="53"/>
      <c r="Y696" s="53"/>
      <c r="Z696" s="53"/>
      <c r="AA696" s="53"/>
      <c r="AB696" s="53"/>
      <c r="AC696" s="53"/>
    </row>
    <row r="697">
      <c r="A697" s="53"/>
      <c r="B697" s="53"/>
      <c r="C697" s="131"/>
      <c r="D697" s="131"/>
      <c r="E697" s="131"/>
      <c r="F697" s="131"/>
      <c r="G697" s="131"/>
      <c r="H697" s="131"/>
      <c r="I697" s="131"/>
      <c r="J697" s="132"/>
      <c r="K697" s="132"/>
      <c r="L697" s="131"/>
      <c r="M697" s="131"/>
      <c r="N697" s="131"/>
      <c r="O697" s="53"/>
      <c r="P697" s="53"/>
      <c r="Q697" s="53"/>
      <c r="R697" s="53"/>
      <c r="S697" s="53"/>
      <c r="T697" s="53"/>
      <c r="U697" s="53"/>
      <c r="V697" s="53"/>
      <c r="W697" s="53"/>
      <c r="X697" s="53"/>
      <c r="Y697" s="53"/>
      <c r="Z697" s="53"/>
      <c r="AA697" s="53"/>
      <c r="AB697" s="53"/>
      <c r="AC697" s="53"/>
    </row>
    <row r="698">
      <c r="A698" s="53"/>
      <c r="B698" s="53"/>
      <c r="C698" s="131"/>
      <c r="D698" s="131"/>
      <c r="E698" s="131"/>
      <c r="F698" s="131"/>
      <c r="G698" s="131"/>
      <c r="H698" s="131"/>
      <c r="I698" s="131"/>
      <c r="J698" s="132"/>
      <c r="K698" s="132"/>
      <c r="L698" s="131"/>
      <c r="M698" s="131"/>
      <c r="N698" s="131"/>
      <c r="O698" s="53"/>
      <c r="P698" s="53"/>
      <c r="Q698" s="53"/>
      <c r="R698" s="53"/>
      <c r="S698" s="53"/>
      <c r="T698" s="53"/>
      <c r="U698" s="53"/>
      <c r="V698" s="53"/>
      <c r="W698" s="53"/>
      <c r="X698" s="53"/>
      <c r="Y698" s="53"/>
      <c r="Z698" s="53"/>
      <c r="AA698" s="53"/>
      <c r="AB698" s="53"/>
      <c r="AC698" s="53"/>
    </row>
    <row r="699">
      <c r="A699" s="53"/>
      <c r="B699" s="53"/>
      <c r="C699" s="131"/>
      <c r="D699" s="131"/>
      <c r="E699" s="131"/>
      <c r="F699" s="131"/>
      <c r="G699" s="131"/>
      <c r="H699" s="131"/>
      <c r="I699" s="131"/>
      <c r="J699" s="132"/>
      <c r="K699" s="132"/>
      <c r="L699" s="131"/>
      <c r="M699" s="131"/>
      <c r="N699" s="131"/>
      <c r="O699" s="53"/>
      <c r="P699" s="53"/>
      <c r="Q699" s="53"/>
      <c r="R699" s="53"/>
      <c r="S699" s="53"/>
      <c r="T699" s="53"/>
      <c r="U699" s="53"/>
      <c r="V699" s="53"/>
      <c r="W699" s="53"/>
      <c r="X699" s="53"/>
      <c r="Y699" s="53"/>
      <c r="Z699" s="53"/>
      <c r="AA699" s="53"/>
      <c r="AB699" s="53"/>
      <c r="AC699" s="53"/>
    </row>
    <row r="700">
      <c r="A700" s="53"/>
      <c r="B700" s="53"/>
      <c r="C700" s="131"/>
      <c r="D700" s="131"/>
      <c r="E700" s="131"/>
      <c r="F700" s="131"/>
      <c r="G700" s="131"/>
      <c r="H700" s="131"/>
      <c r="I700" s="131"/>
      <c r="J700" s="132"/>
      <c r="K700" s="132"/>
      <c r="L700" s="131"/>
      <c r="M700" s="131"/>
      <c r="N700" s="131"/>
      <c r="O700" s="53"/>
      <c r="P700" s="53"/>
      <c r="Q700" s="53"/>
      <c r="R700" s="53"/>
      <c r="S700" s="53"/>
      <c r="T700" s="53"/>
      <c r="U700" s="53"/>
      <c r="V700" s="53"/>
      <c r="W700" s="53"/>
      <c r="X700" s="53"/>
      <c r="Y700" s="53"/>
      <c r="Z700" s="53"/>
      <c r="AA700" s="53"/>
      <c r="AB700" s="53"/>
      <c r="AC700" s="53"/>
    </row>
    <row r="701">
      <c r="A701" s="53"/>
      <c r="B701" s="53"/>
      <c r="C701" s="131"/>
      <c r="D701" s="131"/>
      <c r="E701" s="131"/>
      <c r="F701" s="131"/>
      <c r="G701" s="131"/>
      <c r="H701" s="131"/>
      <c r="I701" s="131"/>
      <c r="J701" s="132"/>
      <c r="K701" s="132"/>
      <c r="L701" s="131"/>
      <c r="M701" s="131"/>
      <c r="N701" s="131"/>
      <c r="O701" s="53"/>
      <c r="P701" s="53"/>
      <c r="Q701" s="53"/>
      <c r="R701" s="53"/>
      <c r="S701" s="53"/>
      <c r="T701" s="53"/>
      <c r="U701" s="53"/>
      <c r="V701" s="53"/>
      <c r="W701" s="53"/>
      <c r="X701" s="53"/>
      <c r="Y701" s="53"/>
      <c r="Z701" s="53"/>
      <c r="AA701" s="53"/>
      <c r="AB701" s="53"/>
      <c r="AC701" s="53"/>
    </row>
    <row r="702">
      <c r="A702" s="53"/>
      <c r="B702" s="53"/>
      <c r="C702" s="131"/>
      <c r="D702" s="131"/>
      <c r="E702" s="131"/>
      <c r="F702" s="131"/>
      <c r="G702" s="131"/>
      <c r="H702" s="131"/>
      <c r="I702" s="131"/>
      <c r="J702" s="132"/>
      <c r="K702" s="132"/>
      <c r="L702" s="131"/>
      <c r="M702" s="131"/>
      <c r="N702" s="131"/>
      <c r="O702" s="53"/>
      <c r="P702" s="53"/>
      <c r="Q702" s="53"/>
      <c r="R702" s="53"/>
      <c r="S702" s="53"/>
      <c r="T702" s="53"/>
      <c r="U702" s="53"/>
      <c r="V702" s="53"/>
      <c r="W702" s="53"/>
      <c r="X702" s="53"/>
      <c r="Y702" s="53"/>
      <c r="Z702" s="53"/>
      <c r="AA702" s="53"/>
      <c r="AB702" s="53"/>
      <c r="AC702" s="53"/>
    </row>
    <row r="703">
      <c r="A703" s="53"/>
      <c r="B703" s="53"/>
      <c r="C703" s="131"/>
      <c r="D703" s="131"/>
      <c r="E703" s="131"/>
      <c r="F703" s="131"/>
      <c r="G703" s="131"/>
      <c r="H703" s="131"/>
      <c r="I703" s="131"/>
      <c r="J703" s="132"/>
      <c r="K703" s="132"/>
      <c r="L703" s="131"/>
      <c r="M703" s="131"/>
      <c r="N703" s="131"/>
      <c r="O703" s="53"/>
      <c r="P703" s="53"/>
      <c r="Q703" s="53"/>
      <c r="R703" s="53"/>
      <c r="S703" s="53"/>
      <c r="T703" s="53"/>
      <c r="U703" s="53"/>
      <c r="V703" s="53"/>
      <c r="W703" s="53"/>
      <c r="X703" s="53"/>
      <c r="Y703" s="53"/>
      <c r="Z703" s="53"/>
      <c r="AA703" s="53"/>
      <c r="AB703" s="53"/>
      <c r="AC703" s="53"/>
    </row>
    <row r="704">
      <c r="A704" s="53"/>
      <c r="B704" s="53"/>
      <c r="C704" s="131"/>
      <c r="D704" s="131"/>
      <c r="E704" s="131"/>
      <c r="F704" s="131"/>
      <c r="G704" s="131"/>
      <c r="H704" s="131"/>
      <c r="I704" s="131"/>
      <c r="J704" s="132"/>
      <c r="K704" s="132"/>
      <c r="L704" s="131"/>
      <c r="M704" s="131"/>
      <c r="N704" s="131"/>
      <c r="O704" s="53"/>
      <c r="P704" s="53"/>
      <c r="Q704" s="53"/>
      <c r="R704" s="53"/>
      <c r="S704" s="53"/>
      <c r="T704" s="53"/>
      <c r="U704" s="53"/>
      <c r="V704" s="53"/>
      <c r="W704" s="53"/>
      <c r="X704" s="53"/>
      <c r="Y704" s="53"/>
      <c r="Z704" s="53"/>
      <c r="AA704" s="53"/>
      <c r="AB704" s="53"/>
      <c r="AC704" s="53"/>
    </row>
    <row r="705">
      <c r="A705" s="53"/>
      <c r="B705" s="53"/>
      <c r="C705" s="131"/>
      <c r="D705" s="131"/>
      <c r="E705" s="131"/>
      <c r="F705" s="131"/>
      <c r="G705" s="131"/>
      <c r="H705" s="131"/>
      <c r="I705" s="131"/>
      <c r="J705" s="132"/>
      <c r="K705" s="132"/>
      <c r="L705" s="131"/>
      <c r="M705" s="131"/>
      <c r="N705" s="131"/>
      <c r="O705" s="53"/>
      <c r="P705" s="53"/>
      <c r="Q705" s="53"/>
      <c r="R705" s="53"/>
      <c r="S705" s="53"/>
      <c r="T705" s="53"/>
      <c r="U705" s="53"/>
      <c r="V705" s="53"/>
      <c r="W705" s="53"/>
      <c r="X705" s="53"/>
      <c r="Y705" s="53"/>
      <c r="Z705" s="53"/>
      <c r="AA705" s="53"/>
      <c r="AB705" s="53"/>
      <c r="AC705" s="53"/>
    </row>
    <row r="706">
      <c r="A706" s="53"/>
      <c r="B706" s="53"/>
      <c r="C706" s="131"/>
      <c r="D706" s="131"/>
      <c r="E706" s="131"/>
      <c r="F706" s="131"/>
      <c r="G706" s="131"/>
      <c r="H706" s="131"/>
      <c r="I706" s="131"/>
      <c r="J706" s="132"/>
      <c r="K706" s="132"/>
      <c r="L706" s="131"/>
      <c r="M706" s="131"/>
      <c r="N706" s="131"/>
      <c r="O706" s="53"/>
      <c r="P706" s="53"/>
      <c r="Q706" s="53"/>
      <c r="R706" s="53"/>
      <c r="S706" s="53"/>
      <c r="T706" s="53"/>
      <c r="U706" s="53"/>
      <c r="V706" s="53"/>
      <c r="W706" s="53"/>
      <c r="X706" s="53"/>
      <c r="Y706" s="53"/>
      <c r="Z706" s="53"/>
      <c r="AA706" s="53"/>
      <c r="AB706" s="53"/>
      <c r="AC706" s="53"/>
    </row>
    <row r="707">
      <c r="A707" s="53"/>
      <c r="B707" s="53"/>
      <c r="C707" s="131"/>
      <c r="D707" s="131"/>
      <c r="E707" s="131"/>
      <c r="F707" s="131"/>
      <c r="G707" s="131"/>
      <c r="H707" s="131"/>
      <c r="I707" s="131"/>
      <c r="J707" s="132"/>
      <c r="K707" s="132"/>
      <c r="L707" s="131"/>
      <c r="M707" s="131"/>
      <c r="N707" s="131"/>
      <c r="O707" s="53"/>
      <c r="P707" s="53"/>
      <c r="Q707" s="53"/>
      <c r="R707" s="53"/>
      <c r="S707" s="53"/>
      <c r="T707" s="53"/>
      <c r="U707" s="53"/>
      <c r="V707" s="53"/>
      <c r="W707" s="53"/>
      <c r="X707" s="53"/>
      <c r="Y707" s="53"/>
      <c r="Z707" s="53"/>
      <c r="AA707" s="53"/>
      <c r="AB707" s="53"/>
      <c r="AC707" s="53"/>
    </row>
    <row r="708">
      <c r="A708" s="53"/>
      <c r="B708" s="53"/>
      <c r="C708" s="131"/>
      <c r="D708" s="131"/>
      <c r="E708" s="131"/>
      <c r="F708" s="131"/>
      <c r="G708" s="131"/>
      <c r="H708" s="131"/>
      <c r="I708" s="131"/>
      <c r="J708" s="132"/>
      <c r="K708" s="132"/>
      <c r="L708" s="131"/>
      <c r="M708" s="131"/>
      <c r="N708" s="131"/>
      <c r="O708" s="53"/>
      <c r="P708" s="53"/>
      <c r="Q708" s="53"/>
      <c r="R708" s="53"/>
      <c r="S708" s="53"/>
      <c r="T708" s="53"/>
      <c r="U708" s="53"/>
      <c r="V708" s="53"/>
      <c r="W708" s="53"/>
      <c r="X708" s="53"/>
      <c r="Y708" s="53"/>
      <c r="Z708" s="53"/>
      <c r="AA708" s="53"/>
      <c r="AB708" s="53"/>
      <c r="AC708" s="53"/>
    </row>
    <row r="709">
      <c r="A709" s="53"/>
      <c r="B709" s="53"/>
      <c r="C709" s="131"/>
      <c r="D709" s="131"/>
      <c r="E709" s="131"/>
      <c r="F709" s="131"/>
      <c r="G709" s="131"/>
      <c r="H709" s="131"/>
      <c r="I709" s="131"/>
      <c r="J709" s="132"/>
      <c r="K709" s="132"/>
      <c r="L709" s="131"/>
      <c r="M709" s="131"/>
      <c r="N709" s="131"/>
      <c r="O709" s="53"/>
      <c r="P709" s="53"/>
      <c r="Q709" s="53"/>
      <c r="R709" s="53"/>
      <c r="S709" s="53"/>
      <c r="T709" s="53"/>
      <c r="U709" s="53"/>
      <c r="V709" s="53"/>
      <c r="W709" s="53"/>
      <c r="X709" s="53"/>
      <c r="Y709" s="53"/>
      <c r="Z709" s="53"/>
      <c r="AA709" s="53"/>
      <c r="AB709" s="53"/>
      <c r="AC709" s="53"/>
    </row>
    <row r="710">
      <c r="A710" s="53"/>
      <c r="B710" s="53"/>
      <c r="C710" s="131"/>
      <c r="D710" s="131"/>
      <c r="E710" s="131"/>
      <c r="F710" s="131"/>
      <c r="G710" s="131"/>
      <c r="H710" s="131"/>
      <c r="I710" s="131"/>
      <c r="J710" s="132"/>
      <c r="K710" s="132"/>
      <c r="L710" s="131"/>
      <c r="M710" s="131"/>
      <c r="N710" s="131"/>
      <c r="O710" s="53"/>
      <c r="P710" s="53"/>
      <c r="Q710" s="53"/>
      <c r="R710" s="53"/>
      <c r="S710" s="53"/>
      <c r="T710" s="53"/>
      <c r="U710" s="53"/>
      <c r="V710" s="53"/>
      <c r="W710" s="53"/>
      <c r="X710" s="53"/>
      <c r="Y710" s="53"/>
      <c r="Z710" s="53"/>
      <c r="AA710" s="53"/>
      <c r="AB710" s="53"/>
      <c r="AC710" s="53"/>
    </row>
    <row r="711">
      <c r="A711" s="53"/>
      <c r="B711" s="53"/>
      <c r="C711" s="131"/>
      <c r="D711" s="131"/>
      <c r="E711" s="131"/>
      <c r="F711" s="131"/>
      <c r="G711" s="131"/>
      <c r="H711" s="131"/>
      <c r="I711" s="131"/>
      <c r="J711" s="132"/>
      <c r="K711" s="132"/>
      <c r="L711" s="131"/>
      <c r="M711" s="131"/>
      <c r="N711" s="131"/>
      <c r="O711" s="53"/>
      <c r="P711" s="53"/>
      <c r="Q711" s="53"/>
      <c r="R711" s="53"/>
      <c r="S711" s="53"/>
      <c r="T711" s="53"/>
      <c r="U711" s="53"/>
      <c r="V711" s="53"/>
      <c r="W711" s="53"/>
      <c r="X711" s="53"/>
      <c r="Y711" s="53"/>
      <c r="Z711" s="53"/>
      <c r="AA711" s="53"/>
      <c r="AB711" s="53"/>
      <c r="AC711" s="53"/>
    </row>
    <row r="712">
      <c r="A712" s="53"/>
      <c r="B712" s="53"/>
      <c r="C712" s="131"/>
      <c r="D712" s="131"/>
      <c r="E712" s="131"/>
      <c r="F712" s="131"/>
      <c r="G712" s="131"/>
      <c r="H712" s="131"/>
      <c r="I712" s="131"/>
      <c r="J712" s="132"/>
      <c r="K712" s="132"/>
      <c r="L712" s="131"/>
      <c r="M712" s="131"/>
      <c r="N712" s="131"/>
      <c r="O712" s="53"/>
      <c r="P712" s="53"/>
      <c r="Q712" s="53"/>
      <c r="R712" s="53"/>
      <c r="S712" s="53"/>
      <c r="T712" s="53"/>
      <c r="U712" s="53"/>
      <c r="V712" s="53"/>
      <c r="W712" s="53"/>
      <c r="X712" s="53"/>
      <c r="Y712" s="53"/>
      <c r="Z712" s="53"/>
      <c r="AA712" s="53"/>
      <c r="AB712" s="53"/>
      <c r="AC712" s="53"/>
    </row>
    <row r="713">
      <c r="A713" s="53"/>
      <c r="B713" s="53"/>
      <c r="C713" s="131"/>
      <c r="D713" s="131"/>
      <c r="E713" s="131"/>
      <c r="F713" s="131"/>
      <c r="G713" s="131"/>
      <c r="H713" s="131"/>
      <c r="I713" s="131"/>
      <c r="J713" s="132"/>
      <c r="K713" s="132"/>
      <c r="L713" s="131"/>
      <c r="M713" s="131"/>
      <c r="N713" s="131"/>
      <c r="O713" s="53"/>
      <c r="P713" s="53"/>
      <c r="Q713" s="53"/>
      <c r="R713" s="53"/>
      <c r="S713" s="53"/>
      <c r="T713" s="53"/>
      <c r="U713" s="53"/>
      <c r="V713" s="53"/>
      <c r="W713" s="53"/>
      <c r="X713" s="53"/>
      <c r="Y713" s="53"/>
      <c r="Z713" s="53"/>
      <c r="AA713" s="53"/>
      <c r="AB713" s="53"/>
      <c r="AC713" s="53"/>
    </row>
    <row r="714">
      <c r="A714" s="53"/>
      <c r="B714" s="53"/>
      <c r="C714" s="131"/>
      <c r="D714" s="131"/>
      <c r="E714" s="131"/>
      <c r="F714" s="131"/>
      <c r="G714" s="131"/>
      <c r="H714" s="131"/>
      <c r="I714" s="131"/>
      <c r="J714" s="132"/>
      <c r="K714" s="132"/>
      <c r="L714" s="131"/>
      <c r="M714" s="131"/>
      <c r="N714" s="131"/>
      <c r="O714" s="53"/>
      <c r="P714" s="53"/>
      <c r="Q714" s="53"/>
      <c r="R714" s="53"/>
      <c r="S714" s="53"/>
      <c r="T714" s="53"/>
      <c r="U714" s="53"/>
      <c r="V714" s="53"/>
      <c r="W714" s="53"/>
      <c r="X714" s="53"/>
      <c r="Y714" s="53"/>
      <c r="Z714" s="53"/>
      <c r="AA714" s="53"/>
      <c r="AB714" s="53"/>
      <c r="AC714" s="53"/>
    </row>
    <row r="715">
      <c r="A715" s="53"/>
      <c r="B715" s="53"/>
      <c r="C715" s="131"/>
      <c r="D715" s="131"/>
      <c r="E715" s="131"/>
      <c r="F715" s="131"/>
      <c r="G715" s="131"/>
      <c r="H715" s="131"/>
      <c r="I715" s="131"/>
      <c r="J715" s="132"/>
      <c r="K715" s="132"/>
      <c r="L715" s="131"/>
      <c r="M715" s="131"/>
      <c r="N715" s="131"/>
      <c r="O715" s="53"/>
      <c r="P715" s="53"/>
      <c r="Q715" s="53"/>
      <c r="R715" s="53"/>
      <c r="S715" s="53"/>
      <c r="T715" s="53"/>
      <c r="U715" s="53"/>
      <c r="V715" s="53"/>
      <c r="W715" s="53"/>
      <c r="X715" s="53"/>
      <c r="Y715" s="53"/>
      <c r="Z715" s="53"/>
      <c r="AA715" s="53"/>
      <c r="AB715" s="53"/>
      <c r="AC715" s="53"/>
    </row>
    <row r="716">
      <c r="A716" s="53"/>
      <c r="B716" s="53"/>
      <c r="C716" s="131"/>
      <c r="D716" s="131"/>
      <c r="E716" s="131"/>
      <c r="F716" s="131"/>
      <c r="G716" s="131"/>
      <c r="H716" s="131"/>
      <c r="I716" s="131"/>
      <c r="J716" s="132"/>
      <c r="K716" s="132"/>
      <c r="L716" s="131"/>
      <c r="M716" s="131"/>
      <c r="N716" s="131"/>
      <c r="O716" s="53"/>
      <c r="P716" s="53"/>
      <c r="Q716" s="53"/>
      <c r="R716" s="53"/>
      <c r="S716" s="53"/>
      <c r="T716" s="53"/>
      <c r="U716" s="53"/>
      <c r="V716" s="53"/>
      <c r="W716" s="53"/>
      <c r="X716" s="53"/>
      <c r="Y716" s="53"/>
      <c r="Z716" s="53"/>
      <c r="AA716" s="53"/>
      <c r="AB716" s="53"/>
      <c r="AC716" s="53"/>
    </row>
    <row r="717">
      <c r="A717" s="53"/>
      <c r="B717" s="53"/>
      <c r="C717" s="131"/>
      <c r="D717" s="131"/>
      <c r="E717" s="131"/>
      <c r="F717" s="131"/>
      <c r="G717" s="131"/>
      <c r="H717" s="131"/>
      <c r="I717" s="131"/>
      <c r="J717" s="132"/>
      <c r="K717" s="132"/>
      <c r="L717" s="131"/>
      <c r="M717" s="131"/>
      <c r="N717" s="131"/>
      <c r="O717" s="53"/>
      <c r="P717" s="53"/>
      <c r="Q717" s="53"/>
      <c r="R717" s="53"/>
      <c r="S717" s="53"/>
      <c r="T717" s="53"/>
      <c r="U717" s="53"/>
      <c r="V717" s="53"/>
      <c r="W717" s="53"/>
      <c r="X717" s="53"/>
      <c r="Y717" s="53"/>
      <c r="Z717" s="53"/>
      <c r="AA717" s="53"/>
      <c r="AB717" s="53"/>
      <c r="AC717" s="53"/>
    </row>
    <row r="718">
      <c r="A718" s="53"/>
      <c r="B718" s="53"/>
      <c r="C718" s="131"/>
      <c r="D718" s="131"/>
      <c r="E718" s="131"/>
      <c r="F718" s="131"/>
      <c r="G718" s="131"/>
      <c r="H718" s="131"/>
      <c r="I718" s="131"/>
      <c r="J718" s="132"/>
      <c r="K718" s="132"/>
      <c r="L718" s="131"/>
      <c r="M718" s="131"/>
      <c r="N718" s="131"/>
      <c r="O718" s="53"/>
      <c r="P718" s="53"/>
      <c r="Q718" s="53"/>
      <c r="R718" s="53"/>
      <c r="S718" s="53"/>
      <c r="T718" s="53"/>
      <c r="U718" s="53"/>
      <c r="V718" s="53"/>
      <c r="W718" s="53"/>
      <c r="X718" s="53"/>
      <c r="Y718" s="53"/>
      <c r="Z718" s="53"/>
      <c r="AA718" s="53"/>
      <c r="AB718" s="53"/>
      <c r="AC718" s="53"/>
    </row>
    <row r="719">
      <c r="A719" s="53"/>
      <c r="B719" s="53"/>
      <c r="C719" s="131"/>
      <c r="D719" s="131"/>
      <c r="E719" s="131"/>
      <c r="F719" s="131"/>
      <c r="G719" s="131"/>
      <c r="H719" s="131"/>
      <c r="I719" s="131"/>
      <c r="J719" s="132"/>
      <c r="K719" s="132"/>
      <c r="L719" s="131"/>
      <c r="M719" s="131"/>
      <c r="N719" s="131"/>
      <c r="O719" s="53"/>
      <c r="P719" s="53"/>
      <c r="Q719" s="53"/>
      <c r="R719" s="53"/>
      <c r="S719" s="53"/>
      <c r="T719" s="53"/>
      <c r="U719" s="53"/>
      <c r="V719" s="53"/>
      <c r="W719" s="53"/>
      <c r="X719" s="53"/>
      <c r="Y719" s="53"/>
      <c r="Z719" s="53"/>
      <c r="AA719" s="53"/>
      <c r="AB719" s="53"/>
      <c r="AC719" s="53"/>
    </row>
    <row r="720">
      <c r="A720" s="53"/>
      <c r="B720" s="53"/>
      <c r="C720" s="131"/>
      <c r="D720" s="131"/>
      <c r="E720" s="131"/>
      <c r="F720" s="131"/>
      <c r="G720" s="131"/>
      <c r="H720" s="131"/>
      <c r="I720" s="131"/>
      <c r="J720" s="132"/>
      <c r="K720" s="132"/>
      <c r="L720" s="131"/>
      <c r="M720" s="131"/>
      <c r="N720" s="131"/>
      <c r="O720" s="53"/>
      <c r="P720" s="53"/>
      <c r="Q720" s="53"/>
      <c r="R720" s="53"/>
      <c r="S720" s="53"/>
      <c r="T720" s="53"/>
      <c r="U720" s="53"/>
      <c r="V720" s="53"/>
      <c r="W720" s="53"/>
      <c r="X720" s="53"/>
      <c r="Y720" s="53"/>
      <c r="Z720" s="53"/>
      <c r="AA720" s="53"/>
      <c r="AB720" s="53"/>
      <c r="AC720" s="53"/>
    </row>
    <row r="721">
      <c r="A721" s="53"/>
      <c r="B721" s="53"/>
      <c r="C721" s="131"/>
      <c r="D721" s="131"/>
      <c r="E721" s="131"/>
      <c r="F721" s="131"/>
      <c r="G721" s="131"/>
      <c r="H721" s="131"/>
      <c r="I721" s="131"/>
      <c r="J721" s="132"/>
      <c r="K721" s="132"/>
      <c r="L721" s="131"/>
      <c r="M721" s="131"/>
      <c r="N721" s="131"/>
      <c r="O721" s="53"/>
      <c r="P721" s="53"/>
      <c r="Q721" s="53"/>
      <c r="R721" s="53"/>
      <c r="S721" s="53"/>
      <c r="T721" s="53"/>
      <c r="U721" s="53"/>
      <c r="V721" s="53"/>
      <c r="W721" s="53"/>
      <c r="X721" s="53"/>
      <c r="Y721" s="53"/>
      <c r="Z721" s="53"/>
      <c r="AA721" s="53"/>
      <c r="AB721" s="53"/>
      <c r="AC721" s="53"/>
    </row>
    <row r="722">
      <c r="A722" s="53"/>
      <c r="B722" s="53"/>
      <c r="C722" s="131"/>
      <c r="D722" s="131"/>
      <c r="E722" s="131"/>
      <c r="F722" s="131"/>
      <c r="G722" s="131"/>
      <c r="H722" s="131"/>
      <c r="I722" s="131"/>
      <c r="J722" s="132"/>
      <c r="K722" s="132"/>
      <c r="L722" s="131"/>
      <c r="M722" s="131"/>
      <c r="N722" s="131"/>
      <c r="O722" s="53"/>
      <c r="P722" s="53"/>
      <c r="Q722" s="53"/>
      <c r="R722" s="53"/>
      <c r="S722" s="53"/>
      <c r="T722" s="53"/>
      <c r="U722" s="53"/>
      <c r="V722" s="53"/>
      <c r="W722" s="53"/>
      <c r="X722" s="53"/>
      <c r="Y722" s="53"/>
      <c r="Z722" s="53"/>
      <c r="AA722" s="53"/>
      <c r="AB722" s="53"/>
      <c r="AC722" s="53"/>
    </row>
    <row r="723">
      <c r="A723" s="53"/>
      <c r="B723" s="53"/>
      <c r="C723" s="131"/>
      <c r="D723" s="131"/>
      <c r="E723" s="131"/>
      <c r="F723" s="131"/>
      <c r="G723" s="131"/>
      <c r="H723" s="131"/>
      <c r="I723" s="131"/>
      <c r="J723" s="132"/>
      <c r="K723" s="132"/>
      <c r="L723" s="131"/>
      <c r="M723" s="131"/>
      <c r="N723" s="131"/>
      <c r="O723" s="53"/>
      <c r="P723" s="53"/>
      <c r="Q723" s="53"/>
      <c r="R723" s="53"/>
      <c r="S723" s="53"/>
      <c r="T723" s="53"/>
      <c r="U723" s="53"/>
      <c r="V723" s="53"/>
      <c r="W723" s="53"/>
      <c r="X723" s="53"/>
      <c r="Y723" s="53"/>
      <c r="Z723" s="53"/>
      <c r="AA723" s="53"/>
      <c r="AB723" s="53"/>
      <c r="AC723" s="53"/>
    </row>
    <row r="724">
      <c r="A724" s="53"/>
      <c r="B724" s="53"/>
      <c r="C724" s="131"/>
      <c r="D724" s="131"/>
      <c r="E724" s="131"/>
      <c r="F724" s="131"/>
      <c r="G724" s="131"/>
      <c r="H724" s="131"/>
      <c r="I724" s="131"/>
      <c r="J724" s="132"/>
      <c r="K724" s="132"/>
      <c r="L724" s="131"/>
      <c r="M724" s="131"/>
      <c r="N724" s="131"/>
      <c r="O724" s="53"/>
      <c r="P724" s="53"/>
      <c r="Q724" s="53"/>
      <c r="R724" s="53"/>
      <c r="S724" s="53"/>
      <c r="T724" s="53"/>
      <c r="U724" s="53"/>
      <c r="V724" s="53"/>
      <c r="W724" s="53"/>
      <c r="X724" s="53"/>
      <c r="Y724" s="53"/>
      <c r="Z724" s="53"/>
      <c r="AA724" s="53"/>
      <c r="AB724" s="53"/>
      <c r="AC724" s="53"/>
    </row>
    <row r="725">
      <c r="A725" s="53"/>
      <c r="B725" s="53"/>
      <c r="C725" s="131"/>
      <c r="D725" s="131"/>
      <c r="E725" s="131"/>
      <c r="F725" s="131"/>
      <c r="G725" s="131"/>
      <c r="H725" s="131"/>
      <c r="I725" s="131"/>
      <c r="J725" s="132"/>
      <c r="K725" s="132"/>
      <c r="L725" s="131"/>
      <c r="M725" s="131"/>
      <c r="N725" s="131"/>
      <c r="O725" s="53"/>
      <c r="P725" s="53"/>
      <c r="Q725" s="53"/>
      <c r="R725" s="53"/>
      <c r="S725" s="53"/>
      <c r="T725" s="53"/>
      <c r="U725" s="53"/>
      <c r="V725" s="53"/>
      <c r="W725" s="53"/>
      <c r="X725" s="53"/>
      <c r="Y725" s="53"/>
      <c r="Z725" s="53"/>
      <c r="AA725" s="53"/>
      <c r="AB725" s="53"/>
      <c r="AC725" s="53"/>
    </row>
    <row r="726">
      <c r="A726" s="53"/>
      <c r="B726" s="53"/>
      <c r="C726" s="131"/>
      <c r="D726" s="131"/>
      <c r="E726" s="131"/>
      <c r="F726" s="131"/>
      <c r="G726" s="131"/>
      <c r="H726" s="131"/>
      <c r="I726" s="131"/>
      <c r="J726" s="132"/>
      <c r="K726" s="132"/>
      <c r="L726" s="131"/>
      <c r="M726" s="131"/>
      <c r="N726" s="131"/>
      <c r="O726" s="53"/>
      <c r="P726" s="53"/>
      <c r="Q726" s="53"/>
      <c r="R726" s="53"/>
      <c r="S726" s="53"/>
      <c r="T726" s="53"/>
      <c r="U726" s="53"/>
      <c r="V726" s="53"/>
      <c r="W726" s="53"/>
      <c r="X726" s="53"/>
      <c r="Y726" s="53"/>
      <c r="Z726" s="53"/>
      <c r="AA726" s="53"/>
      <c r="AB726" s="53"/>
      <c r="AC726" s="53"/>
    </row>
    <row r="727">
      <c r="A727" s="53"/>
      <c r="B727" s="53"/>
      <c r="C727" s="131"/>
      <c r="D727" s="131"/>
      <c r="E727" s="131"/>
      <c r="F727" s="131"/>
      <c r="G727" s="131"/>
      <c r="H727" s="131"/>
      <c r="I727" s="131"/>
      <c r="J727" s="132"/>
      <c r="K727" s="132"/>
      <c r="L727" s="131"/>
      <c r="M727" s="131"/>
      <c r="N727" s="131"/>
      <c r="O727" s="53"/>
      <c r="P727" s="53"/>
      <c r="Q727" s="53"/>
      <c r="R727" s="53"/>
      <c r="S727" s="53"/>
      <c r="T727" s="53"/>
      <c r="U727" s="53"/>
      <c r="V727" s="53"/>
      <c r="W727" s="53"/>
      <c r="X727" s="53"/>
      <c r="Y727" s="53"/>
      <c r="Z727" s="53"/>
      <c r="AA727" s="53"/>
      <c r="AB727" s="53"/>
      <c r="AC727" s="53"/>
    </row>
    <row r="728">
      <c r="A728" s="53"/>
      <c r="B728" s="53"/>
      <c r="C728" s="131"/>
      <c r="D728" s="131"/>
      <c r="E728" s="131"/>
      <c r="F728" s="131"/>
      <c r="G728" s="131"/>
      <c r="H728" s="131"/>
      <c r="I728" s="131"/>
      <c r="J728" s="132"/>
      <c r="K728" s="132"/>
      <c r="L728" s="131"/>
      <c r="M728" s="131"/>
      <c r="N728" s="131"/>
      <c r="O728" s="53"/>
      <c r="P728" s="53"/>
      <c r="Q728" s="53"/>
      <c r="R728" s="53"/>
      <c r="S728" s="53"/>
      <c r="T728" s="53"/>
      <c r="U728" s="53"/>
      <c r="V728" s="53"/>
      <c r="W728" s="53"/>
      <c r="X728" s="53"/>
      <c r="Y728" s="53"/>
      <c r="Z728" s="53"/>
      <c r="AA728" s="53"/>
      <c r="AB728" s="53"/>
      <c r="AC728" s="53"/>
    </row>
    <row r="729">
      <c r="A729" s="53"/>
      <c r="B729" s="53"/>
      <c r="C729" s="131"/>
      <c r="D729" s="131"/>
      <c r="E729" s="131"/>
      <c r="F729" s="131"/>
      <c r="G729" s="131"/>
      <c r="H729" s="131"/>
      <c r="I729" s="131"/>
      <c r="J729" s="132"/>
      <c r="K729" s="132"/>
      <c r="L729" s="131"/>
      <c r="M729" s="131"/>
      <c r="N729" s="131"/>
      <c r="O729" s="53"/>
      <c r="P729" s="53"/>
      <c r="Q729" s="53"/>
      <c r="R729" s="53"/>
      <c r="S729" s="53"/>
      <c r="T729" s="53"/>
      <c r="U729" s="53"/>
      <c r="V729" s="53"/>
      <c r="W729" s="53"/>
      <c r="X729" s="53"/>
      <c r="Y729" s="53"/>
      <c r="Z729" s="53"/>
      <c r="AA729" s="53"/>
      <c r="AB729" s="53"/>
      <c r="AC729" s="53"/>
    </row>
    <row r="730">
      <c r="A730" s="53"/>
      <c r="B730" s="53"/>
      <c r="C730" s="131"/>
      <c r="D730" s="131"/>
      <c r="E730" s="131"/>
      <c r="F730" s="131"/>
      <c r="G730" s="131"/>
      <c r="H730" s="131"/>
      <c r="I730" s="131"/>
      <c r="J730" s="132"/>
      <c r="K730" s="132"/>
      <c r="L730" s="131"/>
      <c r="M730" s="131"/>
      <c r="N730" s="131"/>
      <c r="O730" s="53"/>
      <c r="P730" s="53"/>
      <c r="Q730" s="53"/>
      <c r="R730" s="53"/>
      <c r="S730" s="53"/>
      <c r="T730" s="53"/>
      <c r="U730" s="53"/>
      <c r="V730" s="53"/>
      <c r="W730" s="53"/>
      <c r="X730" s="53"/>
      <c r="Y730" s="53"/>
      <c r="Z730" s="53"/>
      <c r="AA730" s="53"/>
      <c r="AB730" s="53"/>
      <c r="AC730" s="53"/>
    </row>
    <row r="731">
      <c r="A731" s="53"/>
      <c r="B731" s="53"/>
      <c r="C731" s="131"/>
      <c r="D731" s="131"/>
      <c r="E731" s="131"/>
      <c r="F731" s="131"/>
      <c r="G731" s="131"/>
      <c r="H731" s="131"/>
      <c r="I731" s="131"/>
      <c r="J731" s="132"/>
      <c r="K731" s="132"/>
      <c r="L731" s="131"/>
      <c r="M731" s="131"/>
      <c r="N731" s="131"/>
      <c r="O731" s="53"/>
      <c r="P731" s="53"/>
      <c r="Q731" s="53"/>
      <c r="R731" s="53"/>
      <c r="S731" s="53"/>
      <c r="T731" s="53"/>
      <c r="U731" s="53"/>
      <c r="V731" s="53"/>
      <c r="W731" s="53"/>
      <c r="X731" s="53"/>
      <c r="Y731" s="53"/>
      <c r="Z731" s="53"/>
      <c r="AA731" s="53"/>
      <c r="AB731" s="53"/>
      <c r="AC731" s="53"/>
    </row>
    <row r="732">
      <c r="A732" s="53"/>
      <c r="B732" s="53"/>
      <c r="C732" s="131"/>
      <c r="D732" s="131"/>
      <c r="E732" s="131"/>
      <c r="F732" s="131"/>
      <c r="G732" s="131"/>
      <c r="H732" s="131"/>
      <c r="I732" s="131"/>
      <c r="J732" s="132"/>
      <c r="K732" s="132"/>
      <c r="L732" s="131"/>
      <c r="M732" s="131"/>
      <c r="N732" s="131"/>
      <c r="O732" s="53"/>
      <c r="P732" s="53"/>
      <c r="Q732" s="53"/>
      <c r="R732" s="53"/>
      <c r="S732" s="53"/>
      <c r="T732" s="53"/>
      <c r="U732" s="53"/>
      <c r="V732" s="53"/>
      <c r="W732" s="53"/>
      <c r="X732" s="53"/>
      <c r="Y732" s="53"/>
      <c r="Z732" s="53"/>
      <c r="AA732" s="53"/>
      <c r="AB732" s="53"/>
      <c r="AC732" s="53"/>
    </row>
    <row r="733">
      <c r="A733" s="53"/>
      <c r="B733" s="53"/>
      <c r="C733" s="131"/>
      <c r="D733" s="131"/>
      <c r="E733" s="131"/>
      <c r="F733" s="131"/>
      <c r="G733" s="131"/>
      <c r="H733" s="131"/>
      <c r="I733" s="131"/>
      <c r="J733" s="132"/>
      <c r="K733" s="132"/>
      <c r="L733" s="131"/>
      <c r="M733" s="131"/>
      <c r="N733" s="131"/>
      <c r="O733" s="53"/>
      <c r="P733" s="53"/>
      <c r="Q733" s="53"/>
      <c r="R733" s="53"/>
      <c r="S733" s="53"/>
      <c r="T733" s="53"/>
      <c r="U733" s="53"/>
      <c r="V733" s="53"/>
      <c r="W733" s="53"/>
      <c r="X733" s="53"/>
      <c r="Y733" s="53"/>
      <c r="Z733" s="53"/>
      <c r="AA733" s="53"/>
      <c r="AB733" s="53"/>
      <c r="AC733" s="53"/>
    </row>
    <row r="734">
      <c r="A734" s="53"/>
      <c r="B734" s="53"/>
      <c r="C734" s="131"/>
      <c r="D734" s="131"/>
      <c r="E734" s="131"/>
      <c r="F734" s="131"/>
      <c r="G734" s="131"/>
      <c r="H734" s="131"/>
      <c r="I734" s="131"/>
      <c r="J734" s="132"/>
      <c r="K734" s="132"/>
      <c r="L734" s="131"/>
      <c r="M734" s="131"/>
      <c r="N734" s="131"/>
      <c r="O734" s="53"/>
      <c r="P734" s="53"/>
      <c r="Q734" s="53"/>
      <c r="R734" s="53"/>
      <c r="S734" s="53"/>
      <c r="T734" s="53"/>
      <c r="U734" s="53"/>
      <c r="V734" s="53"/>
      <c r="W734" s="53"/>
      <c r="X734" s="53"/>
      <c r="Y734" s="53"/>
      <c r="Z734" s="53"/>
      <c r="AA734" s="53"/>
      <c r="AB734" s="53"/>
      <c r="AC734" s="53"/>
    </row>
    <row r="735">
      <c r="A735" s="53"/>
      <c r="B735" s="53"/>
      <c r="C735" s="131"/>
      <c r="D735" s="131"/>
      <c r="E735" s="131"/>
      <c r="F735" s="131"/>
      <c r="G735" s="131"/>
      <c r="H735" s="131"/>
      <c r="I735" s="131"/>
      <c r="J735" s="132"/>
      <c r="K735" s="132"/>
      <c r="L735" s="131"/>
      <c r="M735" s="131"/>
      <c r="N735" s="131"/>
      <c r="O735" s="53"/>
      <c r="P735" s="53"/>
      <c r="Q735" s="53"/>
      <c r="R735" s="53"/>
      <c r="S735" s="53"/>
      <c r="T735" s="53"/>
      <c r="U735" s="53"/>
      <c r="V735" s="53"/>
      <c r="W735" s="53"/>
      <c r="X735" s="53"/>
      <c r="Y735" s="53"/>
      <c r="Z735" s="53"/>
      <c r="AA735" s="53"/>
      <c r="AB735" s="53"/>
      <c r="AC735" s="53"/>
    </row>
    <row r="736">
      <c r="A736" s="53"/>
      <c r="B736" s="53"/>
      <c r="C736" s="131"/>
      <c r="D736" s="131"/>
      <c r="E736" s="131"/>
      <c r="F736" s="131"/>
      <c r="G736" s="131"/>
      <c r="H736" s="131"/>
      <c r="I736" s="131"/>
      <c r="J736" s="132"/>
      <c r="K736" s="132"/>
      <c r="L736" s="131"/>
      <c r="M736" s="131"/>
      <c r="N736" s="131"/>
      <c r="O736" s="53"/>
      <c r="P736" s="53"/>
      <c r="Q736" s="53"/>
      <c r="R736" s="53"/>
      <c r="S736" s="53"/>
      <c r="T736" s="53"/>
      <c r="U736" s="53"/>
      <c r="V736" s="53"/>
      <c r="W736" s="53"/>
      <c r="X736" s="53"/>
      <c r="Y736" s="53"/>
      <c r="Z736" s="53"/>
      <c r="AA736" s="53"/>
      <c r="AB736" s="53"/>
      <c r="AC736" s="53"/>
    </row>
    <row r="737">
      <c r="A737" s="53"/>
      <c r="B737" s="53"/>
      <c r="C737" s="131"/>
      <c r="D737" s="131"/>
      <c r="E737" s="131"/>
      <c r="F737" s="131"/>
      <c r="G737" s="131"/>
      <c r="H737" s="131"/>
      <c r="I737" s="131"/>
      <c r="J737" s="132"/>
      <c r="K737" s="132"/>
      <c r="L737" s="131"/>
      <c r="M737" s="131"/>
      <c r="N737" s="131"/>
      <c r="O737" s="53"/>
      <c r="P737" s="53"/>
      <c r="Q737" s="53"/>
      <c r="R737" s="53"/>
      <c r="S737" s="53"/>
      <c r="T737" s="53"/>
      <c r="U737" s="53"/>
      <c r="V737" s="53"/>
      <c r="W737" s="53"/>
      <c r="X737" s="53"/>
      <c r="Y737" s="53"/>
      <c r="Z737" s="53"/>
      <c r="AA737" s="53"/>
      <c r="AB737" s="53"/>
      <c r="AC737" s="53"/>
    </row>
    <row r="738">
      <c r="A738" s="53"/>
      <c r="B738" s="53"/>
      <c r="C738" s="131"/>
      <c r="D738" s="131"/>
      <c r="E738" s="131"/>
      <c r="F738" s="131"/>
      <c r="G738" s="131"/>
      <c r="H738" s="131"/>
      <c r="I738" s="131"/>
      <c r="J738" s="132"/>
      <c r="K738" s="132"/>
      <c r="L738" s="131"/>
      <c r="M738" s="131"/>
      <c r="N738" s="131"/>
      <c r="O738" s="53"/>
      <c r="P738" s="53"/>
      <c r="Q738" s="53"/>
      <c r="R738" s="53"/>
      <c r="S738" s="53"/>
      <c r="T738" s="53"/>
      <c r="U738" s="53"/>
      <c r="V738" s="53"/>
      <c r="W738" s="53"/>
      <c r="X738" s="53"/>
      <c r="Y738" s="53"/>
      <c r="Z738" s="53"/>
      <c r="AA738" s="53"/>
      <c r="AB738" s="53"/>
      <c r="AC738" s="53"/>
    </row>
    <row r="739">
      <c r="A739" s="53"/>
      <c r="B739" s="53"/>
      <c r="C739" s="131"/>
      <c r="D739" s="131"/>
      <c r="E739" s="131"/>
      <c r="F739" s="131"/>
      <c r="G739" s="131"/>
      <c r="H739" s="131"/>
      <c r="I739" s="131"/>
      <c r="J739" s="132"/>
      <c r="K739" s="132"/>
      <c r="L739" s="131"/>
      <c r="M739" s="131"/>
      <c r="N739" s="131"/>
      <c r="O739" s="53"/>
      <c r="P739" s="53"/>
      <c r="Q739" s="53"/>
      <c r="R739" s="53"/>
      <c r="S739" s="53"/>
      <c r="T739" s="53"/>
      <c r="U739" s="53"/>
      <c r="V739" s="53"/>
      <c r="W739" s="53"/>
      <c r="X739" s="53"/>
      <c r="Y739" s="53"/>
      <c r="Z739" s="53"/>
      <c r="AA739" s="53"/>
      <c r="AB739" s="53"/>
      <c r="AC739" s="53"/>
    </row>
    <row r="740">
      <c r="A740" s="53"/>
      <c r="B740" s="53"/>
      <c r="C740" s="131"/>
      <c r="D740" s="131"/>
      <c r="E740" s="131"/>
      <c r="F740" s="131"/>
      <c r="G740" s="131"/>
      <c r="H740" s="131"/>
      <c r="I740" s="131"/>
      <c r="J740" s="132"/>
      <c r="K740" s="132"/>
      <c r="L740" s="131"/>
      <c r="M740" s="131"/>
      <c r="N740" s="131"/>
      <c r="O740" s="53"/>
      <c r="P740" s="53"/>
      <c r="Q740" s="53"/>
      <c r="R740" s="53"/>
      <c r="S740" s="53"/>
      <c r="T740" s="53"/>
      <c r="U740" s="53"/>
      <c r="V740" s="53"/>
      <c r="W740" s="53"/>
      <c r="X740" s="53"/>
      <c r="Y740" s="53"/>
      <c r="Z740" s="53"/>
      <c r="AA740" s="53"/>
      <c r="AB740" s="53"/>
      <c r="AC740" s="53"/>
    </row>
    <row r="741">
      <c r="A741" s="53"/>
      <c r="B741" s="53"/>
      <c r="C741" s="131"/>
      <c r="D741" s="131"/>
      <c r="E741" s="131"/>
      <c r="F741" s="131"/>
      <c r="G741" s="131"/>
      <c r="H741" s="131"/>
      <c r="I741" s="131"/>
      <c r="J741" s="132"/>
      <c r="K741" s="132"/>
      <c r="L741" s="131"/>
      <c r="M741" s="131"/>
      <c r="N741" s="131"/>
      <c r="O741" s="53"/>
      <c r="P741" s="53"/>
      <c r="Q741" s="53"/>
      <c r="R741" s="53"/>
      <c r="S741" s="53"/>
      <c r="T741" s="53"/>
      <c r="U741" s="53"/>
      <c r="V741" s="53"/>
      <c r="W741" s="53"/>
      <c r="X741" s="53"/>
      <c r="Y741" s="53"/>
      <c r="Z741" s="53"/>
      <c r="AA741" s="53"/>
      <c r="AB741" s="53"/>
      <c r="AC741" s="53"/>
    </row>
    <row r="742">
      <c r="A742" s="53"/>
      <c r="B742" s="53"/>
      <c r="C742" s="131"/>
      <c r="D742" s="131"/>
      <c r="E742" s="131"/>
      <c r="F742" s="131"/>
      <c r="G742" s="131"/>
      <c r="H742" s="131"/>
      <c r="I742" s="131"/>
      <c r="J742" s="132"/>
      <c r="K742" s="132"/>
      <c r="L742" s="131"/>
      <c r="M742" s="131"/>
      <c r="N742" s="131"/>
      <c r="O742" s="53"/>
      <c r="P742" s="53"/>
      <c r="Q742" s="53"/>
      <c r="R742" s="53"/>
      <c r="S742" s="53"/>
      <c r="T742" s="53"/>
      <c r="U742" s="53"/>
      <c r="V742" s="53"/>
      <c r="W742" s="53"/>
      <c r="X742" s="53"/>
      <c r="Y742" s="53"/>
      <c r="Z742" s="53"/>
      <c r="AA742" s="53"/>
      <c r="AB742" s="53"/>
      <c r="AC742" s="53"/>
    </row>
    <row r="743">
      <c r="A743" s="53"/>
      <c r="B743" s="53"/>
      <c r="C743" s="131"/>
      <c r="D743" s="131"/>
      <c r="E743" s="131"/>
      <c r="F743" s="131"/>
      <c r="G743" s="131"/>
      <c r="H743" s="131"/>
      <c r="I743" s="131"/>
      <c r="J743" s="132"/>
      <c r="K743" s="132"/>
      <c r="L743" s="131"/>
      <c r="M743" s="131"/>
      <c r="N743" s="131"/>
      <c r="O743" s="53"/>
      <c r="P743" s="53"/>
      <c r="Q743" s="53"/>
      <c r="R743" s="53"/>
      <c r="S743" s="53"/>
      <c r="T743" s="53"/>
      <c r="U743" s="53"/>
      <c r="V743" s="53"/>
      <c r="W743" s="53"/>
      <c r="X743" s="53"/>
      <c r="Y743" s="53"/>
      <c r="Z743" s="53"/>
      <c r="AA743" s="53"/>
      <c r="AB743" s="53"/>
      <c r="AC743" s="53"/>
    </row>
    <row r="744">
      <c r="A744" s="53"/>
      <c r="B744" s="53"/>
      <c r="C744" s="131"/>
      <c r="D744" s="131"/>
      <c r="E744" s="131"/>
      <c r="F744" s="131"/>
      <c r="G744" s="131"/>
      <c r="H744" s="131"/>
      <c r="I744" s="131"/>
      <c r="J744" s="132"/>
      <c r="K744" s="132"/>
      <c r="L744" s="131"/>
      <c r="M744" s="131"/>
      <c r="N744" s="131"/>
      <c r="O744" s="53"/>
      <c r="P744" s="53"/>
      <c r="Q744" s="53"/>
      <c r="R744" s="53"/>
      <c r="S744" s="53"/>
      <c r="T744" s="53"/>
      <c r="U744" s="53"/>
      <c r="V744" s="53"/>
      <c r="W744" s="53"/>
      <c r="X744" s="53"/>
      <c r="Y744" s="53"/>
      <c r="Z744" s="53"/>
      <c r="AA744" s="53"/>
      <c r="AB744" s="53"/>
      <c r="AC744" s="53"/>
    </row>
    <row r="745">
      <c r="A745" s="53"/>
      <c r="B745" s="53"/>
      <c r="C745" s="131"/>
      <c r="D745" s="131"/>
      <c r="E745" s="131"/>
      <c r="F745" s="131"/>
      <c r="G745" s="131"/>
      <c r="H745" s="131"/>
      <c r="I745" s="131"/>
      <c r="J745" s="132"/>
      <c r="K745" s="132"/>
      <c r="L745" s="131"/>
      <c r="M745" s="131"/>
      <c r="N745" s="131"/>
      <c r="O745" s="53"/>
      <c r="P745" s="53"/>
      <c r="Q745" s="53"/>
      <c r="R745" s="53"/>
      <c r="S745" s="53"/>
      <c r="T745" s="53"/>
      <c r="U745" s="53"/>
      <c r="V745" s="53"/>
      <c r="W745" s="53"/>
      <c r="X745" s="53"/>
      <c r="Y745" s="53"/>
      <c r="Z745" s="53"/>
      <c r="AA745" s="53"/>
      <c r="AB745" s="53"/>
      <c r="AC745" s="53"/>
    </row>
    <row r="746">
      <c r="A746" s="53"/>
      <c r="B746" s="53"/>
      <c r="C746" s="131"/>
      <c r="D746" s="131"/>
      <c r="E746" s="131"/>
      <c r="F746" s="131"/>
      <c r="G746" s="131"/>
      <c r="H746" s="131"/>
      <c r="I746" s="131"/>
      <c r="J746" s="132"/>
      <c r="K746" s="132"/>
      <c r="L746" s="131"/>
      <c r="M746" s="131"/>
      <c r="N746" s="131"/>
      <c r="O746" s="53"/>
      <c r="P746" s="53"/>
      <c r="Q746" s="53"/>
      <c r="R746" s="53"/>
      <c r="S746" s="53"/>
      <c r="T746" s="53"/>
      <c r="U746" s="53"/>
      <c r="V746" s="53"/>
      <c r="W746" s="53"/>
      <c r="X746" s="53"/>
      <c r="Y746" s="53"/>
      <c r="Z746" s="53"/>
      <c r="AA746" s="53"/>
      <c r="AB746" s="53"/>
      <c r="AC746" s="53"/>
    </row>
    <row r="747">
      <c r="A747" s="53"/>
      <c r="B747" s="53"/>
      <c r="C747" s="131"/>
      <c r="D747" s="131"/>
      <c r="E747" s="131"/>
      <c r="F747" s="131"/>
      <c r="G747" s="131"/>
      <c r="H747" s="131"/>
      <c r="I747" s="131"/>
      <c r="J747" s="132"/>
      <c r="K747" s="132"/>
      <c r="L747" s="131"/>
      <c r="M747" s="131"/>
      <c r="N747" s="131"/>
      <c r="O747" s="53"/>
      <c r="P747" s="53"/>
      <c r="Q747" s="53"/>
      <c r="R747" s="53"/>
      <c r="S747" s="53"/>
      <c r="T747" s="53"/>
      <c r="U747" s="53"/>
      <c r="V747" s="53"/>
      <c r="W747" s="53"/>
      <c r="X747" s="53"/>
      <c r="Y747" s="53"/>
      <c r="Z747" s="53"/>
      <c r="AA747" s="53"/>
      <c r="AB747" s="53"/>
      <c r="AC747" s="53"/>
    </row>
    <row r="748">
      <c r="A748" s="53"/>
      <c r="B748" s="53"/>
      <c r="C748" s="131"/>
      <c r="D748" s="131"/>
      <c r="E748" s="131"/>
      <c r="F748" s="131"/>
      <c r="G748" s="131"/>
      <c r="H748" s="131"/>
      <c r="I748" s="131"/>
      <c r="J748" s="132"/>
      <c r="K748" s="132"/>
      <c r="L748" s="131"/>
      <c r="M748" s="131"/>
      <c r="N748" s="131"/>
      <c r="O748" s="53"/>
      <c r="P748" s="53"/>
      <c r="Q748" s="53"/>
      <c r="R748" s="53"/>
      <c r="S748" s="53"/>
      <c r="T748" s="53"/>
      <c r="U748" s="53"/>
      <c r="V748" s="53"/>
      <c r="W748" s="53"/>
      <c r="X748" s="53"/>
      <c r="Y748" s="53"/>
      <c r="Z748" s="53"/>
      <c r="AA748" s="53"/>
      <c r="AB748" s="53"/>
      <c r="AC748" s="53"/>
    </row>
    <row r="749">
      <c r="A749" s="53"/>
      <c r="B749" s="53"/>
      <c r="C749" s="131"/>
      <c r="D749" s="131"/>
      <c r="E749" s="131"/>
      <c r="F749" s="131"/>
      <c r="G749" s="131"/>
      <c r="H749" s="131"/>
      <c r="I749" s="131"/>
      <c r="J749" s="132"/>
      <c r="K749" s="132"/>
      <c r="L749" s="131"/>
      <c r="M749" s="131"/>
      <c r="N749" s="131"/>
      <c r="O749" s="53"/>
      <c r="P749" s="53"/>
      <c r="Q749" s="53"/>
      <c r="R749" s="53"/>
      <c r="S749" s="53"/>
      <c r="T749" s="53"/>
      <c r="U749" s="53"/>
      <c r="V749" s="53"/>
      <c r="W749" s="53"/>
      <c r="X749" s="53"/>
      <c r="Y749" s="53"/>
      <c r="Z749" s="53"/>
      <c r="AA749" s="53"/>
      <c r="AB749" s="53"/>
      <c r="AC749" s="53"/>
    </row>
    <row r="750">
      <c r="A750" s="53"/>
      <c r="B750" s="53"/>
      <c r="C750" s="131"/>
      <c r="D750" s="131"/>
      <c r="E750" s="131"/>
      <c r="F750" s="131"/>
      <c r="G750" s="131"/>
      <c r="H750" s="131"/>
      <c r="I750" s="131"/>
      <c r="J750" s="132"/>
      <c r="K750" s="132"/>
      <c r="L750" s="131"/>
      <c r="M750" s="131"/>
      <c r="N750" s="131"/>
      <c r="O750" s="53"/>
      <c r="P750" s="53"/>
      <c r="Q750" s="53"/>
      <c r="R750" s="53"/>
      <c r="S750" s="53"/>
      <c r="T750" s="53"/>
      <c r="U750" s="53"/>
      <c r="V750" s="53"/>
      <c r="W750" s="53"/>
      <c r="X750" s="53"/>
      <c r="Y750" s="53"/>
      <c r="Z750" s="53"/>
      <c r="AA750" s="53"/>
      <c r="AB750" s="53"/>
      <c r="AC750" s="53"/>
    </row>
    <row r="751">
      <c r="A751" s="53"/>
      <c r="B751" s="53"/>
      <c r="C751" s="131"/>
      <c r="D751" s="131"/>
      <c r="E751" s="131"/>
      <c r="F751" s="131"/>
      <c r="G751" s="131"/>
      <c r="H751" s="131"/>
      <c r="I751" s="131"/>
      <c r="J751" s="132"/>
      <c r="K751" s="132"/>
      <c r="L751" s="131"/>
      <c r="M751" s="131"/>
      <c r="N751" s="131"/>
      <c r="O751" s="53"/>
      <c r="P751" s="53"/>
      <c r="Q751" s="53"/>
      <c r="R751" s="53"/>
      <c r="S751" s="53"/>
      <c r="T751" s="53"/>
      <c r="U751" s="53"/>
      <c r="V751" s="53"/>
      <c r="W751" s="53"/>
      <c r="X751" s="53"/>
      <c r="Y751" s="53"/>
      <c r="Z751" s="53"/>
      <c r="AA751" s="53"/>
      <c r="AB751" s="53"/>
      <c r="AC751" s="53"/>
    </row>
    <row r="752">
      <c r="A752" s="53"/>
      <c r="B752" s="53"/>
      <c r="C752" s="131"/>
      <c r="D752" s="131"/>
      <c r="E752" s="131"/>
      <c r="F752" s="131"/>
      <c r="G752" s="131"/>
      <c r="H752" s="131"/>
      <c r="I752" s="131"/>
      <c r="J752" s="132"/>
      <c r="K752" s="132"/>
      <c r="L752" s="131"/>
      <c r="M752" s="131"/>
      <c r="N752" s="131"/>
      <c r="O752" s="53"/>
      <c r="P752" s="53"/>
      <c r="Q752" s="53"/>
      <c r="R752" s="53"/>
      <c r="S752" s="53"/>
      <c r="T752" s="53"/>
      <c r="U752" s="53"/>
      <c r="V752" s="53"/>
      <c r="W752" s="53"/>
      <c r="X752" s="53"/>
      <c r="Y752" s="53"/>
      <c r="Z752" s="53"/>
      <c r="AA752" s="53"/>
      <c r="AB752" s="53"/>
      <c r="AC752" s="53"/>
    </row>
    <row r="753">
      <c r="A753" s="53"/>
      <c r="B753" s="53"/>
      <c r="C753" s="131"/>
      <c r="D753" s="131"/>
      <c r="E753" s="131"/>
      <c r="F753" s="131"/>
      <c r="G753" s="131"/>
      <c r="H753" s="131"/>
      <c r="I753" s="131"/>
      <c r="J753" s="132"/>
      <c r="K753" s="132"/>
      <c r="L753" s="131"/>
      <c r="M753" s="131"/>
      <c r="N753" s="131"/>
      <c r="O753" s="53"/>
      <c r="P753" s="53"/>
      <c r="Q753" s="53"/>
      <c r="R753" s="53"/>
      <c r="S753" s="53"/>
      <c r="T753" s="53"/>
      <c r="U753" s="53"/>
      <c r="V753" s="53"/>
      <c r="W753" s="53"/>
      <c r="X753" s="53"/>
      <c r="Y753" s="53"/>
      <c r="Z753" s="53"/>
      <c r="AA753" s="53"/>
      <c r="AB753" s="53"/>
      <c r="AC753" s="53"/>
    </row>
    <row r="754">
      <c r="A754" s="53"/>
      <c r="B754" s="53"/>
      <c r="C754" s="131"/>
      <c r="D754" s="131"/>
      <c r="E754" s="131"/>
      <c r="F754" s="131"/>
      <c r="G754" s="131"/>
      <c r="H754" s="131"/>
      <c r="I754" s="131"/>
      <c r="J754" s="132"/>
      <c r="K754" s="132"/>
      <c r="L754" s="131"/>
      <c r="M754" s="131"/>
      <c r="N754" s="131"/>
      <c r="O754" s="53"/>
      <c r="P754" s="53"/>
      <c r="Q754" s="53"/>
      <c r="R754" s="53"/>
      <c r="S754" s="53"/>
      <c r="T754" s="53"/>
      <c r="U754" s="53"/>
      <c r="V754" s="53"/>
      <c r="W754" s="53"/>
      <c r="X754" s="53"/>
      <c r="Y754" s="53"/>
      <c r="Z754" s="53"/>
      <c r="AA754" s="53"/>
      <c r="AB754" s="53"/>
      <c r="AC754" s="53"/>
    </row>
    <row r="755">
      <c r="A755" s="53"/>
      <c r="B755" s="53"/>
      <c r="C755" s="131"/>
      <c r="D755" s="131"/>
      <c r="E755" s="131"/>
      <c r="F755" s="131"/>
      <c r="G755" s="131"/>
      <c r="H755" s="131"/>
      <c r="I755" s="131"/>
      <c r="J755" s="132"/>
      <c r="K755" s="132"/>
      <c r="L755" s="131"/>
      <c r="M755" s="131"/>
      <c r="N755" s="131"/>
      <c r="O755" s="53"/>
      <c r="P755" s="53"/>
      <c r="Q755" s="53"/>
      <c r="R755" s="53"/>
      <c r="S755" s="53"/>
      <c r="T755" s="53"/>
      <c r="U755" s="53"/>
      <c r="V755" s="53"/>
      <c r="W755" s="53"/>
      <c r="X755" s="53"/>
      <c r="Y755" s="53"/>
      <c r="Z755" s="53"/>
      <c r="AA755" s="53"/>
      <c r="AB755" s="53"/>
      <c r="AC755" s="53"/>
    </row>
    <row r="756">
      <c r="A756" s="53"/>
      <c r="B756" s="53"/>
      <c r="C756" s="131"/>
      <c r="D756" s="131"/>
      <c r="E756" s="131"/>
      <c r="F756" s="131"/>
      <c r="G756" s="131"/>
      <c r="H756" s="131"/>
      <c r="I756" s="131"/>
      <c r="J756" s="132"/>
      <c r="K756" s="132"/>
      <c r="L756" s="131"/>
      <c r="M756" s="131"/>
      <c r="N756" s="131"/>
      <c r="O756" s="53"/>
      <c r="P756" s="53"/>
      <c r="Q756" s="53"/>
      <c r="R756" s="53"/>
      <c r="S756" s="53"/>
      <c r="T756" s="53"/>
      <c r="U756" s="53"/>
      <c r="V756" s="53"/>
      <c r="W756" s="53"/>
      <c r="X756" s="53"/>
      <c r="Y756" s="53"/>
      <c r="Z756" s="53"/>
      <c r="AA756" s="53"/>
      <c r="AB756" s="53"/>
      <c r="AC756" s="53"/>
    </row>
    <row r="757">
      <c r="A757" s="53"/>
      <c r="B757" s="53"/>
      <c r="C757" s="131"/>
      <c r="D757" s="131"/>
      <c r="E757" s="131"/>
      <c r="F757" s="131"/>
      <c r="G757" s="131"/>
      <c r="H757" s="131"/>
      <c r="I757" s="131"/>
      <c r="J757" s="132"/>
      <c r="K757" s="132"/>
      <c r="L757" s="131"/>
      <c r="M757" s="131"/>
      <c r="N757" s="131"/>
      <c r="O757" s="53"/>
      <c r="P757" s="53"/>
      <c r="Q757" s="53"/>
      <c r="R757" s="53"/>
      <c r="S757" s="53"/>
      <c r="T757" s="53"/>
      <c r="U757" s="53"/>
      <c r="V757" s="53"/>
      <c r="W757" s="53"/>
      <c r="X757" s="53"/>
      <c r="Y757" s="53"/>
      <c r="Z757" s="53"/>
      <c r="AA757" s="53"/>
      <c r="AB757" s="53"/>
      <c r="AC757" s="53"/>
    </row>
    <row r="758">
      <c r="A758" s="53"/>
      <c r="B758" s="53"/>
      <c r="C758" s="131"/>
      <c r="D758" s="131"/>
      <c r="E758" s="131"/>
      <c r="F758" s="131"/>
      <c r="G758" s="131"/>
      <c r="H758" s="131"/>
      <c r="I758" s="131"/>
      <c r="J758" s="132"/>
      <c r="K758" s="132"/>
      <c r="L758" s="131"/>
      <c r="M758" s="131"/>
      <c r="N758" s="131"/>
      <c r="O758" s="53"/>
      <c r="P758" s="53"/>
      <c r="Q758" s="53"/>
      <c r="R758" s="53"/>
      <c r="S758" s="53"/>
      <c r="T758" s="53"/>
      <c r="U758" s="53"/>
      <c r="V758" s="53"/>
      <c r="W758" s="53"/>
      <c r="X758" s="53"/>
      <c r="Y758" s="53"/>
      <c r="Z758" s="53"/>
      <c r="AA758" s="53"/>
      <c r="AB758" s="53"/>
      <c r="AC758" s="53"/>
    </row>
    <row r="759">
      <c r="A759" s="53"/>
      <c r="B759" s="53"/>
      <c r="C759" s="131"/>
      <c r="D759" s="131"/>
      <c r="E759" s="131"/>
      <c r="F759" s="131"/>
      <c r="G759" s="131"/>
      <c r="H759" s="131"/>
      <c r="I759" s="131"/>
      <c r="J759" s="132"/>
      <c r="K759" s="132"/>
      <c r="L759" s="131"/>
      <c r="M759" s="131"/>
      <c r="N759" s="131"/>
      <c r="O759" s="53"/>
      <c r="P759" s="53"/>
      <c r="Q759" s="53"/>
      <c r="R759" s="53"/>
      <c r="S759" s="53"/>
      <c r="T759" s="53"/>
      <c r="U759" s="53"/>
      <c r="V759" s="53"/>
      <c r="W759" s="53"/>
      <c r="X759" s="53"/>
      <c r="Y759" s="53"/>
      <c r="Z759" s="53"/>
      <c r="AA759" s="53"/>
      <c r="AB759" s="53"/>
      <c r="AC759" s="53"/>
    </row>
    <row r="760">
      <c r="A760" s="53"/>
      <c r="B760" s="53"/>
      <c r="C760" s="131"/>
      <c r="D760" s="131"/>
      <c r="E760" s="131"/>
      <c r="F760" s="131"/>
      <c r="G760" s="131"/>
      <c r="H760" s="131"/>
      <c r="I760" s="131"/>
      <c r="J760" s="132"/>
      <c r="K760" s="132"/>
      <c r="L760" s="131"/>
      <c r="M760" s="131"/>
      <c r="N760" s="131"/>
      <c r="O760" s="53"/>
      <c r="P760" s="53"/>
      <c r="Q760" s="53"/>
      <c r="R760" s="53"/>
      <c r="S760" s="53"/>
      <c r="T760" s="53"/>
      <c r="U760" s="53"/>
      <c r="V760" s="53"/>
      <c r="W760" s="53"/>
      <c r="X760" s="53"/>
      <c r="Y760" s="53"/>
      <c r="Z760" s="53"/>
      <c r="AA760" s="53"/>
      <c r="AB760" s="53"/>
      <c r="AC760" s="53"/>
    </row>
    <row r="761">
      <c r="A761" s="53"/>
      <c r="B761" s="53"/>
      <c r="C761" s="131"/>
      <c r="D761" s="131"/>
      <c r="E761" s="131"/>
      <c r="F761" s="131"/>
      <c r="G761" s="131"/>
      <c r="H761" s="131"/>
      <c r="I761" s="131"/>
      <c r="J761" s="132"/>
      <c r="K761" s="132"/>
      <c r="L761" s="131"/>
      <c r="M761" s="131"/>
      <c r="N761" s="131"/>
      <c r="O761" s="53"/>
      <c r="P761" s="53"/>
      <c r="Q761" s="53"/>
      <c r="R761" s="53"/>
      <c r="S761" s="53"/>
      <c r="T761" s="53"/>
      <c r="U761" s="53"/>
      <c r="V761" s="53"/>
      <c r="W761" s="53"/>
      <c r="X761" s="53"/>
      <c r="Y761" s="53"/>
      <c r="Z761" s="53"/>
      <c r="AA761" s="53"/>
      <c r="AB761" s="53"/>
      <c r="AC761" s="53"/>
    </row>
    <row r="762">
      <c r="A762" s="53"/>
      <c r="B762" s="53"/>
      <c r="C762" s="131"/>
      <c r="D762" s="131"/>
      <c r="E762" s="131"/>
      <c r="F762" s="131"/>
      <c r="G762" s="131"/>
      <c r="H762" s="131"/>
      <c r="I762" s="131"/>
      <c r="J762" s="132"/>
      <c r="K762" s="132"/>
      <c r="L762" s="131"/>
      <c r="M762" s="131"/>
      <c r="N762" s="131"/>
      <c r="O762" s="53"/>
      <c r="P762" s="53"/>
      <c r="Q762" s="53"/>
      <c r="R762" s="53"/>
      <c r="S762" s="53"/>
      <c r="T762" s="53"/>
      <c r="U762" s="53"/>
      <c r="V762" s="53"/>
      <c r="W762" s="53"/>
      <c r="X762" s="53"/>
      <c r="Y762" s="53"/>
      <c r="Z762" s="53"/>
      <c r="AA762" s="53"/>
      <c r="AB762" s="53"/>
      <c r="AC762" s="53"/>
    </row>
    <row r="763">
      <c r="A763" s="53"/>
      <c r="B763" s="53"/>
      <c r="C763" s="131"/>
      <c r="D763" s="131"/>
      <c r="E763" s="131"/>
      <c r="F763" s="131"/>
      <c r="G763" s="131"/>
      <c r="H763" s="131"/>
      <c r="I763" s="131"/>
      <c r="J763" s="132"/>
      <c r="K763" s="132"/>
      <c r="L763" s="131"/>
      <c r="M763" s="131"/>
      <c r="N763" s="131"/>
      <c r="O763" s="53"/>
      <c r="P763" s="53"/>
      <c r="Q763" s="53"/>
      <c r="R763" s="53"/>
      <c r="S763" s="53"/>
      <c r="T763" s="53"/>
      <c r="U763" s="53"/>
      <c r="V763" s="53"/>
      <c r="W763" s="53"/>
      <c r="X763" s="53"/>
      <c r="Y763" s="53"/>
      <c r="Z763" s="53"/>
      <c r="AA763" s="53"/>
      <c r="AB763" s="53"/>
      <c r="AC763" s="53"/>
    </row>
    <row r="764">
      <c r="A764" s="53"/>
      <c r="B764" s="53"/>
      <c r="C764" s="131"/>
      <c r="D764" s="131"/>
      <c r="E764" s="131"/>
      <c r="F764" s="131"/>
      <c r="G764" s="131"/>
      <c r="H764" s="131"/>
      <c r="I764" s="131"/>
      <c r="J764" s="132"/>
      <c r="K764" s="132"/>
      <c r="L764" s="131"/>
      <c r="M764" s="131"/>
      <c r="N764" s="131"/>
      <c r="O764" s="53"/>
      <c r="P764" s="53"/>
      <c r="Q764" s="53"/>
      <c r="R764" s="53"/>
      <c r="S764" s="53"/>
      <c r="T764" s="53"/>
      <c r="U764" s="53"/>
      <c r="V764" s="53"/>
      <c r="W764" s="53"/>
      <c r="X764" s="53"/>
      <c r="Y764" s="53"/>
      <c r="Z764" s="53"/>
      <c r="AA764" s="53"/>
      <c r="AB764" s="53"/>
      <c r="AC764" s="53"/>
    </row>
    <row r="765">
      <c r="A765" s="53"/>
      <c r="B765" s="53"/>
      <c r="C765" s="131"/>
      <c r="D765" s="131"/>
      <c r="E765" s="131"/>
      <c r="F765" s="131"/>
      <c r="G765" s="131"/>
      <c r="H765" s="131"/>
      <c r="I765" s="131"/>
      <c r="J765" s="132"/>
      <c r="K765" s="132"/>
      <c r="L765" s="131"/>
      <c r="M765" s="131"/>
      <c r="N765" s="131"/>
      <c r="O765" s="53"/>
      <c r="P765" s="53"/>
      <c r="Q765" s="53"/>
      <c r="R765" s="53"/>
      <c r="S765" s="53"/>
      <c r="T765" s="53"/>
      <c r="U765" s="53"/>
      <c r="V765" s="53"/>
      <c r="W765" s="53"/>
      <c r="X765" s="53"/>
      <c r="Y765" s="53"/>
      <c r="Z765" s="53"/>
      <c r="AA765" s="53"/>
      <c r="AB765" s="53"/>
      <c r="AC765" s="53"/>
    </row>
    <row r="766">
      <c r="A766" s="53"/>
      <c r="B766" s="53"/>
      <c r="C766" s="131"/>
      <c r="D766" s="131"/>
      <c r="E766" s="131"/>
      <c r="F766" s="131"/>
      <c r="G766" s="131"/>
      <c r="H766" s="131"/>
      <c r="I766" s="131"/>
      <c r="J766" s="132"/>
      <c r="K766" s="132"/>
      <c r="L766" s="131"/>
      <c r="M766" s="131"/>
      <c r="N766" s="131"/>
      <c r="O766" s="53"/>
      <c r="P766" s="53"/>
      <c r="Q766" s="53"/>
      <c r="R766" s="53"/>
      <c r="S766" s="53"/>
      <c r="T766" s="53"/>
      <c r="U766" s="53"/>
      <c r="V766" s="53"/>
      <c r="W766" s="53"/>
      <c r="X766" s="53"/>
      <c r="Y766" s="53"/>
      <c r="Z766" s="53"/>
      <c r="AA766" s="53"/>
      <c r="AB766" s="53"/>
      <c r="AC766" s="53"/>
    </row>
    <row r="767">
      <c r="A767" s="53"/>
      <c r="B767" s="53"/>
      <c r="C767" s="131"/>
      <c r="D767" s="131"/>
      <c r="E767" s="131"/>
      <c r="F767" s="131"/>
      <c r="G767" s="131"/>
      <c r="H767" s="131"/>
      <c r="I767" s="131"/>
      <c r="J767" s="132"/>
      <c r="K767" s="132"/>
      <c r="L767" s="131"/>
      <c r="M767" s="131"/>
      <c r="N767" s="131"/>
      <c r="O767" s="53"/>
      <c r="P767" s="53"/>
      <c r="Q767" s="53"/>
      <c r="R767" s="53"/>
      <c r="S767" s="53"/>
      <c r="T767" s="53"/>
      <c r="U767" s="53"/>
      <c r="V767" s="53"/>
      <c r="W767" s="53"/>
      <c r="X767" s="53"/>
      <c r="Y767" s="53"/>
      <c r="Z767" s="53"/>
      <c r="AA767" s="53"/>
      <c r="AB767" s="53"/>
      <c r="AC767" s="53"/>
    </row>
    <row r="768">
      <c r="A768" s="53"/>
      <c r="B768" s="53"/>
      <c r="C768" s="131"/>
      <c r="D768" s="131"/>
      <c r="E768" s="131"/>
      <c r="F768" s="131"/>
      <c r="G768" s="131"/>
      <c r="H768" s="131"/>
      <c r="I768" s="131"/>
      <c r="J768" s="132"/>
      <c r="K768" s="132"/>
      <c r="L768" s="131"/>
      <c r="M768" s="131"/>
      <c r="N768" s="131"/>
      <c r="O768" s="53"/>
      <c r="P768" s="53"/>
      <c r="Q768" s="53"/>
      <c r="R768" s="53"/>
      <c r="S768" s="53"/>
      <c r="T768" s="53"/>
      <c r="U768" s="53"/>
      <c r="V768" s="53"/>
      <c r="W768" s="53"/>
      <c r="X768" s="53"/>
      <c r="Y768" s="53"/>
      <c r="Z768" s="53"/>
      <c r="AA768" s="53"/>
      <c r="AB768" s="53"/>
      <c r="AC768" s="53"/>
    </row>
    <row r="769">
      <c r="A769" s="53"/>
      <c r="B769" s="53"/>
      <c r="C769" s="131"/>
      <c r="D769" s="131"/>
      <c r="E769" s="131"/>
      <c r="F769" s="131"/>
      <c r="G769" s="131"/>
      <c r="H769" s="131"/>
      <c r="I769" s="131"/>
      <c r="J769" s="132"/>
      <c r="K769" s="132"/>
      <c r="L769" s="131"/>
      <c r="M769" s="131"/>
      <c r="N769" s="131"/>
      <c r="O769" s="53"/>
      <c r="P769" s="53"/>
      <c r="Q769" s="53"/>
      <c r="R769" s="53"/>
      <c r="S769" s="53"/>
      <c r="T769" s="53"/>
      <c r="U769" s="53"/>
      <c r="V769" s="53"/>
      <c r="W769" s="53"/>
      <c r="X769" s="53"/>
      <c r="Y769" s="53"/>
      <c r="Z769" s="53"/>
      <c r="AA769" s="53"/>
      <c r="AB769" s="53"/>
      <c r="AC769" s="53"/>
    </row>
    <row r="770">
      <c r="A770" s="53"/>
      <c r="B770" s="53"/>
      <c r="C770" s="131"/>
      <c r="D770" s="131"/>
      <c r="E770" s="131"/>
      <c r="F770" s="131"/>
      <c r="G770" s="131"/>
      <c r="H770" s="131"/>
      <c r="I770" s="131"/>
      <c r="J770" s="132"/>
      <c r="K770" s="132"/>
      <c r="L770" s="131"/>
      <c r="M770" s="131"/>
      <c r="N770" s="131"/>
      <c r="O770" s="53"/>
      <c r="P770" s="53"/>
      <c r="Q770" s="53"/>
      <c r="R770" s="53"/>
      <c r="S770" s="53"/>
      <c r="T770" s="53"/>
      <c r="U770" s="53"/>
      <c r="V770" s="53"/>
      <c r="W770" s="53"/>
      <c r="X770" s="53"/>
      <c r="Y770" s="53"/>
      <c r="Z770" s="53"/>
      <c r="AA770" s="53"/>
      <c r="AB770" s="53"/>
      <c r="AC770" s="53"/>
    </row>
    <row r="771">
      <c r="A771" s="53"/>
      <c r="B771" s="53"/>
      <c r="C771" s="131"/>
      <c r="D771" s="131"/>
      <c r="E771" s="131"/>
      <c r="F771" s="131"/>
      <c r="G771" s="131"/>
      <c r="H771" s="131"/>
      <c r="I771" s="131"/>
      <c r="J771" s="132"/>
      <c r="K771" s="132"/>
      <c r="L771" s="131"/>
      <c r="M771" s="131"/>
      <c r="N771" s="131"/>
      <c r="O771" s="53"/>
      <c r="P771" s="53"/>
      <c r="Q771" s="53"/>
      <c r="R771" s="53"/>
      <c r="S771" s="53"/>
      <c r="T771" s="53"/>
      <c r="U771" s="53"/>
      <c r="V771" s="53"/>
      <c r="W771" s="53"/>
      <c r="X771" s="53"/>
      <c r="Y771" s="53"/>
      <c r="Z771" s="53"/>
      <c r="AA771" s="53"/>
      <c r="AB771" s="53"/>
      <c r="AC771" s="53"/>
    </row>
    <row r="772">
      <c r="A772" s="53"/>
      <c r="B772" s="53"/>
      <c r="C772" s="131"/>
      <c r="D772" s="131"/>
      <c r="E772" s="131"/>
      <c r="F772" s="131"/>
      <c r="G772" s="131"/>
      <c r="H772" s="131"/>
      <c r="I772" s="131"/>
      <c r="J772" s="132"/>
      <c r="K772" s="132"/>
      <c r="L772" s="131"/>
      <c r="M772" s="131"/>
      <c r="N772" s="131"/>
      <c r="O772" s="53"/>
      <c r="P772" s="53"/>
      <c r="Q772" s="53"/>
      <c r="R772" s="53"/>
      <c r="S772" s="53"/>
      <c r="T772" s="53"/>
      <c r="U772" s="53"/>
      <c r="V772" s="53"/>
      <c r="W772" s="53"/>
      <c r="X772" s="53"/>
      <c r="Y772" s="53"/>
      <c r="Z772" s="53"/>
      <c r="AA772" s="53"/>
      <c r="AB772" s="53"/>
      <c r="AC772" s="53"/>
    </row>
    <row r="773">
      <c r="A773" s="53"/>
      <c r="B773" s="53"/>
      <c r="C773" s="131"/>
      <c r="D773" s="131"/>
      <c r="E773" s="131"/>
      <c r="F773" s="131"/>
      <c r="G773" s="131"/>
      <c r="H773" s="131"/>
      <c r="I773" s="131"/>
      <c r="J773" s="132"/>
      <c r="K773" s="132"/>
      <c r="L773" s="131"/>
      <c r="M773" s="131"/>
      <c r="N773" s="131"/>
      <c r="O773" s="53"/>
      <c r="P773" s="53"/>
      <c r="Q773" s="53"/>
      <c r="R773" s="53"/>
      <c r="S773" s="53"/>
      <c r="T773" s="53"/>
      <c r="U773" s="53"/>
      <c r="V773" s="53"/>
      <c r="W773" s="53"/>
      <c r="X773" s="53"/>
      <c r="Y773" s="53"/>
      <c r="Z773" s="53"/>
      <c r="AA773" s="53"/>
      <c r="AB773" s="53"/>
      <c r="AC773" s="53"/>
    </row>
    <row r="774">
      <c r="A774" s="53"/>
      <c r="B774" s="53"/>
      <c r="C774" s="131"/>
      <c r="D774" s="131"/>
      <c r="E774" s="131"/>
      <c r="F774" s="131"/>
      <c r="G774" s="131"/>
      <c r="H774" s="131"/>
      <c r="I774" s="131"/>
      <c r="J774" s="132"/>
      <c r="K774" s="132"/>
      <c r="L774" s="131"/>
      <c r="M774" s="131"/>
      <c r="N774" s="131"/>
      <c r="O774" s="53"/>
      <c r="P774" s="53"/>
      <c r="Q774" s="53"/>
      <c r="R774" s="53"/>
      <c r="S774" s="53"/>
      <c r="T774" s="53"/>
      <c r="U774" s="53"/>
      <c r="V774" s="53"/>
      <c r="W774" s="53"/>
      <c r="X774" s="53"/>
      <c r="Y774" s="53"/>
      <c r="Z774" s="53"/>
      <c r="AA774" s="53"/>
      <c r="AB774" s="53"/>
      <c r="AC774" s="53"/>
    </row>
    <row r="775">
      <c r="A775" s="53"/>
      <c r="B775" s="53"/>
      <c r="C775" s="131"/>
      <c r="D775" s="131"/>
      <c r="E775" s="131"/>
      <c r="F775" s="131"/>
      <c r="G775" s="131"/>
      <c r="H775" s="131"/>
      <c r="I775" s="131"/>
      <c r="J775" s="132"/>
      <c r="K775" s="132"/>
      <c r="L775" s="131"/>
      <c r="M775" s="131"/>
      <c r="N775" s="131"/>
      <c r="O775" s="53"/>
      <c r="P775" s="53"/>
      <c r="Q775" s="53"/>
      <c r="R775" s="53"/>
      <c r="S775" s="53"/>
      <c r="T775" s="53"/>
      <c r="U775" s="53"/>
      <c r="V775" s="53"/>
      <c r="W775" s="53"/>
      <c r="X775" s="53"/>
      <c r="Y775" s="53"/>
      <c r="Z775" s="53"/>
      <c r="AA775" s="53"/>
      <c r="AB775" s="53"/>
      <c r="AC775" s="53"/>
    </row>
    <row r="776">
      <c r="A776" s="53"/>
      <c r="B776" s="53"/>
      <c r="C776" s="131"/>
      <c r="D776" s="131"/>
      <c r="E776" s="131"/>
      <c r="F776" s="131"/>
      <c r="G776" s="131"/>
      <c r="H776" s="131"/>
      <c r="I776" s="131"/>
      <c r="J776" s="132"/>
      <c r="K776" s="132"/>
      <c r="L776" s="131"/>
      <c r="M776" s="131"/>
      <c r="N776" s="131"/>
      <c r="O776" s="53"/>
      <c r="P776" s="53"/>
      <c r="Q776" s="53"/>
      <c r="R776" s="53"/>
      <c r="S776" s="53"/>
      <c r="T776" s="53"/>
      <c r="U776" s="53"/>
      <c r="V776" s="53"/>
      <c r="W776" s="53"/>
      <c r="X776" s="53"/>
      <c r="Y776" s="53"/>
      <c r="Z776" s="53"/>
      <c r="AA776" s="53"/>
      <c r="AB776" s="53"/>
      <c r="AC776" s="53"/>
    </row>
    <row r="777">
      <c r="A777" s="53"/>
      <c r="B777" s="53"/>
      <c r="C777" s="131"/>
      <c r="D777" s="131"/>
      <c r="E777" s="131"/>
      <c r="F777" s="131"/>
      <c r="G777" s="131"/>
      <c r="H777" s="131"/>
      <c r="I777" s="131"/>
      <c r="J777" s="132"/>
      <c r="K777" s="132"/>
      <c r="L777" s="131"/>
      <c r="M777" s="131"/>
      <c r="N777" s="131"/>
      <c r="O777" s="53"/>
      <c r="P777" s="53"/>
      <c r="Q777" s="53"/>
      <c r="R777" s="53"/>
      <c r="S777" s="53"/>
      <c r="T777" s="53"/>
      <c r="U777" s="53"/>
      <c r="V777" s="53"/>
      <c r="W777" s="53"/>
      <c r="X777" s="53"/>
      <c r="Y777" s="53"/>
      <c r="Z777" s="53"/>
      <c r="AA777" s="53"/>
      <c r="AB777" s="53"/>
      <c r="AC777" s="53"/>
    </row>
    <row r="778">
      <c r="A778" s="53"/>
      <c r="B778" s="53"/>
      <c r="C778" s="131"/>
      <c r="D778" s="131"/>
      <c r="E778" s="131"/>
      <c r="F778" s="131"/>
      <c r="G778" s="131"/>
      <c r="H778" s="131"/>
      <c r="I778" s="131"/>
      <c r="J778" s="132"/>
      <c r="K778" s="132"/>
      <c r="L778" s="131"/>
      <c r="M778" s="131"/>
      <c r="N778" s="131"/>
      <c r="O778" s="53"/>
      <c r="P778" s="53"/>
      <c r="Q778" s="53"/>
      <c r="R778" s="53"/>
      <c r="S778" s="53"/>
      <c r="T778" s="53"/>
      <c r="U778" s="53"/>
      <c r="V778" s="53"/>
      <c r="W778" s="53"/>
      <c r="X778" s="53"/>
      <c r="Y778" s="53"/>
      <c r="Z778" s="53"/>
      <c r="AA778" s="53"/>
      <c r="AB778" s="53"/>
      <c r="AC778" s="53"/>
    </row>
    <row r="779">
      <c r="A779" s="53"/>
      <c r="B779" s="53"/>
      <c r="C779" s="131"/>
      <c r="D779" s="131"/>
      <c r="E779" s="131"/>
      <c r="F779" s="131"/>
      <c r="G779" s="131"/>
      <c r="H779" s="131"/>
      <c r="I779" s="131"/>
      <c r="J779" s="132"/>
      <c r="K779" s="132"/>
      <c r="L779" s="131"/>
      <c r="M779" s="131"/>
      <c r="N779" s="131"/>
      <c r="O779" s="53"/>
      <c r="P779" s="53"/>
      <c r="Q779" s="53"/>
      <c r="R779" s="53"/>
      <c r="S779" s="53"/>
      <c r="T779" s="53"/>
      <c r="U779" s="53"/>
      <c r="V779" s="53"/>
      <c r="W779" s="53"/>
      <c r="X779" s="53"/>
      <c r="Y779" s="53"/>
      <c r="Z779" s="53"/>
      <c r="AA779" s="53"/>
      <c r="AB779" s="53"/>
      <c r="AC779" s="53"/>
    </row>
    <row r="780">
      <c r="A780" s="53"/>
      <c r="B780" s="53"/>
      <c r="C780" s="131"/>
      <c r="D780" s="131"/>
      <c r="E780" s="131"/>
      <c r="F780" s="131"/>
      <c r="G780" s="131"/>
      <c r="H780" s="131"/>
      <c r="I780" s="131"/>
      <c r="J780" s="132"/>
      <c r="K780" s="132"/>
      <c r="L780" s="131"/>
      <c r="M780" s="131"/>
      <c r="N780" s="131"/>
      <c r="O780" s="53"/>
      <c r="P780" s="53"/>
      <c r="Q780" s="53"/>
      <c r="R780" s="53"/>
      <c r="S780" s="53"/>
      <c r="T780" s="53"/>
      <c r="U780" s="53"/>
      <c r="V780" s="53"/>
      <c r="W780" s="53"/>
      <c r="X780" s="53"/>
      <c r="Y780" s="53"/>
      <c r="Z780" s="53"/>
      <c r="AA780" s="53"/>
      <c r="AB780" s="53"/>
      <c r="AC780" s="53"/>
    </row>
    <row r="781">
      <c r="A781" s="53"/>
      <c r="B781" s="53"/>
      <c r="C781" s="131"/>
      <c r="D781" s="131"/>
      <c r="E781" s="131"/>
      <c r="F781" s="131"/>
      <c r="G781" s="131"/>
      <c r="H781" s="131"/>
      <c r="I781" s="131"/>
      <c r="J781" s="132"/>
      <c r="K781" s="132"/>
      <c r="L781" s="131"/>
      <c r="M781" s="131"/>
      <c r="N781" s="131"/>
      <c r="O781" s="53"/>
      <c r="P781" s="53"/>
      <c r="Q781" s="53"/>
      <c r="R781" s="53"/>
      <c r="S781" s="53"/>
      <c r="T781" s="53"/>
      <c r="U781" s="53"/>
      <c r="V781" s="53"/>
      <c r="W781" s="53"/>
      <c r="X781" s="53"/>
      <c r="Y781" s="53"/>
      <c r="Z781" s="53"/>
      <c r="AA781" s="53"/>
      <c r="AB781" s="53"/>
      <c r="AC781" s="53"/>
    </row>
    <row r="782">
      <c r="A782" s="53"/>
      <c r="B782" s="53"/>
      <c r="C782" s="131"/>
      <c r="D782" s="131"/>
      <c r="E782" s="131"/>
      <c r="F782" s="131"/>
      <c r="G782" s="131"/>
      <c r="H782" s="131"/>
      <c r="I782" s="131"/>
      <c r="J782" s="132"/>
      <c r="K782" s="132"/>
      <c r="L782" s="131"/>
      <c r="M782" s="131"/>
      <c r="N782" s="131"/>
      <c r="O782" s="53"/>
      <c r="P782" s="53"/>
      <c r="Q782" s="53"/>
      <c r="R782" s="53"/>
      <c r="S782" s="53"/>
      <c r="T782" s="53"/>
      <c r="U782" s="53"/>
      <c r="V782" s="53"/>
      <c r="W782" s="53"/>
      <c r="X782" s="53"/>
      <c r="Y782" s="53"/>
      <c r="Z782" s="53"/>
      <c r="AA782" s="53"/>
      <c r="AB782" s="53"/>
      <c r="AC782" s="53"/>
    </row>
    <row r="783">
      <c r="A783" s="53"/>
      <c r="B783" s="53"/>
      <c r="C783" s="131"/>
      <c r="D783" s="131"/>
      <c r="E783" s="131"/>
      <c r="F783" s="131"/>
      <c r="G783" s="131"/>
      <c r="H783" s="131"/>
      <c r="I783" s="131"/>
      <c r="J783" s="132"/>
      <c r="K783" s="132"/>
      <c r="L783" s="131"/>
      <c r="M783" s="131"/>
      <c r="N783" s="131"/>
      <c r="O783" s="53"/>
      <c r="P783" s="53"/>
      <c r="Q783" s="53"/>
      <c r="R783" s="53"/>
      <c r="S783" s="53"/>
      <c r="T783" s="53"/>
      <c r="U783" s="53"/>
      <c r="V783" s="53"/>
      <c r="W783" s="53"/>
      <c r="X783" s="53"/>
      <c r="Y783" s="53"/>
      <c r="Z783" s="53"/>
      <c r="AA783" s="53"/>
      <c r="AB783" s="53"/>
      <c r="AC783" s="53"/>
    </row>
    <row r="784">
      <c r="A784" s="53"/>
      <c r="B784" s="53"/>
      <c r="C784" s="131"/>
      <c r="D784" s="131"/>
      <c r="E784" s="131"/>
      <c r="F784" s="131"/>
      <c r="G784" s="131"/>
      <c r="H784" s="131"/>
      <c r="I784" s="131"/>
      <c r="J784" s="132"/>
      <c r="K784" s="132"/>
      <c r="L784" s="131"/>
      <c r="M784" s="131"/>
      <c r="N784" s="131"/>
      <c r="O784" s="53"/>
      <c r="P784" s="53"/>
      <c r="Q784" s="53"/>
      <c r="R784" s="53"/>
      <c r="S784" s="53"/>
      <c r="T784" s="53"/>
      <c r="U784" s="53"/>
      <c r="V784" s="53"/>
      <c r="W784" s="53"/>
      <c r="X784" s="53"/>
      <c r="Y784" s="53"/>
      <c r="Z784" s="53"/>
      <c r="AA784" s="53"/>
      <c r="AB784" s="53"/>
      <c r="AC784" s="53"/>
    </row>
    <row r="785">
      <c r="A785" s="53"/>
      <c r="B785" s="53"/>
      <c r="C785" s="131"/>
      <c r="D785" s="131"/>
      <c r="E785" s="131"/>
      <c r="F785" s="131"/>
      <c r="G785" s="131"/>
      <c r="H785" s="131"/>
      <c r="I785" s="131"/>
      <c r="J785" s="132"/>
      <c r="K785" s="132"/>
      <c r="L785" s="131"/>
      <c r="M785" s="131"/>
      <c r="N785" s="131"/>
      <c r="O785" s="53"/>
      <c r="P785" s="53"/>
      <c r="Q785" s="53"/>
      <c r="R785" s="53"/>
      <c r="S785" s="53"/>
      <c r="T785" s="53"/>
      <c r="U785" s="53"/>
      <c r="V785" s="53"/>
      <c r="W785" s="53"/>
      <c r="X785" s="53"/>
      <c r="Y785" s="53"/>
      <c r="Z785" s="53"/>
      <c r="AA785" s="53"/>
      <c r="AB785" s="53"/>
      <c r="AC785" s="53"/>
    </row>
    <row r="786">
      <c r="A786" s="53"/>
      <c r="B786" s="53"/>
      <c r="C786" s="131"/>
      <c r="D786" s="131"/>
      <c r="E786" s="131"/>
      <c r="F786" s="131"/>
      <c r="G786" s="131"/>
      <c r="H786" s="131"/>
      <c r="I786" s="131"/>
      <c r="J786" s="132"/>
      <c r="K786" s="132"/>
      <c r="L786" s="131"/>
      <c r="M786" s="131"/>
      <c r="N786" s="131"/>
      <c r="O786" s="53"/>
      <c r="P786" s="53"/>
      <c r="Q786" s="53"/>
      <c r="R786" s="53"/>
      <c r="S786" s="53"/>
      <c r="T786" s="53"/>
      <c r="U786" s="53"/>
      <c r="V786" s="53"/>
      <c r="W786" s="53"/>
      <c r="X786" s="53"/>
      <c r="Y786" s="53"/>
      <c r="Z786" s="53"/>
      <c r="AA786" s="53"/>
      <c r="AB786" s="53"/>
      <c r="AC786" s="53"/>
    </row>
    <row r="787">
      <c r="A787" s="53"/>
      <c r="B787" s="53"/>
      <c r="C787" s="131"/>
      <c r="D787" s="131"/>
      <c r="E787" s="131"/>
      <c r="F787" s="131"/>
      <c r="G787" s="131"/>
      <c r="H787" s="131"/>
      <c r="I787" s="131"/>
      <c r="J787" s="132"/>
      <c r="K787" s="132"/>
      <c r="L787" s="131"/>
      <c r="M787" s="131"/>
      <c r="N787" s="131"/>
      <c r="O787" s="53"/>
      <c r="P787" s="53"/>
      <c r="Q787" s="53"/>
      <c r="R787" s="53"/>
      <c r="S787" s="53"/>
      <c r="T787" s="53"/>
      <c r="U787" s="53"/>
      <c r="V787" s="53"/>
      <c r="W787" s="53"/>
      <c r="X787" s="53"/>
      <c r="Y787" s="53"/>
      <c r="Z787" s="53"/>
      <c r="AA787" s="53"/>
      <c r="AB787" s="53"/>
      <c r="AC787" s="53"/>
    </row>
    <row r="788">
      <c r="A788" s="53"/>
      <c r="B788" s="53"/>
      <c r="C788" s="131"/>
      <c r="D788" s="131"/>
      <c r="E788" s="131"/>
      <c r="F788" s="131"/>
      <c r="G788" s="131"/>
      <c r="H788" s="131"/>
      <c r="I788" s="131"/>
      <c r="J788" s="132"/>
      <c r="K788" s="132"/>
      <c r="L788" s="131"/>
      <c r="M788" s="131"/>
      <c r="N788" s="131"/>
      <c r="O788" s="53"/>
      <c r="P788" s="53"/>
      <c r="Q788" s="53"/>
      <c r="R788" s="53"/>
      <c r="S788" s="53"/>
      <c r="T788" s="53"/>
      <c r="U788" s="53"/>
      <c r="V788" s="53"/>
      <c r="W788" s="53"/>
      <c r="X788" s="53"/>
      <c r="Y788" s="53"/>
      <c r="Z788" s="53"/>
      <c r="AA788" s="53"/>
      <c r="AB788" s="53"/>
      <c r="AC788" s="53"/>
    </row>
    <row r="789">
      <c r="A789" s="53"/>
      <c r="B789" s="53"/>
      <c r="C789" s="131"/>
      <c r="D789" s="131"/>
      <c r="E789" s="131"/>
      <c r="F789" s="131"/>
      <c r="G789" s="131"/>
      <c r="H789" s="131"/>
      <c r="I789" s="131"/>
      <c r="J789" s="132"/>
      <c r="K789" s="132"/>
      <c r="L789" s="131"/>
      <c r="M789" s="131"/>
      <c r="N789" s="131"/>
      <c r="O789" s="53"/>
      <c r="P789" s="53"/>
      <c r="Q789" s="53"/>
      <c r="R789" s="53"/>
      <c r="S789" s="53"/>
      <c r="T789" s="53"/>
      <c r="U789" s="53"/>
      <c r="V789" s="53"/>
      <c r="W789" s="53"/>
      <c r="X789" s="53"/>
      <c r="Y789" s="53"/>
      <c r="Z789" s="53"/>
      <c r="AA789" s="53"/>
      <c r="AB789" s="53"/>
      <c r="AC789" s="53"/>
    </row>
    <row r="790">
      <c r="A790" s="53"/>
      <c r="B790" s="53"/>
      <c r="C790" s="131"/>
      <c r="D790" s="131"/>
      <c r="E790" s="131"/>
      <c r="F790" s="131"/>
      <c r="G790" s="131"/>
      <c r="H790" s="131"/>
      <c r="I790" s="131"/>
      <c r="J790" s="132"/>
      <c r="K790" s="132"/>
      <c r="L790" s="131"/>
      <c r="M790" s="131"/>
      <c r="N790" s="131"/>
      <c r="O790" s="53"/>
      <c r="P790" s="53"/>
      <c r="Q790" s="53"/>
      <c r="R790" s="53"/>
      <c r="S790" s="53"/>
      <c r="T790" s="53"/>
      <c r="U790" s="53"/>
      <c r="V790" s="53"/>
      <c r="W790" s="53"/>
      <c r="X790" s="53"/>
      <c r="Y790" s="53"/>
      <c r="Z790" s="53"/>
      <c r="AA790" s="53"/>
      <c r="AB790" s="53"/>
      <c r="AC790" s="53"/>
    </row>
    <row r="791">
      <c r="A791" s="53"/>
      <c r="B791" s="53"/>
      <c r="C791" s="131"/>
      <c r="D791" s="131"/>
      <c r="E791" s="131"/>
      <c r="F791" s="131"/>
      <c r="G791" s="131"/>
      <c r="H791" s="131"/>
      <c r="I791" s="131"/>
      <c r="J791" s="132"/>
      <c r="K791" s="132"/>
      <c r="L791" s="131"/>
      <c r="M791" s="131"/>
      <c r="N791" s="131"/>
      <c r="O791" s="53"/>
      <c r="P791" s="53"/>
      <c r="Q791" s="53"/>
      <c r="R791" s="53"/>
      <c r="S791" s="53"/>
      <c r="T791" s="53"/>
      <c r="U791" s="53"/>
      <c r="V791" s="53"/>
      <c r="W791" s="53"/>
      <c r="X791" s="53"/>
      <c r="Y791" s="53"/>
      <c r="Z791" s="53"/>
      <c r="AA791" s="53"/>
      <c r="AB791" s="53"/>
      <c r="AC791" s="53"/>
    </row>
    <row r="792">
      <c r="A792" s="53"/>
      <c r="B792" s="53"/>
      <c r="C792" s="131"/>
      <c r="D792" s="131"/>
      <c r="E792" s="131"/>
      <c r="F792" s="131"/>
      <c r="G792" s="131"/>
      <c r="H792" s="131"/>
      <c r="I792" s="131"/>
      <c r="J792" s="132"/>
      <c r="K792" s="132"/>
      <c r="L792" s="131"/>
      <c r="M792" s="131"/>
      <c r="N792" s="131"/>
      <c r="O792" s="53"/>
      <c r="P792" s="53"/>
      <c r="Q792" s="53"/>
      <c r="R792" s="53"/>
      <c r="S792" s="53"/>
      <c r="T792" s="53"/>
      <c r="U792" s="53"/>
      <c r="V792" s="53"/>
      <c r="W792" s="53"/>
      <c r="X792" s="53"/>
      <c r="Y792" s="53"/>
      <c r="Z792" s="53"/>
      <c r="AA792" s="53"/>
      <c r="AB792" s="53"/>
      <c r="AC792" s="53"/>
    </row>
    <row r="793">
      <c r="A793" s="53"/>
      <c r="B793" s="53"/>
      <c r="C793" s="131"/>
      <c r="D793" s="131"/>
      <c r="E793" s="131"/>
      <c r="F793" s="131"/>
      <c r="G793" s="131"/>
      <c r="H793" s="131"/>
      <c r="I793" s="131"/>
      <c r="J793" s="132"/>
      <c r="K793" s="132"/>
      <c r="L793" s="131"/>
      <c r="M793" s="131"/>
      <c r="N793" s="131"/>
      <c r="O793" s="53"/>
      <c r="P793" s="53"/>
      <c r="Q793" s="53"/>
      <c r="R793" s="53"/>
      <c r="S793" s="53"/>
      <c r="T793" s="53"/>
      <c r="U793" s="53"/>
      <c r="V793" s="53"/>
      <c r="W793" s="53"/>
      <c r="X793" s="53"/>
      <c r="Y793" s="53"/>
      <c r="Z793" s="53"/>
      <c r="AA793" s="53"/>
      <c r="AB793" s="53"/>
      <c r="AC793" s="53"/>
    </row>
    <row r="794">
      <c r="A794" s="53"/>
      <c r="B794" s="53"/>
      <c r="C794" s="131"/>
      <c r="D794" s="131"/>
      <c r="E794" s="131"/>
      <c r="F794" s="131"/>
      <c r="G794" s="131"/>
      <c r="H794" s="131"/>
      <c r="I794" s="131"/>
      <c r="J794" s="132"/>
      <c r="K794" s="132"/>
      <c r="L794" s="131"/>
      <c r="M794" s="131"/>
      <c r="N794" s="131"/>
      <c r="O794" s="53"/>
      <c r="P794" s="53"/>
      <c r="Q794" s="53"/>
      <c r="R794" s="53"/>
      <c r="S794" s="53"/>
      <c r="T794" s="53"/>
      <c r="U794" s="53"/>
      <c r="V794" s="53"/>
      <c r="W794" s="53"/>
      <c r="X794" s="53"/>
      <c r="Y794" s="53"/>
      <c r="Z794" s="53"/>
      <c r="AA794" s="53"/>
      <c r="AB794" s="53"/>
      <c r="AC794" s="53"/>
    </row>
    <row r="795">
      <c r="A795" s="53"/>
      <c r="B795" s="53"/>
      <c r="C795" s="131"/>
      <c r="D795" s="131"/>
      <c r="E795" s="131"/>
      <c r="F795" s="131"/>
      <c r="G795" s="131"/>
      <c r="H795" s="131"/>
      <c r="I795" s="131"/>
      <c r="J795" s="132"/>
      <c r="K795" s="132"/>
      <c r="L795" s="131"/>
      <c r="M795" s="131"/>
      <c r="N795" s="131"/>
      <c r="O795" s="53"/>
      <c r="P795" s="53"/>
      <c r="Q795" s="53"/>
      <c r="R795" s="53"/>
      <c r="S795" s="53"/>
      <c r="T795" s="53"/>
      <c r="U795" s="53"/>
      <c r="V795" s="53"/>
      <c r="W795" s="53"/>
      <c r="X795" s="53"/>
      <c r="Y795" s="53"/>
      <c r="Z795" s="53"/>
      <c r="AA795" s="53"/>
      <c r="AB795" s="53"/>
      <c r="AC795" s="53"/>
    </row>
    <row r="796">
      <c r="A796" s="53"/>
      <c r="B796" s="53"/>
      <c r="C796" s="131"/>
      <c r="D796" s="131"/>
      <c r="E796" s="131"/>
      <c r="F796" s="131"/>
      <c r="G796" s="131"/>
      <c r="H796" s="131"/>
      <c r="I796" s="131"/>
      <c r="J796" s="132"/>
      <c r="K796" s="132"/>
      <c r="L796" s="131"/>
      <c r="M796" s="131"/>
      <c r="N796" s="131"/>
      <c r="O796" s="53"/>
      <c r="P796" s="53"/>
      <c r="Q796" s="53"/>
      <c r="R796" s="53"/>
      <c r="S796" s="53"/>
      <c r="T796" s="53"/>
      <c r="U796" s="53"/>
      <c r="V796" s="53"/>
      <c r="W796" s="53"/>
      <c r="X796" s="53"/>
      <c r="Y796" s="53"/>
      <c r="Z796" s="53"/>
      <c r="AA796" s="53"/>
      <c r="AB796" s="53"/>
      <c r="AC796" s="53"/>
    </row>
    <row r="797">
      <c r="A797" s="53"/>
      <c r="B797" s="53"/>
      <c r="C797" s="131"/>
      <c r="D797" s="131"/>
      <c r="E797" s="131"/>
      <c r="F797" s="131"/>
      <c r="G797" s="131"/>
      <c r="H797" s="131"/>
      <c r="I797" s="131"/>
      <c r="J797" s="132"/>
      <c r="K797" s="132"/>
      <c r="L797" s="131"/>
      <c r="M797" s="131"/>
      <c r="N797" s="131"/>
      <c r="O797" s="53"/>
      <c r="P797" s="53"/>
      <c r="Q797" s="53"/>
      <c r="R797" s="53"/>
      <c r="S797" s="53"/>
      <c r="T797" s="53"/>
      <c r="U797" s="53"/>
      <c r="V797" s="53"/>
      <c r="W797" s="53"/>
      <c r="X797" s="53"/>
      <c r="Y797" s="53"/>
      <c r="Z797" s="53"/>
      <c r="AA797" s="53"/>
      <c r="AB797" s="53"/>
      <c r="AC797" s="53"/>
    </row>
    <row r="798">
      <c r="A798" s="53"/>
      <c r="B798" s="53"/>
      <c r="C798" s="131"/>
      <c r="D798" s="131"/>
      <c r="E798" s="131"/>
      <c r="F798" s="131"/>
      <c r="G798" s="131"/>
      <c r="H798" s="131"/>
      <c r="I798" s="131"/>
      <c r="J798" s="132"/>
      <c r="K798" s="132"/>
      <c r="L798" s="131"/>
      <c r="M798" s="131"/>
      <c r="N798" s="131"/>
      <c r="O798" s="53"/>
      <c r="P798" s="53"/>
      <c r="Q798" s="53"/>
      <c r="R798" s="53"/>
      <c r="S798" s="53"/>
      <c r="T798" s="53"/>
      <c r="U798" s="53"/>
      <c r="V798" s="53"/>
      <c r="W798" s="53"/>
      <c r="X798" s="53"/>
      <c r="Y798" s="53"/>
      <c r="Z798" s="53"/>
      <c r="AA798" s="53"/>
      <c r="AB798" s="53"/>
      <c r="AC798" s="53"/>
    </row>
    <row r="799">
      <c r="A799" s="53"/>
      <c r="B799" s="53"/>
      <c r="C799" s="131"/>
      <c r="D799" s="131"/>
      <c r="E799" s="131"/>
      <c r="F799" s="131"/>
      <c r="G799" s="131"/>
      <c r="H799" s="131"/>
      <c r="I799" s="131"/>
      <c r="J799" s="132"/>
      <c r="K799" s="132"/>
      <c r="L799" s="131"/>
      <c r="M799" s="131"/>
      <c r="N799" s="131"/>
      <c r="O799" s="53"/>
      <c r="P799" s="53"/>
      <c r="Q799" s="53"/>
      <c r="R799" s="53"/>
      <c r="S799" s="53"/>
      <c r="T799" s="53"/>
      <c r="U799" s="53"/>
      <c r="V799" s="53"/>
      <c r="W799" s="53"/>
      <c r="X799" s="53"/>
      <c r="Y799" s="53"/>
      <c r="Z799" s="53"/>
      <c r="AA799" s="53"/>
      <c r="AB799" s="53"/>
      <c r="AC799" s="53"/>
    </row>
    <row r="800">
      <c r="A800" s="53"/>
      <c r="B800" s="53"/>
      <c r="C800" s="131"/>
      <c r="D800" s="131"/>
      <c r="E800" s="131"/>
      <c r="F800" s="131"/>
      <c r="G800" s="131"/>
      <c r="H800" s="131"/>
      <c r="I800" s="131"/>
      <c r="J800" s="132"/>
      <c r="K800" s="132"/>
      <c r="L800" s="131"/>
      <c r="M800" s="131"/>
      <c r="N800" s="131"/>
      <c r="O800" s="53"/>
      <c r="P800" s="53"/>
      <c r="Q800" s="53"/>
      <c r="R800" s="53"/>
      <c r="S800" s="53"/>
      <c r="T800" s="53"/>
      <c r="U800" s="53"/>
      <c r="V800" s="53"/>
      <c r="W800" s="53"/>
      <c r="X800" s="53"/>
      <c r="Y800" s="53"/>
      <c r="Z800" s="53"/>
      <c r="AA800" s="53"/>
      <c r="AB800" s="53"/>
      <c r="AC800" s="53"/>
    </row>
    <row r="801">
      <c r="A801" s="53"/>
      <c r="B801" s="53"/>
      <c r="C801" s="131"/>
      <c r="D801" s="131"/>
      <c r="E801" s="131"/>
      <c r="F801" s="131"/>
      <c r="G801" s="131"/>
      <c r="H801" s="131"/>
      <c r="I801" s="131"/>
      <c r="J801" s="132"/>
      <c r="K801" s="132"/>
      <c r="L801" s="131"/>
      <c r="M801" s="131"/>
      <c r="N801" s="131"/>
      <c r="O801" s="53"/>
      <c r="P801" s="53"/>
      <c r="Q801" s="53"/>
      <c r="R801" s="53"/>
      <c r="S801" s="53"/>
      <c r="T801" s="53"/>
      <c r="U801" s="53"/>
      <c r="V801" s="53"/>
      <c r="W801" s="53"/>
      <c r="X801" s="53"/>
      <c r="Y801" s="53"/>
      <c r="Z801" s="53"/>
      <c r="AA801" s="53"/>
      <c r="AB801" s="53"/>
      <c r="AC801" s="53"/>
    </row>
    <row r="802">
      <c r="A802" s="53"/>
      <c r="B802" s="53"/>
      <c r="C802" s="131"/>
      <c r="D802" s="131"/>
      <c r="E802" s="131"/>
      <c r="F802" s="131"/>
      <c r="G802" s="131"/>
      <c r="H802" s="131"/>
      <c r="I802" s="131"/>
      <c r="J802" s="132"/>
      <c r="K802" s="132"/>
      <c r="L802" s="131"/>
      <c r="M802" s="131"/>
      <c r="N802" s="131"/>
      <c r="O802" s="53"/>
      <c r="P802" s="53"/>
      <c r="Q802" s="53"/>
      <c r="R802" s="53"/>
      <c r="S802" s="53"/>
      <c r="T802" s="53"/>
      <c r="U802" s="53"/>
      <c r="V802" s="53"/>
      <c r="W802" s="53"/>
      <c r="X802" s="53"/>
      <c r="Y802" s="53"/>
      <c r="Z802" s="53"/>
      <c r="AA802" s="53"/>
      <c r="AB802" s="53"/>
      <c r="AC802" s="53"/>
    </row>
    <row r="803">
      <c r="A803" s="53"/>
      <c r="B803" s="53"/>
      <c r="C803" s="131"/>
      <c r="D803" s="131"/>
      <c r="E803" s="131"/>
      <c r="F803" s="131"/>
      <c r="G803" s="131"/>
      <c r="H803" s="131"/>
      <c r="I803" s="131"/>
      <c r="J803" s="132"/>
      <c r="K803" s="132"/>
      <c r="L803" s="131"/>
      <c r="M803" s="131"/>
      <c r="N803" s="131"/>
      <c r="O803" s="53"/>
      <c r="P803" s="53"/>
      <c r="Q803" s="53"/>
      <c r="R803" s="53"/>
      <c r="S803" s="53"/>
      <c r="T803" s="53"/>
      <c r="U803" s="53"/>
      <c r="V803" s="53"/>
      <c r="W803" s="53"/>
      <c r="X803" s="53"/>
      <c r="Y803" s="53"/>
      <c r="Z803" s="53"/>
      <c r="AA803" s="53"/>
      <c r="AB803" s="53"/>
      <c r="AC803" s="53"/>
    </row>
    <row r="804">
      <c r="A804" s="53"/>
      <c r="B804" s="53"/>
      <c r="C804" s="131"/>
      <c r="D804" s="131"/>
      <c r="E804" s="131"/>
      <c r="F804" s="131"/>
      <c r="G804" s="131"/>
      <c r="H804" s="131"/>
      <c r="I804" s="131"/>
      <c r="J804" s="132"/>
      <c r="K804" s="132"/>
      <c r="L804" s="131"/>
      <c r="M804" s="131"/>
      <c r="N804" s="131"/>
      <c r="O804" s="53"/>
      <c r="P804" s="53"/>
      <c r="Q804" s="53"/>
      <c r="R804" s="53"/>
      <c r="S804" s="53"/>
      <c r="T804" s="53"/>
      <c r="U804" s="53"/>
      <c r="V804" s="53"/>
      <c r="W804" s="53"/>
      <c r="X804" s="53"/>
      <c r="Y804" s="53"/>
      <c r="Z804" s="53"/>
      <c r="AA804" s="53"/>
      <c r="AB804" s="53"/>
      <c r="AC804" s="53"/>
    </row>
    <row r="805">
      <c r="A805" s="53"/>
      <c r="B805" s="53"/>
      <c r="C805" s="131"/>
      <c r="D805" s="131"/>
      <c r="E805" s="131"/>
      <c r="F805" s="131"/>
      <c r="G805" s="131"/>
      <c r="H805" s="131"/>
      <c r="I805" s="131"/>
      <c r="J805" s="132"/>
      <c r="K805" s="132"/>
      <c r="L805" s="131"/>
      <c r="M805" s="131"/>
      <c r="N805" s="131"/>
      <c r="O805" s="53"/>
      <c r="P805" s="53"/>
      <c r="Q805" s="53"/>
      <c r="R805" s="53"/>
      <c r="S805" s="53"/>
      <c r="T805" s="53"/>
      <c r="U805" s="53"/>
      <c r="V805" s="53"/>
      <c r="W805" s="53"/>
      <c r="X805" s="53"/>
      <c r="Y805" s="53"/>
      <c r="Z805" s="53"/>
      <c r="AA805" s="53"/>
      <c r="AB805" s="53"/>
      <c r="AC805" s="53"/>
    </row>
    <row r="806">
      <c r="A806" s="53"/>
      <c r="B806" s="53"/>
      <c r="C806" s="131"/>
      <c r="D806" s="131"/>
      <c r="E806" s="131"/>
      <c r="F806" s="131"/>
      <c r="G806" s="131"/>
      <c r="H806" s="131"/>
      <c r="I806" s="131"/>
      <c r="J806" s="132"/>
      <c r="K806" s="132"/>
      <c r="L806" s="131"/>
      <c r="M806" s="131"/>
      <c r="N806" s="131"/>
      <c r="O806" s="53"/>
      <c r="P806" s="53"/>
      <c r="Q806" s="53"/>
      <c r="R806" s="53"/>
      <c r="S806" s="53"/>
      <c r="T806" s="53"/>
      <c r="U806" s="53"/>
      <c r="V806" s="53"/>
      <c r="W806" s="53"/>
      <c r="X806" s="53"/>
      <c r="Y806" s="53"/>
      <c r="Z806" s="53"/>
      <c r="AA806" s="53"/>
      <c r="AB806" s="53"/>
      <c r="AC806" s="53"/>
    </row>
    <row r="807">
      <c r="A807" s="53"/>
      <c r="B807" s="53"/>
      <c r="C807" s="131"/>
      <c r="D807" s="131"/>
      <c r="E807" s="131"/>
      <c r="F807" s="131"/>
      <c r="G807" s="131"/>
      <c r="H807" s="131"/>
      <c r="I807" s="131"/>
      <c r="J807" s="132"/>
      <c r="K807" s="132"/>
      <c r="L807" s="131"/>
      <c r="M807" s="131"/>
      <c r="N807" s="131"/>
      <c r="O807" s="53"/>
      <c r="P807" s="53"/>
      <c r="Q807" s="53"/>
      <c r="R807" s="53"/>
      <c r="S807" s="53"/>
      <c r="T807" s="53"/>
      <c r="U807" s="53"/>
      <c r="V807" s="53"/>
      <c r="W807" s="53"/>
      <c r="X807" s="53"/>
      <c r="Y807" s="53"/>
      <c r="Z807" s="53"/>
      <c r="AA807" s="53"/>
      <c r="AB807" s="53"/>
      <c r="AC807" s="53"/>
    </row>
    <row r="808">
      <c r="A808" s="53"/>
      <c r="B808" s="53"/>
      <c r="C808" s="131"/>
      <c r="D808" s="131"/>
      <c r="E808" s="131"/>
      <c r="F808" s="131"/>
      <c r="G808" s="131"/>
      <c r="H808" s="131"/>
      <c r="I808" s="131"/>
      <c r="J808" s="132"/>
      <c r="K808" s="132"/>
      <c r="L808" s="131"/>
      <c r="M808" s="131"/>
      <c r="N808" s="131"/>
      <c r="O808" s="53"/>
      <c r="P808" s="53"/>
      <c r="Q808" s="53"/>
      <c r="R808" s="53"/>
      <c r="S808" s="53"/>
      <c r="T808" s="53"/>
      <c r="U808" s="53"/>
      <c r="V808" s="53"/>
      <c r="W808" s="53"/>
      <c r="X808" s="53"/>
      <c r="Y808" s="53"/>
      <c r="Z808" s="53"/>
      <c r="AA808" s="53"/>
      <c r="AB808" s="53"/>
      <c r="AC808" s="53"/>
    </row>
    <row r="809">
      <c r="A809" s="53"/>
      <c r="B809" s="53"/>
      <c r="C809" s="131"/>
      <c r="D809" s="131"/>
      <c r="E809" s="131"/>
      <c r="F809" s="131"/>
      <c r="G809" s="131"/>
      <c r="H809" s="131"/>
      <c r="I809" s="131"/>
      <c r="J809" s="132"/>
      <c r="K809" s="132"/>
      <c r="L809" s="131"/>
      <c r="M809" s="131"/>
      <c r="N809" s="131"/>
      <c r="O809" s="53"/>
      <c r="P809" s="53"/>
      <c r="Q809" s="53"/>
      <c r="R809" s="53"/>
      <c r="S809" s="53"/>
      <c r="T809" s="53"/>
      <c r="U809" s="53"/>
      <c r="V809" s="53"/>
      <c r="W809" s="53"/>
      <c r="X809" s="53"/>
      <c r="Y809" s="53"/>
      <c r="Z809" s="53"/>
      <c r="AA809" s="53"/>
      <c r="AB809" s="53"/>
      <c r="AC809" s="53"/>
    </row>
    <row r="810">
      <c r="A810" s="53"/>
      <c r="B810" s="53"/>
      <c r="C810" s="131"/>
      <c r="D810" s="131"/>
      <c r="E810" s="131"/>
      <c r="F810" s="131"/>
      <c r="G810" s="131"/>
      <c r="H810" s="131"/>
      <c r="I810" s="131"/>
      <c r="J810" s="132"/>
      <c r="K810" s="132"/>
      <c r="L810" s="131"/>
      <c r="M810" s="131"/>
      <c r="N810" s="131"/>
      <c r="O810" s="53"/>
      <c r="P810" s="53"/>
      <c r="Q810" s="53"/>
      <c r="R810" s="53"/>
      <c r="S810" s="53"/>
      <c r="T810" s="53"/>
      <c r="U810" s="53"/>
      <c r="V810" s="53"/>
      <c r="W810" s="53"/>
      <c r="X810" s="53"/>
      <c r="Y810" s="53"/>
      <c r="Z810" s="53"/>
      <c r="AA810" s="53"/>
      <c r="AB810" s="53"/>
      <c r="AC810" s="53"/>
    </row>
    <row r="811">
      <c r="A811" s="53"/>
      <c r="B811" s="53"/>
      <c r="C811" s="131"/>
      <c r="D811" s="131"/>
      <c r="E811" s="131"/>
      <c r="F811" s="131"/>
      <c r="G811" s="131"/>
      <c r="H811" s="131"/>
      <c r="I811" s="131"/>
      <c r="J811" s="132"/>
      <c r="K811" s="132"/>
      <c r="L811" s="131"/>
      <c r="M811" s="131"/>
      <c r="N811" s="131"/>
      <c r="O811" s="53"/>
      <c r="P811" s="53"/>
      <c r="Q811" s="53"/>
      <c r="R811" s="53"/>
      <c r="S811" s="53"/>
      <c r="T811" s="53"/>
      <c r="U811" s="53"/>
      <c r="V811" s="53"/>
      <c r="W811" s="53"/>
      <c r="X811" s="53"/>
      <c r="Y811" s="53"/>
      <c r="Z811" s="53"/>
      <c r="AA811" s="53"/>
      <c r="AB811" s="53"/>
      <c r="AC811" s="53"/>
    </row>
    <row r="812">
      <c r="A812" s="53"/>
      <c r="B812" s="53"/>
      <c r="C812" s="131"/>
      <c r="D812" s="131"/>
      <c r="E812" s="131"/>
      <c r="F812" s="131"/>
      <c r="G812" s="131"/>
      <c r="H812" s="131"/>
      <c r="I812" s="131"/>
      <c r="J812" s="132"/>
      <c r="K812" s="132"/>
      <c r="L812" s="131"/>
      <c r="M812" s="131"/>
      <c r="N812" s="131"/>
      <c r="O812" s="53"/>
      <c r="P812" s="53"/>
      <c r="Q812" s="53"/>
      <c r="R812" s="53"/>
      <c r="S812" s="53"/>
      <c r="T812" s="53"/>
      <c r="U812" s="53"/>
      <c r="V812" s="53"/>
      <c r="W812" s="53"/>
      <c r="X812" s="53"/>
      <c r="Y812" s="53"/>
      <c r="Z812" s="53"/>
      <c r="AA812" s="53"/>
      <c r="AB812" s="53"/>
      <c r="AC812" s="53"/>
    </row>
    <row r="813">
      <c r="A813" s="53"/>
      <c r="B813" s="53"/>
      <c r="C813" s="131"/>
      <c r="D813" s="131"/>
      <c r="E813" s="131"/>
      <c r="F813" s="131"/>
      <c r="G813" s="131"/>
      <c r="H813" s="131"/>
      <c r="I813" s="131"/>
      <c r="J813" s="132"/>
      <c r="K813" s="132"/>
      <c r="L813" s="131"/>
      <c r="M813" s="131"/>
      <c r="N813" s="131"/>
      <c r="O813" s="53"/>
      <c r="P813" s="53"/>
      <c r="Q813" s="53"/>
      <c r="R813" s="53"/>
      <c r="S813" s="53"/>
      <c r="T813" s="53"/>
      <c r="U813" s="53"/>
      <c r="V813" s="53"/>
      <c r="W813" s="53"/>
      <c r="X813" s="53"/>
      <c r="Y813" s="53"/>
      <c r="Z813" s="53"/>
      <c r="AA813" s="53"/>
      <c r="AB813" s="53"/>
      <c r="AC813" s="53"/>
    </row>
    <row r="814">
      <c r="A814" s="53"/>
      <c r="B814" s="53"/>
      <c r="C814" s="131"/>
      <c r="D814" s="131"/>
      <c r="E814" s="131"/>
      <c r="F814" s="131"/>
      <c r="G814" s="131"/>
      <c r="H814" s="131"/>
      <c r="I814" s="131"/>
      <c r="J814" s="132"/>
      <c r="K814" s="132"/>
      <c r="L814" s="131"/>
      <c r="M814" s="131"/>
      <c r="N814" s="131"/>
      <c r="O814" s="53"/>
      <c r="P814" s="53"/>
      <c r="Q814" s="53"/>
      <c r="R814" s="53"/>
      <c r="S814" s="53"/>
      <c r="T814" s="53"/>
      <c r="U814" s="53"/>
      <c r="V814" s="53"/>
      <c r="W814" s="53"/>
      <c r="X814" s="53"/>
      <c r="Y814" s="53"/>
      <c r="Z814" s="53"/>
      <c r="AA814" s="53"/>
      <c r="AB814" s="53"/>
      <c r="AC814" s="53"/>
    </row>
    <row r="815">
      <c r="A815" s="53"/>
      <c r="B815" s="53"/>
      <c r="C815" s="131"/>
      <c r="D815" s="131"/>
      <c r="E815" s="131"/>
      <c r="F815" s="131"/>
      <c r="G815" s="131"/>
      <c r="H815" s="131"/>
      <c r="I815" s="131"/>
      <c r="J815" s="132"/>
      <c r="K815" s="132"/>
      <c r="L815" s="131"/>
      <c r="M815" s="131"/>
      <c r="N815" s="131"/>
      <c r="O815" s="53"/>
      <c r="P815" s="53"/>
      <c r="Q815" s="53"/>
      <c r="R815" s="53"/>
      <c r="S815" s="53"/>
      <c r="T815" s="53"/>
      <c r="U815" s="53"/>
      <c r="V815" s="53"/>
      <c r="W815" s="53"/>
      <c r="X815" s="53"/>
      <c r="Y815" s="53"/>
      <c r="Z815" s="53"/>
      <c r="AA815" s="53"/>
      <c r="AB815" s="53"/>
      <c r="AC815" s="53"/>
    </row>
    <row r="816">
      <c r="A816" s="53"/>
      <c r="B816" s="53"/>
      <c r="C816" s="131"/>
      <c r="D816" s="131"/>
      <c r="E816" s="131"/>
      <c r="F816" s="131"/>
      <c r="G816" s="131"/>
      <c r="H816" s="131"/>
      <c r="I816" s="131"/>
      <c r="J816" s="132"/>
      <c r="K816" s="132"/>
      <c r="L816" s="131"/>
      <c r="M816" s="131"/>
      <c r="N816" s="131"/>
      <c r="O816" s="53"/>
      <c r="P816" s="53"/>
      <c r="Q816" s="53"/>
      <c r="R816" s="53"/>
      <c r="S816" s="53"/>
      <c r="T816" s="53"/>
      <c r="U816" s="53"/>
      <c r="V816" s="53"/>
      <c r="W816" s="53"/>
      <c r="X816" s="53"/>
      <c r="Y816" s="53"/>
      <c r="Z816" s="53"/>
      <c r="AA816" s="53"/>
      <c r="AB816" s="53"/>
      <c r="AC816" s="53"/>
    </row>
    <row r="817">
      <c r="A817" s="53"/>
      <c r="B817" s="53"/>
      <c r="C817" s="131"/>
      <c r="D817" s="131"/>
      <c r="E817" s="131"/>
      <c r="F817" s="131"/>
      <c r="G817" s="131"/>
      <c r="H817" s="131"/>
      <c r="I817" s="131"/>
      <c r="J817" s="132"/>
      <c r="K817" s="132"/>
      <c r="L817" s="131"/>
      <c r="M817" s="131"/>
      <c r="N817" s="131"/>
      <c r="O817" s="53"/>
      <c r="P817" s="53"/>
      <c r="Q817" s="53"/>
      <c r="R817" s="53"/>
      <c r="S817" s="53"/>
      <c r="T817" s="53"/>
      <c r="U817" s="53"/>
      <c r="V817" s="53"/>
      <c r="W817" s="53"/>
      <c r="X817" s="53"/>
      <c r="Y817" s="53"/>
      <c r="Z817" s="53"/>
      <c r="AA817" s="53"/>
      <c r="AB817" s="53"/>
      <c r="AC817" s="53"/>
    </row>
    <row r="818">
      <c r="A818" s="53"/>
      <c r="B818" s="53"/>
      <c r="C818" s="131"/>
      <c r="D818" s="131"/>
      <c r="E818" s="131"/>
      <c r="F818" s="131"/>
      <c r="G818" s="131"/>
      <c r="H818" s="131"/>
      <c r="I818" s="131"/>
      <c r="J818" s="132"/>
      <c r="K818" s="132"/>
      <c r="L818" s="131"/>
      <c r="M818" s="131"/>
      <c r="N818" s="131"/>
      <c r="O818" s="53"/>
      <c r="P818" s="53"/>
      <c r="Q818" s="53"/>
      <c r="R818" s="53"/>
      <c r="S818" s="53"/>
      <c r="T818" s="53"/>
      <c r="U818" s="53"/>
      <c r="V818" s="53"/>
      <c r="W818" s="53"/>
      <c r="X818" s="53"/>
      <c r="Y818" s="53"/>
      <c r="Z818" s="53"/>
      <c r="AA818" s="53"/>
      <c r="AB818" s="53"/>
      <c r="AC818" s="53"/>
    </row>
    <row r="819">
      <c r="A819" s="53"/>
      <c r="B819" s="53"/>
      <c r="C819" s="131"/>
      <c r="D819" s="131"/>
      <c r="E819" s="131"/>
      <c r="F819" s="131"/>
      <c r="G819" s="131"/>
      <c r="H819" s="131"/>
      <c r="I819" s="131"/>
      <c r="J819" s="132"/>
      <c r="K819" s="132"/>
      <c r="L819" s="131"/>
      <c r="M819" s="131"/>
      <c r="N819" s="131"/>
      <c r="O819" s="53"/>
      <c r="P819" s="53"/>
      <c r="Q819" s="53"/>
      <c r="R819" s="53"/>
      <c r="S819" s="53"/>
      <c r="T819" s="53"/>
      <c r="U819" s="53"/>
      <c r="V819" s="53"/>
      <c r="W819" s="53"/>
      <c r="X819" s="53"/>
      <c r="Y819" s="53"/>
      <c r="Z819" s="53"/>
      <c r="AA819" s="53"/>
      <c r="AB819" s="53"/>
      <c r="AC819" s="53"/>
    </row>
    <row r="820">
      <c r="A820" s="53"/>
      <c r="B820" s="53"/>
      <c r="C820" s="131"/>
      <c r="D820" s="131"/>
      <c r="E820" s="131"/>
      <c r="F820" s="131"/>
      <c r="G820" s="131"/>
      <c r="H820" s="131"/>
      <c r="I820" s="131"/>
      <c r="J820" s="132"/>
      <c r="K820" s="132"/>
      <c r="L820" s="131"/>
      <c r="M820" s="131"/>
      <c r="N820" s="131"/>
      <c r="O820" s="53"/>
      <c r="P820" s="53"/>
      <c r="Q820" s="53"/>
      <c r="R820" s="53"/>
      <c r="S820" s="53"/>
      <c r="T820" s="53"/>
      <c r="U820" s="53"/>
      <c r="V820" s="53"/>
      <c r="W820" s="53"/>
      <c r="X820" s="53"/>
      <c r="Y820" s="53"/>
      <c r="Z820" s="53"/>
      <c r="AA820" s="53"/>
      <c r="AB820" s="53"/>
      <c r="AC820" s="53"/>
    </row>
    <row r="821">
      <c r="A821" s="53"/>
      <c r="B821" s="53"/>
      <c r="C821" s="131"/>
      <c r="D821" s="131"/>
      <c r="E821" s="131"/>
      <c r="F821" s="131"/>
      <c r="G821" s="131"/>
      <c r="H821" s="131"/>
      <c r="I821" s="131"/>
      <c r="J821" s="132"/>
      <c r="K821" s="132"/>
      <c r="L821" s="131"/>
      <c r="M821" s="131"/>
      <c r="N821" s="131"/>
      <c r="O821" s="53"/>
      <c r="P821" s="53"/>
      <c r="Q821" s="53"/>
      <c r="R821" s="53"/>
      <c r="S821" s="53"/>
      <c r="T821" s="53"/>
      <c r="U821" s="53"/>
      <c r="V821" s="53"/>
      <c r="W821" s="53"/>
      <c r="X821" s="53"/>
      <c r="Y821" s="53"/>
      <c r="Z821" s="53"/>
      <c r="AA821" s="53"/>
      <c r="AB821" s="53"/>
      <c r="AC821" s="53"/>
    </row>
    <row r="822">
      <c r="A822" s="53"/>
      <c r="B822" s="53"/>
      <c r="C822" s="131"/>
      <c r="D822" s="131"/>
      <c r="E822" s="131"/>
      <c r="F822" s="131"/>
      <c r="G822" s="131"/>
      <c r="H822" s="131"/>
      <c r="I822" s="131"/>
      <c r="J822" s="132"/>
      <c r="K822" s="132"/>
      <c r="L822" s="131"/>
      <c r="M822" s="131"/>
      <c r="N822" s="131"/>
      <c r="O822" s="53"/>
      <c r="P822" s="53"/>
      <c r="Q822" s="53"/>
      <c r="R822" s="53"/>
      <c r="S822" s="53"/>
      <c r="T822" s="53"/>
      <c r="U822" s="53"/>
      <c r="V822" s="53"/>
      <c r="W822" s="53"/>
      <c r="X822" s="53"/>
      <c r="Y822" s="53"/>
      <c r="Z822" s="53"/>
      <c r="AA822" s="53"/>
      <c r="AB822" s="53"/>
      <c r="AC822" s="53"/>
    </row>
    <row r="823">
      <c r="A823" s="53"/>
      <c r="B823" s="53"/>
      <c r="C823" s="131"/>
      <c r="D823" s="131"/>
      <c r="E823" s="131"/>
      <c r="F823" s="131"/>
      <c r="G823" s="131"/>
      <c r="H823" s="131"/>
      <c r="I823" s="131"/>
      <c r="J823" s="132"/>
      <c r="K823" s="132"/>
      <c r="L823" s="131"/>
      <c r="M823" s="131"/>
      <c r="N823" s="131"/>
      <c r="O823" s="53"/>
      <c r="P823" s="53"/>
      <c r="Q823" s="53"/>
      <c r="R823" s="53"/>
      <c r="S823" s="53"/>
      <c r="T823" s="53"/>
      <c r="U823" s="53"/>
      <c r="V823" s="53"/>
      <c r="W823" s="53"/>
      <c r="X823" s="53"/>
      <c r="Y823" s="53"/>
      <c r="Z823" s="53"/>
      <c r="AA823" s="53"/>
      <c r="AB823" s="53"/>
      <c r="AC823" s="53"/>
    </row>
    <row r="824">
      <c r="A824" s="53"/>
      <c r="B824" s="53"/>
      <c r="C824" s="131"/>
      <c r="D824" s="131"/>
      <c r="E824" s="131"/>
      <c r="F824" s="131"/>
      <c r="G824" s="131"/>
      <c r="H824" s="131"/>
      <c r="I824" s="131"/>
      <c r="J824" s="132"/>
      <c r="K824" s="132"/>
      <c r="L824" s="131"/>
      <c r="M824" s="131"/>
      <c r="N824" s="131"/>
      <c r="O824" s="53"/>
      <c r="P824" s="53"/>
      <c r="Q824" s="53"/>
      <c r="R824" s="53"/>
      <c r="S824" s="53"/>
      <c r="T824" s="53"/>
      <c r="U824" s="53"/>
      <c r="V824" s="53"/>
      <c r="W824" s="53"/>
      <c r="X824" s="53"/>
      <c r="Y824" s="53"/>
      <c r="Z824" s="53"/>
      <c r="AA824" s="53"/>
      <c r="AB824" s="53"/>
      <c r="AC824" s="53"/>
    </row>
    <row r="825">
      <c r="A825" s="53"/>
      <c r="B825" s="53"/>
      <c r="C825" s="131"/>
      <c r="D825" s="131"/>
      <c r="E825" s="131"/>
      <c r="F825" s="131"/>
      <c r="G825" s="131"/>
      <c r="H825" s="131"/>
      <c r="I825" s="131"/>
      <c r="J825" s="132"/>
      <c r="K825" s="132"/>
      <c r="L825" s="131"/>
      <c r="M825" s="131"/>
      <c r="N825" s="131"/>
      <c r="O825" s="53"/>
      <c r="P825" s="53"/>
      <c r="Q825" s="53"/>
      <c r="R825" s="53"/>
      <c r="S825" s="53"/>
      <c r="T825" s="53"/>
      <c r="U825" s="53"/>
      <c r="V825" s="53"/>
      <c r="W825" s="53"/>
      <c r="X825" s="53"/>
      <c r="Y825" s="53"/>
      <c r="Z825" s="53"/>
      <c r="AA825" s="53"/>
      <c r="AB825" s="53"/>
      <c r="AC825" s="53"/>
    </row>
    <row r="826">
      <c r="A826" s="53"/>
      <c r="B826" s="53"/>
      <c r="C826" s="131"/>
      <c r="D826" s="131"/>
      <c r="E826" s="131"/>
      <c r="F826" s="131"/>
      <c r="G826" s="131"/>
      <c r="H826" s="131"/>
      <c r="I826" s="131"/>
      <c r="J826" s="132"/>
      <c r="K826" s="132"/>
      <c r="L826" s="131"/>
      <c r="M826" s="131"/>
      <c r="N826" s="131"/>
      <c r="O826" s="53"/>
      <c r="P826" s="53"/>
      <c r="Q826" s="53"/>
      <c r="R826" s="53"/>
      <c r="S826" s="53"/>
      <c r="T826" s="53"/>
      <c r="U826" s="53"/>
      <c r="V826" s="53"/>
      <c r="W826" s="53"/>
      <c r="X826" s="53"/>
      <c r="Y826" s="53"/>
      <c r="Z826" s="53"/>
      <c r="AA826" s="53"/>
      <c r="AB826" s="53"/>
      <c r="AC826" s="53"/>
    </row>
    <row r="827">
      <c r="A827" s="53"/>
      <c r="B827" s="53"/>
      <c r="C827" s="131"/>
      <c r="D827" s="131"/>
      <c r="E827" s="131"/>
      <c r="F827" s="131"/>
      <c r="G827" s="131"/>
      <c r="H827" s="131"/>
      <c r="I827" s="131"/>
      <c r="J827" s="132"/>
      <c r="K827" s="132"/>
      <c r="L827" s="131"/>
      <c r="M827" s="131"/>
      <c r="N827" s="131"/>
      <c r="O827" s="53"/>
      <c r="P827" s="53"/>
      <c r="Q827" s="53"/>
      <c r="R827" s="53"/>
      <c r="S827" s="53"/>
      <c r="T827" s="53"/>
      <c r="U827" s="53"/>
      <c r="V827" s="53"/>
      <c r="W827" s="53"/>
      <c r="X827" s="53"/>
      <c r="Y827" s="53"/>
      <c r="Z827" s="53"/>
      <c r="AA827" s="53"/>
      <c r="AB827" s="53"/>
      <c r="AC827" s="53"/>
    </row>
    <row r="828">
      <c r="A828" s="53"/>
      <c r="B828" s="53"/>
      <c r="C828" s="131"/>
      <c r="D828" s="131"/>
      <c r="E828" s="131"/>
      <c r="F828" s="131"/>
      <c r="G828" s="131"/>
      <c r="H828" s="131"/>
      <c r="I828" s="131"/>
      <c r="J828" s="132"/>
      <c r="K828" s="132"/>
      <c r="L828" s="131"/>
      <c r="M828" s="131"/>
      <c r="N828" s="131"/>
      <c r="O828" s="53"/>
      <c r="P828" s="53"/>
      <c r="Q828" s="53"/>
      <c r="R828" s="53"/>
      <c r="S828" s="53"/>
      <c r="T828" s="53"/>
      <c r="U828" s="53"/>
      <c r="V828" s="53"/>
      <c r="W828" s="53"/>
      <c r="X828" s="53"/>
      <c r="Y828" s="53"/>
      <c r="Z828" s="53"/>
      <c r="AA828" s="53"/>
      <c r="AB828" s="53"/>
      <c r="AC828" s="53"/>
    </row>
    <row r="829">
      <c r="A829" s="53"/>
      <c r="B829" s="53"/>
      <c r="C829" s="131"/>
      <c r="D829" s="131"/>
      <c r="E829" s="131"/>
      <c r="F829" s="131"/>
      <c r="G829" s="131"/>
      <c r="H829" s="131"/>
      <c r="I829" s="131"/>
      <c r="J829" s="132"/>
      <c r="K829" s="132"/>
      <c r="L829" s="131"/>
      <c r="M829" s="131"/>
      <c r="N829" s="131"/>
      <c r="O829" s="53"/>
      <c r="P829" s="53"/>
      <c r="Q829" s="53"/>
      <c r="R829" s="53"/>
      <c r="S829" s="53"/>
      <c r="T829" s="53"/>
      <c r="U829" s="53"/>
      <c r="V829" s="53"/>
      <c r="W829" s="53"/>
      <c r="X829" s="53"/>
      <c r="Y829" s="53"/>
      <c r="Z829" s="53"/>
      <c r="AA829" s="53"/>
      <c r="AB829" s="53"/>
      <c r="AC829" s="53"/>
    </row>
    <row r="830">
      <c r="A830" s="53"/>
      <c r="B830" s="53"/>
      <c r="C830" s="131"/>
      <c r="D830" s="131"/>
      <c r="E830" s="131"/>
      <c r="F830" s="131"/>
      <c r="G830" s="131"/>
      <c r="H830" s="131"/>
      <c r="I830" s="131"/>
      <c r="J830" s="132"/>
      <c r="K830" s="132"/>
      <c r="L830" s="131"/>
      <c r="M830" s="131"/>
      <c r="N830" s="131"/>
      <c r="O830" s="53"/>
      <c r="P830" s="53"/>
      <c r="Q830" s="53"/>
      <c r="R830" s="53"/>
      <c r="S830" s="53"/>
      <c r="T830" s="53"/>
      <c r="U830" s="53"/>
      <c r="V830" s="53"/>
      <c r="W830" s="53"/>
      <c r="X830" s="53"/>
      <c r="Y830" s="53"/>
      <c r="Z830" s="53"/>
      <c r="AA830" s="53"/>
      <c r="AB830" s="53"/>
      <c r="AC830" s="53"/>
    </row>
    <row r="831">
      <c r="A831" s="53"/>
      <c r="B831" s="53"/>
      <c r="C831" s="131"/>
      <c r="D831" s="131"/>
      <c r="E831" s="131"/>
      <c r="F831" s="131"/>
      <c r="G831" s="131"/>
      <c r="H831" s="131"/>
      <c r="I831" s="131"/>
      <c r="J831" s="132"/>
      <c r="K831" s="132"/>
      <c r="L831" s="131"/>
      <c r="M831" s="131"/>
      <c r="N831" s="131"/>
      <c r="O831" s="53"/>
      <c r="P831" s="53"/>
      <c r="Q831" s="53"/>
      <c r="R831" s="53"/>
      <c r="S831" s="53"/>
      <c r="T831" s="53"/>
      <c r="U831" s="53"/>
      <c r="V831" s="53"/>
      <c r="W831" s="53"/>
      <c r="X831" s="53"/>
      <c r="Y831" s="53"/>
      <c r="Z831" s="53"/>
      <c r="AA831" s="53"/>
      <c r="AB831" s="53"/>
      <c r="AC831" s="53"/>
    </row>
    <row r="832">
      <c r="A832" s="53"/>
      <c r="B832" s="53"/>
      <c r="C832" s="131"/>
      <c r="D832" s="131"/>
      <c r="E832" s="131"/>
      <c r="F832" s="131"/>
      <c r="G832" s="131"/>
      <c r="H832" s="131"/>
      <c r="I832" s="131"/>
      <c r="J832" s="132"/>
      <c r="K832" s="132"/>
      <c r="L832" s="131"/>
      <c r="M832" s="131"/>
      <c r="N832" s="131"/>
      <c r="O832" s="53"/>
      <c r="P832" s="53"/>
      <c r="Q832" s="53"/>
      <c r="R832" s="53"/>
      <c r="S832" s="53"/>
      <c r="T832" s="53"/>
      <c r="U832" s="53"/>
      <c r="V832" s="53"/>
      <c r="W832" s="53"/>
      <c r="X832" s="53"/>
      <c r="Y832" s="53"/>
      <c r="Z832" s="53"/>
      <c r="AA832" s="53"/>
      <c r="AB832" s="53"/>
      <c r="AC832" s="53"/>
    </row>
    <row r="833">
      <c r="A833" s="53"/>
      <c r="B833" s="53"/>
      <c r="C833" s="131"/>
      <c r="D833" s="131"/>
      <c r="E833" s="131"/>
      <c r="F833" s="131"/>
      <c r="G833" s="131"/>
      <c r="H833" s="131"/>
      <c r="I833" s="131"/>
      <c r="J833" s="132"/>
      <c r="K833" s="132"/>
      <c r="L833" s="131"/>
      <c r="M833" s="131"/>
      <c r="N833" s="131"/>
      <c r="O833" s="53"/>
      <c r="P833" s="53"/>
      <c r="Q833" s="53"/>
      <c r="R833" s="53"/>
      <c r="S833" s="53"/>
      <c r="T833" s="53"/>
      <c r="U833" s="53"/>
      <c r="V833" s="53"/>
      <c r="W833" s="53"/>
      <c r="X833" s="53"/>
      <c r="Y833" s="53"/>
      <c r="Z833" s="53"/>
      <c r="AA833" s="53"/>
      <c r="AB833" s="53"/>
      <c r="AC833" s="53"/>
    </row>
    <row r="834">
      <c r="A834" s="53"/>
      <c r="B834" s="53"/>
      <c r="C834" s="131"/>
      <c r="D834" s="131"/>
      <c r="E834" s="131"/>
      <c r="F834" s="131"/>
      <c r="G834" s="131"/>
      <c r="H834" s="131"/>
      <c r="I834" s="131"/>
      <c r="J834" s="132"/>
      <c r="K834" s="132"/>
      <c r="L834" s="131"/>
      <c r="M834" s="131"/>
      <c r="N834" s="131"/>
      <c r="O834" s="53"/>
      <c r="P834" s="53"/>
      <c r="Q834" s="53"/>
      <c r="R834" s="53"/>
      <c r="S834" s="53"/>
      <c r="T834" s="53"/>
      <c r="U834" s="53"/>
      <c r="V834" s="53"/>
      <c r="W834" s="53"/>
      <c r="X834" s="53"/>
      <c r="Y834" s="53"/>
      <c r="Z834" s="53"/>
      <c r="AA834" s="53"/>
      <c r="AB834" s="53"/>
      <c r="AC834" s="53"/>
    </row>
    <row r="835">
      <c r="A835" s="53"/>
      <c r="B835" s="53"/>
      <c r="C835" s="131"/>
      <c r="D835" s="131"/>
      <c r="E835" s="131"/>
      <c r="F835" s="131"/>
      <c r="G835" s="131"/>
      <c r="H835" s="131"/>
      <c r="I835" s="131"/>
      <c r="J835" s="132"/>
      <c r="K835" s="132"/>
      <c r="L835" s="131"/>
      <c r="M835" s="131"/>
      <c r="N835" s="131"/>
      <c r="O835" s="53"/>
      <c r="P835" s="53"/>
      <c r="Q835" s="53"/>
      <c r="R835" s="53"/>
      <c r="S835" s="53"/>
      <c r="T835" s="53"/>
      <c r="U835" s="53"/>
      <c r="V835" s="53"/>
      <c r="W835" s="53"/>
      <c r="X835" s="53"/>
      <c r="Y835" s="53"/>
      <c r="Z835" s="53"/>
      <c r="AA835" s="53"/>
      <c r="AB835" s="53"/>
      <c r="AC835" s="53"/>
    </row>
    <row r="836">
      <c r="A836" s="53"/>
      <c r="B836" s="53"/>
      <c r="C836" s="131"/>
      <c r="D836" s="131"/>
      <c r="E836" s="131"/>
      <c r="F836" s="131"/>
      <c r="G836" s="131"/>
      <c r="H836" s="131"/>
      <c r="I836" s="131"/>
      <c r="J836" s="132"/>
      <c r="K836" s="132"/>
      <c r="L836" s="131"/>
      <c r="M836" s="131"/>
      <c r="N836" s="131"/>
      <c r="O836" s="53"/>
      <c r="P836" s="53"/>
      <c r="Q836" s="53"/>
      <c r="R836" s="53"/>
      <c r="S836" s="53"/>
      <c r="T836" s="53"/>
      <c r="U836" s="53"/>
      <c r="V836" s="53"/>
      <c r="W836" s="53"/>
      <c r="X836" s="53"/>
      <c r="Y836" s="53"/>
      <c r="Z836" s="53"/>
      <c r="AA836" s="53"/>
      <c r="AB836" s="53"/>
      <c r="AC836" s="53"/>
    </row>
    <row r="837">
      <c r="A837" s="53"/>
      <c r="B837" s="53"/>
      <c r="C837" s="131"/>
      <c r="D837" s="131"/>
      <c r="E837" s="131"/>
      <c r="F837" s="131"/>
      <c r="G837" s="131"/>
      <c r="H837" s="131"/>
      <c r="I837" s="131"/>
      <c r="J837" s="132"/>
      <c r="K837" s="132"/>
      <c r="L837" s="131"/>
      <c r="M837" s="131"/>
      <c r="N837" s="131"/>
      <c r="O837" s="53"/>
      <c r="P837" s="53"/>
      <c r="Q837" s="53"/>
      <c r="R837" s="53"/>
      <c r="S837" s="53"/>
      <c r="T837" s="53"/>
      <c r="U837" s="53"/>
      <c r="V837" s="53"/>
      <c r="W837" s="53"/>
      <c r="X837" s="53"/>
      <c r="Y837" s="53"/>
      <c r="Z837" s="53"/>
      <c r="AA837" s="53"/>
      <c r="AB837" s="53"/>
      <c r="AC837" s="53"/>
    </row>
    <row r="838">
      <c r="A838" s="53"/>
      <c r="B838" s="53"/>
      <c r="C838" s="131"/>
      <c r="D838" s="131"/>
      <c r="E838" s="131"/>
      <c r="F838" s="131"/>
      <c r="G838" s="131"/>
      <c r="H838" s="131"/>
      <c r="I838" s="131"/>
      <c r="J838" s="132"/>
      <c r="K838" s="132"/>
      <c r="L838" s="131"/>
      <c r="M838" s="131"/>
      <c r="N838" s="131"/>
      <c r="O838" s="53"/>
      <c r="P838" s="53"/>
      <c r="Q838" s="53"/>
      <c r="R838" s="53"/>
      <c r="S838" s="53"/>
      <c r="T838" s="53"/>
      <c r="U838" s="53"/>
      <c r="V838" s="53"/>
      <c r="W838" s="53"/>
      <c r="X838" s="53"/>
      <c r="Y838" s="53"/>
      <c r="Z838" s="53"/>
      <c r="AA838" s="53"/>
      <c r="AB838" s="53"/>
      <c r="AC838" s="53"/>
    </row>
    <row r="839">
      <c r="A839" s="53"/>
      <c r="B839" s="53"/>
      <c r="C839" s="131"/>
      <c r="D839" s="131"/>
      <c r="E839" s="131"/>
      <c r="F839" s="131"/>
      <c r="G839" s="131"/>
      <c r="H839" s="131"/>
      <c r="I839" s="131"/>
      <c r="J839" s="132"/>
      <c r="K839" s="132"/>
      <c r="L839" s="131"/>
      <c r="M839" s="131"/>
      <c r="N839" s="131"/>
      <c r="O839" s="53"/>
      <c r="P839" s="53"/>
      <c r="Q839" s="53"/>
      <c r="R839" s="53"/>
      <c r="S839" s="53"/>
      <c r="T839" s="53"/>
      <c r="U839" s="53"/>
      <c r="V839" s="53"/>
      <c r="W839" s="53"/>
      <c r="X839" s="53"/>
      <c r="Y839" s="53"/>
      <c r="Z839" s="53"/>
      <c r="AA839" s="53"/>
      <c r="AB839" s="53"/>
      <c r="AC839" s="53"/>
    </row>
    <row r="840">
      <c r="A840" s="53"/>
      <c r="B840" s="53"/>
      <c r="C840" s="131"/>
      <c r="D840" s="131"/>
      <c r="E840" s="131"/>
      <c r="F840" s="131"/>
      <c r="G840" s="131"/>
      <c r="H840" s="131"/>
      <c r="I840" s="131"/>
      <c r="J840" s="132"/>
      <c r="K840" s="132"/>
      <c r="L840" s="131"/>
      <c r="M840" s="131"/>
      <c r="N840" s="131"/>
      <c r="O840" s="53"/>
      <c r="P840" s="53"/>
      <c r="Q840" s="53"/>
      <c r="R840" s="53"/>
      <c r="S840" s="53"/>
      <c r="T840" s="53"/>
      <c r="U840" s="53"/>
      <c r="V840" s="53"/>
      <c r="W840" s="53"/>
      <c r="X840" s="53"/>
      <c r="Y840" s="53"/>
      <c r="Z840" s="53"/>
      <c r="AA840" s="53"/>
      <c r="AB840" s="53"/>
      <c r="AC840" s="53"/>
    </row>
    <row r="841">
      <c r="A841" s="53"/>
      <c r="B841" s="53"/>
      <c r="C841" s="131"/>
      <c r="D841" s="131"/>
      <c r="E841" s="131"/>
      <c r="F841" s="131"/>
      <c r="G841" s="131"/>
      <c r="H841" s="131"/>
      <c r="I841" s="131"/>
      <c r="J841" s="132"/>
      <c r="K841" s="132"/>
      <c r="L841" s="131"/>
      <c r="M841" s="131"/>
      <c r="N841" s="131"/>
      <c r="O841" s="53"/>
      <c r="P841" s="53"/>
      <c r="Q841" s="53"/>
      <c r="R841" s="53"/>
      <c r="S841" s="53"/>
      <c r="T841" s="53"/>
      <c r="U841" s="53"/>
      <c r="V841" s="53"/>
      <c r="W841" s="53"/>
      <c r="X841" s="53"/>
      <c r="Y841" s="53"/>
      <c r="Z841" s="53"/>
      <c r="AA841" s="53"/>
      <c r="AB841" s="53"/>
      <c r="AC841" s="53"/>
    </row>
    <row r="842">
      <c r="A842" s="53"/>
      <c r="B842" s="53"/>
      <c r="C842" s="131"/>
      <c r="D842" s="131"/>
      <c r="E842" s="131"/>
      <c r="F842" s="131"/>
      <c r="G842" s="131"/>
      <c r="H842" s="131"/>
      <c r="I842" s="131"/>
      <c r="J842" s="132"/>
      <c r="K842" s="132"/>
      <c r="L842" s="131"/>
      <c r="M842" s="131"/>
      <c r="N842" s="131"/>
      <c r="O842" s="53"/>
      <c r="P842" s="53"/>
      <c r="Q842" s="53"/>
      <c r="R842" s="53"/>
      <c r="S842" s="53"/>
      <c r="T842" s="53"/>
      <c r="U842" s="53"/>
      <c r="V842" s="53"/>
      <c r="W842" s="53"/>
      <c r="X842" s="53"/>
      <c r="Y842" s="53"/>
      <c r="Z842" s="53"/>
      <c r="AA842" s="53"/>
      <c r="AB842" s="53"/>
      <c r="AC842" s="53"/>
    </row>
    <row r="843">
      <c r="A843" s="53"/>
      <c r="B843" s="53"/>
      <c r="C843" s="131"/>
      <c r="D843" s="131"/>
      <c r="E843" s="131"/>
      <c r="F843" s="131"/>
      <c r="G843" s="131"/>
      <c r="H843" s="131"/>
      <c r="I843" s="131"/>
      <c r="J843" s="132"/>
      <c r="K843" s="132"/>
      <c r="L843" s="131"/>
      <c r="M843" s="131"/>
      <c r="N843" s="131"/>
      <c r="O843" s="53"/>
      <c r="P843" s="53"/>
      <c r="Q843" s="53"/>
      <c r="R843" s="53"/>
      <c r="S843" s="53"/>
      <c r="T843" s="53"/>
      <c r="U843" s="53"/>
      <c r="V843" s="53"/>
      <c r="W843" s="53"/>
      <c r="X843" s="53"/>
      <c r="Y843" s="53"/>
      <c r="Z843" s="53"/>
      <c r="AA843" s="53"/>
      <c r="AB843" s="53"/>
      <c r="AC843" s="53"/>
    </row>
    <row r="844">
      <c r="A844" s="53"/>
      <c r="B844" s="53"/>
      <c r="C844" s="131"/>
      <c r="D844" s="131"/>
      <c r="E844" s="131"/>
      <c r="F844" s="131"/>
      <c r="G844" s="131"/>
      <c r="H844" s="131"/>
      <c r="I844" s="131"/>
      <c r="J844" s="132"/>
      <c r="K844" s="132"/>
      <c r="L844" s="131"/>
      <c r="M844" s="131"/>
      <c r="N844" s="131"/>
      <c r="O844" s="53"/>
      <c r="P844" s="53"/>
      <c r="Q844" s="53"/>
      <c r="R844" s="53"/>
      <c r="S844" s="53"/>
      <c r="T844" s="53"/>
      <c r="U844" s="53"/>
      <c r="V844" s="53"/>
      <c r="W844" s="53"/>
      <c r="X844" s="53"/>
      <c r="Y844" s="53"/>
      <c r="Z844" s="53"/>
      <c r="AA844" s="53"/>
      <c r="AB844" s="53"/>
      <c r="AC844" s="53"/>
    </row>
    <row r="845">
      <c r="A845" s="53"/>
      <c r="B845" s="53"/>
      <c r="C845" s="131"/>
      <c r="D845" s="131"/>
      <c r="E845" s="131"/>
      <c r="F845" s="131"/>
      <c r="G845" s="131"/>
      <c r="H845" s="131"/>
      <c r="I845" s="131"/>
      <c r="J845" s="132"/>
      <c r="K845" s="132"/>
      <c r="L845" s="131"/>
      <c r="M845" s="131"/>
      <c r="N845" s="131"/>
      <c r="O845" s="53"/>
      <c r="P845" s="53"/>
      <c r="Q845" s="53"/>
      <c r="R845" s="53"/>
      <c r="S845" s="53"/>
      <c r="T845" s="53"/>
      <c r="U845" s="53"/>
      <c r="V845" s="53"/>
      <c r="W845" s="53"/>
      <c r="X845" s="53"/>
      <c r="Y845" s="53"/>
      <c r="Z845" s="53"/>
      <c r="AA845" s="53"/>
      <c r="AB845" s="53"/>
      <c r="AC845" s="53"/>
    </row>
    <row r="846">
      <c r="A846" s="53"/>
      <c r="B846" s="53"/>
      <c r="C846" s="131"/>
      <c r="D846" s="131"/>
      <c r="E846" s="131"/>
      <c r="F846" s="131"/>
      <c r="G846" s="131"/>
      <c r="H846" s="131"/>
      <c r="I846" s="131"/>
      <c r="J846" s="132"/>
      <c r="K846" s="132"/>
      <c r="L846" s="131"/>
      <c r="M846" s="131"/>
      <c r="N846" s="131"/>
      <c r="O846" s="53"/>
      <c r="P846" s="53"/>
      <c r="Q846" s="53"/>
      <c r="R846" s="53"/>
      <c r="S846" s="53"/>
      <c r="T846" s="53"/>
      <c r="U846" s="53"/>
      <c r="V846" s="53"/>
      <c r="W846" s="53"/>
      <c r="X846" s="53"/>
      <c r="Y846" s="53"/>
      <c r="Z846" s="53"/>
      <c r="AA846" s="53"/>
      <c r="AB846" s="53"/>
      <c r="AC846" s="53"/>
    </row>
    <row r="847">
      <c r="A847" s="53"/>
      <c r="B847" s="53"/>
      <c r="C847" s="131"/>
      <c r="D847" s="131"/>
      <c r="E847" s="131"/>
      <c r="F847" s="131"/>
      <c r="G847" s="131"/>
      <c r="H847" s="131"/>
      <c r="I847" s="131"/>
      <c r="J847" s="132"/>
      <c r="K847" s="132"/>
      <c r="L847" s="131"/>
      <c r="M847" s="131"/>
      <c r="N847" s="131"/>
      <c r="O847" s="53"/>
      <c r="P847" s="53"/>
      <c r="Q847" s="53"/>
      <c r="R847" s="53"/>
      <c r="S847" s="53"/>
      <c r="T847" s="53"/>
      <c r="U847" s="53"/>
      <c r="V847" s="53"/>
      <c r="W847" s="53"/>
      <c r="X847" s="53"/>
      <c r="Y847" s="53"/>
      <c r="Z847" s="53"/>
      <c r="AA847" s="53"/>
      <c r="AB847" s="53"/>
      <c r="AC847" s="53"/>
    </row>
    <row r="848">
      <c r="A848" s="53"/>
      <c r="B848" s="53"/>
      <c r="C848" s="131"/>
      <c r="D848" s="131"/>
      <c r="E848" s="131"/>
      <c r="F848" s="131"/>
      <c r="G848" s="131"/>
      <c r="H848" s="131"/>
      <c r="I848" s="131"/>
      <c r="J848" s="132"/>
      <c r="K848" s="132"/>
      <c r="L848" s="131"/>
      <c r="M848" s="131"/>
      <c r="N848" s="131"/>
      <c r="O848" s="53"/>
      <c r="P848" s="53"/>
      <c r="Q848" s="53"/>
      <c r="R848" s="53"/>
      <c r="S848" s="53"/>
      <c r="T848" s="53"/>
      <c r="U848" s="53"/>
      <c r="V848" s="53"/>
      <c r="W848" s="53"/>
      <c r="X848" s="53"/>
      <c r="Y848" s="53"/>
      <c r="Z848" s="53"/>
      <c r="AA848" s="53"/>
      <c r="AB848" s="53"/>
      <c r="AC848" s="53"/>
    </row>
    <row r="849">
      <c r="A849" s="53"/>
      <c r="B849" s="53"/>
      <c r="C849" s="131"/>
      <c r="D849" s="131"/>
      <c r="E849" s="131"/>
      <c r="F849" s="131"/>
      <c r="G849" s="131"/>
      <c r="H849" s="131"/>
      <c r="I849" s="131"/>
      <c r="J849" s="132"/>
      <c r="K849" s="132"/>
      <c r="L849" s="131"/>
      <c r="M849" s="131"/>
      <c r="N849" s="131"/>
      <c r="O849" s="53"/>
      <c r="P849" s="53"/>
      <c r="Q849" s="53"/>
      <c r="R849" s="53"/>
      <c r="S849" s="53"/>
      <c r="T849" s="53"/>
      <c r="U849" s="53"/>
      <c r="V849" s="53"/>
      <c r="W849" s="53"/>
      <c r="X849" s="53"/>
      <c r="Y849" s="53"/>
      <c r="Z849" s="53"/>
      <c r="AA849" s="53"/>
      <c r="AB849" s="53"/>
      <c r="AC849" s="53"/>
    </row>
    <row r="850">
      <c r="A850" s="53"/>
      <c r="B850" s="53"/>
      <c r="C850" s="131"/>
      <c r="D850" s="131"/>
      <c r="E850" s="131"/>
      <c r="F850" s="131"/>
      <c r="G850" s="131"/>
      <c r="H850" s="131"/>
      <c r="I850" s="131"/>
      <c r="J850" s="132"/>
      <c r="K850" s="132"/>
      <c r="L850" s="131"/>
      <c r="M850" s="131"/>
      <c r="N850" s="131"/>
      <c r="O850" s="53"/>
      <c r="P850" s="53"/>
      <c r="Q850" s="53"/>
      <c r="R850" s="53"/>
      <c r="S850" s="53"/>
      <c r="T850" s="53"/>
      <c r="U850" s="53"/>
      <c r="V850" s="53"/>
      <c r="W850" s="53"/>
      <c r="X850" s="53"/>
      <c r="Y850" s="53"/>
      <c r="Z850" s="53"/>
      <c r="AA850" s="53"/>
      <c r="AB850" s="53"/>
      <c r="AC850" s="53"/>
    </row>
    <row r="851">
      <c r="A851" s="53"/>
      <c r="B851" s="53"/>
      <c r="C851" s="131"/>
      <c r="D851" s="131"/>
      <c r="E851" s="131"/>
      <c r="F851" s="131"/>
      <c r="G851" s="131"/>
      <c r="H851" s="131"/>
      <c r="I851" s="131"/>
      <c r="J851" s="132"/>
      <c r="K851" s="132"/>
      <c r="L851" s="131"/>
      <c r="M851" s="131"/>
      <c r="N851" s="131"/>
      <c r="O851" s="53"/>
      <c r="P851" s="53"/>
      <c r="Q851" s="53"/>
      <c r="R851" s="53"/>
      <c r="S851" s="53"/>
      <c r="T851" s="53"/>
      <c r="U851" s="53"/>
      <c r="V851" s="53"/>
      <c r="W851" s="53"/>
      <c r="X851" s="53"/>
      <c r="Y851" s="53"/>
      <c r="Z851" s="53"/>
      <c r="AA851" s="53"/>
      <c r="AB851" s="53"/>
      <c r="AC851" s="53"/>
    </row>
    <row r="852">
      <c r="A852" s="53"/>
      <c r="B852" s="53"/>
      <c r="C852" s="131"/>
      <c r="D852" s="131"/>
      <c r="E852" s="131"/>
      <c r="F852" s="131"/>
      <c r="G852" s="131"/>
      <c r="H852" s="131"/>
      <c r="I852" s="131"/>
      <c r="J852" s="132"/>
      <c r="K852" s="132"/>
      <c r="L852" s="131"/>
      <c r="M852" s="131"/>
      <c r="N852" s="131"/>
      <c r="O852" s="53"/>
      <c r="P852" s="53"/>
      <c r="Q852" s="53"/>
      <c r="R852" s="53"/>
      <c r="S852" s="53"/>
      <c r="T852" s="53"/>
      <c r="U852" s="53"/>
      <c r="V852" s="53"/>
      <c r="W852" s="53"/>
      <c r="X852" s="53"/>
      <c r="Y852" s="53"/>
      <c r="Z852" s="53"/>
      <c r="AA852" s="53"/>
      <c r="AB852" s="53"/>
      <c r="AC852" s="53"/>
    </row>
    <row r="853">
      <c r="A853" s="53"/>
      <c r="B853" s="53"/>
      <c r="C853" s="131"/>
      <c r="D853" s="131"/>
      <c r="E853" s="131"/>
      <c r="F853" s="131"/>
      <c r="G853" s="131"/>
      <c r="H853" s="131"/>
      <c r="I853" s="131"/>
      <c r="J853" s="132"/>
      <c r="K853" s="132"/>
      <c r="L853" s="131"/>
      <c r="M853" s="131"/>
      <c r="N853" s="131"/>
      <c r="O853" s="53"/>
      <c r="P853" s="53"/>
      <c r="Q853" s="53"/>
      <c r="R853" s="53"/>
      <c r="S853" s="53"/>
      <c r="T853" s="53"/>
      <c r="U853" s="53"/>
      <c r="V853" s="53"/>
      <c r="W853" s="53"/>
      <c r="X853" s="53"/>
      <c r="Y853" s="53"/>
      <c r="Z853" s="53"/>
      <c r="AA853" s="53"/>
      <c r="AB853" s="53"/>
      <c r="AC853" s="53"/>
    </row>
    <row r="854">
      <c r="A854" s="53"/>
      <c r="B854" s="53"/>
      <c r="C854" s="131"/>
      <c r="D854" s="131"/>
      <c r="E854" s="131"/>
      <c r="F854" s="131"/>
      <c r="G854" s="131"/>
      <c r="H854" s="131"/>
      <c r="I854" s="131"/>
      <c r="J854" s="132"/>
      <c r="K854" s="132"/>
      <c r="L854" s="131"/>
      <c r="M854" s="131"/>
      <c r="N854" s="131"/>
      <c r="O854" s="53"/>
      <c r="P854" s="53"/>
      <c r="Q854" s="53"/>
      <c r="R854" s="53"/>
      <c r="S854" s="53"/>
      <c r="T854" s="53"/>
      <c r="U854" s="53"/>
      <c r="V854" s="53"/>
      <c r="W854" s="53"/>
      <c r="X854" s="53"/>
      <c r="Y854" s="53"/>
      <c r="Z854" s="53"/>
      <c r="AA854" s="53"/>
      <c r="AB854" s="53"/>
      <c r="AC854" s="53"/>
    </row>
    <row r="855">
      <c r="A855" s="53"/>
      <c r="B855" s="53"/>
      <c r="C855" s="131"/>
      <c r="D855" s="131"/>
      <c r="E855" s="131"/>
      <c r="F855" s="131"/>
      <c r="G855" s="131"/>
      <c r="H855" s="131"/>
      <c r="I855" s="131"/>
      <c r="J855" s="132"/>
      <c r="K855" s="132"/>
      <c r="L855" s="131"/>
      <c r="M855" s="131"/>
      <c r="N855" s="131"/>
      <c r="O855" s="53"/>
      <c r="P855" s="53"/>
      <c r="Q855" s="53"/>
      <c r="R855" s="53"/>
      <c r="S855" s="53"/>
      <c r="T855" s="53"/>
      <c r="U855" s="53"/>
      <c r="V855" s="53"/>
      <c r="W855" s="53"/>
      <c r="X855" s="53"/>
      <c r="Y855" s="53"/>
      <c r="Z855" s="53"/>
      <c r="AA855" s="53"/>
      <c r="AB855" s="53"/>
      <c r="AC855" s="53"/>
    </row>
    <row r="856">
      <c r="A856" s="53"/>
      <c r="B856" s="53"/>
      <c r="C856" s="131"/>
      <c r="D856" s="131"/>
      <c r="E856" s="131"/>
      <c r="F856" s="131"/>
      <c r="G856" s="131"/>
      <c r="H856" s="131"/>
      <c r="I856" s="131"/>
      <c r="J856" s="132"/>
      <c r="K856" s="132"/>
      <c r="L856" s="131"/>
      <c r="M856" s="131"/>
      <c r="N856" s="131"/>
      <c r="O856" s="53"/>
      <c r="P856" s="53"/>
      <c r="Q856" s="53"/>
      <c r="R856" s="53"/>
      <c r="S856" s="53"/>
      <c r="T856" s="53"/>
      <c r="U856" s="53"/>
      <c r="V856" s="53"/>
      <c r="W856" s="53"/>
      <c r="X856" s="53"/>
      <c r="Y856" s="53"/>
      <c r="Z856" s="53"/>
      <c r="AA856" s="53"/>
      <c r="AB856" s="53"/>
      <c r="AC856" s="53"/>
    </row>
    <row r="857">
      <c r="A857" s="53"/>
      <c r="B857" s="53"/>
      <c r="C857" s="131"/>
      <c r="D857" s="131"/>
      <c r="E857" s="131"/>
      <c r="F857" s="131"/>
      <c r="G857" s="131"/>
      <c r="H857" s="131"/>
      <c r="I857" s="131"/>
      <c r="J857" s="132"/>
      <c r="K857" s="132"/>
      <c r="L857" s="131"/>
      <c r="M857" s="131"/>
      <c r="N857" s="131"/>
      <c r="O857" s="53"/>
      <c r="P857" s="53"/>
      <c r="Q857" s="53"/>
      <c r="R857" s="53"/>
      <c r="S857" s="53"/>
      <c r="T857" s="53"/>
      <c r="U857" s="53"/>
      <c r="V857" s="53"/>
      <c r="W857" s="53"/>
      <c r="X857" s="53"/>
      <c r="Y857" s="53"/>
      <c r="Z857" s="53"/>
      <c r="AA857" s="53"/>
      <c r="AB857" s="53"/>
      <c r="AC857" s="53"/>
    </row>
    <row r="858">
      <c r="A858" s="53"/>
      <c r="B858" s="53"/>
      <c r="C858" s="131"/>
      <c r="D858" s="131"/>
      <c r="E858" s="131"/>
      <c r="F858" s="131"/>
      <c r="G858" s="131"/>
      <c r="H858" s="131"/>
      <c r="I858" s="131"/>
      <c r="J858" s="132"/>
      <c r="K858" s="132"/>
      <c r="L858" s="131"/>
      <c r="M858" s="131"/>
      <c r="N858" s="131"/>
      <c r="O858" s="53"/>
      <c r="P858" s="53"/>
      <c r="Q858" s="53"/>
      <c r="R858" s="53"/>
      <c r="S858" s="53"/>
      <c r="T858" s="53"/>
      <c r="U858" s="53"/>
      <c r="V858" s="53"/>
      <c r="W858" s="53"/>
      <c r="X858" s="53"/>
      <c r="Y858" s="53"/>
      <c r="Z858" s="53"/>
      <c r="AA858" s="53"/>
      <c r="AB858" s="53"/>
      <c r="AC858" s="53"/>
    </row>
    <row r="859">
      <c r="A859" s="53"/>
      <c r="B859" s="53"/>
      <c r="C859" s="131"/>
      <c r="D859" s="131"/>
      <c r="E859" s="131"/>
      <c r="F859" s="131"/>
      <c r="G859" s="131"/>
      <c r="H859" s="131"/>
      <c r="I859" s="131"/>
      <c r="J859" s="132"/>
      <c r="K859" s="132"/>
      <c r="L859" s="131"/>
      <c r="M859" s="131"/>
      <c r="N859" s="131"/>
      <c r="O859" s="53"/>
      <c r="P859" s="53"/>
      <c r="Q859" s="53"/>
      <c r="R859" s="53"/>
      <c r="S859" s="53"/>
      <c r="T859" s="53"/>
      <c r="U859" s="53"/>
      <c r="V859" s="53"/>
      <c r="W859" s="53"/>
      <c r="X859" s="53"/>
      <c r="Y859" s="53"/>
      <c r="Z859" s="53"/>
      <c r="AA859" s="53"/>
      <c r="AB859" s="53"/>
      <c r="AC859" s="53"/>
    </row>
    <row r="860">
      <c r="A860" s="53"/>
      <c r="B860" s="53"/>
      <c r="C860" s="131"/>
      <c r="D860" s="131"/>
      <c r="E860" s="131"/>
      <c r="F860" s="131"/>
      <c r="G860" s="131"/>
      <c r="H860" s="131"/>
      <c r="I860" s="131"/>
      <c r="J860" s="132"/>
      <c r="K860" s="132"/>
      <c r="L860" s="131"/>
      <c r="M860" s="131"/>
      <c r="N860" s="131"/>
      <c r="O860" s="53"/>
      <c r="P860" s="53"/>
      <c r="Q860" s="53"/>
      <c r="R860" s="53"/>
      <c r="S860" s="53"/>
      <c r="T860" s="53"/>
      <c r="U860" s="53"/>
      <c r="V860" s="53"/>
      <c r="W860" s="53"/>
      <c r="X860" s="53"/>
      <c r="Y860" s="53"/>
      <c r="Z860" s="53"/>
      <c r="AA860" s="53"/>
      <c r="AB860" s="53"/>
      <c r="AC860" s="53"/>
    </row>
    <row r="861">
      <c r="A861" s="53"/>
      <c r="B861" s="53"/>
      <c r="C861" s="131"/>
      <c r="D861" s="131"/>
      <c r="E861" s="131"/>
      <c r="F861" s="131"/>
      <c r="G861" s="131"/>
      <c r="H861" s="131"/>
      <c r="I861" s="131"/>
      <c r="J861" s="132"/>
      <c r="K861" s="132"/>
      <c r="L861" s="131"/>
      <c r="M861" s="131"/>
      <c r="N861" s="131"/>
      <c r="O861" s="53"/>
      <c r="P861" s="53"/>
      <c r="Q861" s="53"/>
      <c r="R861" s="53"/>
      <c r="S861" s="53"/>
      <c r="T861" s="53"/>
      <c r="U861" s="53"/>
      <c r="V861" s="53"/>
      <c r="W861" s="53"/>
      <c r="X861" s="53"/>
      <c r="Y861" s="53"/>
      <c r="Z861" s="53"/>
      <c r="AA861" s="53"/>
      <c r="AB861" s="53"/>
      <c r="AC861" s="53"/>
    </row>
    <row r="862">
      <c r="A862" s="53"/>
      <c r="B862" s="53"/>
      <c r="C862" s="131"/>
      <c r="D862" s="131"/>
      <c r="E862" s="131"/>
      <c r="F862" s="131"/>
      <c r="G862" s="131"/>
      <c r="H862" s="131"/>
      <c r="I862" s="131"/>
      <c r="J862" s="132"/>
      <c r="K862" s="132"/>
      <c r="L862" s="131"/>
      <c r="M862" s="131"/>
      <c r="N862" s="131"/>
      <c r="O862" s="53"/>
      <c r="P862" s="53"/>
      <c r="Q862" s="53"/>
      <c r="R862" s="53"/>
      <c r="S862" s="53"/>
      <c r="T862" s="53"/>
      <c r="U862" s="53"/>
      <c r="V862" s="53"/>
      <c r="W862" s="53"/>
      <c r="X862" s="53"/>
      <c r="Y862" s="53"/>
      <c r="Z862" s="53"/>
      <c r="AA862" s="53"/>
      <c r="AB862" s="53"/>
      <c r="AC862" s="53"/>
    </row>
    <row r="863">
      <c r="A863" s="53"/>
      <c r="B863" s="53"/>
      <c r="C863" s="131"/>
      <c r="D863" s="131"/>
      <c r="E863" s="131"/>
      <c r="F863" s="131"/>
      <c r="G863" s="131"/>
      <c r="H863" s="131"/>
      <c r="I863" s="131"/>
      <c r="J863" s="132"/>
      <c r="K863" s="132"/>
      <c r="L863" s="131"/>
      <c r="M863" s="131"/>
      <c r="N863" s="131"/>
      <c r="O863" s="53"/>
      <c r="P863" s="53"/>
      <c r="Q863" s="53"/>
      <c r="R863" s="53"/>
      <c r="S863" s="53"/>
      <c r="T863" s="53"/>
      <c r="U863" s="53"/>
      <c r="V863" s="53"/>
      <c r="W863" s="53"/>
      <c r="X863" s="53"/>
      <c r="Y863" s="53"/>
      <c r="Z863" s="53"/>
      <c r="AA863" s="53"/>
      <c r="AB863" s="53"/>
      <c r="AC863" s="53"/>
    </row>
    <row r="864">
      <c r="A864" s="53"/>
      <c r="B864" s="53"/>
      <c r="C864" s="131"/>
      <c r="D864" s="131"/>
      <c r="E864" s="131"/>
      <c r="F864" s="131"/>
      <c r="G864" s="131"/>
      <c r="H864" s="131"/>
      <c r="I864" s="131"/>
      <c r="J864" s="132"/>
      <c r="K864" s="132"/>
      <c r="L864" s="131"/>
      <c r="M864" s="131"/>
      <c r="N864" s="131"/>
      <c r="O864" s="53"/>
      <c r="P864" s="53"/>
      <c r="Q864" s="53"/>
      <c r="R864" s="53"/>
      <c r="S864" s="53"/>
      <c r="T864" s="53"/>
      <c r="U864" s="53"/>
      <c r="V864" s="53"/>
      <c r="W864" s="53"/>
      <c r="X864" s="53"/>
      <c r="Y864" s="53"/>
      <c r="Z864" s="53"/>
      <c r="AA864" s="53"/>
      <c r="AB864" s="53"/>
      <c r="AC864" s="53"/>
    </row>
    <row r="865">
      <c r="A865" s="53"/>
      <c r="B865" s="53"/>
      <c r="C865" s="131"/>
      <c r="D865" s="131"/>
      <c r="E865" s="131"/>
      <c r="F865" s="131"/>
      <c r="G865" s="131"/>
      <c r="H865" s="131"/>
      <c r="I865" s="131"/>
      <c r="J865" s="132"/>
      <c r="K865" s="132"/>
      <c r="L865" s="131"/>
      <c r="M865" s="131"/>
      <c r="N865" s="131"/>
      <c r="O865" s="53"/>
      <c r="P865" s="53"/>
      <c r="Q865" s="53"/>
      <c r="R865" s="53"/>
      <c r="S865" s="53"/>
      <c r="T865" s="53"/>
      <c r="U865" s="53"/>
      <c r="V865" s="53"/>
      <c r="W865" s="53"/>
      <c r="X865" s="53"/>
      <c r="Y865" s="53"/>
      <c r="Z865" s="53"/>
      <c r="AA865" s="53"/>
      <c r="AB865" s="53"/>
      <c r="AC865" s="53"/>
    </row>
    <row r="866">
      <c r="A866" s="53"/>
      <c r="B866" s="53"/>
      <c r="C866" s="131"/>
      <c r="D866" s="131"/>
      <c r="E866" s="131"/>
      <c r="F866" s="131"/>
      <c r="G866" s="131"/>
      <c r="H866" s="131"/>
      <c r="I866" s="131"/>
      <c r="J866" s="132"/>
      <c r="K866" s="132"/>
      <c r="L866" s="131"/>
      <c r="M866" s="131"/>
      <c r="N866" s="131"/>
      <c r="O866" s="53"/>
      <c r="P866" s="53"/>
      <c r="Q866" s="53"/>
      <c r="R866" s="53"/>
      <c r="S866" s="53"/>
      <c r="T866" s="53"/>
      <c r="U866" s="53"/>
      <c r="V866" s="53"/>
      <c r="W866" s="53"/>
      <c r="X866" s="53"/>
      <c r="Y866" s="53"/>
      <c r="Z866" s="53"/>
      <c r="AA866" s="53"/>
      <c r="AB866" s="53"/>
      <c r="AC866" s="53"/>
    </row>
    <row r="867">
      <c r="A867" s="53"/>
      <c r="B867" s="53"/>
      <c r="C867" s="131"/>
      <c r="D867" s="131"/>
      <c r="E867" s="131"/>
      <c r="F867" s="131"/>
      <c r="G867" s="131"/>
      <c r="H867" s="131"/>
      <c r="I867" s="131"/>
      <c r="J867" s="132"/>
      <c r="K867" s="132"/>
      <c r="L867" s="131"/>
      <c r="M867" s="131"/>
      <c r="N867" s="131"/>
      <c r="O867" s="53"/>
      <c r="P867" s="53"/>
      <c r="Q867" s="53"/>
      <c r="R867" s="53"/>
      <c r="S867" s="53"/>
      <c r="T867" s="53"/>
      <c r="U867" s="53"/>
      <c r="V867" s="53"/>
      <c r="W867" s="53"/>
      <c r="X867" s="53"/>
      <c r="Y867" s="53"/>
      <c r="Z867" s="53"/>
      <c r="AA867" s="53"/>
      <c r="AB867" s="53"/>
      <c r="AC867" s="53"/>
    </row>
    <row r="868">
      <c r="A868" s="53"/>
      <c r="B868" s="53"/>
      <c r="C868" s="131"/>
      <c r="D868" s="131"/>
      <c r="E868" s="131"/>
      <c r="F868" s="131"/>
      <c r="G868" s="131"/>
      <c r="H868" s="131"/>
      <c r="I868" s="131"/>
      <c r="J868" s="132"/>
      <c r="K868" s="132"/>
      <c r="L868" s="131"/>
      <c r="M868" s="131"/>
      <c r="N868" s="131"/>
      <c r="O868" s="53"/>
      <c r="P868" s="53"/>
      <c r="Q868" s="53"/>
      <c r="R868" s="53"/>
      <c r="S868" s="53"/>
      <c r="T868" s="53"/>
      <c r="U868" s="53"/>
      <c r="V868" s="53"/>
      <c r="W868" s="53"/>
      <c r="X868" s="53"/>
      <c r="Y868" s="53"/>
      <c r="Z868" s="53"/>
      <c r="AA868" s="53"/>
      <c r="AB868" s="53"/>
      <c r="AC868" s="53"/>
    </row>
    <row r="869">
      <c r="A869" s="53"/>
      <c r="B869" s="53"/>
      <c r="C869" s="131"/>
      <c r="D869" s="131"/>
      <c r="E869" s="131"/>
      <c r="F869" s="131"/>
      <c r="G869" s="131"/>
      <c r="H869" s="131"/>
      <c r="I869" s="131"/>
      <c r="J869" s="132"/>
      <c r="K869" s="132"/>
      <c r="L869" s="131"/>
      <c r="M869" s="131"/>
      <c r="N869" s="131"/>
      <c r="O869" s="53"/>
      <c r="P869" s="53"/>
      <c r="Q869" s="53"/>
      <c r="R869" s="53"/>
      <c r="S869" s="53"/>
      <c r="T869" s="53"/>
      <c r="U869" s="53"/>
      <c r="V869" s="53"/>
      <c r="W869" s="53"/>
      <c r="X869" s="53"/>
      <c r="Y869" s="53"/>
      <c r="Z869" s="53"/>
      <c r="AA869" s="53"/>
      <c r="AB869" s="53"/>
      <c r="AC869" s="53"/>
    </row>
    <row r="870">
      <c r="A870" s="53"/>
      <c r="B870" s="53"/>
      <c r="C870" s="131"/>
      <c r="D870" s="131"/>
      <c r="E870" s="131"/>
      <c r="F870" s="131"/>
      <c r="G870" s="131"/>
      <c r="H870" s="131"/>
      <c r="I870" s="131"/>
      <c r="J870" s="132"/>
      <c r="K870" s="132"/>
      <c r="L870" s="131"/>
      <c r="M870" s="131"/>
      <c r="N870" s="131"/>
      <c r="O870" s="53"/>
      <c r="P870" s="53"/>
      <c r="Q870" s="53"/>
      <c r="R870" s="53"/>
      <c r="S870" s="53"/>
      <c r="T870" s="53"/>
      <c r="U870" s="53"/>
      <c r="V870" s="53"/>
      <c r="W870" s="53"/>
      <c r="X870" s="53"/>
      <c r="Y870" s="53"/>
      <c r="Z870" s="53"/>
      <c r="AA870" s="53"/>
      <c r="AB870" s="53"/>
      <c r="AC870" s="53"/>
    </row>
    <row r="871">
      <c r="A871" s="53"/>
      <c r="B871" s="53"/>
      <c r="C871" s="131"/>
      <c r="D871" s="131"/>
      <c r="E871" s="131"/>
      <c r="F871" s="131"/>
      <c r="G871" s="131"/>
      <c r="H871" s="131"/>
      <c r="I871" s="131"/>
      <c r="J871" s="132"/>
      <c r="K871" s="132"/>
      <c r="L871" s="131"/>
      <c r="M871" s="131"/>
      <c r="N871" s="131"/>
      <c r="O871" s="53"/>
      <c r="P871" s="53"/>
      <c r="Q871" s="53"/>
      <c r="R871" s="53"/>
      <c r="S871" s="53"/>
      <c r="T871" s="53"/>
      <c r="U871" s="53"/>
      <c r="V871" s="53"/>
      <c r="W871" s="53"/>
      <c r="X871" s="53"/>
      <c r="Y871" s="53"/>
      <c r="Z871" s="53"/>
      <c r="AA871" s="53"/>
      <c r="AB871" s="53"/>
      <c r="AC871" s="53"/>
    </row>
    <row r="872">
      <c r="A872" s="53"/>
      <c r="B872" s="53"/>
      <c r="C872" s="131"/>
      <c r="D872" s="131"/>
      <c r="E872" s="131"/>
      <c r="F872" s="131"/>
      <c r="G872" s="131"/>
      <c r="H872" s="131"/>
      <c r="I872" s="131"/>
      <c r="J872" s="132"/>
      <c r="K872" s="132"/>
      <c r="L872" s="131"/>
      <c r="M872" s="131"/>
      <c r="N872" s="131"/>
      <c r="O872" s="53"/>
      <c r="P872" s="53"/>
      <c r="Q872" s="53"/>
      <c r="R872" s="53"/>
      <c r="S872" s="53"/>
      <c r="T872" s="53"/>
      <c r="U872" s="53"/>
      <c r="V872" s="53"/>
      <c r="W872" s="53"/>
      <c r="X872" s="53"/>
      <c r="Y872" s="53"/>
      <c r="Z872" s="53"/>
      <c r="AA872" s="53"/>
      <c r="AB872" s="53"/>
      <c r="AC872" s="53"/>
    </row>
    <row r="873">
      <c r="A873" s="53"/>
      <c r="B873" s="53"/>
      <c r="C873" s="131"/>
      <c r="D873" s="131"/>
      <c r="E873" s="131"/>
      <c r="F873" s="131"/>
      <c r="G873" s="131"/>
      <c r="H873" s="131"/>
      <c r="I873" s="131"/>
      <c r="J873" s="132"/>
      <c r="K873" s="132"/>
      <c r="L873" s="131"/>
      <c r="M873" s="131"/>
      <c r="N873" s="131"/>
      <c r="O873" s="53"/>
      <c r="P873" s="53"/>
      <c r="Q873" s="53"/>
      <c r="R873" s="53"/>
      <c r="S873" s="53"/>
      <c r="T873" s="53"/>
      <c r="U873" s="53"/>
      <c r="V873" s="53"/>
      <c r="W873" s="53"/>
      <c r="X873" s="53"/>
      <c r="Y873" s="53"/>
      <c r="Z873" s="53"/>
      <c r="AA873" s="53"/>
      <c r="AB873" s="53"/>
      <c r="AC873" s="53"/>
    </row>
    <row r="874">
      <c r="A874" s="53"/>
      <c r="B874" s="53"/>
      <c r="C874" s="131"/>
      <c r="D874" s="131"/>
      <c r="E874" s="131"/>
      <c r="F874" s="131"/>
      <c r="G874" s="131"/>
      <c r="H874" s="131"/>
      <c r="I874" s="131"/>
      <c r="J874" s="132"/>
      <c r="K874" s="132"/>
      <c r="L874" s="131"/>
      <c r="M874" s="131"/>
      <c r="N874" s="131"/>
      <c r="O874" s="53"/>
      <c r="P874" s="53"/>
      <c r="Q874" s="53"/>
      <c r="R874" s="53"/>
      <c r="S874" s="53"/>
      <c r="T874" s="53"/>
      <c r="U874" s="53"/>
      <c r="V874" s="53"/>
      <c r="W874" s="53"/>
      <c r="X874" s="53"/>
      <c r="Y874" s="53"/>
      <c r="Z874" s="53"/>
      <c r="AA874" s="53"/>
      <c r="AB874" s="53"/>
      <c r="AC874" s="53"/>
    </row>
    <row r="875">
      <c r="A875" s="53"/>
      <c r="B875" s="53"/>
      <c r="C875" s="131"/>
      <c r="D875" s="131"/>
      <c r="E875" s="131"/>
      <c r="F875" s="131"/>
      <c r="G875" s="131"/>
      <c r="H875" s="131"/>
      <c r="I875" s="131"/>
      <c r="J875" s="132"/>
      <c r="K875" s="132"/>
      <c r="L875" s="131"/>
      <c r="M875" s="131"/>
      <c r="N875" s="131"/>
      <c r="O875" s="53"/>
      <c r="P875" s="53"/>
      <c r="Q875" s="53"/>
      <c r="R875" s="53"/>
      <c r="S875" s="53"/>
      <c r="T875" s="53"/>
      <c r="U875" s="53"/>
      <c r="V875" s="53"/>
      <c r="W875" s="53"/>
      <c r="X875" s="53"/>
      <c r="Y875" s="53"/>
      <c r="Z875" s="53"/>
      <c r="AA875" s="53"/>
      <c r="AB875" s="53"/>
      <c r="AC875" s="53"/>
    </row>
    <row r="876">
      <c r="A876" s="53"/>
      <c r="B876" s="53"/>
      <c r="C876" s="131"/>
      <c r="D876" s="131"/>
      <c r="E876" s="131"/>
      <c r="F876" s="131"/>
      <c r="G876" s="131"/>
      <c r="H876" s="131"/>
      <c r="I876" s="131"/>
      <c r="J876" s="132"/>
      <c r="K876" s="132"/>
      <c r="L876" s="131"/>
      <c r="M876" s="131"/>
      <c r="N876" s="131"/>
      <c r="O876" s="53"/>
      <c r="P876" s="53"/>
      <c r="Q876" s="53"/>
      <c r="R876" s="53"/>
      <c r="S876" s="53"/>
      <c r="T876" s="53"/>
      <c r="U876" s="53"/>
      <c r="V876" s="53"/>
      <c r="W876" s="53"/>
      <c r="X876" s="53"/>
      <c r="Y876" s="53"/>
      <c r="Z876" s="53"/>
      <c r="AA876" s="53"/>
      <c r="AB876" s="53"/>
      <c r="AC876" s="53"/>
    </row>
    <row r="877">
      <c r="A877" s="53"/>
      <c r="B877" s="53"/>
      <c r="C877" s="131"/>
      <c r="D877" s="131"/>
      <c r="E877" s="131"/>
      <c r="F877" s="131"/>
      <c r="G877" s="131"/>
      <c r="H877" s="131"/>
      <c r="I877" s="131"/>
      <c r="J877" s="132"/>
      <c r="K877" s="132"/>
      <c r="L877" s="131"/>
      <c r="M877" s="131"/>
      <c r="N877" s="131"/>
      <c r="O877" s="53"/>
      <c r="P877" s="53"/>
      <c r="Q877" s="53"/>
      <c r="R877" s="53"/>
      <c r="S877" s="53"/>
      <c r="T877" s="53"/>
      <c r="U877" s="53"/>
      <c r="V877" s="53"/>
      <c r="W877" s="53"/>
      <c r="X877" s="53"/>
      <c r="Y877" s="53"/>
      <c r="Z877" s="53"/>
      <c r="AA877" s="53"/>
      <c r="AB877" s="53"/>
      <c r="AC877" s="53"/>
    </row>
    <row r="878">
      <c r="A878" s="53"/>
      <c r="B878" s="53"/>
      <c r="C878" s="131"/>
      <c r="D878" s="131"/>
      <c r="E878" s="131"/>
      <c r="F878" s="131"/>
      <c r="G878" s="131"/>
      <c r="H878" s="131"/>
      <c r="I878" s="131"/>
      <c r="J878" s="132"/>
      <c r="K878" s="132"/>
      <c r="L878" s="131"/>
      <c r="M878" s="131"/>
      <c r="N878" s="131"/>
      <c r="O878" s="53"/>
      <c r="P878" s="53"/>
      <c r="Q878" s="53"/>
      <c r="R878" s="53"/>
      <c r="S878" s="53"/>
      <c r="T878" s="53"/>
      <c r="U878" s="53"/>
      <c r="V878" s="53"/>
      <c r="W878" s="53"/>
      <c r="X878" s="53"/>
      <c r="Y878" s="53"/>
      <c r="Z878" s="53"/>
      <c r="AA878" s="53"/>
      <c r="AB878" s="53"/>
      <c r="AC878" s="53"/>
    </row>
    <row r="879">
      <c r="A879" s="53"/>
      <c r="B879" s="53"/>
      <c r="C879" s="131"/>
      <c r="D879" s="131"/>
      <c r="E879" s="131"/>
      <c r="F879" s="131"/>
      <c r="G879" s="131"/>
      <c r="H879" s="131"/>
      <c r="I879" s="131"/>
      <c r="J879" s="132"/>
      <c r="K879" s="132"/>
      <c r="L879" s="131"/>
      <c r="M879" s="131"/>
      <c r="N879" s="131"/>
      <c r="O879" s="53"/>
      <c r="P879" s="53"/>
      <c r="Q879" s="53"/>
      <c r="R879" s="53"/>
      <c r="S879" s="53"/>
      <c r="T879" s="53"/>
      <c r="U879" s="53"/>
      <c r="V879" s="53"/>
      <c r="W879" s="53"/>
      <c r="X879" s="53"/>
      <c r="Y879" s="53"/>
      <c r="Z879" s="53"/>
      <c r="AA879" s="53"/>
      <c r="AB879" s="53"/>
      <c r="AC879" s="53"/>
    </row>
    <row r="880">
      <c r="A880" s="53"/>
      <c r="B880" s="53"/>
      <c r="C880" s="131"/>
      <c r="D880" s="131"/>
      <c r="E880" s="131"/>
      <c r="F880" s="131"/>
      <c r="G880" s="131"/>
      <c r="H880" s="131"/>
      <c r="I880" s="131"/>
      <c r="J880" s="132"/>
      <c r="K880" s="132"/>
      <c r="L880" s="131"/>
      <c r="M880" s="131"/>
      <c r="N880" s="131"/>
      <c r="O880" s="53"/>
      <c r="P880" s="53"/>
      <c r="Q880" s="53"/>
      <c r="R880" s="53"/>
      <c r="S880" s="53"/>
      <c r="T880" s="53"/>
      <c r="U880" s="53"/>
      <c r="V880" s="53"/>
      <c r="W880" s="53"/>
      <c r="X880" s="53"/>
      <c r="Y880" s="53"/>
      <c r="Z880" s="53"/>
      <c r="AA880" s="53"/>
      <c r="AB880" s="53"/>
      <c r="AC880" s="53"/>
    </row>
    <row r="881">
      <c r="A881" s="53"/>
      <c r="B881" s="53"/>
      <c r="C881" s="131"/>
      <c r="D881" s="131"/>
      <c r="E881" s="131"/>
      <c r="F881" s="131"/>
      <c r="G881" s="131"/>
      <c r="H881" s="131"/>
      <c r="I881" s="131"/>
      <c r="J881" s="132"/>
      <c r="K881" s="132"/>
      <c r="L881" s="131"/>
      <c r="M881" s="131"/>
      <c r="N881" s="131"/>
      <c r="O881" s="53"/>
      <c r="P881" s="53"/>
      <c r="Q881" s="53"/>
      <c r="R881" s="53"/>
      <c r="S881" s="53"/>
      <c r="T881" s="53"/>
      <c r="U881" s="53"/>
      <c r="V881" s="53"/>
      <c r="W881" s="53"/>
      <c r="X881" s="53"/>
      <c r="Y881" s="53"/>
      <c r="Z881" s="53"/>
      <c r="AA881" s="53"/>
      <c r="AB881" s="53"/>
      <c r="AC881" s="53"/>
    </row>
    <row r="882">
      <c r="A882" s="53"/>
      <c r="B882" s="53"/>
      <c r="C882" s="131"/>
      <c r="D882" s="131"/>
      <c r="E882" s="131"/>
      <c r="F882" s="131"/>
      <c r="G882" s="131"/>
      <c r="H882" s="131"/>
      <c r="I882" s="131"/>
      <c r="J882" s="132"/>
      <c r="K882" s="132"/>
      <c r="L882" s="131"/>
      <c r="M882" s="131"/>
      <c r="N882" s="131"/>
      <c r="O882" s="53"/>
      <c r="P882" s="53"/>
      <c r="Q882" s="53"/>
      <c r="R882" s="53"/>
      <c r="S882" s="53"/>
      <c r="T882" s="53"/>
      <c r="U882" s="53"/>
      <c r="V882" s="53"/>
      <c r="W882" s="53"/>
      <c r="X882" s="53"/>
      <c r="Y882" s="53"/>
      <c r="Z882" s="53"/>
      <c r="AA882" s="53"/>
      <c r="AB882" s="53"/>
      <c r="AC882" s="53"/>
    </row>
    <row r="883">
      <c r="A883" s="53"/>
      <c r="B883" s="53"/>
      <c r="C883" s="131"/>
      <c r="D883" s="131"/>
      <c r="E883" s="131"/>
      <c r="F883" s="131"/>
      <c r="G883" s="131"/>
      <c r="H883" s="131"/>
      <c r="I883" s="131"/>
      <c r="J883" s="132"/>
      <c r="K883" s="132"/>
      <c r="L883" s="131"/>
      <c r="M883" s="131"/>
      <c r="N883" s="131"/>
      <c r="O883" s="53"/>
      <c r="P883" s="53"/>
      <c r="Q883" s="53"/>
      <c r="R883" s="53"/>
      <c r="S883" s="53"/>
      <c r="T883" s="53"/>
      <c r="U883" s="53"/>
      <c r="V883" s="53"/>
      <c r="W883" s="53"/>
      <c r="X883" s="53"/>
      <c r="Y883" s="53"/>
      <c r="Z883" s="53"/>
      <c r="AA883" s="53"/>
      <c r="AB883" s="53"/>
      <c r="AC883" s="53"/>
    </row>
    <row r="884">
      <c r="A884" s="53"/>
      <c r="B884" s="53"/>
      <c r="C884" s="131"/>
      <c r="D884" s="131"/>
      <c r="E884" s="131"/>
      <c r="F884" s="131"/>
      <c r="G884" s="131"/>
      <c r="H884" s="131"/>
      <c r="I884" s="131"/>
      <c r="J884" s="132"/>
      <c r="K884" s="132"/>
      <c r="L884" s="131"/>
      <c r="M884" s="131"/>
      <c r="N884" s="131"/>
      <c r="O884" s="53"/>
      <c r="P884" s="53"/>
      <c r="Q884" s="53"/>
      <c r="R884" s="53"/>
      <c r="S884" s="53"/>
      <c r="T884" s="53"/>
      <c r="U884" s="53"/>
      <c r="V884" s="53"/>
      <c r="W884" s="53"/>
      <c r="X884" s="53"/>
      <c r="Y884" s="53"/>
      <c r="Z884" s="53"/>
      <c r="AA884" s="53"/>
      <c r="AB884" s="53"/>
      <c r="AC884" s="53"/>
    </row>
    <row r="885">
      <c r="A885" s="53"/>
      <c r="B885" s="53"/>
      <c r="C885" s="131"/>
      <c r="D885" s="131"/>
      <c r="E885" s="131"/>
      <c r="F885" s="131"/>
      <c r="G885" s="131"/>
      <c r="H885" s="131"/>
      <c r="I885" s="131"/>
      <c r="J885" s="132"/>
      <c r="K885" s="132"/>
      <c r="L885" s="131"/>
      <c r="M885" s="131"/>
      <c r="N885" s="131"/>
      <c r="O885" s="53"/>
      <c r="P885" s="53"/>
      <c r="Q885" s="53"/>
      <c r="R885" s="53"/>
      <c r="S885" s="53"/>
      <c r="T885" s="53"/>
      <c r="U885" s="53"/>
      <c r="V885" s="53"/>
      <c r="W885" s="53"/>
      <c r="X885" s="53"/>
      <c r="Y885" s="53"/>
      <c r="Z885" s="53"/>
      <c r="AA885" s="53"/>
      <c r="AB885" s="53"/>
      <c r="AC885" s="53"/>
    </row>
    <row r="886">
      <c r="A886" s="53"/>
      <c r="B886" s="53"/>
      <c r="C886" s="131"/>
      <c r="D886" s="131"/>
      <c r="E886" s="131"/>
      <c r="F886" s="131"/>
      <c r="G886" s="131"/>
      <c r="H886" s="131"/>
      <c r="I886" s="131"/>
      <c r="J886" s="132"/>
      <c r="K886" s="132"/>
      <c r="L886" s="131"/>
      <c r="M886" s="131"/>
      <c r="N886" s="131"/>
      <c r="O886" s="53"/>
      <c r="P886" s="53"/>
      <c r="Q886" s="53"/>
      <c r="R886" s="53"/>
      <c r="S886" s="53"/>
      <c r="T886" s="53"/>
      <c r="U886" s="53"/>
      <c r="V886" s="53"/>
      <c r="W886" s="53"/>
      <c r="X886" s="53"/>
      <c r="Y886" s="53"/>
      <c r="Z886" s="53"/>
      <c r="AA886" s="53"/>
      <c r="AB886" s="53"/>
      <c r="AC886" s="53"/>
    </row>
    <row r="887">
      <c r="A887" s="53"/>
      <c r="B887" s="53"/>
      <c r="C887" s="131"/>
      <c r="D887" s="131"/>
      <c r="E887" s="131"/>
      <c r="F887" s="131"/>
      <c r="G887" s="131"/>
      <c r="H887" s="131"/>
      <c r="I887" s="131"/>
      <c r="J887" s="132"/>
      <c r="K887" s="132"/>
      <c r="L887" s="131"/>
      <c r="M887" s="131"/>
      <c r="N887" s="131"/>
      <c r="O887" s="53"/>
      <c r="P887" s="53"/>
      <c r="Q887" s="53"/>
      <c r="R887" s="53"/>
      <c r="S887" s="53"/>
      <c r="T887" s="53"/>
      <c r="U887" s="53"/>
      <c r="V887" s="53"/>
      <c r="W887" s="53"/>
      <c r="X887" s="53"/>
      <c r="Y887" s="53"/>
      <c r="Z887" s="53"/>
      <c r="AA887" s="53"/>
      <c r="AB887" s="53"/>
      <c r="AC887" s="53"/>
    </row>
    <row r="888">
      <c r="A888" s="53"/>
      <c r="B888" s="53"/>
      <c r="C888" s="131"/>
      <c r="D888" s="131"/>
      <c r="E888" s="131"/>
      <c r="F888" s="131"/>
      <c r="G888" s="131"/>
      <c r="H888" s="131"/>
      <c r="I888" s="131"/>
      <c r="J888" s="132"/>
      <c r="K888" s="132"/>
      <c r="L888" s="131"/>
      <c r="M888" s="131"/>
      <c r="N888" s="131"/>
      <c r="O888" s="53"/>
      <c r="P888" s="53"/>
      <c r="Q888" s="53"/>
      <c r="R888" s="53"/>
      <c r="S888" s="53"/>
      <c r="T888" s="53"/>
      <c r="U888" s="53"/>
      <c r="V888" s="53"/>
      <c r="W888" s="53"/>
      <c r="X888" s="53"/>
      <c r="Y888" s="53"/>
      <c r="Z888" s="53"/>
      <c r="AA888" s="53"/>
      <c r="AB888" s="53"/>
      <c r="AC888" s="53"/>
    </row>
    <row r="889">
      <c r="A889" s="53"/>
      <c r="B889" s="53"/>
      <c r="C889" s="131"/>
      <c r="D889" s="131"/>
      <c r="E889" s="131"/>
      <c r="F889" s="131"/>
      <c r="G889" s="131"/>
      <c r="H889" s="131"/>
      <c r="I889" s="131"/>
      <c r="J889" s="132"/>
      <c r="K889" s="132"/>
      <c r="L889" s="131"/>
      <c r="M889" s="131"/>
      <c r="N889" s="131"/>
      <c r="O889" s="53"/>
      <c r="P889" s="53"/>
      <c r="Q889" s="53"/>
      <c r="R889" s="53"/>
      <c r="S889" s="53"/>
      <c r="T889" s="53"/>
      <c r="U889" s="53"/>
      <c r="V889" s="53"/>
      <c r="W889" s="53"/>
      <c r="X889" s="53"/>
      <c r="Y889" s="53"/>
      <c r="Z889" s="53"/>
      <c r="AA889" s="53"/>
      <c r="AB889" s="53"/>
      <c r="AC889" s="53"/>
    </row>
    <row r="890">
      <c r="A890" s="53"/>
      <c r="B890" s="53"/>
      <c r="C890" s="131"/>
      <c r="D890" s="131"/>
      <c r="E890" s="131"/>
      <c r="F890" s="131"/>
      <c r="G890" s="131"/>
      <c r="H890" s="131"/>
      <c r="I890" s="131"/>
      <c r="J890" s="132"/>
      <c r="K890" s="132"/>
      <c r="L890" s="131"/>
      <c r="M890" s="131"/>
      <c r="N890" s="131"/>
      <c r="O890" s="53"/>
      <c r="P890" s="53"/>
      <c r="Q890" s="53"/>
      <c r="R890" s="53"/>
      <c r="S890" s="53"/>
      <c r="T890" s="53"/>
      <c r="U890" s="53"/>
      <c r="V890" s="53"/>
      <c r="W890" s="53"/>
      <c r="X890" s="53"/>
      <c r="Y890" s="53"/>
      <c r="Z890" s="53"/>
      <c r="AA890" s="53"/>
      <c r="AB890" s="53"/>
      <c r="AC890" s="53"/>
    </row>
    <row r="891">
      <c r="A891" s="53"/>
      <c r="B891" s="53"/>
      <c r="C891" s="131"/>
      <c r="D891" s="131"/>
      <c r="E891" s="131"/>
      <c r="F891" s="131"/>
      <c r="G891" s="131"/>
      <c r="H891" s="131"/>
      <c r="I891" s="131"/>
      <c r="J891" s="132"/>
      <c r="K891" s="132"/>
      <c r="L891" s="131"/>
      <c r="M891" s="131"/>
      <c r="N891" s="131"/>
      <c r="O891" s="53"/>
      <c r="P891" s="53"/>
      <c r="Q891" s="53"/>
      <c r="R891" s="53"/>
      <c r="S891" s="53"/>
      <c r="T891" s="53"/>
      <c r="U891" s="53"/>
      <c r="V891" s="53"/>
      <c r="W891" s="53"/>
      <c r="X891" s="53"/>
      <c r="Y891" s="53"/>
      <c r="Z891" s="53"/>
      <c r="AA891" s="53"/>
      <c r="AB891" s="53"/>
      <c r="AC891" s="53"/>
    </row>
    <row r="892">
      <c r="A892" s="53"/>
      <c r="B892" s="53"/>
      <c r="C892" s="131"/>
      <c r="D892" s="131"/>
      <c r="E892" s="131"/>
      <c r="F892" s="131"/>
      <c r="G892" s="131"/>
      <c r="H892" s="131"/>
      <c r="I892" s="131"/>
      <c r="J892" s="132"/>
      <c r="K892" s="132"/>
      <c r="L892" s="131"/>
      <c r="M892" s="131"/>
      <c r="N892" s="131"/>
      <c r="O892" s="53"/>
      <c r="P892" s="53"/>
      <c r="Q892" s="53"/>
      <c r="R892" s="53"/>
      <c r="S892" s="53"/>
      <c r="T892" s="53"/>
      <c r="U892" s="53"/>
      <c r="V892" s="53"/>
      <c r="W892" s="53"/>
      <c r="X892" s="53"/>
      <c r="Y892" s="53"/>
      <c r="Z892" s="53"/>
      <c r="AA892" s="53"/>
      <c r="AB892" s="53"/>
      <c r="AC892" s="53"/>
    </row>
    <row r="893">
      <c r="A893" s="53"/>
      <c r="B893" s="53"/>
      <c r="C893" s="131"/>
      <c r="D893" s="131"/>
      <c r="E893" s="131"/>
      <c r="F893" s="131"/>
      <c r="G893" s="131"/>
      <c r="H893" s="131"/>
      <c r="I893" s="131"/>
      <c r="J893" s="132"/>
      <c r="K893" s="132"/>
      <c r="L893" s="131"/>
      <c r="M893" s="131"/>
      <c r="N893" s="131"/>
      <c r="O893" s="53"/>
      <c r="P893" s="53"/>
      <c r="Q893" s="53"/>
      <c r="R893" s="53"/>
      <c r="S893" s="53"/>
      <c r="T893" s="53"/>
      <c r="U893" s="53"/>
      <c r="V893" s="53"/>
      <c r="W893" s="53"/>
      <c r="X893" s="53"/>
      <c r="Y893" s="53"/>
      <c r="Z893" s="53"/>
      <c r="AA893" s="53"/>
      <c r="AB893" s="53"/>
      <c r="AC893" s="53"/>
    </row>
    <row r="894">
      <c r="A894" s="53"/>
      <c r="B894" s="53"/>
      <c r="C894" s="131"/>
      <c r="D894" s="131"/>
      <c r="E894" s="131"/>
      <c r="F894" s="131"/>
      <c r="G894" s="131"/>
      <c r="H894" s="131"/>
      <c r="I894" s="131"/>
      <c r="J894" s="132"/>
      <c r="K894" s="132"/>
      <c r="L894" s="131"/>
      <c r="M894" s="131"/>
      <c r="N894" s="131"/>
      <c r="O894" s="53"/>
      <c r="P894" s="53"/>
      <c r="Q894" s="53"/>
      <c r="R894" s="53"/>
      <c r="S894" s="53"/>
      <c r="T894" s="53"/>
      <c r="U894" s="53"/>
      <c r="V894" s="53"/>
      <c r="W894" s="53"/>
      <c r="X894" s="53"/>
      <c r="Y894" s="53"/>
      <c r="Z894" s="53"/>
      <c r="AA894" s="53"/>
      <c r="AB894" s="53"/>
      <c r="AC894" s="53"/>
    </row>
    <row r="895">
      <c r="A895" s="53"/>
      <c r="B895" s="53"/>
      <c r="C895" s="131"/>
      <c r="D895" s="131"/>
      <c r="E895" s="131"/>
      <c r="F895" s="131"/>
      <c r="G895" s="131"/>
      <c r="H895" s="131"/>
      <c r="I895" s="131"/>
      <c r="J895" s="132"/>
      <c r="K895" s="132"/>
      <c r="L895" s="131"/>
      <c r="M895" s="131"/>
      <c r="N895" s="131"/>
      <c r="O895" s="53"/>
      <c r="P895" s="53"/>
      <c r="Q895" s="53"/>
      <c r="R895" s="53"/>
      <c r="S895" s="53"/>
      <c r="T895" s="53"/>
      <c r="U895" s="53"/>
      <c r="V895" s="53"/>
      <c r="W895" s="53"/>
      <c r="X895" s="53"/>
      <c r="Y895" s="53"/>
      <c r="Z895" s="53"/>
      <c r="AA895" s="53"/>
      <c r="AB895" s="53"/>
      <c r="AC895" s="53"/>
    </row>
    <row r="896">
      <c r="A896" s="53"/>
      <c r="B896" s="53"/>
      <c r="C896" s="131"/>
      <c r="D896" s="131"/>
      <c r="E896" s="131"/>
      <c r="F896" s="131"/>
      <c r="G896" s="131"/>
      <c r="H896" s="131"/>
      <c r="I896" s="131"/>
      <c r="J896" s="132"/>
      <c r="K896" s="132"/>
      <c r="L896" s="131"/>
      <c r="M896" s="131"/>
      <c r="N896" s="131"/>
      <c r="O896" s="53"/>
      <c r="P896" s="53"/>
      <c r="Q896" s="53"/>
      <c r="R896" s="53"/>
      <c r="S896" s="53"/>
      <c r="T896" s="53"/>
      <c r="U896" s="53"/>
      <c r="V896" s="53"/>
      <c r="W896" s="53"/>
      <c r="X896" s="53"/>
      <c r="Y896" s="53"/>
      <c r="Z896" s="53"/>
      <c r="AA896" s="53"/>
      <c r="AB896" s="53"/>
      <c r="AC896" s="53"/>
    </row>
    <row r="897">
      <c r="A897" s="53"/>
      <c r="B897" s="53"/>
      <c r="C897" s="131"/>
      <c r="D897" s="131"/>
      <c r="E897" s="131"/>
      <c r="F897" s="131"/>
      <c r="G897" s="131"/>
      <c r="H897" s="131"/>
      <c r="I897" s="131"/>
      <c r="J897" s="132"/>
      <c r="K897" s="132"/>
      <c r="L897" s="131"/>
      <c r="M897" s="131"/>
      <c r="N897" s="131"/>
      <c r="O897" s="53"/>
      <c r="P897" s="53"/>
      <c r="Q897" s="53"/>
      <c r="R897" s="53"/>
      <c r="S897" s="53"/>
      <c r="T897" s="53"/>
      <c r="U897" s="53"/>
      <c r="V897" s="53"/>
      <c r="W897" s="53"/>
      <c r="X897" s="53"/>
      <c r="Y897" s="53"/>
      <c r="Z897" s="53"/>
      <c r="AA897" s="53"/>
      <c r="AB897" s="53"/>
      <c r="AC897" s="53"/>
    </row>
    <row r="898">
      <c r="A898" s="53"/>
      <c r="B898" s="53"/>
      <c r="C898" s="131"/>
      <c r="D898" s="131"/>
      <c r="E898" s="131"/>
      <c r="F898" s="131"/>
      <c r="G898" s="131"/>
      <c r="H898" s="131"/>
      <c r="I898" s="131"/>
      <c r="J898" s="132"/>
      <c r="K898" s="132"/>
      <c r="L898" s="131"/>
      <c r="M898" s="131"/>
      <c r="N898" s="131"/>
      <c r="O898" s="53"/>
      <c r="P898" s="53"/>
      <c r="Q898" s="53"/>
      <c r="R898" s="53"/>
      <c r="S898" s="53"/>
      <c r="T898" s="53"/>
      <c r="U898" s="53"/>
      <c r="V898" s="53"/>
      <c r="W898" s="53"/>
      <c r="X898" s="53"/>
      <c r="Y898" s="53"/>
      <c r="Z898" s="53"/>
      <c r="AA898" s="53"/>
      <c r="AB898" s="53"/>
      <c r="AC898" s="53"/>
    </row>
    <row r="899">
      <c r="A899" s="53"/>
      <c r="B899" s="53"/>
      <c r="C899" s="131"/>
      <c r="D899" s="131"/>
      <c r="E899" s="131"/>
      <c r="F899" s="131"/>
      <c r="G899" s="131"/>
      <c r="H899" s="131"/>
      <c r="I899" s="131"/>
      <c r="J899" s="132"/>
      <c r="K899" s="132"/>
      <c r="L899" s="131"/>
      <c r="M899" s="131"/>
      <c r="N899" s="131"/>
      <c r="O899" s="53"/>
      <c r="P899" s="53"/>
      <c r="Q899" s="53"/>
      <c r="R899" s="53"/>
      <c r="S899" s="53"/>
      <c r="T899" s="53"/>
      <c r="U899" s="53"/>
      <c r="V899" s="53"/>
      <c r="W899" s="53"/>
      <c r="X899" s="53"/>
      <c r="Y899" s="53"/>
      <c r="Z899" s="53"/>
      <c r="AA899" s="53"/>
      <c r="AB899" s="53"/>
      <c r="AC899" s="53"/>
    </row>
    <row r="900">
      <c r="A900" s="53"/>
      <c r="B900" s="53"/>
      <c r="C900" s="131"/>
      <c r="D900" s="131"/>
      <c r="E900" s="131"/>
      <c r="F900" s="131"/>
      <c r="G900" s="131"/>
      <c r="H900" s="131"/>
      <c r="I900" s="131"/>
      <c r="J900" s="132"/>
      <c r="K900" s="132"/>
      <c r="L900" s="131"/>
      <c r="M900" s="131"/>
      <c r="N900" s="131"/>
      <c r="O900" s="53"/>
      <c r="P900" s="53"/>
      <c r="Q900" s="53"/>
      <c r="R900" s="53"/>
      <c r="S900" s="53"/>
      <c r="T900" s="53"/>
      <c r="U900" s="53"/>
      <c r="V900" s="53"/>
      <c r="W900" s="53"/>
      <c r="X900" s="53"/>
      <c r="Y900" s="53"/>
      <c r="Z900" s="53"/>
      <c r="AA900" s="53"/>
      <c r="AB900" s="53"/>
      <c r="AC900" s="53"/>
    </row>
    <row r="901">
      <c r="A901" s="53"/>
      <c r="B901" s="53"/>
      <c r="C901" s="131"/>
      <c r="D901" s="131"/>
      <c r="E901" s="131"/>
      <c r="F901" s="131"/>
      <c r="G901" s="131"/>
      <c r="H901" s="131"/>
      <c r="I901" s="131"/>
      <c r="J901" s="132"/>
      <c r="K901" s="132"/>
      <c r="L901" s="131"/>
      <c r="M901" s="131"/>
      <c r="N901" s="131"/>
      <c r="O901" s="53"/>
      <c r="P901" s="53"/>
      <c r="Q901" s="53"/>
      <c r="R901" s="53"/>
      <c r="S901" s="53"/>
      <c r="T901" s="53"/>
      <c r="U901" s="53"/>
      <c r="V901" s="53"/>
      <c r="W901" s="53"/>
      <c r="X901" s="53"/>
      <c r="Y901" s="53"/>
      <c r="Z901" s="53"/>
      <c r="AA901" s="53"/>
      <c r="AB901" s="53"/>
      <c r="AC901" s="53"/>
    </row>
    <row r="902">
      <c r="A902" s="53"/>
      <c r="B902" s="53"/>
      <c r="C902" s="131"/>
      <c r="D902" s="131"/>
      <c r="E902" s="131"/>
      <c r="F902" s="131"/>
      <c r="G902" s="131"/>
      <c r="H902" s="131"/>
      <c r="I902" s="131"/>
      <c r="J902" s="132"/>
      <c r="K902" s="132"/>
      <c r="L902" s="131"/>
      <c r="M902" s="131"/>
      <c r="N902" s="131"/>
      <c r="O902" s="53"/>
      <c r="P902" s="53"/>
      <c r="Q902" s="53"/>
      <c r="R902" s="53"/>
      <c r="S902" s="53"/>
      <c r="T902" s="53"/>
      <c r="U902" s="53"/>
      <c r="V902" s="53"/>
      <c r="W902" s="53"/>
      <c r="X902" s="53"/>
      <c r="Y902" s="53"/>
      <c r="Z902" s="53"/>
      <c r="AA902" s="53"/>
      <c r="AB902" s="53"/>
      <c r="AC902" s="53"/>
    </row>
    <row r="903">
      <c r="A903" s="53"/>
      <c r="B903" s="53"/>
      <c r="C903" s="131"/>
      <c r="D903" s="131"/>
      <c r="E903" s="131"/>
      <c r="F903" s="131"/>
      <c r="G903" s="131"/>
      <c r="H903" s="131"/>
      <c r="I903" s="131"/>
      <c r="J903" s="132"/>
      <c r="K903" s="132"/>
      <c r="L903" s="131"/>
      <c r="M903" s="131"/>
      <c r="N903" s="131"/>
      <c r="O903" s="53"/>
      <c r="P903" s="53"/>
      <c r="Q903" s="53"/>
      <c r="R903" s="53"/>
      <c r="S903" s="53"/>
      <c r="T903" s="53"/>
      <c r="U903" s="53"/>
      <c r="V903" s="53"/>
      <c r="W903" s="53"/>
      <c r="X903" s="53"/>
      <c r="Y903" s="53"/>
      <c r="Z903" s="53"/>
      <c r="AA903" s="53"/>
      <c r="AB903" s="53"/>
      <c r="AC903" s="53"/>
    </row>
    <row r="904">
      <c r="A904" s="53"/>
      <c r="B904" s="53"/>
      <c r="C904" s="131"/>
      <c r="D904" s="131"/>
      <c r="E904" s="131"/>
      <c r="F904" s="131"/>
      <c r="G904" s="131"/>
      <c r="H904" s="131"/>
      <c r="I904" s="131"/>
      <c r="J904" s="132"/>
      <c r="K904" s="132"/>
      <c r="L904" s="131"/>
      <c r="M904" s="131"/>
      <c r="N904" s="131"/>
      <c r="O904" s="53"/>
      <c r="P904" s="53"/>
      <c r="Q904" s="53"/>
      <c r="R904" s="53"/>
      <c r="S904" s="53"/>
      <c r="T904" s="53"/>
      <c r="U904" s="53"/>
      <c r="V904" s="53"/>
      <c r="W904" s="53"/>
      <c r="X904" s="53"/>
      <c r="Y904" s="53"/>
      <c r="Z904" s="53"/>
      <c r="AA904" s="53"/>
      <c r="AB904" s="53"/>
      <c r="AC904" s="53"/>
    </row>
    <row r="905">
      <c r="A905" s="53"/>
      <c r="B905" s="53"/>
      <c r="C905" s="131"/>
      <c r="D905" s="131"/>
      <c r="E905" s="131"/>
      <c r="F905" s="131"/>
      <c r="G905" s="131"/>
      <c r="H905" s="131"/>
      <c r="I905" s="131"/>
      <c r="J905" s="132"/>
      <c r="K905" s="132"/>
      <c r="L905" s="131"/>
      <c r="M905" s="131"/>
      <c r="N905" s="131"/>
      <c r="O905" s="53"/>
      <c r="P905" s="53"/>
      <c r="Q905" s="53"/>
      <c r="R905" s="53"/>
      <c r="S905" s="53"/>
      <c r="T905" s="53"/>
      <c r="U905" s="53"/>
      <c r="V905" s="53"/>
      <c r="W905" s="53"/>
      <c r="X905" s="53"/>
      <c r="Y905" s="53"/>
      <c r="Z905" s="53"/>
      <c r="AA905" s="53"/>
      <c r="AB905" s="53"/>
      <c r="AC905" s="53"/>
    </row>
    <row r="906">
      <c r="A906" s="53"/>
      <c r="B906" s="53"/>
      <c r="C906" s="131"/>
      <c r="D906" s="131"/>
      <c r="E906" s="131"/>
      <c r="F906" s="131"/>
      <c r="G906" s="131"/>
      <c r="H906" s="131"/>
      <c r="I906" s="131"/>
      <c r="J906" s="132"/>
      <c r="K906" s="132"/>
      <c r="L906" s="131"/>
      <c r="M906" s="131"/>
      <c r="N906" s="131"/>
      <c r="O906" s="53"/>
      <c r="P906" s="53"/>
      <c r="Q906" s="53"/>
      <c r="R906" s="53"/>
      <c r="S906" s="53"/>
      <c r="T906" s="53"/>
      <c r="U906" s="53"/>
      <c r="V906" s="53"/>
      <c r="W906" s="53"/>
      <c r="X906" s="53"/>
      <c r="Y906" s="53"/>
      <c r="Z906" s="53"/>
      <c r="AA906" s="53"/>
      <c r="AB906" s="53"/>
      <c r="AC906" s="53"/>
    </row>
    <row r="907">
      <c r="A907" s="53"/>
      <c r="B907" s="53"/>
      <c r="C907" s="131"/>
      <c r="D907" s="131"/>
      <c r="E907" s="131"/>
      <c r="F907" s="131"/>
      <c r="G907" s="131"/>
      <c r="H907" s="131"/>
      <c r="I907" s="131"/>
      <c r="J907" s="132"/>
      <c r="K907" s="132"/>
      <c r="L907" s="131"/>
      <c r="M907" s="131"/>
      <c r="N907" s="131"/>
      <c r="O907" s="53"/>
      <c r="P907" s="53"/>
      <c r="Q907" s="53"/>
      <c r="R907" s="53"/>
      <c r="S907" s="53"/>
      <c r="T907" s="53"/>
      <c r="U907" s="53"/>
      <c r="V907" s="53"/>
      <c r="W907" s="53"/>
      <c r="X907" s="53"/>
      <c r="Y907" s="53"/>
      <c r="Z907" s="53"/>
      <c r="AA907" s="53"/>
      <c r="AB907" s="53"/>
      <c r="AC907" s="53"/>
    </row>
    <row r="908">
      <c r="A908" s="53"/>
      <c r="B908" s="53"/>
      <c r="C908" s="131"/>
      <c r="D908" s="131"/>
      <c r="E908" s="131"/>
      <c r="F908" s="131"/>
      <c r="G908" s="131"/>
      <c r="H908" s="131"/>
      <c r="I908" s="131"/>
      <c r="J908" s="132"/>
      <c r="K908" s="132"/>
      <c r="L908" s="131"/>
      <c r="M908" s="131"/>
      <c r="N908" s="131"/>
      <c r="O908" s="53"/>
      <c r="P908" s="53"/>
      <c r="Q908" s="53"/>
      <c r="R908" s="53"/>
      <c r="S908" s="53"/>
      <c r="T908" s="53"/>
      <c r="U908" s="53"/>
      <c r="V908" s="53"/>
      <c r="W908" s="53"/>
      <c r="X908" s="53"/>
      <c r="Y908" s="53"/>
      <c r="Z908" s="53"/>
      <c r="AA908" s="53"/>
      <c r="AB908" s="53"/>
      <c r="AC908" s="53"/>
    </row>
    <row r="909">
      <c r="A909" s="53"/>
      <c r="B909" s="53"/>
      <c r="C909" s="131"/>
      <c r="D909" s="131"/>
      <c r="E909" s="131"/>
      <c r="F909" s="131"/>
      <c r="G909" s="131"/>
      <c r="H909" s="131"/>
      <c r="I909" s="131"/>
      <c r="J909" s="132"/>
      <c r="K909" s="132"/>
      <c r="L909" s="131"/>
      <c r="M909" s="131"/>
      <c r="N909" s="131"/>
      <c r="O909" s="53"/>
      <c r="P909" s="53"/>
      <c r="Q909" s="53"/>
      <c r="R909" s="53"/>
      <c r="S909" s="53"/>
      <c r="T909" s="53"/>
      <c r="U909" s="53"/>
      <c r="V909" s="53"/>
      <c r="W909" s="53"/>
      <c r="X909" s="53"/>
      <c r="Y909" s="53"/>
      <c r="Z909" s="53"/>
      <c r="AA909" s="53"/>
      <c r="AB909" s="53"/>
      <c r="AC909" s="53"/>
    </row>
    <row r="910">
      <c r="A910" s="53"/>
      <c r="B910" s="53"/>
      <c r="C910" s="131"/>
      <c r="D910" s="131"/>
      <c r="E910" s="131"/>
      <c r="F910" s="131"/>
      <c r="G910" s="131"/>
      <c r="H910" s="131"/>
      <c r="I910" s="131"/>
      <c r="J910" s="132"/>
      <c r="K910" s="132"/>
      <c r="L910" s="131"/>
      <c r="M910" s="131"/>
      <c r="N910" s="131"/>
      <c r="O910" s="53"/>
      <c r="P910" s="53"/>
      <c r="Q910" s="53"/>
      <c r="R910" s="53"/>
      <c r="S910" s="53"/>
      <c r="T910" s="53"/>
      <c r="U910" s="53"/>
      <c r="V910" s="53"/>
      <c r="W910" s="53"/>
      <c r="X910" s="53"/>
      <c r="Y910" s="53"/>
      <c r="Z910" s="53"/>
      <c r="AA910" s="53"/>
      <c r="AB910" s="53"/>
      <c r="AC910" s="53"/>
    </row>
    <row r="911">
      <c r="A911" s="53"/>
      <c r="B911" s="53"/>
      <c r="C911" s="131"/>
      <c r="D911" s="131"/>
      <c r="E911" s="131"/>
      <c r="F911" s="131"/>
      <c r="G911" s="131"/>
      <c r="H911" s="131"/>
      <c r="I911" s="131"/>
      <c r="J911" s="132"/>
      <c r="K911" s="132"/>
      <c r="L911" s="131"/>
      <c r="M911" s="131"/>
      <c r="N911" s="131"/>
      <c r="O911" s="53"/>
      <c r="P911" s="53"/>
      <c r="Q911" s="53"/>
      <c r="R911" s="53"/>
      <c r="S911" s="53"/>
      <c r="T911" s="53"/>
      <c r="U911" s="53"/>
      <c r="V911" s="53"/>
      <c r="W911" s="53"/>
      <c r="X911" s="53"/>
      <c r="Y911" s="53"/>
      <c r="Z911" s="53"/>
      <c r="AA911" s="53"/>
      <c r="AB911" s="53"/>
      <c r="AC911" s="53"/>
    </row>
    <row r="912">
      <c r="A912" s="53"/>
      <c r="B912" s="53"/>
      <c r="C912" s="131"/>
      <c r="D912" s="131"/>
      <c r="E912" s="131"/>
      <c r="F912" s="131"/>
      <c r="G912" s="131"/>
      <c r="H912" s="131"/>
      <c r="I912" s="131"/>
      <c r="J912" s="132"/>
      <c r="K912" s="132"/>
      <c r="L912" s="131"/>
      <c r="M912" s="131"/>
      <c r="N912" s="131"/>
      <c r="O912" s="53"/>
      <c r="P912" s="53"/>
      <c r="Q912" s="53"/>
      <c r="R912" s="53"/>
      <c r="S912" s="53"/>
      <c r="T912" s="53"/>
      <c r="U912" s="53"/>
      <c r="V912" s="53"/>
      <c r="W912" s="53"/>
      <c r="X912" s="53"/>
      <c r="Y912" s="53"/>
      <c r="Z912" s="53"/>
      <c r="AA912" s="53"/>
      <c r="AB912" s="53"/>
      <c r="AC912" s="53"/>
    </row>
    <row r="913">
      <c r="A913" s="53"/>
      <c r="B913" s="53"/>
      <c r="C913" s="131"/>
      <c r="D913" s="131"/>
      <c r="E913" s="131"/>
      <c r="F913" s="131"/>
      <c r="G913" s="131"/>
      <c r="H913" s="131"/>
      <c r="I913" s="131"/>
      <c r="J913" s="132"/>
      <c r="K913" s="132"/>
      <c r="L913" s="131"/>
      <c r="M913" s="131"/>
      <c r="N913" s="131"/>
      <c r="O913" s="53"/>
      <c r="P913" s="53"/>
      <c r="Q913" s="53"/>
      <c r="R913" s="53"/>
      <c r="S913" s="53"/>
      <c r="T913" s="53"/>
      <c r="U913" s="53"/>
      <c r="V913" s="53"/>
      <c r="W913" s="53"/>
      <c r="X913" s="53"/>
      <c r="Y913" s="53"/>
      <c r="Z913" s="53"/>
      <c r="AA913" s="53"/>
      <c r="AB913" s="53"/>
      <c r="AC913" s="53"/>
    </row>
    <row r="914">
      <c r="A914" s="53"/>
      <c r="B914" s="53"/>
      <c r="C914" s="131"/>
      <c r="D914" s="131"/>
      <c r="E914" s="131"/>
      <c r="F914" s="131"/>
      <c r="G914" s="131"/>
      <c r="H914" s="131"/>
      <c r="I914" s="131"/>
      <c r="J914" s="132"/>
      <c r="K914" s="132"/>
      <c r="L914" s="131"/>
      <c r="M914" s="131"/>
      <c r="N914" s="131"/>
      <c r="O914" s="53"/>
      <c r="P914" s="53"/>
      <c r="Q914" s="53"/>
      <c r="R914" s="53"/>
      <c r="S914" s="53"/>
      <c r="T914" s="53"/>
      <c r="U914" s="53"/>
      <c r="V914" s="53"/>
      <c r="W914" s="53"/>
      <c r="X914" s="53"/>
      <c r="Y914" s="53"/>
      <c r="Z914" s="53"/>
      <c r="AA914" s="53"/>
      <c r="AB914" s="53"/>
      <c r="AC914" s="53"/>
    </row>
    <row r="915">
      <c r="A915" s="53"/>
      <c r="B915" s="53"/>
      <c r="C915" s="131"/>
      <c r="D915" s="131"/>
      <c r="E915" s="131"/>
      <c r="F915" s="131"/>
      <c r="G915" s="131"/>
      <c r="H915" s="131"/>
      <c r="I915" s="131"/>
      <c r="J915" s="132"/>
      <c r="K915" s="132"/>
      <c r="L915" s="131"/>
      <c r="M915" s="131"/>
      <c r="N915" s="131"/>
      <c r="O915" s="53"/>
      <c r="P915" s="53"/>
      <c r="Q915" s="53"/>
      <c r="R915" s="53"/>
      <c r="S915" s="53"/>
      <c r="T915" s="53"/>
      <c r="U915" s="53"/>
      <c r="V915" s="53"/>
      <c r="W915" s="53"/>
      <c r="X915" s="53"/>
      <c r="Y915" s="53"/>
      <c r="Z915" s="53"/>
      <c r="AA915" s="53"/>
      <c r="AB915" s="53"/>
      <c r="AC915" s="53"/>
    </row>
    <row r="916">
      <c r="A916" s="53"/>
      <c r="B916" s="53"/>
      <c r="C916" s="131"/>
      <c r="D916" s="131"/>
      <c r="E916" s="131"/>
      <c r="F916" s="131"/>
      <c r="G916" s="131"/>
      <c r="H916" s="131"/>
      <c r="I916" s="131"/>
      <c r="J916" s="132"/>
      <c r="K916" s="132"/>
      <c r="L916" s="131"/>
      <c r="M916" s="131"/>
      <c r="N916" s="131"/>
      <c r="O916" s="53"/>
      <c r="P916" s="53"/>
      <c r="Q916" s="53"/>
      <c r="R916" s="53"/>
      <c r="S916" s="53"/>
      <c r="T916" s="53"/>
      <c r="U916" s="53"/>
      <c r="V916" s="53"/>
      <c r="W916" s="53"/>
      <c r="X916" s="53"/>
      <c r="Y916" s="53"/>
      <c r="Z916" s="53"/>
      <c r="AA916" s="53"/>
      <c r="AB916" s="53"/>
      <c r="AC916" s="53"/>
    </row>
    <row r="917">
      <c r="A917" s="53"/>
      <c r="B917" s="53"/>
      <c r="C917" s="131"/>
      <c r="D917" s="131"/>
      <c r="E917" s="131"/>
      <c r="F917" s="131"/>
      <c r="G917" s="131"/>
      <c r="H917" s="131"/>
      <c r="I917" s="131"/>
      <c r="J917" s="132"/>
      <c r="K917" s="132"/>
      <c r="L917" s="131"/>
      <c r="M917" s="131"/>
      <c r="N917" s="131"/>
      <c r="O917" s="53"/>
      <c r="P917" s="53"/>
      <c r="Q917" s="53"/>
      <c r="R917" s="53"/>
      <c r="S917" s="53"/>
      <c r="T917" s="53"/>
      <c r="U917" s="53"/>
      <c r="V917" s="53"/>
      <c r="W917" s="53"/>
      <c r="X917" s="53"/>
      <c r="Y917" s="53"/>
      <c r="Z917" s="53"/>
      <c r="AA917" s="53"/>
      <c r="AB917" s="53"/>
      <c r="AC917" s="53"/>
    </row>
    <row r="918">
      <c r="A918" s="53"/>
      <c r="B918" s="53"/>
      <c r="C918" s="131"/>
      <c r="D918" s="131"/>
      <c r="E918" s="131"/>
      <c r="F918" s="131"/>
      <c r="G918" s="131"/>
      <c r="H918" s="131"/>
      <c r="I918" s="131"/>
      <c r="J918" s="132"/>
      <c r="K918" s="132"/>
      <c r="L918" s="131"/>
      <c r="M918" s="131"/>
      <c r="N918" s="131"/>
      <c r="O918" s="53"/>
      <c r="P918" s="53"/>
      <c r="Q918" s="53"/>
      <c r="R918" s="53"/>
      <c r="S918" s="53"/>
      <c r="T918" s="53"/>
      <c r="U918" s="53"/>
      <c r="V918" s="53"/>
      <c r="W918" s="53"/>
      <c r="X918" s="53"/>
      <c r="Y918" s="53"/>
      <c r="Z918" s="53"/>
      <c r="AA918" s="53"/>
      <c r="AB918" s="53"/>
      <c r="AC918" s="53"/>
    </row>
    <row r="919">
      <c r="A919" s="53"/>
      <c r="B919" s="53"/>
      <c r="C919" s="131"/>
      <c r="D919" s="131"/>
      <c r="E919" s="131"/>
      <c r="F919" s="131"/>
      <c r="G919" s="131"/>
      <c r="H919" s="131"/>
      <c r="I919" s="131"/>
      <c r="J919" s="132"/>
      <c r="K919" s="132"/>
      <c r="L919" s="131"/>
      <c r="M919" s="131"/>
      <c r="N919" s="131"/>
      <c r="O919" s="53"/>
      <c r="P919" s="53"/>
      <c r="Q919" s="53"/>
      <c r="R919" s="53"/>
      <c r="S919" s="53"/>
      <c r="T919" s="53"/>
      <c r="U919" s="53"/>
      <c r="V919" s="53"/>
      <c r="W919" s="53"/>
      <c r="X919" s="53"/>
      <c r="Y919" s="53"/>
      <c r="Z919" s="53"/>
      <c r="AA919" s="53"/>
      <c r="AB919" s="53"/>
      <c r="AC919" s="53"/>
    </row>
    <row r="920">
      <c r="A920" s="53"/>
      <c r="B920" s="53"/>
      <c r="C920" s="131"/>
      <c r="D920" s="131"/>
      <c r="E920" s="131"/>
      <c r="F920" s="131"/>
      <c r="G920" s="131"/>
      <c r="H920" s="131"/>
      <c r="I920" s="131"/>
      <c r="J920" s="132"/>
      <c r="K920" s="132"/>
      <c r="L920" s="131"/>
      <c r="M920" s="131"/>
      <c r="N920" s="131"/>
      <c r="O920" s="53"/>
      <c r="P920" s="53"/>
      <c r="Q920" s="53"/>
      <c r="R920" s="53"/>
      <c r="S920" s="53"/>
      <c r="T920" s="53"/>
      <c r="U920" s="53"/>
      <c r="V920" s="53"/>
      <c r="W920" s="53"/>
      <c r="X920" s="53"/>
      <c r="Y920" s="53"/>
      <c r="Z920" s="53"/>
      <c r="AA920" s="53"/>
      <c r="AB920" s="53"/>
      <c r="AC920" s="53"/>
    </row>
    <row r="921">
      <c r="A921" s="53"/>
      <c r="B921" s="53"/>
      <c r="C921" s="131"/>
      <c r="D921" s="131"/>
      <c r="E921" s="131"/>
      <c r="F921" s="131"/>
      <c r="G921" s="131"/>
      <c r="H921" s="131"/>
      <c r="I921" s="131"/>
      <c r="J921" s="132"/>
      <c r="K921" s="132"/>
      <c r="L921" s="131"/>
      <c r="M921" s="131"/>
      <c r="N921" s="131"/>
      <c r="O921" s="53"/>
      <c r="P921" s="53"/>
      <c r="Q921" s="53"/>
      <c r="R921" s="53"/>
      <c r="S921" s="53"/>
      <c r="T921" s="53"/>
      <c r="U921" s="53"/>
      <c r="V921" s="53"/>
      <c r="W921" s="53"/>
      <c r="X921" s="53"/>
      <c r="Y921" s="53"/>
      <c r="Z921" s="53"/>
      <c r="AA921" s="53"/>
      <c r="AB921" s="53"/>
      <c r="AC921" s="53"/>
    </row>
    <row r="922">
      <c r="A922" s="53"/>
      <c r="B922" s="53"/>
      <c r="C922" s="131"/>
      <c r="D922" s="131"/>
      <c r="E922" s="131"/>
      <c r="F922" s="131"/>
      <c r="G922" s="131"/>
      <c r="H922" s="131"/>
      <c r="I922" s="131"/>
      <c r="J922" s="132"/>
      <c r="K922" s="132"/>
      <c r="L922" s="131"/>
      <c r="M922" s="131"/>
      <c r="N922" s="131"/>
      <c r="O922" s="53"/>
      <c r="P922" s="53"/>
      <c r="Q922" s="53"/>
      <c r="R922" s="53"/>
      <c r="S922" s="53"/>
      <c r="T922" s="53"/>
      <c r="U922" s="53"/>
      <c r="V922" s="53"/>
      <c r="W922" s="53"/>
      <c r="X922" s="53"/>
      <c r="Y922" s="53"/>
      <c r="Z922" s="53"/>
      <c r="AA922" s="53"/>
      <c r="AB922" s="53"/>
      <c r="AC922" s="53"/>
    </row>
    <row r="923">
      <c r="A923" s="53"/>
      <c r="B923" s="53"/>
      <c r="C923" s="131"/>
      <c r="D923" s="131"/>
      <c r="E923" s="131"/>
      <c r="F923" s="131"/>
      <c r="G923" s="131"/>
      <c r="H923" s="131"/>
      <c r="I923" s="131"/>
      <c r="J923" s="132"/>
      <c r="K923" s="132"/>
      <c r="L923" s="131"/>
      <c r="M923" s="131"/>
      <c r="N923" s="131"/>
      <c r="O923" s="53"/>
      <c r="P923" s="53"/>
      <c r="Q923" s="53"/>
      <c r="R923" s="53"/>
      <c r="S923" s="53"/>
      <c r="T923" s="53"/>
      <c r="U923" s="53"/>
      <c r="V923" s="53"/>
      <c r="W923" s="53"/>
      <c r="X923" s="53"/>
      <c r="Y923" s="53"/>
      <c r="Z923" s="53"/>
      <c r="AA923" s="53"/>
      <c r="AB923" s="53"/>
      <c r="AC923" s="53"/>
    </row>
    <row r="924">
      <c r="A924" s="53"/>
      <c r="B924" s="53"/>
      <c r="C924" s="131"/>
      <c r="D924" s="131"/>
      <c r="E924" s="131"/>
      <c r="F924" s="131"/>
      <c r="G924" s="131"/>
      <c r="H924" s="131"/>
      <c r="I924" s="131"/>
      <c r="J924" s="132"/>
      <c r="K924" s="132"/>
      <c r="L924" s="131"/>
      <c r="M924" s="131"/>
      <c r="N924" s="131"/>
      <c r="O924" s="53"/>
      <c r="P924" s="53"/>
      <c r="Q924" s="53"/>
      <c r="R924" s="53"/>
      <c r="S924" s="53"/>
      <c r="T924" s="53"/>
      <c r="U924" s="53"/>
      <c r="V924" s="53"/>
      <c r="W924" s="53"/>
      <c r="X924" s="53"/>
      <c r="Y924" s="53"/>
      <c r="Z924" s="53"/>
      <c r="AA924" s="53"/>
      <c r="AB924" s="53"/>
      <c r="AC924" s="53"/>
    </row>
    <row r="925">
      <c r="A925" s="53"/>
      <c r="B925" s="53"/>
      <c r="C925" s="131"/>
      <c r="D925" s="131"/>
      <c r="E925" s="131"/>
      <c r="F925" s="131"/>
      <c r="G925" s="131"/>
      <c r="H925" s="131"/>
      <c r="I925" s="131"/>
      <c r="J925" s="132"/>
      <c r="K925" s="132"/>
      <c r="L925" s="131"/>
      <c r="M925" s="131"/>
      <c r="N925" s="131"/>
      <c r="O925" s="53"/>
      <c r="P925" s="53"/>
      <c r="Q925" s="53"/>
      <c r="R925" s="53"/>
      <c r="S925" s="53"/>
      <c r="T925" s="53"/>
      <c r="U925" s="53"/>
      <c r="V925" s="53"/>
      <c r="W925" s="53"/>
      <c r="X925" s="53"/>
      <c r="Y925" s="53"/>
      <c r="Z925" s="53"/>
      <c r="AA925" s="53"/>
      <c r="AB925" s="53"/>
      <c r="AC925" s="53"/>
    </row>
    <row r="926">
      <c r="A926" s="53"/>
      <c r="B926" s="53"/>
      <c r="C926" s="131"/>
      <c r="D926" s="131"/>
      <c r="E926" s="131"/>
      <c r="F926" s="131"/>
      <c r="G926" s="131"/>
      <c r="H926" s="131"/>
      <c r="I926" s="131"/>
      <c r="J926" s="132"/>
      <c r="K926" s="132"/>
      <c r="L926" s="131"/>
      <c r="M926" s="131"/>
      <c r="N926" s="131"/>
      <c r="O926" s="53"/>
      <c r="P926" s="53"/>
      <c r="Q926" s="53"/>
      <c r="R926" s="53"/>
      <c r="S926" s="53"/>
      <c r="T926" s="53"/>
      <c r="U926" s="53"/>
      <c r="V926" s="53"/>
      <c r="W926" s="53"/>
      <c r="X926" s="53"/>
      <c r="Y926" s="53"/>
      <c r="Z926" s="53"/>
      <c r="AA926" s="53"/>
      <c r="AB926" s="53"/>
      <c r="AC926" s="53"/>
    </row>
    <row r="927">
      <c r="A927" s="53"/>
      <c r="B927" s="53"/>
      <c r="C927" s="131"/>
      <c r="D927" s="131"/>
      <c r="E927" s="131"/>
      <c r="F927" s="131"/>
      <c r="G927" s="131"/>
      <c r="H927" s="131"/>
      <c r="I927" s="131"/>
      <c r="J927" s="132"/>
      <c r="K927" s="132"/>
      <c r="L927" s="131"/>
      <c r="M927" s="131"/>
      <c r="N927" s="131"/>
      <c r="O927" s="53"/>
      <c r="P927" s="53"/>
      <c r="Q927" s="53"/>
      <c r="R927" s="53"/>
      <c r="S927" s="53"/>
      <c r="T927" s="53"/>
      <c r="U927" s="53"/>
      <c r="V927" s="53"/>
      <c r="W927" s="53"/>
      <c r="X927" s="53"/>
      <c r="Y927" s="53"/>
      <c r="Z927" s="53"/>
      <c r="AA927" s="53"/>
      <c r="AB927" s="53"/>
      <c r="AC927" s="53"/>
    </row>
    <row r="928">
      <c r="A928" s="53"/>
      <c r="B928" s="53"/>
      <c r="C928" s="131"/>
      <c r="D928" s="131"/>
      <c r="E928" s="131"/>
      <c r="F928" s="131"/>
      <c r="G928" s="131"/>
      <c r="H928" s="131"/>
      <c r="I928" s="131"/>
      <c r="J928" s="132"/>
      <c r="K928" s="132"/>
      <c r="L928" s="131"/>
      <c r="M928" s="131"/>
      <c r="N928" s="131"/>
      <c r="O928" s="53"/>
      <c r="P928" s="53"/>
      <c r="Q928" s="53"/>
      <c r="R928" s="53"/>
      <c r="S928" s="53"/>
      <c r="T928" s="53"/>
      <c r="U928" s="53"/>
      <c r="V928" s="53"/>
      <c r="W928" s="53"/>
      <c r="X928" s="53"/>
      <c r="Y928" s="53"/>
      <c r="Z928" s="53"/>
      <c r="AA928" s="53"/>
      <c r="AB928" s="53"/>
      <c r="AC928" s="53"/>
    </row>
    <row r="929">
      <c r="A929" s="53"/>
      <c r="B929" s="53"/>
      <c r="C929" s="131"/>
      <c r="D929" s="131"/>
      <c r="E929" s="131"/>
      <c r="F929" s="131"/>
      <c r="G929" s="131"/>
      <c r="H929" s="131"/>
      <c r="I929" s="131"/>
      <c r="J929" s="132"/>
      <c r="K929" s="132"/>
      <c r="L929" s="131"/>
      <c r="M929" s="131"/>
      <c r="N929" s="131"/>
      <c r="O929" s="53"/>
      <c r="P929" s="53"/>
      <c r="Q929" s="53"/>
      <c r="R929" s="53"/>
      <c r="S929" s="53"/>
      <c r="T929" s="53"/>
      <c r="U929" s="53"/>
      <c r="V929" s="53"/>
      <c r="W929" s="53"/>
      <c r="X929" s="53"/>
      <c r="Y929" s="53"/>
      <c r="Z929" s="53"/>
      <c r="AA929" s="53"/>
      <c r="AB929" s="53"/>
      <c r="AC929" s="53"/>
    </row>
    <row r="930">
      <c r="A930" s="53"/>
      <c r="B930" s="53"/>
      <c r="C930" s="131"/>
      <c r="D930" s="131"/>
      <c r="E930" s="131"/>
      <c r="F930" s="131"/>
      <c r="G930" s="131"/>
      <c r="H930" s="131"/>
      <c r="I930" s="131"/>
      <c r="J930" s="132"/>
      <c r="K930" s="132"/>
      <c r="L930" s="131"/>
      <c r="M930" s="131"/>
      <c r="N930" s="131"/>
      <c r="O930" s="53"/>
      <c r="P930" s="53"/>
      <c r="Q930" s="53"/>
      <c r="R930" s="53"/>
      <c r="S930" s="53"/>
      <c r="T930" s="53"/>
      <c r="U930" s="53"/>
      <c r="V930" s="53"/>
      <c r="W930" s="53"/>
      <c r="X930" s="53"/>
      <c r="Y930" s="53"/>
      <c r="Z930" s="53"/>
      <c r="AA930" s="53"/>
      <c r="AB930" s="53"/>
      <c r="AC930" s="53"/>
    </row>
    <row r="931">
      <c r="A931" s="53"/>
      <c r="B931" s="53"/>
      <c r="C931" s="131"/>
      <c r="D931" s="131"/>
      <c r="E931" s="131"/>
      <c r="F931" s="131"/>
      <c r="G931" s="131"/>
      <c r="H931" s="131"/>
      <c r="I931" s="131"/>
      <c r="J931" s="132"/>
      <c r="K931" s="132"/>
      <c r="L931" s="131"/>
      <c r="M931" s="131"/>
      <c r="N931" s="131"/>
      <c r="O931" s="53"/>
      <c r="P931" s="53"/>
      <c r="Q931" s="53"/>
      <c r="R931" s="53"/>
      <c r="S931" s="53"/>
      <c r="T931" s="53"/>
      <c r="U931" s="53"/>
      <c r="V931" s="53"/>
      <c r="W931" s="53"/>
      <c r="X931" s="53"/>
      <c r="Y931" s="53"/>
      <c r="Z931" s="53"/>
      <c r="AA931" s="53"/>
      <c r="AB931" s="53"/>
      <c r="AC931" s="53"/>
    </row>
    <row r="932">
      <c r="A932" s="53"/>
      <c r="B932" s="53"/>
      <c r="C932" s="131"/>
      <c r="D932" s="131"/>
      <c r="E932" s="131"/>
      <c r="F932" s="131"/>
      <c r="G932" s="131"/>
      <c r="H932" s="131"/>
      <c r="I932" s="131"/>
      <c r="J932" s="132"/>
      <c r="K932" s="132"/>
      <c r="L932" s="131"/>
      <c r="M932" s="131"/>
      <c r="N932" s="131"/>
      <c r="O932" s="53"/>
      <c r="P932" s="53"/>
      <c r="Q932" s="53"/>
      <c r="R932" s="53"/>
      <c r="S932" s="53"/>
      <c r="T932" s="53"/>
      <c r="U932" s="53"/>
      <c r="V932" s="53"/>
      <c r="W932" s="53"/>
      <c r="X932" s="53"/>
      <c r="Y932" s="53"/>
      <c r="Z932" s="53"/>
      <c r="AA932" s="53"/>
      <c r="AB932" s="53"/>
      <c r="AC932" s="53"/>
    </row>
    <row r="933">
      <c r="A933" s="53"/>
      <c r="B933" s="53"/>
      <c r="C933" s="131"/>
      <c r="D933" s="131"/>
      <c r="E933" s="131"/>
      <c r="F933" s="131"/>
      <c r="G933" s="131"/>
      <c r="H933" s="131"/>
      <c r="I933" s="131"/>
      <c r="J933" s="132"/>
      <c r="K933" s="132"/>
      <c r="L933" s="131"/>
      <c r="M933" s="131"/>
      <c r="N933" s="131"/>
      <c r="O933" s="53"/>
      <c r="P933" s="53"/>
      <c r="Q933" s="53"/>
      <c r="R933" s="53"/>
      <c r="S933" s="53"/>
      <c r="T933" s="53"/>
      <c r="U933" s="53"/>
      <c r="V933" s="53"/>
      <c r="W933" s="53"/>
      <c r="X933" s="53"/>
      <c r="Y933" s="53"/>
      <c r="Z933" s="53"/>
      <c r="AA933" s="53"/>
      <c r="AB933" s="53"/>
      <c r="AC933" s="53"/>
    </row>
    <row r="934">
      <c r="A934" s="53"/>
      <c r="B934" s="53"/>
      <c r="C934" s="131"/>
      <c r="D934" s="131"/>
      <c r="E934" s="131"/>
      <c r="F934" s="131"/>
      <c r="G934" s="131"/>
      <c r="H934" s="131"/>
      <c r="I934" s="131"/>
      <c r="J934" s="132"/>
      <c r="K934" s="132"/>
      <c r="L934" s="131"/>
      <c r="M934" s="131"/>
      <c r="N934" s="131"/>
      <c r="O934" s="53"/>
      <c r="P934" s="53"/>
      <c r="Q934" s="53"/>
      <c r="R934" s="53"/>
      <c r="S934" s="53"/>
      <c r="T934" s="53"/>
      <c r="U934" s="53"/>
      <c r="V934" s="53"/>
      <c r="W934" s="53"/>
      <c r="X934" s="53"/>
      <c r="Y934" s="53"/>
      <c r="Z934" s="53"/>
      <c r="AA934" s="53"/>
      <c r="AB934" s="53"/>
      <c r="AC934" s="53"/>
    </row>
    <row r="935">
      <c r="A935" s="53"/>
      <c r="B935" s="53"/>
      <c r="C935" s="131"/>
      <c r="D935" s="131"/>
      <c r="E935" s="131"/>
      <c r="F935" s="131"/>
      <c r="G935" s="131"/>
      <c r="H935" s="131"/>
      <c r="I935" s="131"/>
      <c r="J935" s="132"/>
      <c r="K935" s="132"/>
      <c r="L935" s="131"/>
      <c r="M935" s="131"/>
      <c r="N935" s="131"/>
      <c r="O935" s="53"/>
      <c r="P935" s="53"/>
      <c r="Q935" s="53"/>
      <c r="R935" s="53"/>
      <c r="S935" s="53"/>
      <c r="T935" s="53"/>
      <c r="U935" s="53"/>
      <c r="V935" s="53"/>
      <c r="W935" s="53"/>
      <c r="X935" s="53"/>
      <c r="Y935" s="53"/>
      <c r="Z935" s="53"/>
      <c r="AA935" s="53"/>
      <c r="AB935" s="53"/>
      <c r="AC935" s="53"/>
    </row>
    <row r="936">
      <c r="A936" s="53"/>
      <c r="B936" s="53"/>
      <c r="C936" s="131"/>
      <c r="D936" s="131"/>
      <c r="E936" s="131"/>
      <c r="F936" s="131"/>
      <c r="G936" s="131"/>
      <c r="H936" s="131"/>
      <c r="I936" s="131"/>
      <c r="J936" s="132"/>
      <c r="K936" s="132"/>
      <c r="L936" s="131"/>
      <c r="M936" s="131"/>
      <c r="N936" s="131"/>
      <c r="O936" s="53"/>
      <c r="P936" s="53"/>
      <c r="Q936" s="53"/>
      <c r="R936" s="53"/>
      <c r="S936" s="53"/>
      <c r="T936" s="53"/>
      <c r="U936" s="53"/>
      <c r="V936" s="53"/>
      <c r="W936" s="53"/>
      <c r="X936" s="53"/>
      <c r="Y936" s="53"/>
      <c r="Z936" s="53"/>
      <c r="AA936" s="53"/>
      <c r="AB936" s="53"/>
      <c r="AC936" s="53"/>
    </row>
    <row r="937">
      <c r="A937" s="53"/>
      <c r="B937" s="53"/>
      <c r="C937" s="131"/>
      <c r="D937" s="131"/>
      <c r="E937" s="131"/>
      <c r="F937" s="131"/>
      <c r="G937" s="131"/>
      <c r="H937" s="131"/>
      <c r="I937" s="131"/>
      <c r="J937" s="132"/>
      <c r="K937" s="132"/>
      <c r="L937" s="131"/>
      <c r="M937" s="131"/>
      <c r="N937" s="131"/>
      <c r="O937" s="53"/>
      <c r="P937" s="53"/>
      <c r="Q937" s="53"/>
      <c r="R937" s="53"/>
      <c r="S937" s="53"/>
      <c r="T937" s="53"/>
      <c r="U937" s="53"/>
      <c r="V937" s="53"/>
      <c r="W937" s="53"/>
      <c r="X937" s="53"/>
      <c r="Y937" s="53"/>
      <c r="Z937" s="53"/>
      <c r="AA937" s="53"/>
      <c r="AB937" s="53"/>
      <c r="AC937" s="53"/>
    </row>
    <row r="938">
      <c r="A938" s="53"/>
      <c r="B938" s="53"/>
      <c r="C938" s="131"/>
      <c r="D938" s="131"/>
      <c r="E938" s="131"/>
      <c r="F938" s="131"/>
      <c r="G938" s="131"/>
      <c r="H938" s="131"/>
      <c r="I938" s="131"/>
      <c r="J938" s="132"/>
      <c r="K938" s="132"/>
      <c r="L938" s="131"/>
      <c r="M938" s="131"/>
      <c r="N938" s="131"/>
      <c r="O938" s="53"/>
      <c r="P938" s="53"/>
      <c r="Q938" s="53"/>
      <c r="R938" s="53"/>
      <c r="S938" s="53"/>
      <c r="T938" s="53"/>
      <c r="U938" s="53"/>
      <c r="V938" s="53"/>
      <c r="W938" s="53"/>
      <c r="X938" s="53"/>
      <c r="Y938" s="53"/>
      <c r="Z938" s="53"/>
      <c r="AA938" s="53"/>
      <c r="AB938" s="53"/>
      <c r="AC938" s="53"/>
    </row>
    <row r="939">
      <c r="A939" s="53"/>
      <c r="B939" s="53"/>
      <c r="C939" s="131"/>
      <c r="D939" s="131"/>
      <c r="E939" s="131"/>
      <c r="F939" s="131"/>
      <c r="G939" s="131"/>
      <c r="H939" s="131"/>
      <c r="I939" s="131"/>
      <c r="J939" s="132"/>
      <c r="K939" s="132"/>
      <c r="L939" s="131"/>
      <c r="M939" s="131"/>
      <c r="N939" s="131"/>
      <c r="O939" s="53"/>
      <c r="P939" s="53"/>
      <c r="Q939" s="53"/>
      <c r="R939" s="53"/>
      <c r="S939" s="53"/>
      <c r="T939" s="53"/>
      <c r="U939" s="53"/>
      <c r="V939" s="53"/>
      <c r="W939" s="53"/>
      <c r="X939" s="53"/>
      <c r="Y939" s="53"/>
      <c r="Z939" s="53"/>
      <c r="AA939" s="53"/>
      <c r="AB939" s="53"/>
      <c r="AC939" s="53"/>
    </row>
    <row r="940">
      <c r="A940" s="53"/>
      <c r="B940" s="53"/>
      <c r="C940" s="131"/>
      <c r="D940" s="131"/>
      <c r="E940" s="131"/>
      <c r="F940" s="131"/>
      <c r="G940" s="131"/>
      <c r="H940" s="131"/>
      <c r="I940" s="131"/>
      <c r="J940" s="132"/>
      <c r="K940" s="132"/>
      <c r="L940" s="131"/>
      <c r="M940" s="131"/>
      <c r="N940" s="131"/>
      <c r="O940" s="53"/>
      <c r="P940" s="53"/>
      <c r="Q940" s="53"/>
      <c r="R940" s="53"/>
      <c r="S940" s="53"/>
      <c r="T940" s="53"/>
      <c r="U940" s="53"/>
      <c r="V940" s="53"/>
      <c r="W940" s="53"/>
      <c r="X940" s="53"/>
      <c r="Y940" s="53"/>
      <c r="Z940" s="53"/>
      <c r="AA940" s="53"/>
      <c r="AB940" s="53"/>
      <c r="AC940" s="53"/>
    </row>
    <row r="941">
      <c r="A941" s="53"/>
      <c r="B941" s="53"/>
      <c r="C941" s="131"/>
      <c r="D941" s="131"/>
      <c r="E941" s="131"/>
      <c r="F941" s="131"/>
      <c r="G941" s="131"/>
      <c r="H941" s="131"/>
      <c r="I941" s="131"/>
      <c r="J941" s="132"/>
      <c r="K941" s="132"/>
      <c r="L941" s="131"/>
      <c r="M941" s="131"/>
      <c r="N941" s="131"/>
      <c r="O941" s="53"/>
      <c r="P941" s="53"/>
      <c r="Q941" s="53"/>
      <c r="R941" s="53"/>
      <c r="S941" s="53"/>
      <c r="T941" s="53"/>
      <c r="U941" s="53"/>
      <c r="V941" s="53"/>
      <c r="W941" s="53"/>
      <c r="X941" s="53"/>
      <c r="Y941" s="53"/>
      <c r="Z941" s="53"/>
      <c r="AA941" s="53"/>
      <c r="AB941" s="53"/>
      <c r="AC941" s="53"/>
    </row>
    <row r="942">
      <c r="A942" s="53"/>
      <c r="B942" s="53"/>
      <c r="C942" s="131"/>
      <c r="D942" s="131"/>
      <c r="E942" s="131"/>
      <c r="F942" s="131"/>
      <c r="G942" s="131"/>
      <c r="H942" s="131"/>
      <c r="I942" s="131"/>
      <c r="J942" s="132"/>
      <c r="K942" s="132"/>
      <c r="L942" s="131"/>
      <c r="M942" s="131"/>
      <c r="N942" s="131"/>
      <c r="O942" s="53"/>
      <c r="P942" s="53"/>
      <c r="Q942" s="53"/>
      <c r="R942" s="53"/>
      <c r="S942" s="53"/>
      <c r="T942" s="53"/>
      <c r="U942" s="53"/>
      <c r="V942" s="53"/>
      <c r="W942" s="53"/>
      <c r="X942" s="53"/>
      <c r="Y942" s="53"/>
      <c r="Z942" s="53"/>
      <c r="AA942" s="53"/>
      <c r="AB942" s="53"/>
      <c r="AC942" s="53"/>
    </row>
    <row r="943">
      <c r="A943" s="53"/>
      <c r="B943" s="53"/>
      <c r="C943" s="131"/>
      <c r="D943" s="131"/>
      <c r="E943" s="131"/>
      <c r="F943" s="131"/>
      <c r="G943" s="131"/>
      <c r="H943" s="131"/>
      <c r="I943" s="131"/>
      <c r="J943" s="132"/>
      <c r="K943" s="132"/>
      <c r="L943" s="131"/>
      <c r="M943" s="131"/>
      <c r="N943" s="131"/>
      <c r="O943" s="53"/>
      <c r="P943" s="53"/>
      <c r="Q943" s="53"/>
      <c r="R943" s="53"/>
      <c r="S943" s="53"/>
      <c r="T943" s="53"/>
      <c r="U943" s="53"/>
      <c r="V943" s="53"/>
      <c r="W943" s="53"/>
      <c r="X943" s="53"/>
      <c r="Y943" s="53"/>
      <c r="Z943" s="53"/>
      <c r="AA943" s="53"/>
      <c r="AB943" s="53"/>
      <c r="AC943" s="53"/>
    </row>
    <row r="944">
      <c r="A944" s="53"/>
      <c r="B944" s="53"/>
      <c r="C944" s="131"/>
      <c r="D944" s="131"/>
      <c r="E944" s="131"/>
      <c r="F944" s="131"/>
      <c r="G944" s="131"/>
      <c r="H944" s="131"/>
      <c r="I944" s="131"/>
      <c r="J944" s="132"/>
      <c r="K944" s="132"/>
      <c r="L944" s="131"/>
      <c r="M944" s="131"/>
      <c r="N944" s="131"/>
      <c r="O944" s="53"/>
      <c r="P944" s="53"/>
      <c r="Q944" s="53"/>
      <c r="R944" s="53"/>
      <c r="S944" s="53"/>
      <c r="T944" s="53"/>
      <c r="U944" s="53"/>
      <c r="V944" s="53"/>
      <c r="W944" s="53"/>
      <c r="X944" s="53"/>
      <c r="Y944" s="53"/>
      <c r="Z944" s="53"/>
      <c r="AA944" s="53"/>
      <c r="AB944" s="53"/>
      <c r="AC944" s="53"/>
    </row>
    <row r="945">
      <c r="A945" s="53"/>
      <c r="B945" s="53"/>
      <c r="C945" s="131"/>
      <c r="D945" s="131"/>
      <c r="E945" s="131"/>
      <c r="F945" s="131"/>
      <c r="G945" s="131"/>
      <c r="H945" s="131"/>
      <c r="I945" s="131"/>
      <c r="J945" s="132"/>
      <c r="K945" s="132"/>
      <c r="L945" s="131"/>
      <c r="M945" s="131"/>
      <c r="N945" s="131"/>
      <c r="O945" s="53"/>
      <c r="P945" s="53"/>
      <c r="Q945" s="53"/>
      <c r="R945" s="53"/>
      <c r="S945" s="53"/>
      <c r="T945" s="53"/>
      <c r="U945" s="53"/>
      <c r="V945" s="53"/>
      <c r="W945" s="53"/>
      <c r="X945" s="53"/>
      <c r="Y945" s="53"/>
      <c r="Z945" s="53"/>
      <c r="AA945" s="53"/>
      <c r="AB945" s="53"/>
      <c r="AC945" s="53"/>
    </row>
    <row r="946">
      <c r="A946" s="53"/>
      <c r="B946" s="53"/>
      <c r="C946" s="131"/>
      <c r="D946" s="131"/>
      <c r="E946" s="131"/>
      <c r="F946" s="131"/>
      <c r="G946" s="131"/>
      <c r="H946" s="131"/>
      <c r="I946" s="131"/>
      <c r="J946" s="132"/>
      <c r="K946" s="132"/>
      <c r="L946" s="131"/>
      <c r="M946" s="131"/>
      <c r="N946" s="131"/>
      <c r="O946" s="53"/>
      <c r="P946" s="53"/>
      <c r="Q946" s="53"/>
      <c r="R946" s="53"/>
      <c r="S946" s="53"/>
      <c r="T946" s="53"/>
      <c r="U946" s="53"/>
      <c r="V946" s="53"/>
      <c r="W946" s="53"/>
      <c r="X946" s="53"/>
      <c r="Y946" s="53"/>
      <c r="Z946" s="53"/>
      <c r="AA946" s="53"/>
      <c r="AB946" s="53"/>
      <c r="AC946" s="53"/>
    </row>
    <row r="947">
      <c r="A947" s="53"/>
      <c r="B947" s="53"/>
      <c r="C947" s="131"/>
      <c r="D947" s="131"/>
      <c r="E947" s="131"/>
      <c r="F947" s="131"/>
      <c r="G947" s="131"/>
      <c r="H947" s="131"/>
      <c r="I947" s="131"/>
      <c r="J947" s="132"/>
      <c r="K947" s="132"/>
      <c r="L947" s="131"/>
      <c r="M947" s="131"/>
      <c r="N947" s="131"/>
      <c r="O947" s="53"/>
      <c r="P947" s="53"/>
      <c r="Q947" s="53"/>
      <c r="R947" s="53"/>
      <c r="S947" s="53"/>
      <c r="T947" s="53"/>
      <c r="U947" s="53"/>
      <c r="V947" s="53"/>
      <c r="W947" s="53"/>
      <c r="X947" s="53"/>
      <c r="Y947" s="53"/>
      <c r="Z947" s="53"/>
      <c r="AA947" s="53"/>
      <c r="AB947" s="53"/>
      <c r="AC947" s="53"/>
    </row>
    <row r="948">
      <c r="A948" s="53"/>
      <c r="B948" s="53"/>
      <c r="C948" s="131"/>
      <c r="D948" s="131"/>
      <c r="E948" s="131"/>
      <c r="F948" s="131"/>
      <c r="G948" s="131"/>
      <c r="H948" s="131"/>
      <c r="I948" s="131"/>
      <c r="J948" s="132"/>
      <c r="K948" s="132"/>
      <c r="L948" s="131"/>
      <c r="M948" s="131"/>
      <c r="N948" s="131"/>
      <c r="O948" s="53"/>
      <c r="P948" s="53"/>
      <c r="Q948" s="53"/>
      <c r="R948" s="53"/>
      <c r="S948" s="53"/>
      <c r="T948" s="53"/>
      <c r="U948" s="53"/>
      <c r="V948" s="53"/>
      <c r="W948" s="53"/>
      <c r="X948" s="53"/>
      <c r="Y948" s="53"/>
      <c r="Z948" s="53"/>
      <c r="AA948" s="53"/>
      <c r="AB948" s="53"/>
      <c r="AC948" s="53"/>
    </row>
    <row r="949">
      <c r="A949" s="53"/>
      <c r="B949" s="53"/>
      <c r="C949" s="131"/>
      <c r="D949" s="131"/>
      <c r="E949" s="131"/>
      <c r="F949" s="131"/>
      <c r="G949" s="131"/>
      <c r="H949" s="131"/>
      <c r="I949" s="131"/>
      <c r="J949" s="132"/>
      <c r="K949" s="132"/>
      <c r="L949" s="131"/>
      <c r="M949" s="131"/>
      <c r="N949" s="131"/>
      <c r="O949" s="53"/>
      <c r="P949" s="53"/>
      <c r="Q949" s="53"/>
      <c r="R949" s="53"/>
      <c r="S949" s="53"/>
      <c r="T949" s="53"/>
      <c r="U949" s="53"/>
      <c r="V949" s="53"/>
      <c r="W949" s="53"/>
      <c r="X949" s="53"/>
      <c r="Y949" s="53"/>
      <c r="Z949" s="53"/>
      <c r="AA949" s="53"/>
      <c r="AB949" s="53"/>
      <c r="AC949" s="53"/>
    </row>
    <row r="950">
      <c r="A950" s="53"/>
      <c r="B950" s="53"/>
      <c r="C950" s="131"/>
      <c r="D950" s="131"/>
      <c r="E950" s="131"/>
      <c r="F950" s="131"/>
      <c r="G950" s="131"/>
      <c r="H950" s="131"/>
      <c r="I950" s="131"/>
      <c r="J950" s="132"/>
      <c r="K950" s="132"/>
      <c r="L950" s="131"/>
      <c r="M950" s="131"/>
      <c r="N950" s="131"/>
      <c r="O950" s="53"/>
      <c r="P950" s="53"/>
      <c r="Q950" s="53"/>
      <c r="R950" s="53"/>
      <c r="S950" s="53"/>
      <c r="T950" s="53"/>
      <c r="U950" s="53"/>
      <c r="V950" s="53"/>
      <c r="W950" s="53"/>
      <c r="X950" s="53"/>
      <c r="Y950" s="53"/>
      <c r="Z950" s="53"/>
      <c r="AA950" s="53"/>
      <c r="AB950" s="53"/>
      <c r="AC950" s="53"/>
    </row>
    <row r="951">
      <c r="A951" s="53"/>
      <c r="B951" s="53"/>
      <c r="C951" s="131"/>
      <c r="D951" s="131"/>
      <c r="E951" s="131"/>
      <c r="F951" s="131"/>
      <c r="G951" s="131"/>
      <c r="H951" s="131"/>
      <c r="I951" s="131"/>
      <c r="J951" s="132"/>
      <c r="K951" s="132"/>
      <c r="L951" s="131"/>
      <c r="M951" s="131"/>
      <c r="N951" s="131"/>
      <c r="O951" s="53"/>
      <c r="P951" s="53"/>
      <c r="Q951" s="53"/>
      <c r="R951" s="53"/>
      <c r="S951" s="53"/>
      <c r="T951" s="53"/>
      <c r="U951" s="53"/>
      <c r="V951" s="53"/>
      <c r="W951" s="53"/>
      <c r="X951" s="53"/>
      <c r="Y951" s="53"/>
      <c r="Z951" s="53"/>
      <c r="AA951" s="53"/>
      <c r="AB951" s="53"/>
      <c r="AC951" s="53"/>
    </row>
    <row r="952">
      <c r="A952" s="53"/>
      <c r="B952" s="53"/>
      <c r="C952" s="131"/>
      <c r="D952" s="131"/>
      <c r="E952" s="131"/>
      <c r="F952" s="131"/>
      <c r="G952" s="131"/>
      <c r="H952" s="131"/>
      <c r="I952" s="131"/>
      <c r="J952" s="132"/>
      <c r="K952" s="132"/>
      <c r="L952" s="131"/>
      <c r="M952" s="131"/>
      <c r="N952" s="131"/>
      <c r="O952" s="53"/>
      <c r="P952" s="53"/>
      <c r="Q952" s="53"/>
      <c r="R952" s="53"/>
      <c r="S952" s="53"/>
      <c r="T952" s="53"/>
      <c r="U952" s="53"/>
      <c r="V952" s="53"/>
      <c r="W952" s="53"/>
      <c r="X952" s="53"/>
      <c r="Y952" s="53"/>
      <c r="Z952" s="53"/>
      <c r="AA952" s="53"/>
      <c r="AB952" s="53"/>
      <c r="AC952" s="53"/>
    </row>
    <row r="953">
      <c r="A953" s="53"/>
      <c r="B953" s="53"/>
      <c r="C953" s="131"/>
      <c r="D953" s="131"/>
      <c r="E953" s="131"/>
      <c r="F953" s="131"/>
      <c r="G953" s="131"/>
      <c r="H953" s="131"/>
      <c r="I953" s="131"/>
      <c r="J953" s="132"/>
      <c r="K953" s="132"/>
      <c r="L953" s="131"/>
      <c r="M953" s="131"/>
      <c r="N953" s="131"/>
      <c r="O953" s="53"/>
      <c r="P953" s="53"/>
      <c r="Q953" s="53"/>
      <c r="R953" s="53"/>
      <c r="S953" s="53"/>
      <c r="T953" s="53"/>
      <c r="U953" s="53"/>
      <c r="V953" s="53"/>
      <c r="W953" s="53"/>
      <c r="X953" s="53"/>
      <c r="Y953" s="53"/>
      <c r="Z953" s="53"/>
      <c r="AA953" s="53"/>
      <c r="AB953" s="53"/>
      <c r="AC953" s="53"/>
    </row>
    <row r="954">
      <c r="A954" s="53"/>
      <c r="B954" s="53"/>
      <c r="C954" s="131"/>
      <c r="D954" s="131"/>
      <c r="E954" s="131"/>
      <c r="F954" s="131"/>
      <c r="G954" s="131"/>
      <c r="H954" s="131"/>
      <c r="I954" s="131"/>
      <c r="J954" s="132"/>
      <c r="K954" s="132"/>
      <c r="L954" s="131"/>
      <c r="M954" s="131"/>
      <c r="N954" s="131"/>
      <c r="O954" s="53"/>
      <c r="P954" s="53"/>
      <c r="Q954" s="53"/>
      <c r="R954" s="53"/>
      <c r="S954" s="53"/>
      <c r="T954" s="53"/>
      <c r="U954" s="53"/>
      <c r="V954" s="53"/>
      <c r="W954" s="53"/>
      <c r="X954" s="53"/>
      <c r="Y954" s="53"/>
      <c r="Z954" s="53"/>
      <c r="AA954" s="53"/>
      <c r="AB954" s="53"/>
      <c r="AC954" s="53"/>
    </row>
    <row r="955">
      <c r="A955" s="53"/>
      <c r="B955" s="53"/>
      <c r="C955" s="131"/>
      <c r="D955" s="131"/>
      <c r="E955" s="131"/>
      <c r="F955" s="131"/>
      <c r="G955" s="131"/>
      <c r="H955" s="131"/>
      <c r="I955" s="131"/>
      <c r="J955" s="132"/>
      <c r="K955" s="132"/>
      <c r="L955" s="131"/>
      <c r="M955" s="131"/>
      <c r="N955" s="131"/>
      <c r="O955" s="53"/>
      <c r="P955" s="53"/>
      <c r="Q955" s="53"/>
      <c r="R955" s="53"/>
      <c r="S955" s="53"/>
      <c r="T955" s="53"/>
      <c r="U955" s="53"/>
      <c r="V955" s="53"/>
      <c r="W955" s="53"/>
      <c r="X955" s="53"/>
      <c r="Y955" s="53"/>
      <c r="Z955" s="53"/>
      <c r="AA955" s="53"/>
      <c r="AB955" s="53"/>
      <c r="AC955" s="53"/>
    </row>
    <row r="956">
      <c r="A956" s="53"/>
      <c r="B956" s="53"/>
      <c r="C956" s="131"/>
      <c r="D956" s="131"/>
      <c r="E956" s="131"/>
      <c r="F956" s="131"/>
      <c r="G956" s="131"/>
      <c r="H956" s="131"/>
      <c r="I956" s="131"/>
      <c r="J956" s="132"/>
      <c r="K956" s="132"/>
      <c r="L956" s="131"/>
      <c r="M956" s="131"/>
      <c r="N956" s="131"/>
      <c r="O956" s="53"/>
      <c r="P956" s="53"/>
      <c r="Q956" s="53"/>
      <c r="R956" s="53"/>
      <c r="S956" s="53"/>
      <c r="T956" s="53"/>
      <c r="U956" s="53"/>
      <c r="V956" s="53"/>
      <c r="W956" s="53"/>
      <c r="X956" s="53"/>
      <c r="Y956" s="53"/>
      <c r="Z956" s="53"/>
      <c r="AA956" s="53"/>
      <c r="AB956" s="53"/>
      <c r="AC956" s="53"/>
    </row>
    <row r="957">
      <c r="A957" s="53"/>
      <c r="B957" s="53"/>
      <c r="C957" s="131"/>
      <c r="D957" s="131"/>
      <c r="E957" s="131"/>
      <c r="F957" s="131"/>
      <c r="G957" s="131"/>
      <c r="H957" s="131"/>
      <c r="I957" s="131"/>
      <c r="J957" s="132"/>
      <c r="K957" s="132"/>
      <c r="L957" s="131"/>
      <c r="M957" s="131"/>
      <c r="N957" s="131"/>
      <c r="O957" s="53"/>
      <c r="P957" s="53"/>
      <c r="Q957" s="53"/>
      <c r="R957" s="53"/>
      <c r="S957" s="53"/>
      <c r="T957" s="53"/>
      <c r="U957" s="53"/>
      <c r="V957" s="53"/>
      <c r="W957" s="53"/>
      <c r="X957" s="53"/>
      <c r="Y957" s="53"/>
      <c r="Z957" s="53"/>
      <c r="AA957" s="53"/>
      <c r="AB957" s="53"/>
      <c r="AC957" s="53"/>
    </row>
    <row r="958">
      <c r="A958" s="53"/>
      <c r="B958" s="53"/>
      <c r="C958" s="131"/>
      <c r="D958" s="131"/>
      <c r="E958" s="131"/>
      <c r="F958" s="131"/>
      <c r="G958" s="131"/>
      <c r="H958" s="131"/>
      <c r="I958" s="131"/>
      <c r="J958" s="132"/>
      <c r="K958" s="132"/>
      <c r="L958" s="131"/>
      <c r="M958" s="131"/>
      <c r="N958" s="131"/>
      <c r="O958" s="53"/>
      <c r="P958" s="53"/>
      <c r="Q958" s="53"/>
      <c r="R958" s="53"/>
      <c r="S958" s="53"/>
      <c r="T958" s="53"/>
      <c r="U958" s="53"/>
      <c r="V958" s="53"/>
      <c r="W958" s="53"/>
      <c r="X958" s="53"/>
      <c r="Y958" s="53"/>
      <c r="Z958" s="53"/>
      <c r="AA958" s="53"/>
      <c r="AB958" s="53"/>
      <c r="AC958" s="53"/>
    </row>
    <row r="959">
      <c r="A959" s="53"/>
      <c r="B959" s="53"/>
      <c r="C959" s="131"/>
      <c r="D959" s="131"/>
      <c r="E959" s="131"/>
      <c r="F959" s="131"/>
      <c r="G959" s="131"/>
      <c r="H959" s="131"/>
      <c r="I959" s="131"/>
      <c r="J959" s="132"/>
      <c r="K959" s="132"/>
      <c r="L959" s="131"/>
      <c r="M959" s="131"/>
      <c r="N959" s="131"/>
      <c r="O959" s="53"/>
      <c r="P959" s="53"/>
      <c r="Q959" s="53"/>
      <c r="R959" s="53"/>
      <c r="S959" s="53"/>
      <c r="T959" s="53"/>
      <c r="U959" s="53"/>
      <c r="V959" s="53"/>
      <c r="W959" s="53"/>
      <c r="X959" s="53"/>
      <c r="Y959" s="53"/>
      <c r="Z959" s="53"/>
      <c r="AA959" s="53"/>
      <c r="AB959" s="53"/>
      <c r="AC959" s="53"/>
    </row>
    <row r="960">
      <c r="A960" s="53"/>
      <c r="B960" s="53"/>
      <c r="C960" s="131"/>
      <c r="D960" s="131"/>
      <c r="E960" s="131"/>
      <c r="F960" s="131"/>
      <c r="G960" s="131"/>
      <c r="H960" s="131"/>
      <c r="I960" s="131"/>
      <c r="J960" s="132"/>
      <c r="K960" s="132"/>
      <c r="L960" s="131"/>
      <c r="M960" s="131"/>
      <c r="N960" s="131"/>
      <c r="O960" s="53"/>
      <c r="P960" s="53"/>
      <c r="Q960" s="53"/>
      <c r="R960" s="53"/>
      <c r="S960" s="53"/>
      <c r="T960" s="53"/>
      <c r="U960" s="53"/>
      <c r="V960" s="53"/>
      <c r="W960" s="53"/>
      <c r="X960" s="53"/>
      <c r="Y960" s="53"/>
      <c r="Z960" s="53"/>
      <c r="AA960" s="53"/>
      <c r="AB960" s="53"/>
      <c r="AC960" s="53"/>
    </row>
    <row r="961">
      <c r="A961" s="53"/>
      <c r="B961" s="53"/>
      <c r="C961" s="131"/>
      <c r="D961" s="131"/>
      <c r="E961" s="131"/>
      <c r="F961" s="131"/>
      <c r="G961" s="131"/>
      <c r="H961" s="131"/>
      <c r="I961" s="131"/>
      <c r="J961" s="132"/>
      <c r="K961" s="132"/>
      <c r="L961" s="131"/>
      <c r="M961" s="131"/>
      <c r="N961" s="131"/>
      <c r="O961" s="53"/>
      <c r="P961" s="53"/>
      <c r="Q961" s="53"/>
      <c r="R961" s="53"/>
      <c r="S961" s="53"/>
      <c r="T961" s="53"/>
      <c r="U961" s="53"/>
      <c r="V961" s="53"/>
      <c r="W961" s="53"/>
      <c r="X961" s="53"/>
      <c r="Y961" s="53"/>
      <c r="Z961" s="53"/>
      <c r="AA961" s="53"/>
      <c r="AB961" s="53"/>
      <c r="AC961" s="53"/>
    </row>
    <row r="962">
      <c r="A962" s="53"/>
      <c r="B962" s="53"/>
      <c r="C962" s="131"/>
      <c r="D962" s="131"/>
      <c r="E962" s="131"/>
      <c r="F962" s="131"/>
      <c r="G962" s="131"/>
      <c r="H962" s="131"/>
      <c r="I962" s="131"/>
      <c r="J962" s="132"/>
      <c r="K962" s="132"/>
      <c r="L962" s="131"/>
      <c r="M962" s="131"/>
      <c r="N962" s="131"/>
      <c r="O962" s="53"/>
      <c r="P962" s="53"/>
      <c r="Q962" s="53"/>
      <c r="R962" s="53"/>
      <c r="S962" s="53"/>
      <c r="T962" s="53"/>
      <c r="U962" s="53"/>
      <c r="V962" s="53"/>
      <c r="W962" s="53"/>
      <c r="X962" s="53"/>
      <c r="Y962" s="53"/>
      <c r="Z962" s="53"/>
      <c r="AA962" s="53"/>
      <c r="AB962" s="53"/>
      <c r="AC962" s="53"/>
    </row>
    <row r="963">
      <c r="A963" s="53"/>
      <c r="B963" s="53"/>
      <c r="C963" s="131"/>
      <c r="D963" s="131"/>
      <c r="E963" s="131"/>
      <c r="F963" s="131"/>
      <c r="G963" s="131"/>
      <c r="H963" s="131"/>
      <c r="I963" s="131"/>
      <c r="J963" s="132"/>
      <c r="K963" s="132"/>
      <c r="L963" s="131"/>
      <c r="M963" s="131"/>
      <c r="N963" s="131"/>
      <c r="O963" s="53"/>
      <c r="P963" s="53"/>
      <c r="Q963" s="53"/>
      <c r="R963" s="53"/>
      <c r="S963" s="53"/>
      <c r="T963" s="53"/>
      <c r="U963" s="53"/>
      <c r="V963" s="53"/>
      <c r="W963" s="53"/>
      <c r="X963" s="53"/>
      <c r="Y963" s="53"/>
      <c r="Z963" s="53"/>
      <c r="AA963" s="53"/>
      <c r="AB963" s="53"/>
      <c r="AC963" s="53"/>
    </row>
    <row r="964">
      <c r="A964" s="53"/>
      <c r="B964" s="53"/>
      <c r="C964" s="131"/>
      <c r="D964" s="131"/>
      <c r="E964" s="131"/>
      <c r="F964" s="131"/>
      <c r="G964" s="131"/>
      <c r="H964" s="131"/>
      <c r="I964" s="131"/>
      <c r="J964" s="132"/>
      <c r="K964" s="132"/>
      <c r="L964" s="131"/>
      <c r="M964" s="131"/>
      <c r="N964" s="131"/>
      <c r="O964" s="53"/>
      <c r="P964" s="53"/>
      <c r="Q964" s="53"/>
      <c r="R964" s="53"/>
      <c r="S964" s="53"/>
      <c r="T964" s="53"/>
      <c r="U964" s="53"/>
      <c r="V964" s="53"/>
      <c r="W964" s="53"/>
      <c r="X964" s="53"/>
      <c r="Y964" s="53"/>
      <c r="Z964" s="53"/>
      <c r="AA964" s="53"/>
      <c r="AB964" s="53"/>
      <c r="AC964" s="53"/>
    </row>
    <row r="965">
      <c r="A965" s="53"/>
      <c r="B965" s="53"/>
      <c r="C965" s="131"/>
      <c r="D965" s="131"/>
      <c r="E965" s="131"/>
      <c r="F965" s="131"/>
      <c r="G965" s="131"/>
      <c r="H965" s="131"/>
      <c r="I965" s="131"/>
      <c r="J965" s="132"/>
      <c r="K965" s="132"/>
      <c r="L965" s="131"/>
      <c r="M965" s="131"/>
      <c r="N965" s="131"/>
      <c r="O965" s="53"/>
      <c r="P965" s="53"/>
      <c r="Q965" s="53"/>
      <c r="R965" s="53"/>
      <c r="S965" s="53"/>
      <c r="T965" s="53"/>
      <c r="U965" s="53"/>
      <c r="V965" s="53"/>
      <c r="W965" s="53"/>
      <c r="X965" s="53"/>
      <c r="Y965" s="53"/>
      <c r="Z965" s="53"/>
      <c r="AA965" s="53"/>
      <c r="AB965" s="53"/>
      <c r="AC965" s="53"/>
    </row>
    <row r="966">
      <c r="A966" s="53"/>
      <c r="B966" s="53"/>
      <c r="C966" s="131"/>
      <c r="D966" s="131"/>
      <c r="E966" s="131"/>
      <c r="F966" s="131"/>
      <c r="G966" s="131"/>
      <c r="H966" s="131"/>
      <c r="I966" s="131"/>
      <c r="J966" s="132"/>
      <c r="K966" s="132"/>
      <c r="L966" s="131"/>
      <c r="M966" s="131"/>
      <c r="N966" s="131"/>
      <c r="O966" s="53"/>
      <c r="P966" s="53"/>
      <c r="Q966" s="53"/>
      <c r="R966" s="53"/>
      <c r="S966" s="53"/>
      <c r="T966" s="53"/>
      <c r="U966" s="53"/>
      <c r="V966" s="53"/>
      <c r="W966" s="53"/>
      <c r="X966" s="53"/>
      <c r="Y966" s="53"/>
      <c r="Z966" s="53"/>
      <c r="AA966" s="53"/>
      <c r="AB966" s="53"/>
      <c r="AC966" s="53"/>
    </row>
    <row r="967">
      <c r="A967" s="53"/>
      <c r="B967" s="53"/>
      <c r="C967" s="131"/>
      <c r="D967" s="131"/>
      <c r="E967" s="131"/>
      <c r="F967" s="131"/>
      <c r="G967" s="131"/>
      <c r="H967" s="131"/>
      <c r="I967" s="131"/>
      <c r="J967" s="132"/>
      <c r="K967" s="132"/>
      <c r="L967" s="131"/>
      <c r="M967" s="131"/>
      <c r="N967" s="131"/>
      <c r="O967" s="53"/>
      <c r="P967" s="53"/>
      <c r="Q967" s="53"/>
      <c r="R967" s="53"/>
      <c r="S967" s="53"/>
      <c r="T967" s="53"/>
      <c r="U967" s="53"/>
      <c r="V967" s="53"/>
      <c r="W967" s="53"/>
      <c r="X967" s="53"/>
      <c r="Y967" s="53"/>
      <c r="Z967" s="53"/>
      <c r="AA967" s="53"/>
      <c r="AB967" s="53"/>
      <c r="AC967" s="53"/>
    </row>
    <row r="968">
      <c r="A968" s="53"/>
      <c r="B968" s="53"/>
      <c r="C968" s="131"/>
      <c r="D968" s="131"/>
      <c r="E968" s="131"/>
      <c r="F968" s="131"/>
      <c r="G968" s="131"/>
      <c r="H968" s="131"/>
      <c r="I968" s="131"/>
      <c r="J968" s="132"/>
      <c r="K968" s="132"/>
      <c r="L968" s="131"/>
      <c r="M968" s="131"/>
      <c r="N968" s="131"/>
      <c r="O968" s="53"/>
      <c r="P968" s="53"/>
      <c r="Q968" s="53"/>
      <c r="R968" s="53"/>
      <c r="S968" s="53"/>
      <c r="T968" s="53"/>
      <c r="U968" s="53"/>
      <c r="V968" s="53"/>
      <c r="W968" s="53"/>
      <c r="X968" s="53"/>
      <c r="Y968" s="53"/>
      <c r="Z968" s="53"/>
      <c r="AA968" s="53"/>
      <c r="AB968" s="53"/>
      <c r="AC968" s="53"/>
    </row>
    <row r="969">
      <c r="A969" s="53"/>
      <c r="B969" s="53"/>
      <c r="C969" s="131"/>
      <c r="D969" s="131"/>
      <c r="E969" s="131"/>
      <c r="F969" s="131"/>
      <c r="G969" s="131"/>
      <c r="H969" s="131"/>
      <c r="I969" s="131"/>
      <c r="J969" s="132"/>
      <c r="K969" s="132"/>
      <c r="L969" s="131"/>
      <c r="M969" s="131"/>
      <c r="N969" s="131"/>
      <c r="O969" s="53"/>
      <c r="P969" s="53"/>
      <c r="Q969" s="53"/>
      <c r="R969" s="53"/>
      <c r="S969" s="53"/>
      <c r="T969" s="53"/>
      <c r="U969" s="53"/>
      <c r="V969" s="53"/>
      <c r="W969" s="53"/>
      <c r="X969" s="53"/>
      <c r="Y969" s="53"/>
      <c r="Z969" s="53"/>
      <c r="AA969" s="53"/>
      <c r="AB969" s="53"/>
      <c r="AC969" s="53"/>
    </row>
    <row r="970">
      <c r="A970" s="53"/>
      <c r="B970" s="53"/>
      <c r="C970" s="131"/>
      <c r="D970" s="131"/>
      <c r="E970" s="131"/>
      <c r="F970" s="131"/>
      <c r="G970" s="131"/>
      <c r="H970" s="131"/>
      <c r="I970" s="131"/>
      <c r="J970" s="132"/>
      <c r="K970" s="132"/>
      <c r="L970" s="131"/>
      <c r="M970" s="131"/>
      <c r="N970" s="131"/>
      <c r="O970" s="53"/>
      <c r="P970" s="53"/>
      <c r="Q970" s="53"/>
      <c r="R970" s="53"/>
      <c r="S970" s="53"/>
      <c r="T970" s="53"/>
      <c r="U970" s="53"/>
      <c r="V970" s="53"/>
      <c r="W970" s="53"/>
      <c r="X970" s="53"/>
      <c r="Y970" s="53"/>
      <c r="Z970" s="53"/>
      <c r="AA970" s="53"/>
      <c r="AB970" s="53"/>
      <c r="AC970" s="53"/>
    </row>
    <row r="971">
      <c r="A971" s="53"/>
      <c r="B971" s="53"/>
      <c r="C971" s="131"/>
      <c r="D971" s="131"/>
      <c r="E971" s="131"/>
      <c r="F971" s="131"/>
      <c r="G971" s="131"/>
      <c r="H971" s="131"/>
      <c r="I971" s="131"/>
      <c r="J971" s="132"/>
      <c r="K971" s="132"/>
      <c r="L971" s="131"/>
      <c r="M971" s="131"/>
      <c r="N971" s="131"/>
      <c r="O971" s="53"/>
      <c r="P971" s="53"/>
      <c r="Q971" s="53"/>
      <c r="R971" s="53"/>
      <c r="S971" s="53"/>
      <c r="T971" s="53"/>
      <c r="U971" s="53"/>
      <c r="V971" s="53"/>
      <c r="W971" s="53"/>
      <c r="X971" s="53"/>
      <c r="Y971" s="53"/>
      <c r="Z971" s="53"/>
      <c r="AA971" s="53"/>
      <c r="AB971" s="53"/>
      <c r="AC971" s="53"/>
    </row>
    <row r="972">
      <c r="A972" s="53"/>
      <c r="B972" s="53"/>
      <c r="C972" s="131"/>
      <c r="D972" s="131"/>
      <c r="E972" s="131"/>
      <c r="F972" s="131"/>
      <c r="G972" s="131"/>
      <c r="H972" s="131"/>
      <c r="I972" s="131"/>
      <c r="J972" s="132"/>
      <c r="K972" s="132"/>
      <c r="L972" s="131"/>
      <c r="M972" s="131"/>
      <c r="N972" s="131"/>
      <c r="O972" s="53"/>
      <c r="P972" s="53"/>
      <c r="Q972" s="53"/>
      <c r="R972" s="53"/>
      <c r="S972" s="53"/>
      <c r="T972" s="53"/>
      <c r="U972" s="53"/>
      <c r="V972" s="53"/>
      <c r="W972" s="53"/>
      <c r="X972" s="53"/>
      <c r="Y972" s="53"/>
      <c r="Z972" s="53"/>
      <c r="AA972" s="53"/>
      <c r="AB972" s="53"/>
      <c r="AC972" s="53"/>
    </row>
    <row r="973">
      <c r="A973" s="53"/>
      <c r="B973" s="53"/>
      <c r="C973" s="131"/>
      <c r="D973" s="131"/>
      <c r="E973" s="131"/>
      <c r="F973" s="131"/>
      <c r="G973" s="131"/>
      <c r="H973" s="131"/>
      <c r="I973" s="131"/>
      <c r="J973" s="132"/>
      <c r="K973" s="132"/>
      <c r="L973" s="131"/>
      <c r="M973" s="131"/>
      <c r="N973" s="131"/>
      <c r="O973" s="53"/>
      <c r="P973" s="53"/>
      <c r="Q973" s="53"/>
      <c r="R973" s="53"/>
      <c r="S973" s="53"/>
      <c r="T973" s="53"/>
      <c r="U973" s="53"/>
      <c r="V973" s="53"/>
      <c r="W973" s="53"/>
      <c r="X973" s="53"/>
      <c r="Y973" s="53"/>
      <c r="Z973" s="53"/>
      <c r="AA973" s="53"/>
      <c r="AB973" s="53"/>
      <c r="AC973" s="53"/>
    </row>
    <row r="974">
      <c r="A974" s="53"/>
      <c r="B974" s="53"/>
      <c r="C974" s="131"/>
      <c r="D974" s="131"/>
      <c r="E974" s="131"/>
      <c r="F974" s="131"/>
      <c r="G974" s="131"/>
      <c r="H974" s="131"/>
      <c r="I974" s="131"/>
      <c r="J974" s="132"/>
      <c r="K974" s="132"/>
      <c r="L974" s="131"/>
      <c r="M974" s="131"/>
      <c r="N974" s="131"/>
      <c r="O974" s="53"/>
      <c r="P974" s="53"/>
      <c r="Q974" s="53"/>
      <c r="R974" s="53"/>
      <c r="S974" s="53"/>
      <c r="T974" s="53"/>
      <c r="U974" s="53"/>
      <c r="V974" s="53"/>
      <c r="W974" s="53"/>
      <c r="X974" s="53"/>
      <c r="Y974" s="53"/>
      <c r="Z974" s="53"/>
      <c r="AA974" s="53"/>
      <c r="AB974" s="53"/>
      <c r="AC974" s="53"/>
    </row>
    <row r="975">
      <c r="A975" s="53"/>
      <c r="B975" s="53"/>
      <c r="C975" s="131"/>
      <c r="D975" s="131"/>
      <c r="E975" s="131"/>
      <c r="F975" s="131"/>
      <c r="G975" s="131"/>
      <c r="H975" s="131"/>
      <c r="I975" s="131"/>
      <c r="J975" s="132"/>
      <c r="K975" s="132"/>
      <c r="L975" s="131"/>
      <c r="M975" s="131"/>
      <c r="N975" s="131"/>
      <c r="O975" s="53"/>
      <c r="P975" s="53"/>
      <c r="Q975" s="53"/>
      <c r="R975" s="53"/>
      <c r="S975" s="53"/>
      <c r="T975" s="53"/>
      <c r="U975" s="53"/>
      <c r="V975" s="53"/>
      <c r="W975" s="53"/>
      <c r="X975" s="53"/>
      <c r="Y975" s="53"/>
      <c r="Z975" s="53"/>
      <c r="AA975" s="53"/>
      <c r="AB975" s="53"/>
      <c r="AC975" s="53"/>
    </row>
    <row r="976">
      <c r="A976" s="53"/>
      <c r="B976" s="53"/>
      <c r="C976" s="131"/>
      <c r="D976" s="131"/>
      <c r="E976" s="131"/>
      <c r="F976" s="131"/>
      <c r="G976" s="131"/>
      <c r="H976" s="131"/>
      <c r="I976" s="131"/>
      <c r="J976" s="132"/>
      <c r="K976" s="132"/>
      <c r="L976" s="131"/>
      <c r="M976" s="131"/>
      <c r="N976" s="131"/>
      <c r="O976" s="53"/>
      <c r="P976" s="53"/>
      <c r="Q976" s="53"/>
      <c r="R976" s="53"/>
      <c r="S976" s="53"/>
      <c r="T976" s="53"/>
      <c r="U976" s="53"/>
      <c r="V976" s="53"/>
      <c r="W976" s="53"/>
      <c r="X976" s="53"/>
      <c r="Y976" s="53"/>
      <c r="Z976" s="53"/>
      <c r="AA976" s="53"/>
      <c r="AB976" s="53"/>
      <c r="AC976" s="53"/>
    </row>
    <row r="977">
      <c r="A977" s="53"/>
      <c r="B977" s="53"/>
      <c r="C977" s="131"/>
      <c r="D977" s="131"/>
      <c r="E977" s="131"/>
      <c r="F977" s="131"/>
      <c r="G977" s="131"/>
      <c r="H977" s="131"/>
      <c r="I977" s="131"/>
      <c r="J977" s="132"/>
      <c r="K977" s="132"/>
      <c r="L977" s="131"/>
      <c r="M977" s="131"/>
      <c r="N977" s="131"/>
      <c r="O977" s="53"/>
      <c r="P977" s="53"/>
      <c r="Q977" s="53"/>
      <c r="R977" s="53"/>
      <c r="S977" s="53"/>
      <c r="T977" s="53"/>
      <c r="U977" s="53"/>
      <c r="V977" s="53"/>
      <c r="W977" s="53"/>
      <c r="X977" s="53"/>
      <c r="Y977" s="53"/>
      <c r="Z977" s="53"/>
      <c r="AA977" s="53"/>
      <c r="AB977" s="53"/>
      <c r="AC977" s="53"/>
    </row>
    <row r="978">
      <c r="A978" s="53"/>
      <c r="B978" s="53"/>
      <c r="C978" s="131"/>
      <c r="D978" s="131"/>
      <c r="E978" s="131"/>
      <c r="F978" s="131"/>
      <c r="G978" s="131"/>
      <c r="H978" s="131"/>
      <c r="I978" s="131"/>
      <c r="J978" s="132"/>
      <c r="K978" s="132"/>
      <c r="L978" s="131"/>
      <c r="M978" s="131"/>
      <c r="N978" s="131"/>
      <c r="O978" s="53"/>
      <c r="P978" s="53"/>
      <c r="Q978" s="53"/>
      <c r="R978" s="53"/>
      <c r="S978" s="53"/>
      <c r="T978" s="53"/>
      <c r="U978" s="53"/>
      <c r="V978" s="53"/>
      <c r="W978" s="53"/>
      <c r="X978" s="53"/>
      <c r="Y978" s="53"/>
      <c r="Z978" s="53"/>
      <c r="AA978" s="53"/>
      <c r="AB978" s="53"/>
      <c r="AC978" s="53"/>
    </row>
    <row r="979">
      <c r="A979" s="53"/>
      <c r="B979" s="53"/>
      <c r="C979" s="131"/>
      <c r="D979" s="131"/>
      <c r="E979" s="131"/>
      <c r="F979" s="131"/>
      <c r="G979" s="131"/>
      <c r="H979" s="131"/>
      <c r="I979" s="131"/>
      <c r="J979" s="132"/>
      <c r="K979" s="132"/>
      <c r="L979" s="131"/>
      <c r="M979" s="131"/>
      <c r="N979" s="131"/>
      <c r="O979" s="53"/>
      <c r="P979" s="53"/>
      <c r="Q979" s="53"/>
      <c r="R979" s="53"/>
      <c r="S979" s="53"/>
      <c r="T979" s="53"/>
      <c r="U979" s="53"/>
      <c r="V979" s="53"/>
      <c r="W979" s="53"/>
      <c r="X979" s="53"/>
      <c r="Y979" s="53"/>
      <c r="Z979" s="53"/>
      <c r="AA979" s="53"/>
      <c r="AB979" s="53"/>
      <c r="AC979" s="53"/>
    </row>
    <row r="980">
      <c r="A980" s="53"/>
      <c r="B980" s="53"/>
      <c r="C980" s="131"/>
      <c r="D980" s="131"/>
      <c r="E980" s="131"/>
      <c r="F980" s="131"/>
      <c r="G980" s="131"/>
      <c r="H980" s="131"/>
      <c r="I980" s="131"/>
      <c r="J980" s="132"/>
      <c r="K980" s="132"/>
      <c r="L980" s="131"/>
      <c r="M980" s="131"/>
      <c r="N980" s="131"/>
      <c r="O980" s="53"/>
      <c r="P980" s="53"/>
      <c r="Q980" s="53"/>
      <c r="R980" s="53"/>
      <c r="S980" s="53"/>
      <c r="T980" s="53"/>
      <c r="U980" s="53"/>
      <c r="V980" s="53"/>
      <c r="W980" s="53"/>
      <c r="X980" s="53"/>
      <c r="Y980" s="53"/>
      <c r="Z980" s="53"/>
      <c r="AA980" s="53"/>
      <c r="AB980" s="53"/>
      <c r="AC980" s="53"/>
    </row>
    <row r="981">
      <c r="A981" s="53"/>
      <c r="B981" s="53"/>
      <c r="C981" s="131"/>
      <c r="D981" s="131"/>
      <c r="E981" s="131"/>
      <c r="F981" s="131"/>
      <c r="G981" s="131"/>
      <c r="H981" s="131"/>
      <c r="I981" s="131"/>
      <c r="J981" s="132"/>
      <c r="K981" s="132"/>
      <c r="L981" s="131"/>
      <c r="M981" s="131"/>
      <c r="N981" s="131"/>
      <c r="O981" s="53"/>
      <c r="P981" s="53"/>
      <c r="Q981" s="53"/>
      <c r="R981" s="53"/>
      <c r="S981" s="53"/>
      <c r="T981" s="53"/>
      <c r="U981" s="53"/>
      <c r="V981" s="53"/>
      <c r="W981" s="53"/>
      <c r="X981" s="53"/>
      <c r="Y981" s="53"/>
      <c r="Z981" s="53"/>
      <c r="AA981" s="53"/>
      <c r="AB981" s="53"/>
      <c r="AC981" s="53"/>
    </row>
    <row r="982">
      <c r="A982" s="53"/>
      <c r="B982" s="53"/>
      <c r="C982" s="131"/>
      <c r="D982" s="131"/>
      <c r="E982" s="131"/>
      <c r="F982" s="131"/>
      <c r="G982" s="131"/>
      <c r="H982" s="131"/>
      <c r="I982" s="131"/>
      <c r="J982" s="132"/>
      <c r="K982" s="132"/>
      <c r="L982" s="131"/>
      <c r="M982" s="131"/>
      <c r="N982" s="131"/>
      <c r="O982" s="53"/>
      <c r="P982" s="53"/>
      <c r="Q982" s="53"/>
      <c r="R982" s="53"/>
      <c r="S982" s="53"/>
      <c r="T982" s="53"/>
      <c r="U982" s="53"/>
      <c r="V982" s="53"/>
      <c r="W982" s="53"/>
      <c r="X982" s="53"/>
      <c r="Y982" s="53"/>
      <c r="Z982" s="53"/>
      <c r="AA982" s="53"/>
      <c r="AB982" s="53"/>
      <c r="AC982" s="53"/>
    </row>
    <row r="983">
      <c r="A983" s="53"/>
      <c r="B983" s="53"/>
      <c r="C983" s="131"/>
      <c r="D983" s="131"/>
      <c r="E983" s="131"/>
      <c r="F983" s="131"/>
      <c r="G983" s="131"/>
      <c r="H983" s="131"/>
      <c r="I983" s="131"/>
      <c r="J983" s="132"/>
      <c r="K983" s="132"/>
      <c r="L983" s="131"/>
      <c r="M983" s="131"/>
      <c r="N983" s="131"/>
      <c r="O983" s="53"/>
      <c r="P983" s="53"/>
      <c r="Q983" s="53"/>
      <c r="R983" s="53"/>
      <c r="S983" s="53"/>
      <c r="T983" s="53"/>
      <c r="U983" s="53"/>
      <c r="V983" s="53"/>
      <c r="W983" s="53"/>
      <c r="X983" s="53"/>
      <c r="Y983" s="53"/>
      <c r="Z983" s="53"/>
      <c r="AA983" s="53"/>
      <c r="AB983" s="53"/>
      <c r="AC983" s="53"/>
    </row>
    <row r="984">
      <c r="A984" s="53"/>
      <c r="B984" s="53"/>
      <c r="C984" s="131"/>
      <c r="D984" s="131"/>
      <c r="E984" s="131"/>
      <c r="F984" s="131"/>
      <c r="G984" s="131"/>
      <c r="H984" s="131"/>
      <c r="I984" s="131"/>
      <c r="J984" s="132"/>
      <c r="K984" s="132"/>
      <c r="L984" s="131"/>
      <c r="M984" s="131"/>
      <c r="N984" s="131"/>
      <c r="O984" s="53"/>
      <c r="P984" s="53"/>
      <c r="Q984" s="53"/>
      <c r="R984" s="53"/>
      <c r="S984" s="53"/>
      <c r="T984" s="53"/>
      <c r="U984" s="53"/>
      <c r="V984" s="53"/>
      <c r="W984" s="53"/>
      <c r="X984" s="53"/>
      <c r="Y984" s="53"/>
      <c r="Z984" s="53"/>
      <c r="AA984" s="53"/>
      <c r="AB984" s="53"/>
      <c r="AC984" s="53"/>
    </row>
    <row r="985">
      <c r="A985" s="53"/>
      <c r="B985" s="53"/>
      <c r="C985" s="131"/>
      <c r="D985" s="131"/>
      <c r="E985" s="131"/>
      <c r="F985" s="131"/>
      <c r="G985" s="131"/>
      <c r="H985" s="131"/>
      <c r="I985" s="131"/>
      <c r="J985" s="132"/>
      <c r="K985" s="132"/>
      <c r="L985" s="131"/>
      <c r="M985" s="131"/>
      <c r="N985" s="131"/>
      <c r="O985" s="53"/>
      <c r="P985" s="53"/>
      <c r="Q985" s="53"/>
      <c r="R985" s="53"/>
      <c r="S985" s="53"/>
      <c r="T985" s="53"/>
      <c r="U985" s="53"/>
      <c r="V985" s="53"/>
      <c r="W985" s="53"/>
      <c r="X985" s="53"/>
      <c r="Y985" s="53"/>
      <c r="Z985" s="53"/>
      <c r="AA985" s="53"/>
      <c r="AB985" s="53"/>
      <c r="AC985" s="53"/>
    </row>
    <row r="986">
      <c r="A986" s="53"/>
      <c r="B986" s="53"/>
      <c r="C986" s="131"/>
      <c r="D986" s="131"/>
      <c r="E986" s="131"/>
      <c r="F986" s="131"/>
      <c r="G986" s="131"/>
      <c r="H986" s="131"/>
      <c r="I986" s="131"/>
      <c r="J986" s="132"/>
      <c r="K986" s="132"/>
      <c r="L986" s="131"/>
      <c r="M986" s="131"/>
      <c r="N986" s="131"/>
      <c r="O986" s="53"/>
      <c r="P986" s="53"/>
      <c r="Q986" s="53"/>
      <c r="R986" s="53"/>
      <c r="S986" s="53"/>
      <c r="T986" s="53"/>
      <c r="U986" s="53"/>
      <c r="V986" s="53"/>
      <c r="W986" s="53"/>
      <c r="X986" s="53"/>
      <c r="Y986" s="53"/>
      <c r="Z986" s="53"/>
      <c r="AA986" s="53"/>
      <c r="AB986" s="53"/>
      <c r="AC986" s="53"/>
    </row>
    <row r="987">
      <c r="A987" s="53"/>
      <c r="B987" s="53"/>
      <c r="C987" s="131"/>
      <c r="D987" s="131"/>
      <c r="E987" s="131"/>
      <c r="F987" s="131"/>
      <c r="G987" s="131"/>
      <c r="H987" s="131"/>
      <c r="I987" s="131"/>
      <c r="J987" s="132"/>
      <c r="K987" s="132"/>
      <c r="L987" s="131"/>
      <c r="M987" s="131"/>
      <c r="N987" s="131"/>
      <c r="O987" s="53"/>
      <c r="P987" s="53"/>
      <c r="Q987" s="53"/>
      <c r="R987" s="53"/>
      <c r="S987" s="53"/>
      <c r="T987" s="53"/>
      <c r="U987" s="53"/>
      <c r="V987" s="53"/>
      <c r="W987" s="53"/>
      <c r="X987" s="53"/>
      <c r="Y987" s="53"/>
      <c r="Z987" s="53"/>
      <c r="AA987" s="53"/>
      <c r="AB987" s="53"/>
      <c r="AC987" s="53"/>
    </row>
    <row r="988">
      <c r="A988" s="53"/>
      <c r="B988" s="53"/>
      <c r="C988" s="131"/>
      <c r="D988" s="131"/>
      <c r="E988" s="131"/>
      <c r="F988" s="131"/>
      <c r="G988" s="131"/>
      <c r="H988" s="131"/>
      <c r="I988" s="131"/>
      <c r="J988" s="132"/>
      <c r="K988" s="132"/>
      <c r="L988" s="131"/>
      <c r="M988" s="131"/>
      <c r="N988" s="131"/>
      <c r="O988" s="53"/>
      <c r="P988" s="53"/>
      <c r="Q988" s="53"/>
      <c r="R988" s="53"/>
      <c r="S988" s="53"/>
      <c r="T988" s="53"/>
      <c r="U988" s="53"/>
      <c r="V988" s="53"/>
      <c r="W988" s="53"/>
      <c r="X988" s="53"/>
      <c r="Y988" s="53"/>
      <c r="Z988" s="53"/>
      <c r="AA988" s="53"/>
      <c r="AB988" s="53"/>
      <c r="AC988" s="53"/>
    </row>
    <row r="989">
      <c r="A989" s="53"/>
      <c r="B989" s="53"/>
      <c r="C989" s="131"/>
      <c r="D989" s="131"/>
      <c r="E989" s="131"/>
      <c r="F989" s="131"/>
      <c r="G989" s="131"/>
      <c r="H989" s="131"/>
      <c r="I989" s="131"/>
      <c r="J989" s="132"/>
      <c r="K989" s="132"/>
      <c r="L989" s="131"/>
      <c r="M989" s="131"/>
      <c r="N989" s="131"/>
      <c r="O989" s="53"/>
      <c r="P989" s="53"/>
      <c r="Q989" s="53"/>
      <c r="R989" s="53"/>
      <c r="S989" s="53"/>
      <c r="T989" s="53"/>
      <c r="U989" s="53"/>
      <c r="V989" s="53"/>
      <c r="W989" s="53"/>
      <c r="X989" s="53"/>
      <c r="Y989" s="53"/>
      <c r="Z989" s="53"/>
      <c r="AA989" s="53"/>
      <c r="AB989" s="53"/>
      <c r="AC989" s="53"/>
    </row>
    <row r="990">
      <c r="A990" s="53"/>
      <c r="B990" s="53"/>
      <c r="C990" s="131"/>
      <c r="D990" s="131"/>
      <c r="E990" s="131"/>
      <c r="F990" s="131"/>
      <c r="G990" s="131"/>
      <c r="H990" s="131"/>
      <c r="I990" s="131"/>
      <c r="J990" s="132"/>
      <c r="K990" s="132"/>
      <c r="L990" s="131"/>
      <c r="M990" s="131"/>
      <c r="N990" s="131"/>
      <c r="O990" s="53"/>
      <c r="P990" s="53"/>
      <c r="Q990" s="53"/>
      <c r="R990" s="53"/>
      <c r="S990" s="53"/>
      <c r="T990" s="53"/>
      <c r="U990" s="53"/>
      <c r="V990" s="53"/>
      <c r="W990" s="53"/>
      <c r="X990" s="53"/>
      <c r="Y990" s="53"/>
      <c r="Z990" s="53"/>
      <c r="AA990" s="53"/>
      <c r="AB990" s="53"/>
      <c r="AC990" s="53"/>
    </row>
    <row r="991">
      <c r="A991" s="53"/>
      <c r="B991" s="53"/>
      <c r="C991" s="131"/>
      <c r="D991" s="131"/>
      <c r="E991" s="131"/>
      <c r="F991" s="131"/>
      <c r="G991" s="131"/>
      <c r="H991" s="131"/>
      <c r="I991" s="131"/>
      <c r="J991" s="132"/>
      <c r="K991" s="132"/>
      <c r="L991" s="131"/>
      <c r="M991" s="131"/>
      <c r="N991" s="131"/>
      <c r="O991" s="53"/>
      <c r="P991" s="53"/>
      <c r="Q991" s="53"/>
      <c r="R991" s="53"/>
      <c r="S991" s="53"/>
      <c r="T991" s="53"/>
      <c r="U991" s="53"/>
      <c r="V991" s="53"/>
      <c r="W991" s="53"/>
      <c r="X991" s="53"/>
      <c r="Y991" s="53"/>
      <c r="Z991" s="53"/>
      <c r="AA991" s="53"/>
      <c r="AB991" s="53"/>
      <c r="AC991" s="53"/>
    </row>
    <row r="992">
      <c r="A992" s="53"/>
      <c r="B992" s="53"/>
      <c r="C992" s="131"/>
      <c r="D992" s="131"/>
      <c r="E992" s="131"/>
      <c r="F992" s="131"/>
      <c r="G992" s="131"/>
      <c r="H992" s="131"/>
      <c r="I992" s="131"/>
      <c r="J992" s="132"/>
      <c r="K992" s="132"/>
      <c r="L992" s="131"/>
      <c r="M992" s="131"/>
      <c r="N992" s="131"/>
      <c r="O992" s="53"/>
      <c r="P992" s="53"/>
      <c r="Q992" s="53"/>
      <c r="R992" s="53"/>
      <c r="S992" s="53"/>
      <c r="T992" s="53"/>
      <c r="U992" s="53"/>
      <c r="V992" s="53"/>
      <c r="W992" s="53"/>
      <c r="X992" s="53"/>
      <c r="Y992" s="53"/>
      <c r="Z992" s="53"/>
      <c r="AA992" s="53"/>
      <c r="AB992" s="53"/>
      <c r="AC992" s="53"/>
    </row>
    <row r="993">
      <c r="A993" s="53"/>
      <c r="B993" s="53"/>
      <c r="C993" s="131"/>
      <c r="D993" s="131"/>
      <c r="E993" s="131"/>
      <c r="F993" s="131"/>
      <c r="G993" s="131"/>
      <c r="H993" s="131"/>
      <c r="I993" s="131"/>
      <c r="J993" s="132"/>
      <c r="K993" s="132"/>
      <c r="L993" s="131"/>
      <c r="M993" s="131"/>
      <c r="N993" s="131"/>
      <c r="O993" s="53"/>
      <c r="P993" s="53"/>
      <c r="Q993" s="53"/>
      <c r="R993" s="53"/>
      <c r="S993" s="53"/>
      <c r="T993" s="53"/>
      <c r="U993" s="53"/>
      <c r="V993" s="53"/>
      <c r="W993" s="53"/>
      <c r="X993" s="53"/>
      <c r="Y993" s="53"/>
      <c r="Z993" s="53"/>
      <c r="AA993" s="53"/>
      <c r="AB993" s="53"/>
      <c r="AC993" s="53"/>
    </row>
    <row r="994">
      <c r="A994" s="53"/>
      <c r="B994" s="53"/>
      <c r="C994" s="131"/>
      <c r="D994" s="131"/>
      <c r="E994" s="131"/>
      <c r="F994" s="131"/>
      <c r="G994" s="131"/>
      <c r="H994" s="131"/>
      <c r="I994" s="131"/>
      <c r="J994" s="132"/>
      <c r="K994" s="132"/>
      <c r="L994" s="131"/>
      <c r="M994" s="131"/>
      <c r="N994" s="131"/>
      <c r="O994" s="53"/>
      <c r="P994" s="53"/>
      <c r="Q994" s="53"/>
      <c r="R994" s="53"/>
      <c r="S994" s="53"/>
      <c r="T994" s="53"/>
      <c r="U994" s="53"/>
      <c r="V994" s="53"/>
      <c r="W994" s="53"/>
      <c r="X994" s="53"/>
      <c r="Y994" s="53"/>
      <c r="Z994" s="53"/>
      <c r="AA994" s="53"/>
      <c r="AB994" s="53"/>
      <c r="AC994" s="53"/>
    </row>
    <row r="995">
      <c r="A995" s="53"/>
      <c r="B995" s="53"/>
      <c r="C995" s="131"/>
      <c r="D995" s="131"/>
      <c r="E995" s="131"/>
      <c r="F995" s="131"/>
      <c r="G995" s="131"/>
      <c r="H995" s="131"/>
      <c r="I995" s="131"/>
      <c r="J995" s="132"/>
      <c r="K995" s="132"/>
      <c r="L995" s="131"/>
      <c r="M995" s="131"/>
      <c r="N995" s="131"/>
      <c r="O995" s="53"/>
      <c r="P995" s="53"/>
      <c r="Q995" s="53"/>
      <c r="R995" s="53"/>
      <c r="S995" s="53"/>
      <c r="T995" s="53"/>
      <c r="U995" s="53"/>
      <c r="V995" s="53"/>
      <c r="W995" s="53"/>
      <c r="X995" s="53"/>
      <c r="Y995" s="53"/>
      <c r="Z995" s="53"/>
      <c r="AA995" s="53"/>
      <c r="AB995" s="53"/>
      <c r="AC995" s="53"/>
    </row>
    <row r="996">
      <c r="A996" s="53"/>
      <c r="B996" s="53"/>
      <c r="C996" s="131"/>
      <c r="D996" s="131"/>
      <c r="E996" s="131"/>
      <c r="F996" s="131"/>
      <c r="G996" s="131"/>
      <c r="H996" s="131"/>
      <c r="I996" s="131"/>
      <c r="J996" s="132"/>
      <c r="K996" s="132"/>
      <c r="L996" s="131"/>
      <c r="M996" s="131"/>
      <c r="N996" s="131"/>
      <c r="O996" s="53"/>
      <c r="P996" s="53"/>
      <c r="Q996" s="53"/>
      <c r="R996" s="53"/>
      <c r="S996" s="53"/>
      <c r="T996" s="53"/>
      <c r="U996" s="53"/>
      <c r="V996" s="53"/>
      <c r="W996" s="53"/>
      <c r="X996" s="53"/>
      <c r="Y996" s="53"/>
      <c r="Z996" s="53"/>
      <c r="AA996" s="53"/>
      <c r="AB996" s="53"/>
      <c r="AC996" s="53"/>
    </row>
    <row r="997">
      <c r="A997" s="53"/>
      <c r="B997" s="53"/>
      <c r="C997" s="131"/>
      <c r="D997" s="131"/>
      <c r="E997" s="131"/>
      <c r="F997" s="131"/>
      <c r="G997" s="131"/>
      <c r="H997" s="131"/>
      <c r="I997" s="131"/>
      <c r="J997" s="132"/>
      <c r="K997" s="132"/>
      <c r="L997" s="131"/>
      <c r="M997" s="131"/>
      <c r="N997" s="131"/>
      <c r="O997" s="53"/>
      <c r="P997" s="53"/>
      <c r="Q997" s="53"/>
      <c r="R997" s="53"/>
      <c r="S997" s="53"/>
      <c r="T997" s="53"/>
      <c r="U997" s="53"/>
      <c r="V997" s="53"/>
      <c r="W997" s="53"/>
      <c r="X997" s="53"/>
      <c r="Y997" s="53"/>
      <c r="Z997" s="53"/>
      <c r="AA997" s="53"/>
      <c r="AB997" s="53"/>
      <c r="AC997" s="53"/>
    </row>
    <row r="998">
      <c r="A998" s="53"/>
      <c r="B998" s="53"/>
      <c r="C998" s="131"/>
      <c r="D998" s="131"/>
      <c r="E998" s="131"/>
      <c r="F998" s="131"/>
      <c r="G998" s="131"/>
      <c r="H998" s="131"/>
      <c r="I998" s="131"/>
      <c r="J998" s="132"/>
      <c r="K998" s="132"/>
      <c r="L998" s="131"/>
      <c r="M998" s="131"/>
      <c r="N998" s="131"/>
      <c r="O998" s="53"/>
      <c r="P998" s="53"/>
      <c r="Q998" s="53"/>
      <c r="R998" s="53"/>
      <c r="S998" s="53"/>
      <c r="T998" s="53"/>
      <c r="U998" s="53"/>
      <c r="V998" s="53"/>
      <c r="W998" s="53"/>
      <c r="X998" s="53"/>
      <c r="Y998" s="53"/>
      <c r="Z998" s="53"/>
      <c r="AA998" s="53"/>
      <c r="AB998" s="53"/>
      <c r="AC998" s="53"/>
    </row>
    <row r="999">
      <c r="A999" s="53"/>
      <c r="B999" s="53"/>
      <c r="C999" s="131"/>
      <c r="D999" s="131"/>
      <c r="E999" s="131"/>
      <c r="F999" s="131"/>
      <c r="G999" s="131"/>
      <c r="H999" s="131"/>
      <c r="I999" s="131"/>
      <c r="J999" s="132"/>
      <c r="K999" s="132"/>
      <c r="L999" s="131"/>
      <c r="M999" s="131"/>
      <c r="N999" s="131"/>
      <c r="O999" s="53"/>
      <c r="P999" s="53"/>
      <c r="Q999" s="53"/>
      <c r="R999" s="53"/>
      <c r="S999" s="53"/>
      <c r="T999" s="53"/>
      <c r="U999" s="53"/>
      <c r="V999" s="53"/>
      <c r="W999" s="53"/>
      <c r="X999" s="53"/>
      <c r="Y999" s="53"/>
      <c r="Z999" s="53"/>
      <c r="AA999" s="53"/>
      <c r="AB999" s="53"/>
      <c r="AC999" s="53"/>
    </row>
    <row r="1000">
      <c r="A1000" s="53"/>
      <c r="B1000" s="53"/>
      <c r="C1000" s="131"/>
      <c r="D1000" s="131"/>
      <c r="E1000" s="131"/>
      <c r="F1000" s="131"/>
      <c r="G1000" s="131"/>
      <c r="H1000" s="131"/>
      <c r="I1000" s="131"/>
      <c r="J1000" s="132"/>
      <c r="K1000" s="132"/>
      <c r="L1000" s="131"/>
      <c r="M1000" s="131"/>
      <c r="N1000" s="131"/>
      <c r="O1000" s="53"/>
      <c r="P1000" s="53"/>
      <c r="Q1000" s="53"/>
      <c r="R1000" s="53"/>
      <c r="S1000" s="53"/>
      <c r="T1000" s="53"/>
      <c r="U1000" s="53"/>
      <c r="V1000" s="53"/>
      <c r="W1000" s="53"/>
      <c r="X1000" s="53"/>
      <c r="Y1000" s="53"/>
      <c r="Z1000" s="53"/>
      <c r="AA1000" s="53"/>
      <c r="AB1000" s="53"/>
      <c r="AC1000" s="53"/>
    </row>
    <row r="1001">
      <c r="A1001" s="53"/>
      <c r="B1001" s="53"/>
      <c r="C1001" s="131"/>
      <c r="D1001" s="131"/>
      <c r="E1001" s="131"/>
      <c r="F1001" s="131"/>
      <c r="G1001" s="131"/>
      <c r="H1001" s="131"/>
      <c r="I1001" s="131"/>
      <c r="J1001" s="132"/>
      <c r="K1001" s="132"/>
      <c r="L1001" s="131"/>
      <c r="M1001" s="131"/>
      <c r="N1001" s="131"/>
      <c r="O1001" s="53"/>
      <c r="P1001" s="53"/>
      <c r="Q1001" s="53"/>
      <c r="R1001" s="53"/>
      <c r="S1001" s="53"/>
      <c r="T1001" s="53"/>
      <c r="U1001" s="53"/>
      <c r="V1001" s="53"/>
      <c r="W1001" s="53"/>
      <c r="X1001" s="53"/>
      <c r="Y1001" s="53"/>
      <c r="Z1001" s="53"/>
      <c r="AA1001" s="53"/>
      <c r="AB1001" s="53"/>
      <c r="AC1001" s="53"/>
    </row>
    <row r="1002">
      <c r="A1002" s="53"/>
      <c r="B1002" s="53"/>
      <c r="C1002" s="131"/>
      <c r="D1002" s="131"/>
      <c r="E1002" s="131"/>
      <c r="F1002" s="131"/>
      <c r="G1002" s="131"/>
      <c r="H1002" s="131"/>
      <c r="I1002" s="131"/>
      <c r="J1002" s="132"/>
      <c r="K1002" s="132"/>
      <c r="L1002" s="131"/>
      <c r="M1002" s="131"/>
      <c r="N1002" s="131"/>
      <c r="O1002" s="53"/>
      <c r="P1002" s="53"/>
      <c r="Q1002" s="53"/>
      <c r="R1002" s="53"/>
      <c r="S1002" s="53"/>
      <c r="T1002" s="53"/>
      <c r="U1002" s="53"/>
      <c r="V1002" s="53"/>
      <c r="W1002" s="53"/>
      <c r="X1002" s="53"/>
      <c r="Y1002" s="53"/>
      <c r="Z1002" s="53"/>
      <c r="AA1002" s="53"/>
      <c r="AB1002" s="53"/>
      <c r="AC1002" s="53"/>
    </row>
    <row r="1003">
      <c r="A1003" s="53"/>
      <c r="B1003" s="53"/>
      <c r="C1003" s="131"/>
      <c r="D1003" s="131"/>
      <c r="E1003" s="131"/>
      <c r="F1003" s="131"/>
      <c r="G1003" s="131"/>
      <c r="H1003" s="131"/>
      <c r="I1003" s="131"/>
      <c r="J1003" s="132"/>
      <c r="K1003" s="132"/>
      <c r="L1003" s="131"/>
      <c r="M1003" s="131"/>
      <c r="N1003" s="131"/>
      <c r="O1003" s="53"/>
      <c r="P1003" s="53"/>
      <c r="Q1003" s="53"/>
      <c r="R1003" s="53"/>
      <c r="S1003" s="53"/>
      <c r="T1003" s="53"/>
      <c r="U1003" s="53"/>
      <c r="V1003" s="53"/>
      <c r="W1003" s="53"/>
      <c r="X1003" s="53"/>
      <c r="Y1003" s="53"/>
      <c r="Z1003" s="53"/>
      <c r="AA1003" s="53"/>
      <c r="AB1003" s="53"/>
      <c r="AC1003" s="53"/>
    </row>
    <row r="1004">
      <c r="A1004" s="53"/>
      <c r="B1004" s="53"/>
      <c r="C1004" s="131"/>
      <c r="D1004" s="131"/>
      <c r="E1004" s="131"/>
      <c r="F1004" s="131"/>
      <c r="G1004" s="131"/>
      <c r="H1004" s="131"/>
      <c r="I1004" s="131"/>
      <c r="J1004" s="132"/>
      <c r="K1004" s="132"/>
      <c r="L1004" s="131"/>
      <c r="M1004" s="131"/>
      <c r="N1004" s="131"/>
      <c r="O1004" s="53"/>
      <c r="P1004" s="53"/>
      <c r="Q1004" s="53"/>
      <c r="R1004" s="53"/>
      <c r="S1004" s="53"/>
      <c r="T1004" s="53"/>
      <c r="U1004" s="53"/>
      <c r="V1004" s="53"/>
      <c r="W1004" s="53"/>
      <c r="X1004" s="53"/>
      <c r="Y1004" s="53"/>
      <c r="Z1004" s="53"/>
      <c r="AA1004" s="53"/>
      <c r="AB1004" s="53"/>
      <c r="AC1004" s="53"/>
    </row>
    <row r="1005">
      <c r="A1005" s="53"/>
      <c r="B1005" s="53"/>
      <c r="C1005" s="131"/>
      <c r="D1005" s="131"/>
      <c r="E1005" s="131"/>
      <c r="F1005" s="131"/>
      <c r="G1005" s="131"/>
      <c r="H1005" s="131"/>
      <c r="I1005" s="131"/>
      <c r="J1005" s="132"/>
      <c r="K1005" s="132"/>
      <c r="L1005" s="131"/>
      <c r="M1005" s="131"/>
      <c r="N1005" s="131"/>
      <c r="O1005" s="53"/>
      <c r="P1005" s="53"/>
      <c r="Q1005" s="53"/>
      <c r="R1005" s="53"/>
      <c r="S1005" s="53"/>
      <c r="T1005" s="53"/>
      <c r="U1005" s="53"/>
      <c r="V1005" s="53"/>
      <c r="W1005" s="53"/>
      <c r="X1005" s="53"/>
      <c r="Y1005" s="53"/>
      <c r="Z1005" s="53"/>
      <c r="AA1005" s="53"/>
      <c r="AB1005" s="53"/>
      <c r="AC1005" s="53"/>
    </row>
    <row r="1006">
      <c r="A1006" s="53"/>
      <c r="B1006" s="53"/>
      <c r="C1006" s="131"/>
      <c r="D1006" s="131"/>
      <c r="E1006" s="131"/>
      <c r="F1006" s="131"/>
      <c r="G1006" s="131"/>
      <c r="H1006" s="131"/>
      <c r="I1006" s="131"/>
      <c r="J1006" s="132"/>
      <c r="K1006" s="132"/>
      <c r="L1006" s="131"/>
      <c r="M1006" s="131"/>
      <c r="N1006" s="131"/>
      <c r="O1006" s="53"/>
      <c r="P1006" s="53"/>
      <c r="Q1006" s="53"/>
      <c r="R1006" s="53"/>
      <c r="S1006" s="53"/>
      <c r="T1006" s="53"/>
      <c r="U1006" s="53"/>
      <c r="V1006" s="53"/>
      <c r="W1006" s="53"/>
      <c r="X1006" s="53"/>
      <c r="Y1006" s="53"/>
      <c r="Z1006" s="53"/>
      <c r="AA1006" s="53"/>
      <c r="AB1006" s="53"/>
      <c r="AC1006" s="53"/>
    </row>
    <row r="1007">
      <c r="A1007" s="53"/>
      <c r="B1007" s="53"/>
      <c r="C1007" s="131"/>
      <c r="D1007" s="131"/>
      <c r="E1007" s="131"/>
      <c r="F1007" s="131"/>
      <c r="G1007" s="131"/>
      <c r="H1007" s="131"/>
      <c r="I1007" s="131"/>
      <c r="J1007" s="132"/>
      <c r="K1007" s="132"/>
      <c r="L1007" s="131"/>
      <c r="M1007" s="131"/>
      <c r="N1007" s="131"/>
      <c r="O1007" s="53"/>
      <c r="P1007" s="53"/>
      <c r="Q1007" s="53"/>
      <c r="R1007" s="53"/>
      <c r="S1007" s="53"/>
      <c r="T1007" s="53"/>
      <c r="U1007" s="53"/>
      <c r="V1007" s="53"/>
      <c r="W1007" s="53"/>
      <c r="X1007" s="53"/>
      <c r="Y1007" s="53"/>
      <c r="Z1007" s="53"/>
      <c r="AA1007" s="53"/>
      <c r="AB1007" s="53"/>
      <c r="AC1007" s="53"/>
    </row>
    <row r="1008">
      <c r="A1008" s="53"/>
      <c r="B1008" s="53"/>
      <c r="C1008" s="131"/>
      <c r="D1008" s="131"/>
      <c r="E1008" s="131"/>
      <c r="F1008" s="131"/>
      <c r="G1008" s="131"/>
      <c r="H1008" s="131"/>
      <c r="I1008" s="131"/>
      <c r="J1008" s="132"/>
      <c r="K1008" s="132"/>
      <c r="L1008" s="131"/>
      <c r="M1008" s="131"/>
      <c r="N1008" s="131"/>
      <c r="O1008" s="53"/>
      <c r="P1008" s="53"/>
      <c r="Q1008" s="53"/>
      <c r="R1008" s="53"/>
      <c r="S1008" s="53"/>
      <c r="T1008" s="53"/>
      <c r="U1008" s="53"/>
      <c r="V1008" s="53"/>
      <c r="W1008" s="53"/>
      <c r="X1008" s="53"/>
      <c r="Y1008" s="53"/>
      <c r="Z1008" s="53"/>
      <c r="AA1008" s="53"/>
      <c r="AB1008" s="53"/>
      <c r="AC1008" s="53"/>
    </row>
    <row r="1009">
      <c r="A1009" s="53"/>
      <c r="B1009" s="53"/>
      <c r="C1009" s="131"/>
      <c r="D1009" s="131"/>
      <c r="E1009" s="131"/>
      <c r="F1009" s="131"/>
      <c r="G1009" s="131"/>
      <c r="H1009" s="131"/>
      <c r="I1009" s="131"/>
      <c r="J1009" s="132"/>
      <c r="K1009" s="132"/>
      <c r="L1009" s="131"/>
      <c r="M1009" s="131"/>
      <c r="N1009" s="131"/>
      <c r="O1009" s="53"/>
      <c r="P1009" s="53"/>
      <c r="Q1009" s="53"/>
      <c r="R1009" s="53"/>
      <c r="S1009" s="53"/>
      <c r="T1009" s="53"/>
      <c r="U1009" s="53"/>
      <c r="V1009" s="53"/>
      <c r="W1009" s="53"/>
      <c r="X1009" s="53"/>
      <c r="Y1009" s="53"/>
      <c r="Z1009" s="53"/>
      <c r="AA1009" s="53"/>
      <c r="AB1009" s="53"/>
      <c r="AC1009" s="53"/>
    </row>
    <row r="1010">
      <c r="A1010" s="53"/>
      <c r="B1010" s="53"/>
      <c r="C1010" s="131"/>
      <c r="D1010" s="131"/>
      <c r="E1010" s="131"/>
      <c r="F1010" s="131"/>
      <c r="G1010" s="131"/>
      <c r="H1010" s="131"/>
      <c r="I1010" s="131"/>
      <c r="J1010" s="132"/>
      <c r="K1010" s="132"/>
      <c r="L1010" s="131"/>
      <c r="M1010" s="131"/>
      <c r="N1010" s="131"/>
      <c r="O1010" s="53"/>
      <c r="P1010" s="53"/>
      <c r="Q1010" s="53"/>
      <c r="R1010" s="53"/>
      <c r="S1010" s="53"/>
      <c r="T1010" s="53"/>
      <c r="U1010" s="53"/>
      <c r="V1010" s="53"/>
      <c r="W1010" s="53"/>
      <c r="X1010" s="53"/>
      <c r="Y1010" s="53"/>
      <c r="Z1010" s="53"/>
      <c r="AA1010" s="53"/>
      <c r="AB1010" s="53"/>
      <c r="AC1010" s="53"/>
    </row>
    <row r="1011">
      <c r="A1011" s="53"/>
      <c r="B1011" s="53"/>
      <c r="C1011" s="131"/>
      <c r="D1011" s="131"/>
      <c r="E1011" s="131"/>
      <c r="F1011" s="131"/>
      <c r="G1011" s="131"/>
      <c r="H1011" s="131"/>
      <c r="I1011" s="131"/>
      <c r="J1011" s="132"/>
      <c r="K1011" s="132"/>
      <c r="L1011" s="131"/>
      <c r="M1011" s="131"/>
      <c r="N1011" s="131"/>
      <c r="O1011" s="53"/>
      <c r="P1011" s="53"/>
      <c r="Q1011" s="53"/>
      <c r="R1011" s="53"/>
      <c r="S1011" s="53"/>
      <c r="T1011" s="53"/>
      <c r="U1011" s="53"/>
      <c r="V1011" s="53"/>
      <c r="W1011" s="53"/>
      <c r="X1011" s="53"/>
      <c r="Y1011" s="53"/>
      <c r="Z1011" s="53"/>
      <c r="AA1011" s="53"/>
      <c r="AB1011" s="53"/>
      <c r="AC1011" s="53"/>
    </row>
    <row r="1012">
      <c r="A1012" s="53"/>
      <c r="B1012" s="53"/>
      <c r="C1012" s="131"/>
      <c r="D1012" s="131"/>
      <c r="E1012" s="131"/>
      <c r="F1012" s="131"/>
      <c r="G1012" s="131"/>
      <c r="H1012" s="131"/>
      <c r="I1012" s="131"/>
      <c r="J1012" s="132"/>
      <c r="K1012" s="132"/>
      <c r="L1012" s="131"/>
      <c r="M1012" s="131"/>
      <c r="N1012" s="131"/>
      <c r="O1012" s="53"/>
      <c r="P1012" s="53"/>
      <c r="Q1012" s="53"/>
      <c r="R1012" s="53"/>
      <c r="S1012" s="53"/>
      <c r="T1012" s="53"/>
      <c r="U1012" s="53"/>
      <c r="V1012" s="53"/>
      <c r="W1012" s="53"/>
      <c r="X1012" s="53"/>
      <c r="Y1012" s="53"/>
      <c r="Z1012" s="53"/>
      <c r="AA1012" s="53"/>
      <c r="AB1012" s="53"/>
      <c r="AC1012" s="53"/>
    </row>
    <row r="1013">
      <c r="A1013" s="53"/>
      <c r="B1013" s="53"/>
      <c r="C1013" s="131"/>
      <c r="D1013" s="131"/>
      <c r="E1013" s="131"/>
      <c r="F1013" s="131"/>
      <c r="G1013" s="131"/>
      <c r="H1013" s="131"/>
      <c r="I1013" s="131"/>
      <c r="J1013" s="132"/>
      <c r="K1013" s="132"/>
      <c r="L1013" s="131"/>
      <c r="M1013" s="131"/>
      <c r="N1013" s="131"/>
      <c r="O1013" s="53"/>
      <c r="P1013" s="53"/>
      <c r="Q1013" s="53"/>
      <c r="R1013" s="53"/>
      <c r="S1013" s="53"/>
      <c r="T1013" s="53"/>
      <c r="U1013" s="53"/>
      <c r="V1013" s="53"/>
      <c r="W1013" s="53"/>
      <c r="X1013" s="53"/>
      <c r="Y1013" s="53"/>
      <c r="Z1013" s="53"/>
      <c r="AA1013" s="53"/>
      <c r="AB1013" s="53"/>
      <c r="AC1013" s="53"/>
    </row>
    <row r="1014">
      <c r="A1014" s="53"/>
      <c r="B1014" s="53"/>
      <c r="C1014" s="131"/>
      <c r="D1014" s="131"/>
      <c r="E1014" s="131"/>
      <c r="F1014" s="131"/>
      <c r="G1014" s="131"/>
      <c r="H1014" s="131"/>
      <c r="I1014" s="131"/>
      <c r="J1014" s="132"/>
      <c r="K1014" s="132"/>
      <c r="L1014" s="131"/>
      <c r="M1014" s="131"/>
      <c r="N1014" s="131"/>
      <c r="O1014" s="53"/>
      <c r="P1014" s="53"/>
      <c r="Q1014" s="53"/>
      <c r="R1014" s="53"/>
      <c r="S1014" s="53"/>
      <c r="T1014" s="53"/>
      <c r="U1014" s="53"/>
      <c r="V1014" s="53"/>
      <c r="W1014" s="53"/>
      <c r="X1014" s="53"/>
      <c r="Y1014" s="53"/>
      <c r="Z1014" s="53"/>
      <c r="AA1014" s="53"/>
      <c r="AB1014" s="53"/>
      <c r="AC1014" s="53"/>
    </row>
    <row r="1015">
      <c r="A1015" s="53"/>
      <c r="B1015" s="53"/>
      <c r="C1015" s="131"/>
      <c r="D1015" s="131"/>
      <c r="E1015" s="131"/>
      <c r="F1015" s="131"/>
      <c r="G1015" s="131"/>
      <c r="H1015" s="131"/>
      <c r="I1015" s="131"/>
      <c r="J1015" s="132"/>
      <c r="K1015" s="132"/>
      <c r="L1015" s="131"/>
      <c r="M1015" s="131"/>
      <c r="N1015" s="131"/>
      <c r="O1015" s="53"/>
      <c r="P1015" s="53"/>
      <c r="Q1015" s="53"/>
      <c r="R1015" s="53"/>
      <c r="S1015" s="53"/>
      <c r="T1015" s="53"/>
      <c r="U1015" s="53"/>
      <c r="V1015" s="53"/>
      <c r="W1015" s="53"/>
      <c r="X1015" s="53"/>
      <c r="Y1015" s="53"/>
      <c r="Z1015" s="53"/>
      <c r="AA1015" s="53"/>
      <c r="AB1015" s="53"/>
      <c r="AC1015" s="53"/>
    </row>
    <row r="1016">
      <c r="A1016" s="53"/>
      <c r="B1016" s="53"/>
      <c r="C1016" s="131"/>
      <c r="D1016" s="131"/>
      <c r="E1016" s="131"/>
      <c r="F1016" s="131"/>
      <c r="G1016" s="131"/>
      <c r="H1016" s="131"/>
      <c r="I1016" s="131"/>
      <c r="J1016" s="132"/>
      <c r="K1016" s="132"/>
      <c r="L1016" s="131"/>
      <c r="M1016" s="131"/>
      <c r="N1016" s="131"/>
      <c r="O1016" s="53"/>
      <c r="P1016" s="53"/>
      <c r="Q1016" s="53"/>
      <c r="R1016" s="53"/>
      <c r="S1016" s="53"/>
      <c r="T1016" s="53"/>
      <c r="U1016" s="53"/>
      <c r="V1016" s="53"/>
      <c r="W1016" s="53"/>
      <c r="X1016" s="53"/>
      <c r="Y1016" s="53"/>
      <c r="Z1016" s="53"/>
      <c r="AA1016" s="53"/>
      <c r="AB1016" s="53"/>
      <c r="AC1016" s="53"/>
    </row>
    <row r="1017">
      <c r="A1017" s="53"/>
      <c r="B1017" s="53"/>
      <c r="C1017" s="131"/>
      <c r="D1017" s="131"/>
      <c r="E1017" s="131"/>
      <c r="F1017" s="131"/>
      <c r="G1017" s="131"/>
      <c r="H1017" s="131"/>
      <c r="I1017" s="131"/>
      <c r="J1017" s="132"/>
      <c r="K1017" s="132"/>
      <c r="L1017" s="131"/>
      <c r="M1017" s="131"/>
      <c r="N1017" s="131"/>
      <c r="O1017" s="53"/>
      <c r="P1017" s="53"/>
      <c r="Q1017" s="53"/>
      <c r="R1017" s="53"/>
      <c r="S1017" s="53"/>
      <c r="T1017" s="53"/>
      <c r="U1017" s="53"/>
      <c r="V1017" s="53"/>
      <c r="W1017" s="53"/>
      <c r="X1017" s="53"/>
      <c r="Y1017" s="53"/>
      <c r="Z1017" s="53"/>
      <c r="AA1017" s="53"/>
      <c r="AB1017" s="53"/>
      <c r="AC1017" s="53"/>
    </row>
    <row r="1018">
      <c r="A1018" s="53"/>
      <c r="B1018" s="53"/>
      <c r="C1018" s="131"/>
      <c r="D1018" s="131"/>
      <c r="E1018" s="131"/>
      <c r="F1018" s="131"/>
      <c r="G1018" s="131"/>
      <c r="H1018" s="131"/>
      <c r="I1018" s="131"/>
      <c r="J1018" s="132"/>
      <c r="K1018" s="132"/>
      <c r="L1018" s="131"/>
      <c r="M1018" s="131"/>
      <c r="N1018" s="131"/>
      <c r="O1018" s="53"/>
      <c r="P1018" s="53"/>
      <c r="Q1018" s="53"/>
      <c r="R1018" s="53"/>
      <c r="S1018" s="53"/>
      <c r="T1018" s="53"/>
      <c r="U1018" s="53"/>
      <c r="V1018" s="53"/>
      <c r="W1018" s="53"/>
      <c r="X1018" s="53"/>
      <c r="Y1018" s="53"/>
      <c r="Z1018" s="53"/>
      <c r="AA1018" s="53"/>
      <c r="AB1018" s="53"/>
      <c r="AC1018" s="53"/>
    </row>
    <row r="1019">
      <c r="A1019" s="53"/>
      <c r="B1019" s="53"/>
      <c r="C1019" s="131"/>
      <c r="D1019" s="131"/>
      <c r="E1019" s="131"/>
      <c r="F1019" s="131"/>
      <c r="G1019" s="131"/>
      <c r="H1019" s="131"/>
      <c r="I1019" s="131"/>
      <c r="J1019" s="132"/>
      <c r="K1019" s="132"/>
      <c r="L1019" s="131"/>
      <c r="M1019" s="131"/>
      <c r="N1019" s="131"/>
      <c r="O1019" s="53"/>
      <c r="P1019" s="53"/>
      <c r="Q1019" s="53"/>
      <c r="R1019" s="53"/>
      <c r="S1019" s="53"/>
      <c r="T1019" s="53"/>
      <c r="U1019" s="53"/>
      <c r="V1019" s="53"/>
      <c r="W1019" s="53"/>
      <c r="X1019" s="53"/>
      <c r="Y1019" s="53"/>
      <c r="Z1019" s="53"/>
      <c r="AA1019" s="53"/>
      <c r="AB1019" s="53"/>
      <c r="AC1019" s="53"/>
    </row>
    <row r="1020">
      <c r="A1020" s="53"/>
      <c r="B1020" s="53"/>
      <c r="C1020" s="131"/>
      <c r="D1020" s="131"/>
      <c r="E1020" s="131"/>
      <c r="F1020" s="131"/>
      <c r="G1020" s="131"/>
      <c r="H1020" s="131"/>
      <c r="I1020" s="131"/>
      <c r="J1020" s="132"/>
      <c r="K1020" s="132"/>
      <c r="L1020" s="131"/>
      <c r="M1020" s="131"/>
      <c r="N1020" s="131"/>
      <c r="O1020" s="53"/>
      <c r="P1020" s="53"/>
      <c r="Q1020" s="53"/>
      <c r="R1020" s="53"/>
      <c r="S1020" s="53"/>
      <c r="T1020" s="53"/>
      <c r="U1020" s="53"/>
      <c r="V1020" s="53"/>
      <c r="W1020" s="53"/>
      <c r="X1020" s="53"/>
      <c r="Y1020" s="53"/>
      <c r="Z1020" s="53"/>
      <c r="AA1020" s="53"/>
      <c r="AB1020" s="53"/>
      <c r="AC1020" s="53"/>
    </row>
    <row r="1021">
      <c r="A1021" s="53"/>
      <c r="B1021" s="53"/>
      <c r="C1021" s="131"/>
      <c r="D1021" s="131"/>
      <c r="E1021" s="131"/>
      <c r="F1021" s="131"/>
      <c r="G1021" s="131"/>
      <c r="H1021" s="131"/>
      <c r="I1021" s="131"/>
      <c r="J1021" s="132"/>
      <c r="K1021" s="132"/>
      <c r="L1021" s="131"/>
      <c r="M1021" s="131"/>
      <c r="N1021" s="131"/>
      <c r="O1021" s="53"/>
      <c r="P1021" s="53"/>
      <c r="Q1021" s="53"/>
      <c r="R1021" s="53"/>
      <c r="S1021" s="53"/>
      <c r="T1021" s="53"/>
      <c r="U1021" s="53"/>
      <c r="V1021" s="53"/>
      <c r="W1021" s="53"/>
      <c r="X1021" s="53"/>
      <c r="Y1021" s="53"/>
      <c r="Z1021" s="53"/>
      <c r="AA1021" s="53"/>
      <c r="AB1021" s="53"/>
      <c r="AC1021" s="53"/>
    </row>
    <row r="1022">
      <c r="A1022" s="53"/>
      <c r="B1022" s="53"/>
      <c r="C1022" s="131"/>
      <c r="D1022" s="131"/>
      <c r="E1022" s="131"/>
      <c r="F1022" s="131"/>
      <c r="G1022" s="131"/>
      <c r="H1022" s="131"/>
      <c r="I1022" s="131"/>
      <c r="J1022" s="132"/>
      <c r="K1022" s="132"/>
      <c r="L1022" s="131"/>
      <c r="M1022" s="131"/>
      <c r="N1022" s="131"/>
      <c r="O1022" s="53"/>
      <c r="P1022" s="53"/>
      <c r="Q1022" s="53"/>
      <c r="R1022" s="53"/>
      <c r="S1022" s="53"/>
      <c r="T1022" s="53"/>
      <c r="U1022" s="53"/>
      <c r="V1022" s="53"/>
      <c r="W1022" s="53"/>
      <c r="X1022" s="53"/>
      <c r="Y1022" s="53"/>
      <c r="Z1022" s="53"/>
      <c r="AA1022" s="53"/>
      <c r="AB1022" s="53"/>
      <c r="AC1022" s="53"/>
    </row>
    <row r="1023">
      <c r="A1023" s="53"/>
      <c r="B1023" s="53"/>
      <c r="C1023" s="131"/>
      <c r="D1023" s="131"/>
      <c r="E1023" s="131"/>
      <c r="F1023" s="131"/>
      <c r="G1023" s="131"/>
      <c r="H1023" s="131"/>
      <c r="I1023" s="131"/>
      <c r="J1023" s="132"/>
      <c r="K1023" s="132"/>
      <c r="L1023" s="131"/>
      <c r="M1023" s="131"/>
      <c r="N1023" s="131"/>
      <c r="O1023" s="53"/>
      <c r="P1023" s="53"/>
      <c r="Q1023" s="53"/>
      <c r="R1023" s="53"/>
      <c r="S1023" s="53"/>
      <c r="T1023" s="53"/>
      <c r="U1023" s="53"/>
      <c r="V1023" s="53"/>
      <c r="W1023" s="53"/>
      <c r="X1023" s="53"/>
      <c r="Y1023" s="53"/>
      <c r="Z1023" s="53"/>
      <c r="AA1023" s="53"/>
      <c r="AB1023" s="53"/>
      <c r="AC1023" s="53"/>
    </row>
    <row r="1024">
      <c r="A1024" s="53"/>
      <c r="B1024" s="53"/>
      <c r="C1024" s="131"/>
      <c r="D1024" s="131"/>
      <c r="E1024" s="131"/>
      <c r="F1024" s="131"/>
      <c r="G1024" s="131"/>
      <c r="H1024" s="131"/>
      <c r="I1024" s="131"/>
      <c r="J1024" s="132"/>
      <c r="K1024" s="132"/>
      <c r="L1024" s="131"/>
      <c r="M1024" s="131"/>
      <c r="N1024" s="131"/>
      <c r="O1024" s="53"/>
      <c r="P1024" s="53"/>
      <c r="Q1024" s="53"/>
      <c r="R1024" s="53"/>
      <c r="S1024" s="53"/>
      <c r="T1024" s="53"/>
      <c r="U1024" s="53"/>
      <c r="V1024" s="53"/>
      <c r="W1024" s="53"/>
      <c r="X1024" s="53"/>
      <c r="Y1024" s="53"/>
      <c r="Z1024" s="53"/>
      <c r="AA1024" s="53"/>
      <c r="AB1024" s="53"/>
      <c r="AC1024" s="53"/>
    </row>
    <row r="1025">
      <c r="A1025" s="53"/>
      <c r="B1025" s="53"/>
      <c r="C1025" s="131"/>
      <c r="D1025" s="131"/>
      <c r="E1025" s="131"/>
      <c r="F1025" s="131"/>
      <c r="G1025" s="131"/>
      <c r="H1025" s="131"/>
      <c r="I1025" s="131"/>
      <c r="J1025" s="132"/>
      <c r="K1025" s="132"/>
      <c r="L1025" s="131"/>
      <c r="M1025" s="131"/>
      <c r="N1025" s="131"/>
      <c r="O1025" s="53"/>
      <c r="P1025" s="53"/>
      <c r="Q1025" s="53"/>
      <c r="R1025" s="53"/>
      <c r="S1025" s="53"/>
      <c r="T1025" s="53"/>
      <c r="U1025" s="53"/>
      <c r="V1025" s="53"/>
      <c r="W1025" s="53"/>
      <c r="X1025" s="53"/>
      <c r="Y1025" s="53"/>
      <c r="Z1025" s="53"/>
      <c r="AA1025" s="53"/>
      <c r="AB1025" s="53"/>
      <c r="AC1025" s="53"/>
    </row>
    <row r="1026">
      <c r="A1026" s="53"/>
      <c r="B1026" s="53"/>
      <c r="C1026" s="131"/>
      <c r="D1026" s="131"/>
      <c r="E1026" s="131"/>
      <c r="F1026" s="131"/>
      <c r="G1026" s="131"/>
      <c r="H1026" s="131"/>
      <c r="I1026" s="131"/>
      <c r="J1026" s="132"/>
      <c r="K1026" s="132"/>
      <c r="L1026" s="131"/>
      <c r="M1026" s="131"/>
      <c r="N1026" s="131"/>
      <c r="O1026" s="53"/>
      <c r="P1026" s="53"/>
      <c r="Q1026" s="53"/>
      <c r="R1026" s="53"/>
      <c r="S1026" s="53"/>
      <c r="T1026" s="53"/>
      <c r="U1026" s="53"/>
      <c r="V1026" s="53"/>
      <c r="W1026" s="53"/>
      <c r="X1026" s="53"/>
      <c r="Y1026" s="53"/>
      <c r="Z1026" s="53"/>
      <c r="AA1026" s="53"/>
      <c r="AB1026" s="53"/>
      <c r="AC1026" s="53"/>
    </row>
    <row r="1027">
      <c r="A1027" s="53"/>
      <c r="B1027" s="53"/>
      <c r="C1027" s="131"/>
      <c r="D1027" s="131"/>
      <c r="E1027" s="131"/>
      <c r="F1027" s="131"/>
      <c r="G1027" s="131"/>
      <c r="H1027" s="131"/>
      <c r="I1027" s="131"/>
      <c r="J1027" s="132"/>
      <c r="K1027" s="132"/>
      <c r="L1027" s="131"/>
      <c r="M1027" s="131"/>
      <c r="N1027" s="131"/>
      <c r="O1027" s="53"/>
      <c r="P1027" s="53"/>
      <c r="Q1027" s="53"/>
      <c r="R1027" s="53"/>
      <c r="S1027" s="53"/>
      <c r="T1027" s="53"/>
      <c r="U1027" s="53"/>
      <c r="V1027" s="53"/>
      <c r="W1027" s="53"/>
      <c r="X1027" s="53"/>
      <c r="Y1027" s="53"/>
      <c r="Z1027" s="53"/>
      <c r="AA1027" s="53"/>
      <c r="AB1027" s="53"/>
      <c r="AC1027" s="53"/>
    </row>
    <row r="1028">
      <c r="A1028" s="53"/>
      <c r="B1028" s="53"/>
      <c r="C1028" s="131"/>
      <c r="D1028" s="131"/>
      <c r="E1028" s="131"/>
      <c r="F1028" s="131"/>
      <c r="G1028" s="131"/>
      <c r="H1028" s="131"/>
      <c r="I1028" s="131"/>
      <c r="J1028" s="132"/>
      <c r="K1028" s="132"/>
      <c r="L1028" s="131"/>
      <c r="M1028" s="131"/>
      <c r="N1028" s="131"/>
      <c r="O1028" s="53"/>
      <c r="P1028" s="53"/>
      <c r="Q1028" s="53"/>
      <c r="R1028" s="53"/>
      <c r="S1028" s="53"/>
      <c r="T1028" s="53"/>
      <c r="U1028" s="53"/>
      <c r="V1028" s="53"/>
      <c r="W1028" s="53"/>
      <c r="X1028" s="53"/>
      <c r="Y1028" s="53"/>
      <c r="Z1028" s="53"/>
      <c r="AA1028" s="53"/>
      <c r="AB1028" s="53"/>
      <c r="AC1028" s="53"/>
    </row>
    <row r="1029">
      <c r="A1029" s="53"/>
      <c r="B1029" s="53"/>
      <c r="C1029" s="131"/>
      <c r="D1029" s="131"/>
      <c r="E1029" s="131"/>
      <c r="F1029" s="131"/>
      <c r="G1029" s="131"/>
      <c r="H1029" s="131"/>
      <c r="I1029" s="131"/>
      <c r="J1029" s="132"/>
      <c r="K1029" s="132"/>
      <c r="L1029" s="131"/>
      <c r="M1029" s="131"/>
      <c r="N1029" s="131"/>
      <c r="O1029" s="53"/>
      <c r="P1029" s="53"/>
      <c r="Q1029" s="53"/>
      <c r="R1029" s="53"/>
      <c r="S1029" s="53"/>
      <c r="T1029" s="53"/>
      <c r="U1029" s="53"/>
      <c r="V1029" s="53"/>
      <c r="W1029" s="53"/>
      <c r="X1029" s="53"/>
      <c r="Y1029" s="53"/>
      <c r="Z1029" s="53"/>
      <c r="AA1029" s="53"/>
      <c r="AB1029" s="53"/>
      <c r="AC1029" s="53"/>
    </row>
    <row r="1030">
      <c r="A1030" s="53"/>
      <c r="B1030" s="53"/>
      <c r="C1030" s="131"/>
      <c r="D1030" s="131"/>
      <c r="E1030" s="131"/>
      <c r="F1030" s="131"/>
      <c r="G1030" s="131"/>
      <c r="H1030" s="131"/>
      <c r="I1030" s="131"/>
      <c r="J1030" s="132"/>
      <c r="K1030" s="132"/>
      <c r="L1030" s="131"/>
      <c r="M1030" s="131"/>
      <c r="N1030" s="131"/>
      <c r="O1030" s="53"/>
      <c r="P1030" s="53"/>
      <c r="Q1030" s="53"/>
      <c r="R1030" s="53"/>
      <c r="S1030" s="53"/>
      <c r="T1030" s="53"/>
      <c r="U1030" s="53"/>
      <c r="V1030" s="53"/>
      <c r="W1030" s="53"/>
      <c r="X1030" s="53"/>
      <c r="Y1030" s="53"/>
      <c r="Z1030" s="53"/>
      <c r="AA1030" s="53"/>
      <c r="AB1030" s="53"/>
      <c r="AC1030" s="53"/>
    </row>
    <row r="1031">
      <c r="A1031" s="53"/>
      <c r="B1031" s="53"/>
      <c r="C1031" s="131"/>
      <c r="D1031" s="131"/>
      <c r="E1031" s="131"/>
      <c r="F1031" s="131"/>
      <c r="G1031" s="131"/>
      <c r="H1031" s="131"/>
      <c r="I1031" s="131"/>
      <c r="J1031" s="132"/>
      <c r="K1031" s="132"/>
      <c r="L1031" s="131"/>
      <c r="M1031" s="131"/>
      <c r="N1031" s="131"/>
      <c r="O1031" s="53"/>
      <c r="P1031" s="53"/>
      <c r="Q1031" s="53"/>
      <c r="R1031" s="53"/>
      <c r="S1031" s="53"/>
      <c r="T1031" s="53"/>
      <c r="U1031" s="53"/>
      <c r="V1031" s="53"/>
      <c r="W1031" s="53"/>
      <c r="X1031" s="53"/>
      <c r="Y1031" s="53"/>
      <c r="Z1031" s="53"/>
      <c r="AA1031" s="53"/>
      <c r="AB1031" s="53"/>
      <c r="AC1031" s="53"/>
    </row>
    <row r="1032">
      <c r="A1032" s="53"/>
      <c r="B1032" s="53"/>
      <c r="C1032" s="131"/>
      <c r="D1032" s="131"/>
      <c r="E1032" s="131"/>
      <c r="F1032" s="131"/>
      <c r="G1032" s="131"/>
      <c r="H1032" s="131"/>
      <c r="I1032" s="131"/>
      <c r="J1032" s="132"/>
      <c r="K1032" s="132"/>
      <c r="L1032" s="131"/>
      <c r="M1032" s="131"/>
      <c r="N1032" s="131"/>
      <c r="O1032" s="53"/>
      <c r="P1032" s="53"/>
      <c r="Q1032" s="53"/>
      <c r="R1032" s="53"/>
      <c r="S1032" s="53"/>
      <c r="T1032" s="53"/>
      <c r="U1032" s="53"/>
      <c r="V1032" s="53"/>
      <c r="W1032" s="53"/>
      <c r="X1032" s="53"/>
      <c r="Y1032" s="53"/>
      <c r="Z1032" s="53"/>
      <c r="AA1032" s="53"/>
      <c r="AB1032" s="53"/>
      <c r="AC1032" s="53"/>
    </row>
    <row r="1033">
      <c r="A1033" s="53"/>
      <c r="B1033" s="53"/>
      <c r="C1033" s="131"/>
      <c r="D1033" s="131"/>
      <c r="E1033" s="131"/>
      <c r="F1033" s="131"/>
      <c r="G1033" s="131"/>
      <c r="H1033" s="131"/>
      <c r="I1033" s="131"/>
      <c r="J1033" s="132"/>
      <c r="K1033" s="132"/>
      <c r="L1033" s="131"/>
      <c r="M1033" s="131"/>
      <c r="N1033" s="131"/>
      <c r="O1033" s="53"/>
      <c r="P1033" s="53"/>
      <c r="Q1033" s="53"/>
      <c r="R1033" s="53"/>
      <c r="S1033" s="53"/>
      <c r="T1033" s="53"/>
      <c r="U1033" s="53"/>
      <c r="V1033" s="53"/>
      <c r="W1033" s="53"/>
      <c r="X1033" s="53"/>
      <c r="Y1033" s="53"/>
      <c r="Z1033" s="53"/>
      <c r="AA1033" s="53"/>
      <c r="AB1033" s="53"/>
      <c r="AC1033" s="53"/>
    </row>
    <row r="1034">
      <c r="A1034" s="53"/>
      <c r="B1034" s="53"/>
      <c r="C1034" s="131"/>
      <c r="D1034" s="131"/>
      <c r="E1034" s="131"/>
      <c r="F1034" s="131"/>
      <c r="G1034" s="131"/>
      <c r="H1034" s="131"/>
      <c r="I1034" s="131"/>
      <c r="J1034" s="132"/>
      <c r="K1034" s="132"/>
      <c r="L1034" s="131"/>
      <c r="M1034" s="131"/>
      <c r="N1034" s="131"/>
      <c r="O1034" s="53"/>
      <c r="P1034" s="53"/>
      <c r="Q1034" s="53"/>
      <c r="R1034" s="53"/>
      <c r="S1034" s="53"/>
      <c r="T1034" s="53"/>
      <c r="U1034" s="53"/>
      <c r="V1034" s="53"/>
      <c r="W1034" s="53"/>
      <c r="X1034" s="53"/>
      <c r="Y1034" s="53"/>
      <c r="Z1034" s="53"/>
      <c r="AA1034" s="53"/>
      <c r="AB1034" s="53"/>
      <c r="AC1034" s="53"/>
    </row>
    <row r="1035">
      <c r="A1035" s="53"/>
      <c r="B1035" s="53"/>
      <c r="C1035" s="131"/>
      <c r="D1035" s="131"/>
      <c r="E1035" s="131"/>
      <c r="F1035" s="131"/>
      <c r="G1035" s="131"/>
      <c r="H1035" s="131"/>
      <c r="I1035" s="131"/>
      <c r="J1035" s="132"/>
      <c r="K1035" s="132"/>
      <c r="L1035" s="131"/>
      <c r="M1035" s="131"/>
      <c r="N1035" s="131"/>
      <c r="O1035" s="53"/>
      <c r="P1035" s="53"/>
      <c r="Q1035" s="53"/>
      <c r="R1035" s="53"/>
      <c r="S1035" s="53"/>
      <c r="T1035" s="53"/>
      <c r="U1035" s="53"/>
      <c r="V1035" s="53"/>
      <c r="W1035" s="53"/>
      <c r="X1035" s="53"/>
      <c r="Y1035" s="53"/>
      <c r="Z1035" s="53"/>
      <c r="AA1035" s="53"/>
      <c r="AB1035" s="53"/>
      <c r="AC1035" s="53"/>
    </row>
    <row r="1036">
      <c r="A1036" s="53"/>
      <c r="B1036" s="53"/>
      <c r="C1036" s="131"/>
      <c r="D1036" s="131"/>
      <c r="E1036" s="131"/>
      <c r="F1036" s="131"/>
      <c r="G1036" s="131"/>
      <c r="H1036" s="131"/>
      <c r="I1036" s="131"/>
      <c r="J1036" s="132"/>
      <c r="K1036" s="132"/>
      <c r="L1036" s="131"/>
      <c r="M1036" s="131"/>
      <c r="N1036" s="131"/>
      <c r="O1036" s="53"/>
      <c r="P1036" s="53"/>
      <c r="Q1036" s="53"/>
      <c r="R1036" s="53"/>
      <c r="S1036" s="53"/>
      <c r="T1036" s="53"/>
      <c r="U1036" s="53"/>
      <c r="V1036" s="53"/>
      <c r="W1036" s="53"/>
      <c r="X1036" s="53"/>
      <c r="Y1036" s="53"/>
      <c r="Z1036" s="53"/>
      <c r="AA1036" s="53"/>
      <c r="AB1036" s="53"/>
      <c r="AC1036" s="53"/>
    </row>
    <row r="1037">
      <c r="A1037" s="53"/>
      <c r="B1037" s="53"/>
      <c r="C1037" s="131"/>
      <c r="D1037" s="131"/>
      <c r="E1037" s="131"/>
      <c r="F1037" s="131"/>
      <c r="G1037" s="131"/>
      <c r="H1037" s="131"/>
      <c r="I1037" s="131"/>
      <c r="J1037" s="132"/>
      <c r="K1037" s="132"/>
      <c r="L1037" s="131"/>
      <c r="M1037" s="131"/>
      <c r="N1037" s="131"/>
      <c r="O1037" s="53"/>
      <c r="P1037" s="53"/>
      <c r="Q1037" s="53"/>
      <c r="R1037" s="53"/>
      <c r="S1037" s="53"/>
      <c r="T1037" s="53"/>
      <c r="U1037" s="53"/>
      <c r="V1037" s="53"/>
      <c r="W1037" s="53"/>
      <c r="X1037" s="53"/>
      <c r="Y1037" s="53"/>
      <c r="Z1037" s="53"/>
      <c r="AA1037" s="53"/>
      <c r="AB1037" s="53"/>
      <c r="AC1037" s="53"/>
    </row>
    <row r="1038">
      <c r="A1038" s="53"/>
      <c r="B1038" s="53"/>
      <c r="C1038" s="131"/>
      <c r="D1038" s="131"/>
      <c r="E1038" s="131"/>
      <c r="F1038" s="131"/>
      <c r="G1038" s="131"/>
      <c r="H1038" s="131"/>
      <c r="I1038" s="131"/>
      <c r="J1038" s="132"/>
      <c r="K1038" s="132"/>
      <c r="L1038" s="131"/>
      <c r="M1038" s="131"/>
      <c r="N1038" s="131"/>
      <c r="O1038" s="53"/>
      <c r="P1038" s="53"/>
      <c r="Q1038" s="53"/>
      <c r="R1038" s="53"/>
      <c r="S1038" s="53"/>
      <c r="T1038" s="53"/>
      <c r="U1038" s="53"/>
      <c r="V1038" s="53"/>
      <c r="W1038" s="53"/>
      <c r="X1038" s="53"/>
      <c r="Y1038" s="53"/>
      <c r="Z1038" s="53"/>
      <c r="AA1038" s="53"/>
      <c r="AB1038" s="53"/>
      <c r="AC1038" s="53"/>
    </row>
    <row r="1039">
      <c r="A1039" s="53"/>
      <c r="B1039" s="53"/>
      <c r="C1039" s="131"/>
      <c r="D1039" s="131"/>
      <c r="E1039" s="131"/>
      <c r="F1039" s="131"/>
      <c r="G1039" s="131"/>
      <c r="H1039" s="131"/>
      <c r="I1039" s="131"/>
      <c r="J1039" s="132"/>
      <c r="K1039" s="132"/>
      <c r="L1039" s="131"/>
      <c r="M1039" s="131"/>
      <c r="N1039" s="131"/>
      <c r="O1039" s="53"/>
      <c r="P1039" s="53"/>
      <c r="Q1039" s="53"/>
      <c r="R1039" s="53"/>
      <c r="S1039" s="53"/>
      <c r="T1039" s="53"/>
      <c r="U1039" s="53"/>
      <c r="V1039" s="53"/>
      <c r="W1039" s="53"/>
      <c r="X1039" s="53"/>
      <c r="Y1039" s="53"/>
      <c r="Z1039" s="53"/>
      <c r="AA1039" s="53"/>
      <c r="AB1039" s="53"/>
      <c r="AC1039" s="53"/>
    </row>
    <row r="1040">
      <c r="A1040" s="53"/>
      <c r="B1040" s="53"/>
      <c r="C1040" s="131"/>
      <c r="D1040" s="131"/>
      <c r="E1040" s="131"/>
      <c r="F1040" s="131"/>
      <c r="G1040" s="131"/>
      <c r="H1040" s="131"/>
      <c r="I1040" s="131"/>
      <c r="J1040" s="132"/>
      <c r="K1040" s="132"/>
      <c r="L1040" s="131"/>
      <c r="M1040" s="131"/>
      <c r="N1040" s="131"/>
      <c r="O1040" s="53"/>
      <c r="P1040" s="53"/>
      <c r="Q1040" s="53"/>
      <c r="R1040" s="53"/>
      <c r="S1040" s="53"/>
      <c r="T1040" s="53"/>
      <c r="U1040" s="53"/>
      <c r="V1040" s="53"/>
      <c r="W1040" s="53"/>
      <c r="X1040" s="53"/>
      <c r="Y1040" s="53"/>
      <c r="Z1040" s="53"/>
      <c r="AA1040" s="53"/>
      <c r="AB1040" s="53"/>
      <c r="AC1040" s="53"/>
    </row>
    <row r="1041">
      <c r="A1041" s="53"/>
      <c r="B1041" s="53"/>
      <c r="C1041" s="131"/>
      <c r="D1041" s="131"/>
      <c r="E1041" s="131"/>
      <c r="F1041" s="131"/>
      <c r="G1041" s="131"/>
      <c r="H1041" s="131"/>
      <c r="I1041" s="131"/>
      <c r="J1041" s="132"/>
      <c r="K1041" s="132"/>
      <c r="L1041" s="131"/>
      <c r="M1041" s="131"/>
      <c r="N1041" s="131"/>
      <c r="O1041" s="53"/>
      <c r="P1041" s="53"/>
      <c r="Q1041" s="53"/>
      <c r="R1041" s="53"/>
      <c r="S1041" s="53"/>
      <c r="T1041" s="53"/>
      <c r="U1041" s="53"/>
      <c r="V1041" s="53"/>
      <c r="W1041" s="53"/>
      <c r="X1041" s="53"/>
      <c r="Y1041" s="53"/>
      <c r="Z1041" s="53"/>
      <c r="AA1041" s="53"/>
      <c r="AB1041" s="53"/>
      <c r="AC1041" s="53"/>
    </row>
    <row r="1042">
      <c r="A1042" s="53"/>
      <c r="B1042" s="53"/>
      <c r="C1042" s="131"/>
      <c r="D1042" s="131"/>
      <c r="E1042" s="131"/>
      <c r="F1042" s="131"/>
      <c r="G1042" s="131"/>
      <c r="H1042" s="131"/>
      <c r="I1042" s="131"/>
      <c r="J1042" s="132"/>
      <c r="K1042" s="132"/>
      <c r="L1042" s="131"/>
      <c r="M1042" s="131"/>
      <c r="N1042" s="131"/>
      <c r="O1042" s="53"/>
      <c r="P1042" s="53"/>
      <c r="Q1042" s="53"/>
      <c r="R1042" s="53"/>
      <c r="S1042" s="53"/>
      <c r="T1042" s="53"/>
      <c r="U1042" s="53"/>
      <c r="V1042" s="53"/>
      <c r="W1042" s="53"/>
      <c r="X1042" s="53"/>
      <c r="Y1042" s="53"/>
      <c r="Z1042" s="53"/>
      <c r="AA1042" s="53"/>
      <c r="AB1042" s="53"/>
      <c r="AC1042" s="53"/>
    </row>
    <row r="1043">
      <c r="A1043" s="53"/>
      <c r="B1043" s="53"/>
      <c r="C1043" s="131"/>
      <c r="D1043" s="131"/>
      <c r="E1043" s="131"/>
      <c r="F1043" s="131"/>
      <c r="G1043" s="131"/>
      <c r="H1043" s="131"/>
      <c r="I1043" s="131"/>
      <c r="J1043" s="132"/>
      <c r="K1043" s="132"/>
      <c r="L1043" s="131"/>
      <c r="M1043" s="131"/>
      <c r="N1043" s="131"/>
      <c r="O1043" s="53"/>
      <c r="P1043" s="53"/>
      <c r="Q1043" s="53"/>
      <c r="R1043" s="53"/>
      <c r="S1043" s="53"/>
      <c r="T1043" s="53"/>
      <c r="U1043" s="53"/>
      <c r="V1043" s="53"/>
      <c r="W1043" s="53"/>
      <c r="X1043" s="53"/>
      <c r="Y1043" s="53"/>
      <c r="Z1043" s="53"/>
      <c r="AA1043" s="53"/>
      <c r="AB1043" s="53"/>
      <c r="AC1043" s="53"/>
    </row>
    <row r="1044">
      <c r="A1044" s="53"/>
      <c r="B1044" s="53"/>
      <c r="C1044" s="131"/>
      <c r="D1044" s="131"/>
      <c r="E1044" s="131"/>
      <c r="F1044" s="131"/>
      <c r="G1044" s="131"/>
      <c r="H1044" s="131"/>
      <c r="I1044" s="131"/>
      <c r="J1044" s="132"/>
      <c r="K1044" s="132"/>
      <c r="L1044" s="131"/>
      <c r="M1044" s="131"/>
      <c r="N1044" s="131"/>
      <c r="O1044" s="53"/>
      <c r="P1044" s="53"/>
      <c r="Q1044" s="53"/>
      <c r="R1044" s="53"/>
      <c r="S1044" s="53"/>
      <c r="T1044" s="53"/>
      <c r="U1044" s="53"/>
      <c r="V1044" s="53"/>
      <c r="W1044" s="53"/>
      <c r="X1044" s="53"/>
      <c r="Y1044" s="53"/>
      <c r="Z1044" s="53"/>
      <c r="AA1044" s="53"/>
      <c r="AB1044" s="53"/>
      <c r="AC1044" s="53"/>
    </row>
    <row r="1045">
      <c r="A1045" s="53"/>
      <c r="B1045" s="53"/>
      <c r="C1045" s="131"/>
      <c r="D1045" s="131"/>
      <c r="E1045" s="131"/>
      <c r="F1045" s="131"/>
      <c r="G1045" s="131"/>
      <c r="H1045" s="131"/>
      <c r="I1045" s="131"/>
      <c r="J1045" s="132"/>
      <c r="K1045" s="132"/>
      <c r="L1045" s="131"/>
      <c r="M1045" s="131"/>
      <c r="N1045" s="131"/>
      <c r="O1045" s="53"/>
      <c r="P1045" s="53"/>
      <c r="Q1045" s="53"/>
      <c r="R1045" s="53"/>
      <c r="S1045" s="53"/>
      <c r="T1045" s="53"/>
      <c r="U1045" s="53"/>
      <c r="V1045" s="53"/>
      <c r="W1045" s="53"/>
      <c r="X1045" s="53"/>
      <c r="Y1045" s="53"/>
      <c r="Z1045" s="53"/>
      <c r="AA1045" s="53"/>
      <c r="AB1045" s="53"/>
      <c r="AC1045" s="53"/>
    </row>
    <row r="1046">
      <c r="A1046" s="53"/>
      <c r="B1046" s="53"/>
      <c r="C1046" s="131"/>
      <c r="D1046" s="131"/>
      <c r="E1046" s="131"/>
      <c r="F1046" s="131"/>
      <c r="G1046" s="131"/>
      <c r="H1046" s="131"/>
      <c r="I1046" s="131"/>
      <c r="J1046" s="132"/>
      <c r="K1046" s="132"/>
      <c r="L1046" s="131"/>
      <c r="M1046" s="131"/>
      <c r="N1046" s="131"/>
      <c r="O1046" s="53"/>
      <c r="P1046" s="53"/>
      <c r="Q1046" s="53"/>
      <c r="R1046" s="53"/>
      <c r="S1046" s="53"/>
      <c r="T1046" s="53"/>
      <c r="U1046" s="53"/>
      <c r="V1046" s="53"/>
      <c r="W1046" s="53"/>
      <c r="X1046" s="53"/>
      <c r="Y1046" s="53"/>
      <c r="Z1046" s="53"/>
      <c r="AA1046" s="53"/>
      <c r="AB1046" s="53"/>
      <c r="AC1046" s="53"/>
    </row>
    <row r="1047">
      <c r="A1047" s="53"/>
      <c r="B1047" s="53"/>
      <c r="C1047" s="131"/>
      <c r="D1047" s="131"/>
      <c r="E1047" s="131"/>
      <c r="F1047" s="131"/>
      <c r="G1047" s="131"/>
      <c r="H1047" s="131"/>
      <c r="I1047" s="131"/>
      <c r="J1047" s="132"/>
      <c r="K1047" s="132"/>
      <c r="L1047" s="131"/>
      <c r="M1047" s="131"/>
      <c r="N1047" s="131"/>
      <c r="O1047" s="53"/>
      <c r="P1047" s="53"/>
      <c r="Q1047" s="53"/>
      <c r="R1047" s="53"/>
      <c r="S1047" s="53"/>
      <c r="T1047" s="53"/>
      <c r="U1047" s="53"/>
      <c r="V1047" s="53"/>
      <c r="W1047" s="53"/>
      <c r="X1047" s="53"/>
      <c r="Y1047" s="53"/>
      <c r="Z1047" s="53"/>
      <c r="AA1047" s="53"/>
      <c r="AB1047" s="53"/>
      <c r="AC1047" s="53"/>
    </row>
    <row r="1048">
      <c r="A1048" s="53"/>
      <c r="B1048" s="53"/>
      <c r="C1048" s="131"/>
      <c r="D1048" s="131"/>
      <c r="E1048" s="131"/>
      <c r="F1048" s="131"/>
      <c r="G1048" s="131"/>
      <c r="H1048" s="131"/>
      <c r="I1048" s="131"/>
      <c r="J1048" s="132"/>
      <c r="K1048" s="132"/>
      <c r="L1048" s="131"/>
      <c r="M1048" s="131"/>
      <c r="N1048" s="131"/>
      <c r="O1048" s="53"/>
      <c r="P1048" s="53"/>
      <c r="Q1048" s="53"/>
      <c r="R1048" s="53"/>
      <c r="S1048" s="53"/>
      <c r="T1048" s="53"/>
      <c r="U1048" s="53"/>
      <c r="V1048" s="53"/>
      <c r="W1048" s="53"/>
      <c r="X1048" s="53"/>
      <c r="Y1048" s="53"/>
      <c r="Z1048" s="53"/>
      <c r="AA1048" s="53"/>
      <c r="AB1048" s="53"/>
      <c r="AC1048" s="53"/>
    </row>
    <row r="1049">
      <c r="A1049" s="53"/>
      <c r="B1049" s="53"/>
      <c r="C1049" s="131"/>
      <c r="D1049" s="131"/>
      <c r="E1049" s="131"/>
      <c r="F1049" s="131"/>
      <c r="G1049" s="131"/>
      <c r="H1049" s="131"/>
      <c r="I1049" s="131"/>
      <c r="J1049" s="132"/>
      <c r="K1049" s="132"/>
      <c r="L1049" s="131"/>
      <c r="M1049" s="131"/>
      <c r="N1049" s="131"/>
      <c r="O1049" s="53"/>
      <c r="P1049" s="53"/>
      <c r="Q1049" s="53"/>
      <c r="R1049" s="53"/>
      <c r="S1049" s="53"/>
      <c r="T1049" s="53"/>
      <c r="U1049" s="53"/>
      <c r="V1049" s="53"/>
      <c r="W1049" s="53"/>
      <c r="X1049" s="53"/>
      <c r="Y1049" s="53"/>
      <c r="Z1049" s="53"/>
      <c r="AA1049" s="53"/>
      <c r="AB1049" s="53"/>
      <c r="AC1049" s="53"/>
    </row>
    <row r="1050">
      <c r="A1050" s="53"/>
      <c r="B1050" s="53"/>
      <c r="C1050" s="131"/>
      <c r="D1050" s="131"/>
      <c r="E1050" s="131"/>
      <c r="F1050" s="131"/>
      <c r="G1050" s="131"/>
      <c r="H1050" s="131"/>
      <c r="I1050" s="131"/>
      <c r="J1050" s="132"/>
      <c r="K1050" s="132"/>
      <c r="L1050" s="131"/>
      <c r="M1050" s="131"/>
      <c r="N1050" s="131"/>
      <c r="O1050" s="53"/>
      <c r="P1050" s="53"/>
      <c r="Q1050" s="53"/>
      <c r="R1050" s="53"/>
      <c r="S1050" s="53"/>
      <c r="T1050" s="53"/>
      <c r="U1050" s="53"/>
      <c r="V1050" s="53"/>
      <c r="W1050" s="53"/>
      <c r="X1050" s="53"/>
      <c r="Y1050" s="53"/>
      <c r="Z1050" s="53"/>
      <c r="AA1050" s="53"/>
      <c r="AB1050" s="53"/>
      <c r="AC1050" s="53"/>
    </row>
    <row r="1051">
      <c r="A1051" s="53"/>
      <c r="B1051" s="53"/>
      <c r="C1051" s="131"/>
      <c r="D1051" s="131"/>
      <c r="E1051" s="131"/>
      <c r="F1051" s="131"/>
      <c r="G1051" s="131"/>
      <c r="H1051" s="131"/>
      <c r="I1051" s="131"/>
      <c r="J1051" s="132"/>
      <c r="K1051" s="132"/>
      <c r="L1051" s="131"/>
      <c r="M1051" s="131"/>
      <c r="N1051" s="131"/>
      <c r="O1051" s="53"/>
      <c r="P1051" s="53"/>
      <c r="Q1051" s="53"/>
      <c r="R1051" s="53"/>
      <c r="S1051" s="53"/>
      <c r="T1051" s="53"/>
      <c r="U1051" s="53"/>
      <c r="V1051" s="53"/>
      <c r="W1051" s="53"/>
      <c r="X1051" s="53"/>
      <c r="Y1051" s="53"/>
      <c r="Z1051" s="53"/>
      <c r="AA1051" s="53"/>
      <c r="AB1051" s="53"/>
      <c r="AC1051" s="53"/>
    </row>
    <row r="1052">
      <c r="A1052" s="53"/>
      <c r="B1052" s="53"/>
      <c r="C1052" s="131"/>
      <c r="D1052" s="131"/>
      <c r="E1052" s="131"/>
      <c r="F1052" s="131"/>
      <c r="G1052" s="131"/>
      <c r="H1052" s="131"/>
      <c r="I1052" s="131"/>
      <c r="J1052" s="132"/>
      <c r="K1052" s="132"/>
      <c r="L1052" s="131"/>
      <c r="M1052" s="131"/>
      <c r="N1052" s="131"/>
      <c r="O1052" s="53"/>
      <c r="P1052" s="53"/>
      <c r="Q1052" s="53"/>
      <c r="R1052" s="53"/>
      <c r="S1052" s="53"/>
      <c r="T1052" s="53"/>
      <c r="U1052" s="53"/>
      <c r="V1052" s="53"/>
      <c r="W1052" s="53"/>
      <c r="X1052" s="53"/>
      <c r="Y1052" s="53"/>
      <c r="Z1052" s="53"/>
      <c r="AA1052" s="53"/>
      <c r="AB1052" s="53"/>
      <c r="AC1052" s="53"/>
    </row>
    <row r="1053">
      <c r="A1053" s="53"/>
      <c r="B1053" s="53"/>
      <c r="C1053" s="131"/>
      <c r="D1053" s="131"/>
      <c r="E1053" s="131"/>
      <c r="F1053" s="131"/>
      <c r="G1053" s="131"/>
      <c r="H1053" s="131"/>
      <c r="I1053" s="131"/>
      <c r="J1053" s="132"/>
      <c r="K1053" s="132"/>
      <c r="L1053" s="131"/>
      <c r="M1053" s="131"/>
      <c r="N1053" s="131"/>
      <c r="O1053" s="53"/>
      <c r="P1053" s="53"/>
      <c r="Q1053" s="53"/>
      <c r="R1053" s="53"/>
      <c r="S1053" s="53"/>
      <c r="T1053" s="53"/>
      <c r="U1053" s="53"/>
      <c r="V1053" s="53"/>
      <c r="W1053" s="53"/>
      <c r="X1053" s="53"/>
      <c r="Y1053" s="53"/>
      <c r="Z1053" s="53"/>
      <c r="AA1053" s="53"/>
      <c r="AB1053" s="53"/>
      <c r="AC1053" s="53"/>
    </row>
    <row r="1054">
      <c r="A1054" s="53"/>
      <c r="B1054" s="53"/>
      <c r="C1054" s="131"/>
      <c r="D1054" s="131"/>
      <c r="E1054" s="131"/>
      <c r="F1054" s="131"/>
      <c r="G1054" s="131"/>
      <c r="H1054" s="131"/>
      <c r="I1054" s="131"/>
      <c r="J1054" s="132"/>
      <c r="K1054" s="132"/>
      <c r="L1054" s="131"/>
      <c r="M1054" s="131"/>
      <c r="N1054" s="131"/>
      <c r="O1054" s="53"/>
      <c r="P1054" s="53"/>
      <c r="Q1054" s="53"/>
      <c r="R1054" s="53"/>
      <c r="S1054" s="53"/>
      <c r="T1054" s="53"/>
      <c r="U1054" s="53"/>
      <c r="V1054" s="53"/>
      <c r="W1054" s="53"/>
      <c r="X1054" s="53"/>
      <c r="Y1054" s="53"/>
      <c r="Z1054" s="53"/>
      <c r="AA1054" s="53"/>
      <c r="AB1054" s="53"/>
      <c r="AC1054" s="53"/>
    </row>
    <row r="1055">
      <c r="A1055" s="53"/>
      <c r="B1055" s="53"/>
      <c r="C1055" s="131"/>
      <c r="D1055" s="131"/>
      <c r="E1055" s="131"/>
      <c r="F1055" s="131"/>
      <c r="G1055" s="131"/>
      <c r="H1055" s="131"/>
      <c r="I1055" s="131"/>
      <c r="J1055" s="132"/>
      <c r="K1055" s="132"/>
      <c r="L1055" s="131"/>
      <c r="M1055" s="131"/>
      <c r="N1055" s="131"/>
      <c r="O1055" s="53"/>
      <c r="P1055" s="53"/>
      <c r="Q1055" s="53"/>
      <c r="R1055" s="53"/>
      <c r="S1055" s="53"/>
      <c r="T1055" s="53"/>
      <c r="U1055" s="53"/>
      <c r="V1055" s="53"/>
      <c r="W1055" s="53"/>
      <c r="X1055" s="53"/>
      <c r="Y1055" s="53"/>
      <c r="Z1055" s="53"/>
      <c r="AA1055" s="53"/>
      <c r="AB1055" s="53"/>
      <c r="AC1055" s="53"/>
    </row>
    <row r="1056">
      <c r="A1056" s="53"/>
      <c r="B1056" s="53"/>
      <c r="C1056" s="131"/>
      <c r="D1056" s="131"/>
      <c r="E1056" s="131"/>
      <c r="F1056" s="131"/>
      <c r="G1056" s="131"/>
      <c r="H1056" s="131"/>
      <c r="I1056" s="131"/>
      <c r="J1056" s="132"/>
      <c r="K1056" s="132"/>
      <c r="L1056" s="131"/>
      <c r="M1056" s="131"/>
      <c r="N1056" s="131"/>
      <c r="O1056" s="53"/>
      <c r="P1056" s="53"/>
      <c r="Q1056" s="53"/>
      <c r="R1056" s="53"/>
      <c r="S1056" s="53"/>
      <c r="T1056" s="53"/>
      <c r="U1056" s="53"/>
      <c r="V1056" s="53"/>
      <c r="W1056" s="53"/>
      <c r="X1056" s="53"/>
      <c r="Y1056" s="53"/>
      <c r="Z1056" s="53"/>
      <c r="AA1056" s="53"/>
      <c r="AB1056" s="53"/>
      <c r="AC1056" s="53"/>
    </row>
    <row r="1057">
      <c r="A1057" s="53"/>
      <c r="B1057" s="53"/>
      <c r="C1057" s="131"/>
      <c r="D1057" s="131"/>
      <c r="E1057" s="131"/>
      <c r="F1057" s="131"/>
      <c r="G1057" s="131"/>
      <c r="H1057" s="131"/>
      <c r="I1057" s="131"/>
      <c r="J1057" s="132"/>
      <c r="K1057" s="132"/>
      <c r="L1057" s="131"/>
      <c r="M1057" s="131"/>
      <c r="N1057" s="131"/>
      <c r="O1057" s="53"/>
      <c r="P1057" s="53"/>
      <c r="Q1057" s="53"/>
      <c r="R1057" s="53"/>
      <c r="S1057" s="53"/>
      <c r="T1057" s="53"/>
      <c r="U1057" s="53"/>
      <c r="V1057" s="53"/>
      <c r="W1057" s="53"/>
      <c r="X1057" s="53"/>
      <c r="Y1057" s="53"/>
      <c r="Z1057" s="53"/>
      <c r="AA1057" s="53"/>
      <c r="AB1057" s="53"/>
      <c r="AC1057" s="53"/>
    </row>
    <row r="1058">
      <c r="A1058" s="53"/>
      <c r="B1058" s="53"/>
      <c r="C1058" s="131"/>
      <c r="D1058" s="131"/>
      <c r="E1058" s="131"/>
      <c r="F1058" s="131"/>
      <c r="G1058" s="131"/>
      <c r="H1058" s="131"/>
      <c r="I1058" s="131"/>
      <c r="J1058" s="132"/>
      <c r="K1058" s="132"/>
      <c r="L1058" s="131"/>
      <c r="M1058" s="131"/>
      <c r="N1058" s="131"/>
      <c r="O1058" s="53"/>
      <c r="P1058" s="53"/>
      <c r="Q1058" s="53"/>
      <c r="R1058" s="53"/>
      <c r="S1058" s="53"/>
      <c r="T1058" s="53"/>
      <c r="U1058" s="53"/>
      <c r="V1058" s="53"/>
      <c r="W1058" s="53"/>
      <c r="X1058" s="53"/>
      <c r="Y1058" s="53"/>
      <c r="Z1058" s="53"/>
      <c r="AA1058" s="53"/>
      <c r="AB1058" s="53"/>
      <c r="AC1058" s="53"/>
    </row>
    <row r="1059">
      <c r="A1059" s="53"/>
      <c r="B1059" s="53"/>
      <c r="C1059" s="131"/>
      <c r="D1059" s="131"/>
      <c r="E1059" s="131"/>
      <c r="F1059" s="131"/>
      <c r="G1059" s="131"/>
      <c r="H1059" s="131"/>
      <c r="I1059" s="131"/>
      <c r="J1059" s="132"/>
      <c r="K1059" s="132"/>
      <c r="L1059" s="131"/>
      <c r="M1059" s="131"/>
      <c r="N1059" s="131"/>
      <c r="O1059" s="53"/>
      <c r="P1059" s="53"/>
      <c r="Q1059" s="53"/>
      <c r="R1059" s="53"/>
      <c r="S1059" s="53"/>
      <c r="T1059" s="53"/>
      <c r="U1059" s="53"/>
      <c r="V1059" s="53"/>
      <c r="W1059" s="53"/>
      <c r="X1059" s="53"/>
      <c r="Y1059" s="53"/>
      <c r="Z1059" s="53"/>
      <c r="AA1059" s="53"/>
      <c r="AB1059" s="53"/>
      <c r="AC1059" s="53"/>
    </row>
    <row r="1060">
      <c r="A1060" s="53"/>
      <c r="B1060" s="53"/>
      <c r="C1060" s="131"/>
      <c r="D1060" s="131"/>
      <c r="E1060" s="131"/>
      <c r="F1060" s="131"/>
      <c r="G1060" s="131"/>
      <c r="H1060" s="131"/>
      <c r="I1060" s="131"/>
      <c r="J1060" s="132"/>
      <c r="K1060" s="132"/>
      <c r="L1060" s="131"/>
      <c r="M1060" s="131"/>
      <c r="N1060" s="131"/>
      <c r="O1060" s="53"/>
      <c r="P1060" s="53"/>
      <c r="Q1060" s="53"/>
      <c r="R1060" s="53"/>
      <c r="S1060" s="53"/>
      <c r="T1060" s="53"/>
      <c r="U1060" s="53"/>
      <c r="V1060" s="53"/>
      <c r="W1060" s="53"/>
      <c r="X1060" s="53"/>
      <c r="Y1060" s="53"/>
      <c r="Z1060" s="53"/>
      <c r="AA1060" s="53"/>
      <c r="AB1060" s="53"/>
      <c r="AC1060" s="53"/>
    </row>
    <row r="1061">
      <c r="A1061" s="53"/>
      <c r="B1061" s="53"/>
      <c r="C1061" s="131"/>
      <c r="D1061" s="131"/>
      <c r="E1061" s="131"/>
      <c r="F1061" s="131"/>
      <c r="G1061" s="131"/>
      <c r="H1061" s="131"/>
      <c r="I1061" s="131"/>
      <c r="J1061" s="132"/>
      <c r="K1061" s="132"/>
      <c r="L1061" s="131"/>
      <c r="M1061" s="131"/>
      <c r="N1061" s="131"/>
      <c r="O1061" s="53"/>
      <c r="P1061" s="53"/>
      <c r="Q1061" s="53"/>
      <c r="R1061" s="53"/>
      <c r="S1061" s="53"/>
      <c r="T1061" s="53"/>
      <c r="U1061" s="53"/>
      <c r="V1061" s="53"/>
      <c r="W1061" s="53"/>
      <c r="X1061" s="53"/>
      <c r="Y1061" s="53"/>
      <c r="Z1061" s="53"/>
      <c r="AA1061" s="53"/>
      <c r="AB1061" s="53"/>
      <c r="AC1061" s="53"/>
    </row>
    <row r="1062">
      <c r="A1062" s="53"/>
      <c r="B1062" s="53"/>
      <c r="C1062" s="131"/>
      <c r="D1062" s="131"/>
      <c r="E1062" s="131"/>
      <c r="F1062" s="131"/>
      <c r="G1062" s="131"/>
      <c r="H1062" s="131"/>
      <c r="I1062" s="131"/>
      <c r="J1062" s="132"/>
      <c r="K1062" s="132"/>
      <c r="L1062" s="131"/>
      <c r="M1062" s="131"/>
      <c r="N1062" s="131"/>
      <c r="O1062" s="53"/>
      <c r="P1062" s="53"/>
      <c r="Q1062" s="53"/>
      <c r="R1062" s="53"/>
      <c r="S1062" s="53"/>
      <c r="T1062" s="53"/>
      <c r="U1062" s="53"/>
      <c r="V1062" s="53"/>
      <c r="W1062" s="53"/>
      <c r="X1062" s="53"/>
      <c r="Y1062" s="53"/>
      <c r="Z1062" s="53"/>
      <c r="AA1062" s="53"/>
      <c r="AB1062" s="53"/>
      <c r="AC1062" s="53"/>
    </row>
    <row r="1063">
      <c r="A1063" s="53"/>
      <c r="B1063" s="53"/>
      <c r="C1063" s="131"/>
      <c r="D1063" s="131"/>
      <c r="E1063" s="131"/>
      <c r="F1063" s="131"/>
      <c r="G1063" s="131"/>
      <c r="H1063" s="131"/>
      <c r="I1063" s="131"/>
      <c r="J1063" s="132"/>
      <c r="K1063" s="132"/>
      <c r="L1063" s="131"/>
      <c r="M1063" s="131"/>
      <c r="N1063" s="131"/>
      <c r="O1063" s="53"/>
      <c r="P1063" s="53"/>
      <c r="Q1063" s="53"/>
      <c r="R1063" s="53"/>
      <c r="S1063" s="53"/>
      <c r="T1063" s="53"/>
      <c r="U1063" s="53"/>
      <c r="V1063" s="53"/>
      <c r="W1063" s="53"/>
      <c r="X1063" s="53"/>
      <c r="Y1063" s="53"/>
      <c r="Z1063" s="53"/>
      <c r="AA1063" s="53"/>
      <c r="AB1063" s="53"/>
      <c r="AC1063" s="53"/>
    </row>
    <row r="1064">
      <c r="A1064" s="53"/>
      <c r="B1064" s="53"/>
      <c r="C1064" s="131"/>
      <c r="D1064" s="131"/>
      <c r="E1064" s="131"/>
      <c r="F1064" s="131"/>
      <c r="G1064" s="131"/>
      <c r="H1064" s="131"/>
      <c r="I1064" s="131"/>
      <c r="J1064" s="132"/>
      <c r="K1064" s="132"/>
      <c r="L1064" s="131"/>
      <c r="M1064" s="131"/>
      <c r="N1064" s="131"/>
      <c r="O1064" s="53"/>
      <c r="P1064" s="53"/>
      <c r="Q1064" s="53"/>
      <c r="R1064" s="53"/>
      <c r="S1064" s="53"/>
      <c r="T1064" s="53"/>
      <c r="U1064" s="53"/>
      <c r="V1064" s="53"/>
      <c r="W1064" s="53"/>
      <c r="X1064" s="53"/>
      <c r="Y1064" s="53"/>
      <c r="Z1064" s="53"/>
      <c r="AA1064" s="53"/>
      <c r="AB1064" s="53"/>
      <c r="AC1064" s="53"/>
    </row>
    <row r="1065">
      <c r="A1065" s="53"/>
      <c r="B1065" s="53"/>
      <c r="C1065" s="131"/>
      <c r="D1065" s="131"/>
      <c r="E1065" s="131"/>
      <c r="F1065" s="131"/>
      <c r="G1065" s="131"/>
      <c r="H1065" s="131"/>
      <c r="I1065" s="131"/>
      <c r="J1065" s="132"/>
      <c r="K1065" s="132"/>
      <c r="L1065" s="131"/>
      <c r="M1065" s="131"/>
      <c r="N1065" s="131"/>
      <c r="O1065" s="53"/>
      <c r="P1065" s="53"/>
      <c r="Q1065" s="53"/>
      <c r="R1065" s="53"/>
      <c r="S1065" s="53"/>
      <c r="T1065" s="53"/>
      <c r="U1065" s="53"/>
      <c r="V1065" s="53"/>
      <c r="W1065" s="53"/>
      <c r="X1065" s="53"/>
      <c r="Y1065" s="53"/>
      <c r="Z1065" s="53"/>
      <c r="AA1065" s="53"/>
      <c r="AB1065" s="53"/>
      <c r="AC1065" s="53"/>
    </row>
    <row r="1066">
      <c r="A1066" s="53"/>
      <c r="B1066" s="53"/>
      <c r="C1066" s="131"/>
      <c r="D1066" s="131"/>
      <c r="E1066" s="131"/>
      <c r="F1066" s="131"/>
      <c r="G1066" s="131"/>
      <c r="H1066" s="131"/>
      <c r="I1066" s="131"/>
      <c r="J1066" s="132"/>
      <c r="K1066" s="132"/>
      <c r="L1066" s="131"/>
      <c r="M1066" s="131"/>
      <c r="N1066" s="131"/>
      <c r="O1066" s="53"/>
      <c r="P1066" s="53"/>
      <c r="Q1066" s="53"/>
      <c r="R1066" s="53"/>
      <c r="S1066" s="53"/>
      <c r="T1066" s="53"/>
      <c r="U1066" s="53"/>
      <c r="V1066" s="53"/>
      <c r="W1066" s="53"/>
      <c r="X1066" s="53"/>
      <c r="Y1066" s="53"/>
      <c r="Z1066" s="53"/>
      <c r="AA1066" s="53"/>
      <c r="AB1066" s="53"/>
      <c r="AC1066" s="53"/>
    </row>
    <row r="1067">
      <c r="A1067" s="53"/>
      <c r="B1067" s="53"/>
      <c r="C1067" s="131"/>
      <c r="D1067" s="131"/>
      <c r="E1067" s="131"/>
      <c r="F1067" s="131"/>
      <c r="G1067" s="131"/>
      <c r="H1067" s="131"/>
      <c r="I1067" s="131"/>
      <c r="J1067" s="132"/>
      <c r="K1067" s="132"/>
      <c r="L1067" s="131"/>
      <c r="M1067" s="131"/>
      <c r="N1067" s="131"/>
      <c r="O1067" s="53"/>
      <c r="P1067" s="53"/>
      <c r="Q1067" s="53"/>
      <c r="R1067" s="53"/>
      <c r="S1067" s="53"/>
      <c r="T1067" s="53"/>
      <c r="U1067" s="53"/>
      <c r="V1067" s="53"/>
      <c r="W1067" s="53"/>
      <c r="X1067" s="53"/>
      <c r="Y1067" s="53"/>
      <c r="Z1067" s="53"/>
      <c r="AA1067" s="53"/>
      <c r="AB1067" s="53"/>
      <c r="AC1067" s="53"/>
    </row>
    <row r="1068">
      <c r="A1068" s="53"/>
      <c r="B1068" s="53"/>
      <c r="C1068" s="131"/>
      <c r="D1068" s="131"/>
      <c r="E1068" s="131"/>
      <c r="F1068" s="131"/>
      <c r="G1068" s="131"/>
      <c r="H1068" s="131"/>
      <c r="I1068" s="131"/>
      <c r="J1068" s="132"/>
      <c r="K1068" s="132"/>
      <c r="L1068" s="131"/>
      <c r="M1068" s="131"/>
      <c r="N1068" s="131"/>
      <c r="O1068" s="53"/>
      <c r="P1068" s="53"/>
      <c r="Q1068" s="53"/>
      <c r="R1068" s="53"/>
      <c r="S1068" s="53"/>
      <c r="T1068" s="53"/>
      <c r="U1068" s="53"/>
      <c r="V1068" s="53"/>
      <c r="W1068" s="53"/>
      <c r="X1068" s="53"/>
      <c r="Y1068" s="53"/>
      <c r="Z1068" s="53"/>
      <c r="AA1068" s="53"/>
      <c r="AB1068" s="53"/>
      <c r="AC1068" s="53"/>
    </row>
    <row r="1069">
      <c r="A1069" s="53"/>
      <c r="B1069" s="53"/>
      <c r="C1069" s="131"/>
      <c r="D1069" s="131"/>
      <c r="E1069" s="131"/>
      <c r="F1069" s="131"/>
      <c r="G1069" s="131"/>
      <c r="H1069" s="131"/>
      <c r="I1069" s="131"/>
      <c r="J1069" s="132"/>
      <c r="K1069" s="132"/>
      <c r="L1069" s="131"/>
      <c r="M1069" s="131"/>
      <c r="N1069" s="131"/>
      <c r="O1069" s="53"/>
      <c r="P1069" s="53"/>
      <c r="Q1069" s="53"/>
      <c r="R1069" s="53"/>
      <c r="S1069" s="53"/>
      <c r="T1069" s="53"/>
      <c r="U1069" s="53"/>
      <c r="V1069" s="53"/>
      <c r="W1069" s="53"/>
      <c r="X1069" s="53"/>
      <c r="Y1069" s="53"/>
      <c r="Z1069" s="53"/>
      <c r="AA1069" s="53"/>
      <c r="AB1069" s="53"/>
      <c r="AC1069" s="53"/>
    </row>
    <row r="1070">
      <c r="A1070" s="53"/>
      <c r="B1070" s="53"/>
      <c r="C1070" s="131"/>
      <c r="D1070" s="131"/>
      <c r="E1070" s="131"/>
      <c r="F1070" s="131"/>
      <c r="G1070" s="131"/>
      <c r="H1070" s="131"/>
      <c r="I1070" s="131"/>
      <c r="J1070" s="132"/>
      <c r="K1070" s="132"/>
      <c r="L1070" s="131"/>
      <c r="M1070" s="131"/>
      <c r="N1070" s="131"/>
      <c r="O1070" s="53"/>
      <c r="P1070" s="53"/>
      <c r="Q1070" s="53"/>
      <c r="R1070" s="53"/>
      <c r="S1070" s="53"/>
      <c r="T1070" s="53"/>
      <c r="U1070" s="53"/>
      <c r="V1070" s="53"/>
      <c r="W1070" s="53"/>
      <c r="X1070" s="53"/>
      <c r="Y1070" s="53"/>
      <c r="Z1070" s="53"/>
      <c r="AA1070" s="53"/>
      <c r="AB1070" s="53"/>
      <c r="AC1070" s="53"/>
    </row>
    <row r="1071">
      <c r="A1071" s="53"/>
      <c r="B1071" s="53"/>
      <c r="C1071" s="131"/>
      <c r="D1071" s="131"/>
      <c r="E1071" s="131"/>
      <c r="F1071" s="131"/>
      <c r="G1071" s="131"/>
      <c r="H1071" s="131"/>
      <c r="I1071" s="131"/>
      <c r="J1071" s="132"/>
      <c r="K1071" s="132"/>
      <c r="L1071" s="131"/>
      <c r="M1071" s="131"/>
      <c r="N1071" s="131"/>
      <c r="O1071" s="53"/>
      <c r="P1071" s="53"/>
      <c r="Q1071" s="53"/>
      <c r="R1071" s="53"/>
      <c r="S1071" s="53"/>
      <c r="T1071" s="53"/>
      <c r="U1071" s="53"/>
      <c r="V1071" s="53"/>
      <c r="W1071" s="53"/>
      <c r="X1071" s="53"/>
      <c r="Y1071" s="53"/>
      <c r="Z1071" s="53"/>
      <c r="AA1071" s="53"/>
      <c r="AB1071" s="53"/>
      <c r="AC1071" s="53"/>
    </row>
    <row r="1072">
      <c r="A1072" s="53"/>
      <c r="B1072" s="53"/>
      <c r="C1072" s="131"/>
      <c r="D1072" s="131"/>
      <c r="E1072" s="131"/>
      <c r="F1072" s="131"/>
      <c r="G1072" s="131"/>
      <c r="H1072" s="131"/>
      <c r="I1072" s="131"/>
      <c r="J1072" s="132"/>
      <c r="K1072" s="132"/>
      <c r="L1072" s="131"/>
      <c r="M1072" s="131"/>
      <c r="N1072" s="131"/>
      <c r="O1072" s="53"/>
      <c r="P1072" s="53"/>
      <c r="Q1072" s="53"/>
      <c r="R1072" s="53"/>
      <c r="S1072" s="53"/>
      <c r="T1072" s="53"/>
      <c r="U1072" s="53"/>
      <c r="V1072" s="53"/>
      <c r="W1072" s="53"/>
      <c r="X1072" s="53"/>
      <c r="Y1072" s="53"/>
      <c r="Z1072" s="53"/>
      <c r="AA1072" s="53"/>
      <c r="AB1072" s="53"/>
      <c r="AC1072" s="53"/>
    </row>
    <row r="1073">
      <c r="A1073" s="53"/>
      <c r="B1073" s="53"/>
      <c r="C1073" s="131"/>
      <c r="D1073" s="131"/>
      <c r="E1073" s="131"/>
      <c r="F1073" s="131"/>
      <c r="G1073" s="131"/>
      <c r="H1073" s="131"/>
      <c r="I1073" s="131"/>
      <c r="J1073" s="132"/>
      <c r="K1073" s="132"/>
      <c r="L1073" s="131"/>
      <c r="M1073" s="131"/>
      <c r="N1073" s="131"/>
      <c r="O1073" s="53"/>
      <c r="P1073" s="53"/>
      <c r="Q1073" s="53"/>
      <c r="R1073" s="53"/>
      <c r="S1073" s="53"/>
      <c r="T1073" s="53"/>
      <c r="U1073" s="53"/>
      <c r="V1073" s="53"/>
      <c r="W1073" s="53"/>
      <c r="X1073" s="53"/>
      <c r="Y1073" s="53"/>
      <c r="Z1073" s="53"/>
      <c r="AA1073" s="53"/>
      <c r="AB1073" s="53"/>
      <c r="AC1073" s="53"/>
    </row>
    <row r="1074">
      <c r="A1074" s="53"/>
      <c r="B1074" s="53"/>
      <c r="C1074" s="131"/>
      <c r="D1074" s="131"/>
      <c r="E1074" s="131"/>
      <c r="F1074" s="131"/>
      <c r="G1074" s="131"/>
      <c r="H1074" s="131"/>
      <c r="I1074" s="131"/>
      <c r="J1074" s="132"/>
      <c r="K1074" s="132"/>
      <c r="L1074" s="131"/>
      <c r="M1074" s="131"/>
      <c r="N1074" s="131"/>
      <c r="O1074" s="53"/>
      <c r="P1074" s="53"/>
      <c r="Q1074" s="53"/>
      <c r="R1074" s="53"/>
      <c r="S1074" s="53"/>
      <c r="T1074" s="53"/>
      <c r="U1074" s="53"/>
      <c r="V1074" s="53"/>
      <c r="W1074" s="53"/>
      <c r="X1074" s="53"/>
      <c r="Y1074" s="53"/>
      <c r="Z1074" s="53"/>
      <c r="AA1074" s="53"/>
      <c r="AB1074" s="53"/>
      <c r="AC1074" s="53"/>
    </row>
    <row r="1075">
      <c r="A1075" s="53"/>
      <c r="B1075" s="53"/>
      <c r="C1075" s="131"/>
      <c r="D1075" s="131"/>
      <c r="E1075" s="131"/>
      <c r="F1075" s="131"/>
      <c r="G1075" s="131"/>
      <c r="H1075" s="131"/>
      <c r="I1075" s="131"/>
      <c r="J1075" s="132"/>
      <c r="K1075" s="132"/>
      <c r="L1075" s="131"/>
      <c r="M1075" s="131"/>
      <c r="N1075" s="131"/>
      <c r="O1075" s="53"/>
      <c r="P1075" s="53"/>
      <c r="Q1075" s="53"/>
      <c r="R1075" s="53"/>
      <c r="S1075" s="53"/>
      <c r="T1075" s="53"/>
      <c r="U1075" s="53"/>
      <c r="V1075" s="53"/>
      <c r="W1075" s="53"/>
      <c r="X1075" s="53"/>
      <c r="Y1075" s="53"/>
      <c r="Z1075" s="53"/>
      <c r="AA1075" s="53"/>
      <c r="AB1075" s="53"/>
      <c r="AC1075" s="53"/>
    </row>
    <row r="1076">
      <c r="A1076" s="53"/>
      <c r="B1076" s="53"/>
      <c r="C1076" s="131"/>
      <c r="D1076" s="131"/>
      <c r="E1076" s="131"/>
      <c r="F1076" s="131"/>
      <c r="G1076" s="131"/>
      <c r="H1076" s="131"/>
      <c r="I1076" s="131"/>
      <c r="J1076" s="132"/>
      <c r="K1076" s="132"/>
      <c r="L1076" s="131"/>
      <c r="M1076" s="131"/>
      <c r="N1076" s="131"/>
      <c r="O1076" s="53"/>
      <c r="P1076" s="53"/>
      <c r="Q1076" s="53"/>
      <c r="R1076" s="53"/>
      <c r="S1076" s="53"/>
      <c r="T1076" s="53"/>
      <c r="U1076" s="53"/>
      <c r="V1076" s="53"/>
      <c r="W1076" s="53"/>
      <c r="X1076" s="53"/>
      <c r="Y1076" s="53"/>
      <c r="Z1076" s="53"/>
      <c r="AA1076" s="53"/>
      <c r="AB1076" s="53"/>
      <c r="AC1076" s="53"/>
    </row>
    <row r="1077">
      <c r="A1077" s="53"/>
      <c r="B1077" s="53"/>
      <c r="C1077" s="131"/>
      <c r="D1077" s="131"/>
      <c r="E1077" s="131"/>
      <c r="F1077" s="131"/>
      <c r="G1077" s="131"/>
      <c r="H1077" s="131"/>
      <c r="I1077" s="131"/>
      <c r="J1077" s="132"/>
      <c r="K1077" s="132"/>
      <c r="L1077" s="131"/>
      <c r="M1077" s="131"/>
      <c r="N1077" s="131"/>
      <c r="O1077" s="53"/>
      <c r="P1077" s="53"/>
      <c r="Q1077" s="53"/>
      <c r="R1077" s="53"/>
      <c r="S1077" s="53"/>
      <c r="T1077" s="53"/>
      <c r="U1077" s="53"/>
      <c r="V1077" s="53"/>
      <c r="W1077" s="53"/>
      <c r="X1077" s="53"/>
      <c r="Y1077" s="53"/>
      <c r="Z1077" s="53"/>
      <c r="AA1077" s="53"/>
      <c r="AB1077" s="53"/>
      <c r="AC1077" s="53"/>
    </row>
    <row r="1078">
      <c r="A1078" s="53"/>
      <c r="B1078" s="53"/>
      <c r="C1078" s="131"/>
      <c r="D1078" s="131"/>
      <c r="E1078" s="131"/>
      <c r="F1078" s="131"/>
      <c r="G1078" s="131"/>
      <c r="H1078" s="131"/>
      <c r="I1078" s="131"/>
      <c r="J1078" s="132"/>
      <c r="K1078" s="132"/>
      <c r="L1078" s="131"/>
      <c r="M1078" s="131"/>
      <c r="N1078" s="131"/>
      <c r="O1078" s="53"/>
      <c r="P1078" s="53"/>
      <c r="Q1078" s="53"/>
      <c r="R1078" s="53"/>
      <c r="S1078" s="53"/>
      <c r="T1078" s="53"/>
      <c r="U1078" s="53"/>
      <c r="V1078" s="53"/>
      <c r="W1078" s="53"/>
      <c r="X1078" s="53"/>
      <c r="Y1078" s="53"/>
      <c r="Z1078" s="53"/>
      <c r="AA1078" s="53"/>
      <c r="AB1078" s="53"/>
      <c r="AC1078" s="53"/>
    </row>
    <row r="1079">
      <c r="A1079" s="53"/>
      <c r="B1079" s="53"/>
      <c r="C1079" s="131"/>
      <c r="D1079" s="131"/>
      <c r="E1079" s="131"/>
      <c r="F1079" s="131"/>
      <c r="G1079" s="131"/>
      <c r="H1079" s="131"/>
      <c r="I1079" s="131"/>
      <c r="J1079" s="132"/>
      <c r="K1079" s="132"/>
      <c r="L1079" s="131"/>
      <c r="M1079" s="131"/>
      <c r="N1079" s="131"/>
      <c r="O1079" s="53"/>
      <c r="P1079" s="53"/>
      <c r="Q1079" s="53"/>
      <c r="R1079" s="53"/>
      <c r="S1079" s="53"/>
      <c r="T1079" s="53"/>
      <c r="U1079" s="53"/>
      <c r="V1079" s="53"/>
      <c r="W1079" s="53"/>
      <c r="X1079" s="53"/>
      <c r="Y1079" s="53"/>
      <c r="Z1079" s="53"/>
      <c r="AA1079" s="53"/>
      <c r="AB1079" s="53"/>
      <c r="AC1079" s="53"/>
    </row>
    <row r="1080">
      <c r="A1080" s="53"/>
      <c r="B1080" s="53"/>
      <c r="C1080" s="131"/>
      <c r="D1080" s="131"/>
      <c r="E1080" s="131"/>
      <c r="F1080" s="131"/>
      <c r="G1080" s="131"/>
      <c r="H1080" s="131"/>
      <c r="I1080" s="131"/>
      <c r="J1080" s="132"/>
      <c r="K1080" s="132"/>
      <c r="L1080" s="131"/>
      <c r="M1080" s="131"/>
      <c r="N1080" s="131"/>
      <c r="O1080" s="53"/>
      <c r="P1080" s="53"/>
      <c r="Q1080" s="53"/>
      <c r="R1080" s="53"/>
      <c r="S1080" s="53"/>
      <c r="T1080" s="53"/>
      <c r="U1080" s="53"/>
      <c r="V1080" s="53"/>
      <c r="W1080" s="53"/>
      <c r="X1080" s="53"/>
      <c r="Y1080" s="53"/>
      <c r="Z1080" s="53"/>
      <c r="AA1080" s="53"/>
      <c r="AB1080" s="53"/>
      <c r="AC1080" s="53"/>
    </row>
    <row r="1081">
      <c r="A1081" s="53"/>
      <c r="B1081" s="53"/>
      <c r="C1081" s="131"/>
      <c r="D1081" s="131"/>
      <c r="E1081" s="131"/>
      <c r="F1081" s="131"/>
      <c r="G1081" s="131"/>
      <c r="H1081" s="131"/>
      <c r="I1081" s="131"/>
      <c r="J1081" s="132"/>
      <c r="K1081" s="132"/>
      <c r="L1081" s="131"/>
      <c r="M1081" s="131"/>
      <c r="N1081" s="131"/>
      <c r="O1081" s="53"/>
      <c r="P1081" s="53"/>
      <c r="Q1081" s="53"/>
      <c r="R1081" s="53"/>
      <c r="S1081" s="53"/>
      <c r="T1081" s="53"/>
      <c r="U1081" s="53"/>
      <c r="V1081" s="53"/>
      <c r="W1081" s="53"/>
      <c r="X1081" s="53"/>
      <c r="Y1081" s="53"/>
      <c r="Z1081" s="53"/>
      <c r="AA1081" s="53"/>
      <c r="AB1081" s="53"/>
      <c r="AC1081" s="53"/>
    </row>
    <row r="1082">
      <c r="A1082" s="53"/>
      <c r="B1082" s="53"/>
      <c r="C1082" s="131"/>
      <c r="D1082" s="131"/>
      <c r="E1082" s="131"/>
      <c r="F1082" s="131"/>
      <c r="G1082" s="131"/>
      <c r="H1082" s="131"/>
      <c r="I1082" s="131"/>
      <c r="J1082" s="132"/>
      <c r="K1082" s="132"/>
      <c r="L1082" s="131"/>
      <c r="M1082" s="131"/>
      <c r="N1082" s="131"/>
      <c r="O1082" s="53"/>
      <c r="P1082" s="53"/>
      <c r="Q1082" s="53"/>
      <c r="R1082" s="53"/>
      <c r="S1082" s="53"/>
      <c r="T1082" s="53"/>
      <c r="U1082" s="53"/>
      <c r="V1082" s="53"/>
      <c r="W1082" s="53"/>
      <c r="X1082" s="53"/>
      <c r="Y1082" s="53"/>
      <c r="Z1082" s="53"/>
      <c r="AA1082" s="53"/>
      <c r="AB1082" s="53"/>
      <c r="AC1082" s="53"/>
    </row>
    <row r="1083">
      <c r="A1083" s="53"/>
      <c r="B1083" s="53"/>
      <c r="C1083" s="131"/>
      <c r="D1083" s="131"/>
      <c r="E1083" s="131"/>
      <c r="F1083" s="131"/>
      <c r="G1083" s="131"/>
      <c r="H1083" s="131"/>
      <c r="I1083" s="131"/>
      <c r="J1083" s="132"/>
      <c r="K1083" s="132"/>
      <c r="L1083" s="131"/>
      <c r="M1083" s="131"/>
      <c r="N1083" s="131"/>
      <c r="O1083" s="53"/>
      <c r="P1083" s="53"/>
      <c r="Q1083" s="53"/>
      <c r="R1083" s="53"/>
      <c r="S1083" s="53"/>
      <c r="T1083" s="53"/>
      <c r="U1083" s="53"/>
      <c r="V1083" s="53"/>
      <c r="W1083" s="53"/>
      <c r="X1083" s="53"/>
      <c r="Y1083" s="53"/>
      <c r="Z1083" s="53"/>
      <c r="AA1083" s="53"/>
      <c r="AB1083" s="53"/>
      <c r="AC1083" s="53"/>
    </row>
    <row r="1084">
      <c r="A1084" s="53"/>
      <c r="B1084" s="53"/>
      <c r="C1084" s="131"/>
      <c r="D1084" s="131"/>
      <c r="E1084" s="131"/>
      <c r="F1084" s="131"/>
      <c r="G1084" s="131"/>
      <c r="H1084" s="131"/>
      <c r="I1084" s="131"/>
      <c r="J1084" s="132"/>
      <c r="K1084" s="132"/>
      <c r="L1084" s="131"/>
      <c r="M1084" s="131"/>
      <c r="N1084" s="131"/>
      <c r="O1084" s="53"/>
      <c r="P1084" s="53"/>
      <c r="Q1084" s="53"/>
      <c r="R1084" s="53"/>
      <c r="S1084" s="53"/>
      <c r="T1084" s="53"/>
      <c r="U1084" s="53"/>
      <c r="V1084" s="53"/>
      <c r="W1084" s="53"/>
      <c r="X1084" s="53"/>
      <c r="Y1084" s="53"/>
      <c r="Z1084" s="53"/>
      <c r="AA1084" s="53"/>
      <c r="AB1084" s="53"/>
      <c r="AC1084" s="53"/>
    </row>
    <row r="1085">
      <c r="A1085" s="53"/>
      <c r="B1085" s="53"/>
      <c r="C1085" s="131"/>
      <c r="D1085" s="131"/>
      <c r="E1085" s="131"/>
      <c r="F1085" s="131"/>
      <c r="G1085" s="131"/>
      <c r="H1085" s="131"/>
      <c r="I1085" s="131"/>
      <c r="J1085" s="132"/>
      <c r="K1085" s="132"/>
      <c r="L1085" s="131"/>
      <c r="M1085" s="131"/>
      <c r="N1085" s="131"/>
      <c r="O1085" s="53"/>
      <c r="P1085" s="53"/>
      <c r="Q1085" s="53"/>
      <c r="R1085" s="53"/>
      <c r="S1085" s="53"/>
      <c r="T1085" s="53"/>
      <c r="U1085" s="53"/>
      <c r="V1085" s="53"/>
      <c r="W1085" s="53"/>
      <c r="X1085" s="53"/>
      <c r="Y1085" s="53"/>
      <c r="Z1085" s="53"/>
      <c r="AA1085" s="53"/>
      <c r="AB1085" s="53"/>
      <c r="AC1085" s="53"/>
    </row>
    <row r="1086">
      <c r="A1086" s="53"/>
      <c r="B1086" s="53"/>
      <c r="C1086" s="131"/>
      <c r="D1086" s="131"/>
      <c r="E1086" s="131"/>
      <c r="F1086" s="131"/>
      <c r="G1086" s="131"/>
      <c r="H1086" s="131"/>
      <c r="I1086" s="131"/>
      <c r="J1086" s="132"/>
      <c r="K1086" s="132"/>
      <c r="L1086" s="131"/>
      <c r="M1086" s="131"/>
      <c r="N1086" s="131"/>
      <c r="O1086" s="53"/>
      <c r="P1086" s="53"/>
      <c r="Q1086" s="53"/>
      <c r="R1086" s="53"/>
      <c r="S1086" s="53"/>
      <c r="T1086" s="53"/>
      <c r="U1086" s="53"/>
      <c r="V1086" s="53"/>
      <c r="W1086" s="53"/>
      <c r="X1086" s="53"/>
      <c r="Y1086" s="53"/>
      <c r="Z1086" s="53"/>
      <c r="AA1086" s="53"/>
      <c r="AB1086" s="53"/>
      <c r="AC1086" s="53"/>
    </row>
    <row r="1087">
      <c r="A1087" s="53"/>
      <c r="B1087" s="53"/>
      <c r="C1087" s="131"/>
      <c r="D1087" s="131"/>
      <c r="E1087" s="131"/>
      <c r="F1087" s="131"/>
      <c r="G1087" s="131"/>
      <c r="H1087" s="131"/>
      <c r="I1087" s="131"/>
      <c r="J1087" s="132"/>
      <c r="K1087" s="132"/>
      <c r="L1087" s="131"/>
      <c r="M1087" s="131"/>
      <c r="N1087" s="131"/>
      <c r="O1087" s="53"/>
      <c r="P1087" s="53"/>
      <c r="Q1087" s="53"/>
      <c r="R1087" s="53"/>
      <c r="S1087" s="53"/>
      <c r="T1087" s="53"/>
      <c r="U1087" s="53"/>
      <c r="V1087" s="53"/>
      <c r="W1087" s="53"/>
      <c r="X1087" s="53"/>
      <c r="Y1087" s="53"/>
      <c r="Z1087" s="53"/>
      <c r="AA1087" s="53"/>
      <c r="AB1087" s="53"/>
      <c r="AC1087" s="53"/>
    </row>
    <row r="1088">
      <c r="A1088" s="53"/>
      <c r="B1088" s="53"/>
      <c r="C1088" s="131"/>
      <c r="D1088" s="131"/>
      <c r="E1088" s="131"/>
      <c r="F1088" s="131"/>
      <c r="G1088" s="131"/>
      <c r="H1088" s="131"/>
      <c r="I1088" s="131"/>
      <c r="J1088" s="132"/>
      <c r="K1088" s="132"/>
      <c r="L1088" s="131"/>
      <c r="M1088" s="131"/>
      <c r="N1088" s="131"/>
      <c r="O1088" s="53"/>
      <c r="P1088" s="53"/>
      <c r="Q1088" s="53"/>
      <c r="R1088" s="53"/>
      <c r="S1088" s="53"/>
      <c r="T1088" s="53"/>
      <c r="U1088" s="53"/>
      <c r="V1088" s="53"/>
      <c r="W1088" s="53"/>
      <c r="X1088" s="53"/>
      <c r="Y1088" s="53"/>
      <c r="Z1088" s="53"/>
      <c r="AA1088" s="53"/>
      <c r="AB1088" s="53"/>
      <c r="AC1088" s="53"/>
    </row>
    <row r="1089">
      <c r="A1089" s="53"/>
      <c r="B1089" s="53"/>
      <c r="C1089" s="131"/>
      <c r="D1089" s="131"/>
      <c r="E1089" s="131"/>
      <c r="F1089" s="131"/>
      <c r="G1089" s="131"/>
      <c r="H1089" s="131"/>
      <c r="I1089" s="131"/>
      <c r="J1089" s="132"/>
      <c r="K1089" s="132"/>
      <c r="L1089" s="131"/>
      <c r="M1089" s="131"/>
      <c r="N1089" s="131"/>
      <c r="O1089" s="53"/>
      <c r="P1089" s="53"/>
      <c r="Q1089" s="53"/>
      <c r="R1089" s="53"/>
      <c r="S1089" s="53"/>
      <c r="T1089" s="53"/>
      <c r="U1089" s="53"/>
      <c r="V1089" s="53"/>
      <c r="W1089" s="53"/>
      <c r="X1089" s="53"/>
      <c r="Y1089" s="53"/>
      <c r="Z1089" s="53"/>
      <c r="AA1089" s="53"/>
      <c r="AB1089" s="53"/>
      <c r="AC1089" s="53"/>
    </row>
    <row r="1090">
      <c r="A1090" s="53"/>
      <c r="B1090" s="53"/>
      <c r="C1090" s="131"/>
      <c r="D1090" s="131"/>
      <c r="E1090" s="131"/>
      <c r="F1090" s="131"/>
      <c r="G1090" s="131"/>
      <c r="H1090" s="131"/>
      <c r="I1090" s="131"/>
      <c r="J1090" s="132"/>
      <c r="K1090" s="132"/>
      <c r="L1090" s="131"/>
      <c r="M1090" s="131"/>
      <c r="N1090" s="131"/>
      <c r="O1090" s="53"/>
      <c r="P1090" s="53"/>
      <c r="Q1090" s="53"/>
      <c r="R1090" s="53"/>
      <c r="S1090" s="53"/>
      <c r="T1090" s="53"/>
      <c r="U1090" s="53"/>
      <c r="V1090" s="53"/>
      <c r="W1090" s="53"/>
      <c r="X1090" s="53"/>
      <c r="Y1090" s="53"/>
      <c r="Z1090" s="53"/>
      <c r="AA1090" s="53"/>
      <c r="AB1090" s="53"/>
      <c r="AC1090" s="53"/>
    </row>
    <row r="1091">
      <c r="A1091" s="53"/>
      <c r="B1091" s="53"/>
      <c r="C1091" s="131"/>
      <c r="D1091" s="131"/>
      <c r="E1091" s="131"/>
      <c r="F1091" s="131"/>
      <c r="G1091" s="131"/>
      <c r="H1091" s="131"/>
      <c r="I1091" s="131"/>
      <c r="J1091" s="132"/>
      <c r="K1091" s="132"/>
      <c r="L1091" s="131"/>
      <c r="M1091" s="131"/>
      <c r="N1091" s="131"/>
      <c r="O1091" s="53"/>
      <c r="P1091" s="53"/>
      <c r="Q1091" s="53"/>
      <c r="R1091" s="53"/>
      <c r="S1091" s="53"/>
      <c r="T1091" s="53"/>
      <c r="U1091" s="53"/>
      <c r="V1091" s="53"/>
      <c r="W1091" s="53"/>
      <c r="X1091" s="53"/>
      <c r="Y1091" s="53"/>
      <c r="Z1091" s="53"/>
      <c r="AA1091" s="53"/>
      <c r="AB1091" s="53"/>
      <c r="AC1091" s="53"/>
    </row>
    <row r="1092">
      <c r="A1092" s="53"/>
      <c r="B1092" s="53"/>
      <c r="C1092" s="131"/>
      <c r="D1092" s="131"/>
      <c r="E1092" s="131"/>
      <c r="F1092" s="131"/>
      <c r="G1092" s="131"/>
      <c r="H1092" s="131"/>
      <c r="I1092" s="131"/>
      <c r="J1092" s="132"/>
      <c r="K1092" s="132"/>
      <c r="L1092" s="131"/>
      <c r="M1092" s="131"/>
      <c r="N1092" s="131"/>
      <c r="O1092" s="53"/>
      <c r="P1092" s="53"/>
      <c r="Q1092" s="53"/>
      <c r="R1092" s="53"/>
      <c r="S1092" s="53"/>
      <c r="T1092" s="53"/>
      <c r="U1092" s="53"/>
      <c r="V1092" s="53"/>
      <c r="W1092" s="53"/>
      <c r="X1092" s="53"/>
      <c r="Y1092" s="53"/>
      <c r="Z1092" s="53"/>
      <c r="AA1092" s="53"/>
      <c r="AB1092" s="53"/>
      <c r="AC1092" s="53"/>
    </row>
    <row r="1093">
      <c r="A1093" s="53"/>
      <c r="B1093" s="53"/>
      <c r="C1093" s="131"/>
      <c r="D1093" s="131"/>
      <c r="E1093" s="131"/>
      <c r="F1093" s="131"/>
      <c r="G1093" s="131"/>
      <c r="H1093" s="131"/>
      <c r="I1093" s="131"/>
      <c r="J1093" s="132"/>
      <c r="K1093" s="132"/>
      <c r="L1093" s="131"/>
      <c r="M1093" s="131"/>
      <c r="N1093" s="131"/>
      <c r="O1093" s="53"/>
      <c r="P1093" s="53"/>
      <c r="Q1093" s="53"/>
      <c r="R1093" s="53"/>
      <c r="S1093" s="53"/>
      <c r="T1093" s="53"/>
      <c r="U1093" s="53"/>
      <c r="V1093" s="53"/>
      <c r="W1093" s="53"/>
      <c r="X1093" s="53"/>
      <c r="Y1093" s="53"/>
      <c r="Z1093" s="53"/>
      <c r="AA1093" s="53"/>
      <c r="AB1093" s="53"/>
      <c r="AC1093" s="53"/>
    </row>
    <row r="1094">
      <c r="A1094" s="53"/>
      <c r="B1094" s="53"/>
      <c r="C1094" s="131"/>
      <c r="D1094" s="131"/>
      <c r="E1094" s="131"/>
      <c r="F1094" s="131"/>
      <c r="G1094" s="131"/>
      <c r="H1094" s="131"/>
      <c r="I1094" s="131"/>
      <c r="J1094" s="132"/>
      <c r="K1094" s="132"/>
      <c r="L1094" s="131"/>
      <c r="M1094" s="131"/>
      <c r="N1094" s="131"/>
      <c r="O1094" s="53"/>
      <c r="P1094" s="53"/>
      <c r="Q1094" s="53"/>
      <c r="R1094" s="53"/>
      <c r="S1094" s="53"/>
      <c r="T1094" s="53"/>
      <c r="U1094" s="53"/>
      <c r="V1094" s="53"/>
      <c r="W1094" s="53"/>
      <c r="X1094" s="53"/>
      <c r="Y1094" s="53"/>
      <c r="Z1094" s="53"/>
      <c r="AA1094" s="53"/>
      <c r="AB1094" s="53"/>
      <c r="AC1094" s="53"/>
    </row>
    <row r="1095">
      <c r="A1095" s="53"/>
      <c r="B1095" s="53"/>
      <c r="C1095" s="131"/>
      <c r="D1095" s="131"/>
      <c r="E1095" s="131"/>
      <c r="F1095" s="131"/>
      <c r="G1095" s="131"/>
      <c r="H1095" s="131"/>
      <c r="I1095" s="131"/>
      <c r="J1095" s="132"/>
      <c r="K1095" s="132"/>
      <c r="L1095" s="131"/>
      <c r="M1095" s="131"/>
      <c r="N1095" s="131"/>
      <c r="O1095" s="53"/>
      <c r="P1095" s="53"/>
      <c r="Q1095" s="53"/>
      <c r="R1095" s="53"/>
      <c r="S1095" s="53"/>
      <c r="T1095" s="53"/>
      <c r="U1095" s="53"/>
      <c r="V1095" s="53"/>
      <c r="W1095" s="53"/>
      <c r="X1095" s="53"/>
      <c r="Y1095" s="53"/>
      <c r="Z1095" s="53"/>
      <c r="AA1095" s="53"/>
      <c r="AB1095" s="53"/>
      <c r="AC1095" s="53"/>
    </row>
    <row r="1096">
      <c r="A1096" s="53"/>
      <c r="B1096" s="53"/>
      <c r="C1096" s="131"/>
      <c r="D1096" s="131"/>
      <c r="E1096" s="131"/>
      <c r="F1096" s="131"/>
      <c r="G1096" s="131"/>
      <c r="H1096" s="131"/>
      <c r="I1096" s="131"/>
      <c r="J1096" s="132"/>
      <c r="K1096" s="132"/>
      <c r="L1096" s="131"/>
      <c r="M1096" s="131"/>
      <c r="N1096" s="131"/>
      <c r="O1096" s="53"/>
      <c r="P1096" s="53"/>
      <c r="Q1096" s="53"/>
      <c r="R1096" s="53"/>
      <c r="S1096" s="53"/>
      <c r="T1096" s="53"/>
      <c r="U1096" s="53"/>
      <c r="V1096" s="53"/>
      <c r="W1096" s="53"/>
      <c r="X1096" s="53"/>
      <c r="Y1096" s="53"/>
      <c r="Z1096" s="53"/>
      <c r="AA1096" s="53"/>
      <c r="AB1096" s="53"/>
      <c r="AC1096" s="53"/>
    </row>
    <row r="1097">
      <c r="A1097" s="53"/>
      <c r="B1097" s="53"/>
      <c r="C1097" s="131"/>
      <c r="D1097" s="131"/>
      <c r="E1097" s="131"/>
      <c r="F1097" s="131"/>
      <c r="G1097" s="131"/>
      <c r="H1097" s="131"/>
      <c r="I1097" s="131"/>
      <c r="J1097" s="132"/>
      <c r="K1097" s="132"/>
      <c r="L1097" s="131"/>
      <c r="M1097" s="131"/>
      <c r="N1097" s="131"/>
      <c r="O1097" s="53"/>
      <c r="P1097" s="53"/>
      <c r="Q1097" s="53"/>
      <c r="R1097" s="53"/>
      <c r="S1097" s="53"/>
      <c r="T1097" s="53"/>
      <c r="U1097" s="53"/>
      <c r="V1097" s="53"/>
      <c r="W1097" s="53"/>
      <c r="X1097" s="53"/>
      <c r="Y1097" s="53"/>
      <c r="Z1097" s="53"/>
      <c r="AA1097" s="53"/>
      <c r="AB1097" s="53"/>
      <c r="AC1097" s="53"/>
    </row>
    <row r="1098">
      <c r="A1098" s="53"/>
      <c r="B1098" s="53"/>
      <c r="C1098" s="131"/>
      <c r="D1098" s="131"/>
      <c r="E1098" s="131"/>
      <c r="F1098" s="131"/>
      <c r="G1098" s="131"/>
      <c r="H1098" s="131"/>
      <c r="I1098" s="131"/>
      <c r="J1098" s="132"/>
      <c r="K1098" s="132"/>
      <c r="L1098" s="131"/>
      <c r="M1098" s="131"/>
      <c r="N1098" s="131"/>
      <c r="O1098" s="53"/>
      <c r="P1098" s="53"/>
      <c r="Q1098" s="53"/>
      <c r="R1098" s="53"/>
      <c r="S1098" s="53"/>
      <c r="T1098" s="53"/>
      <c r="U1098" s="53"/>
      <c r="V1098" s="53"/>
      <c r="W1098" s="53"/>
      <c r="X1098" s="53"/>
      <c r="Y1098" s="53"/>
      <c r="Z1098" s="53"/>
      <c r="AA1098" s="53"/>
      <c r="AB1098" s="53"/>
      <c r="AC1098" s="53"/>
    </row>
    <row r="1099">
      <c r="A1099" s="53"/>
      <c r="B1099" s="53"/>
      <c r="C1099" s="131"/>
      <c r="D1099" s="131"/>
      <c r="E1099" s="131"/>
      <c r="F1099" s="131"/>
      <c r="G1099" s="131"/>
      <c r="H1099" s="131"/>
      <c r="I1099" s="131"/>
      <c r="J1099" s="132"/>
      <c r="K1099" s="132"/>
      <c r="L1099" s="131"/>
      <c r="M1099" s="131"/>
      <c r="N1099" s="131"/>
      <c r="O1099" s="53"/>
      <c r="P1099" s="53"/>
      <c r="Q1099" s="53"/>
      <c r="R1099" s="53"/>
      <c r="S1099" s="53"/>
      <c r="T1099" s="53"/>
      <c r="U1099" s="53"/>
      <c r="V1099" s="53"/>
      <c r="W1099" s="53"/>
      <c r="X1099" s="53"/>
      <c r="Y1099" s="53"/>
      <c r="Z1099" s="53"/>
      <c r="AA1099" s="53"/>
      <c r="AB1099" s="53"/>
      <c r="AC1099" s="53"/>
    </row>
    <row r="1100">
      <c r="A1100" s="53"/>
      <c r="B1100" s="53"/>
      <c r="C1100" s="131"/>
      <c r="D1100" s="131"/>
      <c r="E1100" s="131"/>
      <c r="F1100" s="131"/>
      <c r="G1100" s="131"/>
      <c r="H1100" s="131"/>
      <c r="I1100" s="131"/>
      <c r="J1100" s="132"/>
      <c r="K1100" s="132"/>
      <c r="L1100" s="131"/>
      <c r="M1100" s="131"/>
      <c r="N1100" s="131"/>
      <c r="O1100" s="53"/>
      <c r="P1100" s="53"/>
      <c r="Q1100" s="53"/>
      <c r="R1100" s="53"/>
      <c r="S1100" s="53"/>
      <c r="T1100" s="53"/>
      <c r="U1100" s="53"/>
      <c r="V1100" s="53"/>
      <c r="W1100" s="53"/>
      <c r="X1100" s="53"/>
      <c r="Y1100" s="53"/>
      <c r="Z1100" s="53"/>
      <c r="AA1100" s="53"/>
      <c r="AB1100" s="53"/>
      <c r="AC1100" s="53"/>
    </row>
    <row r="1101">
      <c r="A1101" s="53"/>
      <c r="B1101" s="53"/>
      <c r="C1101" s="131"/>
      <c r="D1101" s="131"/>
      <c r="E1101" s="131"/>
      <c r="F1101" s="131"/>
      <c r="G1101" s="131"/>
      <c r="H1101" s="131"/>
      <c r="I1101" s="131"/>
      <c r="J1101" s="132"/>
      <c r="K1101" s="132"/>
      <c r="L1101" s="131"/>
      <c r="M1101" s="131"/>
      <c r="N1101" s="131"/>
      <c r="O1101" s="53"/>
      <c r="P1101" s="53"/>
      <c r="Q1101" s="53"/>
      <c r="R1101" s="53"/>
      <c r="S1101" s="53"/>
      <c r="T1101" s="53"/>
      <c r="U1101" s="53"/>
      <c r="V1101" s="53"/>
      <c r="W1101" s="53"/>
      <c r="X1101" s="53"/>
      <c r="Y1101" s="53"/>
      <c r="Z1101" s="53"/>
      <c r="AA1101" s="53"/>
      <c r="AB1101" s="53"/>
      <c r="AC1101" s="53"/>
    </row>
    <row r="1102">
      <c r="A1102" s="53"/>
      <c r="B1102" s="53"/>
      <c r="C1102" s="131"/>
      <c r="D1102" s="131"/>
      <c r="E1102" s="131"/>
      <c r="F1102" s="131"/>
      <c r="G1102" s="131"/>
      <c r="H1102" s="131"/>
      <c r="I1102" s="131"/>
      <c r="J1102" s="132"/>
      <c r="K1102" s="132"/>
      <c r="L1102" s="131"/>
      <c r="M1102" s="131"/>
      <c r="N1102" s="131"/>
      <c r="O1102" s="53"/>
      <c r="P1102" s="53"/>
      <c r="Q1102" s="53"/>
      <c r="R1102" s="53"/>
      <c r="S1102" s="53"/>
      <c r="T1102" s="53"/>
      <c r="U1102" s="53"/>
      <c r="V1102" s="53"/>
      <c r="W1102" s="53"/>
      <c r="X1102" s="53"/>
      <c r="Y1102" s="53"/>
      <c r="Z1102" s="53"/>
      <c r="AA1102" s="53"/>
      <c r="AB1102" s="53"/>
      <c r="AC1102" s="53"/>
    </row>
    <row r="1103">
      <c r="A1103" s="53"/>
      <c r="B1103" s="53"/>
      <c r="C1103" s="131"/>
      <c r="D1103" s="131"/>
      <c r="E1103" s="131"/>
      <c r="F1103" s="131"/>
      <c r="G1103" s="131"/>
      <c r="H1103" s="131"/>
      <c r="I1103" s="131"/>
      <c r="J1103" s="132"/>
      <c r="K1103" s="132"/>
      <c r="L1103" s="131"/>
      <c r="M1103" s="131"/>
      <c r="N1103" s="131"/>
      <c r="O1103" s="53"/>
      <c r="P1103" s="53"/>
      <c r="Q1103" s="53"/>
      <c r="R1103" s="53"/>
      <c r="S1103" s="53"/>
      <c r="T1103" s="53"/>
      <c r="U1103" s="53"/>
      <c r="V1103" s="53"/>
      <c r="W1103" s="53"/>
      <c r="X1103" s="53"/>
      <c r="Y1103" s="53"/>
      <c r="Z1103" s="53"/>
      <c r="AA1103" s="53"/>
      <c r="AB1103" s="53"/>
      <c r="AC1103" s="53"/>
    </row>
    <row r="1104">
      <c r="A1104" s="53"/>
      <c r="B1104" s="53"/>
      <c r="C1104" s="131"/>
      <c r="D1104" s="131"/>
      <c r="E1104" s="131"/>
      <c r="F1104" s="131"/>
      <c r="G1104" s="131"/>
      <c r="H1104" s="131"/>
      <c r="I1104" s="131"/>
      <c r="J1104" s="132"/>
      <c r="K1104" s="132"/>
      <c r="L1104" s="131"/>
      <c r="M1104" s="131"/>
      <c r="N1104" s="131"/>
      <c r="O1104" s="53"/>
      <c r="P1104" s="53"/>
      <c r="Q1104" s="53"/>
      <c r="R1104" s="53"/>
      <c r="S1104" s="53"/>
      <c r="T1104" s="53"/>
      <c r="U1104" s="53"/>
      <c r="V1104" s="53"/>
      <c r="W1104" s="53"/>
      <c r="X1104" s="53"/>
      <c r="Y1104" s="53"/>
      <c r="Z1104" s="53"/>
      <c r="AA1104" s="53"/>
      <c r="AB1104" s="53"/>
      <c r="AC1104" s="53"/>
    </row>
    <row r="1105">
      <c r="A1105" s="53"/>
      <c r="B1105" s="53"/>
      <c r="C1105" s="131"/>
      <c r="D1105" s="131"/>
      <c r="E1105" s="131"/>
      <c r="F1105" s="131"/>
      <c r="G1105" s="131"/>
      <c r="H1105" s="131"/>
      <c r="I1105" s="131"/>
      <c r="J1105" s="132"/>
      <c r="K1105" s="132"/>
      <c r="L1105" s="131"/>
      <c r="M1105" s="131"/>
      <c r="N1105" s="131"/>
      <c r="O1105" s="53"/>
      <c r="P1105" s="53"/>
      <c r="Q1105" s="53"/>
      <c r="R1105" s="53"/>
      <c r="S1105" s="53"/>
      <c r="T1105" s="53"/>
      <c r="U1105" s="53"/>
      <c r="V1105" s="53"/>
      <c r="W1105" s="53"/>
      <c r="X1105" s="53"/>
      <c r="Y1105" s="53"/>
      <c r="Z1105" s="53"/>
      <c r="AA1105" s="53"/>
      <c r="AB1105" s="53"/>
      <c r="AC1105" s="53"/>
    </row>
    <row r="1106">
      <c r="A1106" s="53"/>
      <c r="B1106" s="53"/>
      <c r="C1106" s="131"/>
      <c r="D1106" s="131"/>
      <c r="E1106" s="131"/>
      <c r="F1106" s="131"/>
      <c r="G1106" s="131"/>
      <c r="H1106" s="131"/>
      <c r="I1106" s="131"/>
      <c r="J1106" s="132"/>
      <c r="K1106" s="132"/>
      <c r="L1106" s="131"/>
      <c r="M1106" s="131"/>
      <c r="N1106" s="131"/>
      <c r="O1106" s="53"/>
      <c r="P1106" s="53"/>
      <c r="Q1106" s="53"/>
      <c r="R1106" s="53"/>
      <c r="S1106" s="53"/>
      <c r="T1106" s="53"/>
      <c r="U1106" s="53"/>
      <c r="V1106" s="53"/>
      <c r="W1106" s="53"/>
      <c r="X1106" s="53"/>
      <c r="Y1106" s="53"/>
      <c r="Z1106" s="53"/>
      <c r="AA1106" s="53"/>
      <c r="AB1106" s="53"/>
      <c r="AC1106" s="53"/>
    </row>
    <row r="1107">
      <c r="A1107" s="53"/>
      <c r="B1107" s="53"/>
      <c r="C1107" s="131"/>
      <c r="D1107" s="131"/>
      <c r="E1107" s="131"/>
      <c r="F1107" s="131"/>
      <c r="G1107" s="131"/>
      <c r="H1107" s="131"/>
      <c r="I1107" s="131"/>
      <c r="J1107" s="132"/>
      <c r="K1107" s="132"/>
      <c r="L1107" s="131"/>
      <c r="M1107" s="131"/>
      <c r="N1107" s="131"/>
      <c r="O1107" s="53"/>
      <c r="P1107" s="53"/>
      <c r="Q1107" s="53"/>
      <c r="R1107" s="53"/>
      <c r="S1107" s="53"/>
      <c r="T1107" s="53"/>
      <c r="U1107" s="53"/>
      <c r="V1107" s="53"/>
      <c r="W1107" s="53"/>
      <c r="X1107" s="53"/>
      <c r="Y1107" s="53"/>
      <c r="Z1107" s="53"/>
      <c r="AA1107" s="53"/>
      <c r="AB1107" s="53"/>
      <c r="AC1107" s="53"/>
    </row>
    <row r="1108">
      <c r="A1108" s="53"/>
      <c r="B1108" s="53"/>
      <c r="C1108" s="131"/>
      <c r="D1108" s="131"/>
      <c r="E1108" s="131"/>
      <c r="F1108" s="131"/>
      <c r="G1108" s="131"/>
      <c r="H1108" s="131"/>
      <c r="I1108" s="131"/>
      <c r="J1108" s="132"/>
      <c r="K1108" s="132"/>
      <c r="L1108" s="131"/>
      <c r="M1108" s="131"/>
      <c r="N1108" s="131"/>
      <c r="O1108" s="53"/>
      <c r="P1108" s="53"/>
      <c r="Q1108" s="53"/>
      <c r="R1108" s="53"/>
      <c r="S1108" s="53"/>
      <c r="T1108" s="53"/>
      <c r="U1108" s="53"/>
      <c r="V1108" s="53"/>
      <c r="W1108" s="53"/>
      <c r="X1108" s="53"/>
      <c r="Y1108" s="53"/>
      <c r="Z1108" s="53"/>
      <c r="AA1108" s="53"/>
      <c r="AB1108" s="53"/>
      <c r="AC1108" s="53"/>
    </row>
    <row r="1109">
      <c r="A1109" s="53"/>
      <c r="B1109" s="53"/>
      <c r="C1109" s="131"/>
      <c r="D1109" s="131"/>
      <c r="E1109" s="131"/>
      <c r="F1109" s="131"/>
      <c r="G1109" s="131"/>
      <c r="H1109" s="131"/>
      <c r="I1109" s="131"/>
      <c r="J1109" s="132"/>
      <c r="K1109" s="132"/>
      <c r="L1109" s="131"/>
      <c r="M1109" s="131"/>
      <c r="N1109" s="131"/>
      <c r="O1109" s="53"/>
      <c r="P1109" s="53"/>
      <c r="Q1109" s="53"/>
      <c r="R1109" s="53"/>
      <c r="S1109" s="53"/>
      <c r="T1109" s="53"/>
      <c r="U1109" s="53"/>
      <c r="V1109" s="53"/>
      <c r="W1109" s="53"/>
      <c r="X1109" s="53"/>
      <c r="Y1109" s="53"/>
      <c r="Z1109" s="53"/>
      <c r="AA1109" s="53"/>
      <c r="AB1109" s="53"/>
      <c r="AC1109" s="53"/>
    </row>
    <row r="1110">
      <c r="A1110" s="53"/>
      <c r="B1110" s="53"/>
      <c r="C1110" s="131"/>
      <c r="D1110" s="131"/>
      <c r="E1110" s="131"/>
      <c r="F1110" s="131"/>
      <c r="G1110" s="131"/>
      <c r="H1110" s="131"/>
      <c r="I1110" s="131"/>
      <c r="J1110" s="132"/>
      <c r="K1110" s="132"/>
      <c r="L1110" s="131"/>
      <c r="M1110" s="131"/>
      <c r="N1110" s="131"/>
      <c r="O1110" s="53"/>
      <c r="P1110" s="53"/>
      <c r="Q1110" s="53"/>
      <c r="R1110" s="53"/>
      <c r="S1110" s="53"/>
      <c r="T1110" s="53"/>
      <c r="U1110" s="53"/>
      <c r="V1110" s="53"/>
      <c r="W1110" s="53"/>
      <c r="X1110" s="53"/>
      <c r="Y1110" s="53"/>
      <c r="Z1110" s="53"/>
      <c r="AA1110" s="53"/>
      <c r="AB1110" s="53"/>
      <c r="AC1110" s="53"/>
    </row>
    <row r="1111">
      <c r="A1111" s="53"/>
      <c r="B1111" s="53"/>
      <c r="C1111" s="131"/>
      <c r="D1111" s="131"/>
      <c r="E1111" s="131"/>
      <c r="F1111" s="131"/>
      <c r="G1111" s="131"/>
      <c r="H1111" s="131"/>
      <c r="I1111" s="131"/>
      <c r="J1111" s="132"/>
      <c r="K1111" s="132"/>
      <c r="L1111" s="131"/>
      <c r="M1111" s="131"/>
      <c r="N1111" s="131"/>
      <c r="O1111" s="53"/>
      <c r="P1111" s="53"/>
      <c r="Q1111" s="53"/>
      <c r="R1111" s="53"/>
      <c r="S1111" s="53"/>
      <c r="T1111" s="53"/>
      <c r="U1111" s="53"/>
      <c r="V1111" s="53"/>
      <c r="W1111" s="53"/>
      <c r="X1111" s="53"/>
      <c r="Y1111" s="53"/>
      <c r="Z1111" s="53"/>
      <c r="AA1111" s="53"/>
      <c r="AB1111" s="53"/>
      <c r="AC1111" s="53"/>
    </row>
    <row r="1112">
      <c r="A1112" s="53"/>
      <c r="B1112" s="53"/>
      <c r="C1112" s="131"/>
      <c r="D1112" s="131"/>
      <c r="E1112" s="131"/>
      <c r="F1112" s="131"/>
      <c r="G1112" s="131"/>
      <c r="H1112" s="131"/>
      <c r="I1112" s="131"/>
      <c r="J1112" s="132"/>
      <c r="K1112" s="132"/>
      <c r="L1112" s="131"/>
      <c r="M1112" s="131"/>
      <c r="N1112" s="131"/>
      <c r="O1112" s="53"/>
      <c r="P1112" s="53"/>
      <c r="Q1112" s="53"/>
      <c r="R1112" s="53"/>
      <c r="S1112" s="53"/>
      <c r="T1112" s="53"/>
      <c r="U1112" s="53"/>
      <c r="V1112" s="53"/>
      <c r="W1112" s="53"/>
      <c r="X1112" s="53"/>
      <c r="Y1112" s="53"/>
      <c r="Z1112" s="53"/>
      <c r="AA1112" s="53"/>
      <c r="AB1112" s="53"/>
      <c r="AC1112" s="53"/>
    </row>
    <row r="1113">
      <c r="A1113" s="53"/>
      <c r="B1113" s="53"/>
      <c r="C1113" s="131"/>
      <c r="D1113" s="131"/>
      <c r="E1113" s="131"/>
      <c r="F1113" s="131"/>
      <c r="G1113" s="131"/>
      <c r="H1113" s="131"/>
      <c r="I1113" s="131"/>
      <c r="J1113" s="132"/>
      <c r="K1113" s="132"/>
      <c r="L1113" s="131"/>
      <c r="M1113" s="131"/>
      <c r="N1113" s="131"/>
      <c r="O1113" s="53"/>
      <c r="P1113" s="53"/>
      <c r="Q1113" s="53"/>
      <c r="R1113" s="53"/>
      <c r="S1113" s="53"/>
      <c r="T1113" s="53"/>
      <c r="U1113" s="53"/>
      <c r="V1113" s="53"/>
      <c r="W1113" s="53"/>
      <c r="X1113" s="53"/>
      <c r="Y1113" s="53"/>
      <c r="Z1113" s="53"/>
      <c r="AA1113" s="53"/>
      <c r="AB1113" s="53"/>
      <c r="AC1113" s="53"/>
    </row>
    <row r="1114">
      <c r="A1114" s="53"/>
      <c r="B1114" s="53"/>
      <c r="C1114" s="131"/>
      <c r="D1114" s="131"/>
      <c r="E1114" s="131"/>
      <c r="F1114" s="131"/>
      <c r="G1114" s="131"/>
      <c r="H1114" s="131"/>
      <c r="I1114" s="131"/>
      <c r="J1114" s="132"/>
      <c r="K1114" s="132"/>
      <c r="L1114" s="131"/>
      <c r="M1114" s="131"/>
      <c r="N1114" s="131"/>
      <c r="O1114" s="53"/>
      <c r="P1114" s="53"/>
      <c r="Q1114" s="53"/>
      <c r="R1114" s="53"/>
      <c r="S1114" s="53"/>
      <c r="T1114" s="53"/>
      <c r="U1114" s="53"/>
      <c r="V1114" s="53"/>
      <c r="W1114" s="53"/>
      <c r="X1114" s="53"/>
      <c r="Y1114" s="53"/>
      <c r="Z1114" s="53"/>
      <c r="AA1114" s="53"/>
      <c r="AB1114" s="53"/>
      <c r="AC1114" s="53"/>
    </row>
    <row r="1115">
      <c r="A1115" s="53"/>
      <c r="B1115" s="53"/>
      <c r="C1115" s="131"/>
      <c r="D1115" s="131"/>
      <c r="E1115" s="131"/>
      <c r="F1115" s="131"/>
      <c r="G1115" s="131"/>
      <c r="H1115" s="131"/>
      <c r="I1115" s="131"/>
      <c r="J1115" s="132"/>
      <c r="K1115" s="132"/>
      <c r="L1115" s="131"/>
      <c r="M1115" s="131"/>
      <c r="N1115" s="131"/>
      <c r="O1115" s="53"/>
      <c r="P1115" s="53"/>
      <c r="Q1115" s="53"/>
      <c r="R1115" s="53"/>
      <c r="S1115" s="53"/>
      <c r="T1115" s="53"/>
      <c r="U1115" s="53"/>
      <c r="V1115" s="53"/>
      <c r="W1115" s="53"/>
      <c r="X1115" s="53"/>
      <c r="Y1115" s="53"/>
      <c r="Z1115" s="53"/>
      <c r="AA1115" s="53"/>
      <c r="AB1115" s="53"/>
      <c r="AC1115" s="53"/>
    </row>
    <row r="1116">
      <c r="A1116" s="53"/>
      <c r="B1116" s="53"/>
      <c r="C1116" s="131"/>
      <c r="D1116" s="131"/>
      <c r="E1116" s="131"/>
      <c r="F1116" s="131"/>
      <c r="G1116" s="131"/>
      <c r="H1116" s="131"/>
      <c r="I1116" s="131"/>
      <c r="J1116" s="132"/>
      <c r="K1116" s="132"/>
      <c r="L1116" s="131"/>
      <c r="M1116" s="131"/>
      <c r="N1116" s="131"/>
      <c r="O1116" s="53"/>
      <c r="P1116" s="53"/>
      <c r="Q1116" s="53"/>
      <c r="R1116" s="53"/>
      <c r="S1116" s="53"/>
      <c r="T1116" s="53"/>
      <c r="U1116" s="53"/>
      <c r="V1116" s="53"/>
      <c r="W1116" s="53"/>
      <c r="X1116" s="53"/>
      <c r="Y1116" s="53"/>
      <c r="Z1116" s="53"/>
      <c r="AA1116" s="53"/>
      <c r="AB1116" s="53"/>
      <c r="AC1116" s="53"/>
    </row>
    <row r="1117">
      <c r="A1117" s="53"/>
      <c r="B1117" s="53"/>
      <c r="C1117" s="131"/>
      <c r="D1117" s="131"/>
      <c r="E1117" s="131"/>
      <c r="F1117" s="131"/>
      <c r="G1117" s="131"/>
      <c r="H1117" s="131"/>
      <c r="I1117" s="131"/>
      <c r="J1117" s="132"/>
      <c r="K1117" s="132"/>
      <c r="L1117" s="131"/>
      <c r="M1117" s="131"/>
      <c r="N1117" s="131"/>
      <c r="O1117" s="53"/>
      <c r="P1117" s="53"/>
      <c r="Q1117" s="53"/>
      <c r="R1117" s="53"/>
      <c r="S1117" s="53"/>
      <c r="T1117" s="53"/>
      <c r="U1117" s="53"/>
      <c r="V1117" s="53"/>
      <c r="W1117" s="53"/>
      <c r="X1117" s="53"/>
      <c r="Y1117" s="53"/>
      <c r="Z1117" s="53"/>
      <c r="AA1117" s="53"/>
      <c r="AB1117" s="53"/>
      <c r="AC1117" s="53"/>
    </row>
    <row r="1118">
      <c r="A1118" s="53"/>
      <c r="B1118" s="53"/>
      <c r="C1118" s="131"/>
      <c r="D1118" s="131"/>
      <c r="E1118" s="131"/>
      <c r="F1118" s="131"/>
      <c r="G1118" s="131"/>
      <c r="H1118" s="131"/>
      <c r="I1118" s="131"/>
      <c r="J1118" s="132"/>
      <c r="K1118" s="132"/>
      <c r="L1118" s="131"/>
      <c r="M1118" s="131"/>
      <c r="N1118" s="131"/>
      <c r="O1118" s="53"/>
      <c r="P1118" s="53"/>
      <c r="Q1118" s="53"/>
      <c r="R1118" s="53"/>
      <c r="S1118" s="53"/>
      <c r="T1118" s="53"/>
      <c r="U1118" s="53"/>
      <c r="V1118" s="53"/>
      <c r="W1118" s="53"/>
      <c r="X1118" s="53"/>
      <c r="Y1118" s="53"/>
      <c r="Z1118" s="53"/>
      <c r="AA1118" s="53"/>
      <c r="AB1118" s="53"/>
      <c r="AC1118" s="53"/>
    </row>
    <row r="1119">
      <c r="A1119" s="53"/>
      <c r="B1119" s="53"/>
      <c r="C1119" s="131"/>
      <c r="D1119" s="131"/>
      <c r="E1119" s="131"/>
      <c r="F1119" s="131"/>
      <c r="G1119" s="131"/>
      <c r="H1119" s="131"/>
      <c r="I1119" s="131"/>
      <c r="J1119" s="132"/>
      <c r="K1119" s="132"/>
      <c r="L1119" s="131"/>
      <c r="M1119" s="131"/>
      <c r="N1119" s="131"/>
      <c r="O1119" s="53"/>
      <c r="P1119" s="53"/>
      <c r="Q1119" s="53"/>
      <c r="R1119" s="53"/>
      <c r="S1119" s="53"/>
      <c r="T1119" s="53"/>
      <c r="U1119" s="53"/>
      <c r="V1119" s="53"/>
      <c r="W1119" s="53"/>
      <c r="X1119" s="53"/>
      <c r="Y1119" s="53"/>
      <c r="Z1119" s="53"/>
      <c r="AA1119" s="53"/>
      <c r="AB1119" s="53"/>
      <c r="AC1119" s="53"/>
    </row>
    <row r="1120">
      <c r="A1120" s="53"/>
      <c r="B1120" s="53"/>
      <c r="C1120" s="131"/>
      <c r="D1120" s="131"/>
      <c r="E1120" s="131"/>
      <c r="F1120" s="131"/>
      <c r="G1120" s="131"/>
      <c r="H1120" s="131"/>
      <c r="I1120" s="131"/>
      <c r="J1120" s="132"/>
      <c r="K1120" s="132"/>
      <c r="L1120" s="131"/>
      <c r="M1120" s="131"/>
      <c r="N1120" s="131"/>
      <c r="O1120" s="53"/>
      <c r="P1120" s="53"/>
      <c r="Q1120" s="53"/>
      <c r="R1120" s="53"/>
      <c r="S1120" s="53"/>
      <c r="T1120" s="53"/>
      <c r="U1120" s="53"/>
      <c r="V1120" s="53"/>
      <c r="W1120" s="53"/>
      <c r="X1120" s="53"/>
      <c r="Y1120" s="53"/>
      <c r="Z1120" s="53"/>
      <c r="AA1120" s="53"/>
      <c r="AB1120" s="53"/>
      <c r="AC1120" s="53"/>
    </row>
    <row r="1121">
      <c r="A1121" s="53"/>
      <c r="B1121" s="53"/>
      <c r="C1121" s="131"/>
      <c r="D1121" s="131"/>
      <c r="E1121" s="131"/>
      <c r="F1121" s="131"/>
      <c r="G1121" s="131"/>
      <c r="H1121" s="131"/>
      <c r="I1121" s="131"/>
      <c r="J1121" s="132"/>
      <c r="K1121" s="132"/>
      <c r="L1121" s="131"/>
      <c r="M1121" s="131"/>
      <c r="N1121" s="131"/>
      <c r="O1121" s="53"/>
      <c r="P1121" s="53"/>
      <c r="Q1121" s="53"/>
      <c r="R1121" s="53"/>
      <c r="S1121" s="53"/>
      <c r="T1121" s="53"/>
      <c r="U1121" s="53"/>
      <c r="V1121" s="53"/>
      <c r="W1121" s="53"/>
      <c r="X1121" s="53"/>
      <c r="Y1121" s="53"/>
      <c r="Z1121" s="53"/>
      <c r="AA1121" s="53"/>
      <c r="AB1121" s="53"/>
      <c r="AC1121" s="53"/>
    </row>
    <row r="1122">
      <c r="A1122" s="53"/>
      <c r="B1122" s="53"/>
      <c r="C1122" s="131"/>
      <c r="D1122" s="131"/>
      <c r="E1122" s="131"/>
      <c r="F1122" s="131"/>
      <c r="G1122" s="131"/>
      <c r="H1122" s="131"/>
      <c r="I1122" s="131"/>
      <c r="J1122" s="132"/>
      <c r="K1122" s="132"/>
      <c r="L1122" s="131"/>
      <c r="M1122" s="131"/>
      <c r="N1122" s="131"/>
      <c r="O1122" s="53"/>
      <c r="P1122" s="53"/>
      <c r="Q1122" s="53"/>
      <c r="R1122" s="53"/>
      <c r="S1122" s="53"/>
      <c r="T1122" s="53"/>
      <c r="U1122" s="53"/>
      <c r="V1122" s="53"/>
      <c r="W1122" s="53"/>
      <c r="X1122" s="53"/>
      <c r="Y1122" s="53"/>
      <c r="Z1122" s="53"/>
      <c r="AA1122" s="53"/>
      <c r="AB1122" s="53"/>
      <c r="AC1122" s="53"/>
    </row>
    <row r="1123">
      <c r="A1123" s="53"/>
      <c r="B1123" s="53"/>
      <c r="C1123" s="131"/>
      <c r="D1123" s="131"/>
      <c r="E1123" s="131"/>
      <c r="F1123" s="131"/>
      <c r="G1123" s="131"/>
      <c r="H1123" s="131"/>
      <c r="I1123" s="131"/>
      <c r="J1123" s="132"/>
      <c r="K1123" s="132"/>
      <c r="L1123" s="131"/>
      <c r="M1123" s="131"/>
      <c r="N1123" s="131"/>
      <c r="O1123" s="53"/>
      <c r="P1123" s="53"/>
      <c r="Q1123" s="53"/>
      <c r="R1123" s="53"/>
      <c r="S1123" s="53"/>
      <c r="T1123" s="53"/>
      <c r="U1123" s="53"/>
      <c r="V1123" s="53"/>
      <c r="W1123" s="53"/>
      <c r="X1123" s="53"/>
      <c r="Y1123" s="53"/>
      <c r="Z1123" s="53"/>
      <c r="AA1123" s="53"/>
      <c r="AB1123" s="53"/>
      <c r="AC1123" s="53"/>
    </row>
    <row r="1124">
      <c r="A1124" s="53"/>
      <c r="B1124" s="53"/>
      <c r="C1124" s="131"/>
      <c r="D1124" s="131"/>
      <c r="E1124" s="131"/>
      <c r="F1124" s="131"/>
      <c r="G1124" s="131"/>
      <c r="H1124" s="131"/>
      <c r="I1124" s="131"/>
      <c r="J1124" s="132"/>
      <c r="K1124" s="132"/>
      <c r="L1124" s="131"/>
      <c r="M1124" s="131"/>
      <c r="N1124" s="131"/>
      <c r="O1124" s="53"/>
      <c r="P1124" s="53"/>
      <c r="Q1124" s="53"/>
      <c r="R1124" s="53"/>
      <c r="S1124" s="53"/>
      <c r="T1124" s="53"/>
      <c r="U1124" s="53"/>
      <c r="V1124" s="53"/>
      <c r="W1124" s="53"/>
      <c r="X1124" s="53"/>
      <c r="Y1124" s="53"/>
      <c r="Z1124" s="53"/>
      <c r="AA1124" s="53"/>
      <c r="AB1124" s="53"/>
      <c r="AC1124" s="53"/>
    </row>
    <row r="1125">
      <c r="A1125" s="53"/>
      <c r="B1125" s="53"/>
      <c r="C1125" s="131"/>
      <c r="D1125" s="131"/>
      <c r="E1125" s="131"/>
      <c r="F1125" s="131"/>
      <c r="G1125" s="131"/>
      <c r="H1125" s="131"/>
      <c r="I1125" s="131"/>
      <c r="J1125" s="132"/>
      <c r="K1125" s="132"/>
      <c r="L1125" s="131"/>
      <c r="M1125" s="131"/>
      <c r="N1125" s="131"/>
      <c r="O1125" s="53"/>
      <c r="P1125" s="53"/>
      <c r="Q1125" s="53"/>
      <c r="R1125" s="53"/>
      <c r="S1125" s="53"/>
      <c r="T1125" s="53"/>
      <c r="U1125" s="53"/>
      <c r="V1125" s="53"/>
      <c r="W1125" s="53"/>
      <c r="X1125" s="53"/>
      <c r="Y1125" s="53"/>
      <c r="Z1125" s="53"/>
      <c r="AA1125" s="53"/>
      <c r="AB1125" s="53"/>
      <c r="AC1125" s="53"/>
    </row>
    <row r="1126">
      <c r="A1126" s="53"/>
      <c r="B1126" s="53"/>
      <c r="C1126" s="131"/>
      <c r="D1126" s="131"/>
      <c r="E1126" s="131"/>
      <c r="F1126" s="131"/>
      <c r="G1126" s="131"/>
      <c r="H1126" s="131"/>
      <c r="I1126" s="131"/>
      <c r="J1126" s="132"/>
      <c r="K1126" s="132"/>
      <c r="L1126" s="131"/>
      <c r="M1126" s="131"/>
      <c r="N1126" s="131"/>
      <c r="O1126" s="53"/>
      <c r="P1126" s="53"/>
      <c r="Q1126" s="53"/>
      <c r="R1126" s="53"/>
      <c r="S1126" s="53"/>
      <c r="T1126" s="53"/>
      <c r="U1126" s="53"/>
      <c r="V1126" s="53"/>
      <c r="W1126" s="53"/>
      <c r="X1126" s="53"/>
      <c r="Y1126" s="53"/>
      <c r="Z1126" s="53"/>
      <c r="AA1126" s="53"/>
      <c r="AB1126" s="53"/>
      <c r="AC1126" s="53"/>
    </row>
    <row r="1127">
      <c r="A1127" s="53"/>
      <c r="B1127" s="53"/>
      <c r="C1127" s="131"/>
      <c r="D1127" s="131"/>
      <c r="E1127" s="131"/>
      <c r="F1127" s="131"/>
      <c r="G1127" s="131"/>
      <c r="H1127" s="131"/>
      <c r="I1127" s="131"/>
      <c r="J1127" s="132"/>
      <c r="K1127" s="132"/>
      <c r="L1127" s="131"/>
      <c r="M1127" s="131"/>
      <c r="N1127" s="131"/>
      <c r="O1127" s="53"/>
      <c r="P1127" s="53"/>
      <c r="Q1127" s="53"/>
      <c r="R1127" s="53"/>
      <c r="S1127" s="53"/>
      <c r="T1127" s="53"/>
      <c r="U1127" s="53"/>
      <c r="V1127" s="53"/>
      <c r="W1127" s="53"/>
      <c r="X1127" s="53"/>
      <c r="Y1127" s="53"/>
      <c r="Z1127" s="53"/>
      <c r="AA1127" s="53"/>
      <c r="AB1127" s="53"/>
      <c r="AC1127" s="53"/>
    </row>
    <row r="1128">
      <c r="A1128" s="53"/>
      <c r="B1128" s="53"/>
      <c r="C1128" s="131"/>
      <c r="D1128" s="131"/>
      <c r="E1128" s="131"/>
      <c r="F1128" s="131"/>
      <c r="G1128" s="131"/>
      <c r="H1128" s="131"/>
      <c r="I1128" s="131"/>
      <c r="J1128" s="132"/>
      <c r="K1128" s="132"/>
      <c r="L1128" s="131"/>
      <c r="M1128" s="131"/>
      <c r="N1128" s="131"/>
      <c r="O1128" s="53"/>
      <c r="P1128" s="53"/>
      <c r="Q1128" s="53"/>
      <c r="R1128" s="53"/>
      <c r="S1128" s="53"/>
      <c r="T1128" s="53"/>
      <c r="U1128" s="53"/>
      <c r="V1128" s="53"/>
      <c r="W1128" s="53"/>
      <c r="X1128" s="53"/>
      <c r="Y1128" s="53"/>
      <c r="Z1128" s="53"/>
      <c r="AA1128" s="53"/>
      <c r="AB1128" s="53"/>
      <c r="AC1128" s="53"/>
    </row>
    <row r="1129">
      <c r="A1129" s="53"/>
      <c r="B1129" s="53"/>
      <c r="C1129" s="131"/>
      <c r="D1129" s="131"/>
      <c r="E1129" s="131"/>
      <c r="F1129" s="131"/>
      <c r="G1129" s="131"/>
      <c r="H1129" s="131"/>
      <c r="I1129" s="131"/>
      <c r="J1129" s="132"/>
      <c r="K1129" s="132"/>
      <c r="L1129" s="131"/>
      <c r="M1129" s="131"/>
      <c r="N1129" s="131"/>
      <c r="O1129" s="53"/>
      <c r="P1129" s="53"/>
      <c r="Q1129" s="53"/>
      <c r="R1129" s="53"/>
      <c r="S1129" s="53"/>
      <c r="T1129" s="53"/>
      <c r="U1129" s="53"/>
      <c r="V1129" s="53"/>
      <c r="W1129" s="53"/>
      <c r="X1129" s="53"/>
      <c r="Y1129" s="53"/>
      <c r="Z1129" s="53"/>
      <c r="AA1129" s="53"/>
      <c r="AB1129" s="53"/>
      <c r="AC1129" s="53"/>
    </row>
    <row r="1130">
      <c r="A1130" s="53"/>
      <c r="B1130" s="53"/>
      <c r="C1130" s="131"/>
      <c r="D1130" s="131"/>
      <c r="E1130" s="131"/>
      <c r="F1130" s="131"/>
      <c r="G1130" s="131"/>
      <c r="H1130" s="131"/>
      <c r="I1130" s="131"/>
      <c r="J1130" s="132"/>
      <c r="K1130" s="132"/>
      <c r="L1130" s="131"/>
      <c r="M1130" s="131"/>
      <c r="N1130" s="131"/>
      <c r="O1130" s="53"/>
      <c r="P1130" s="53"/>
      <c r="Q1130" s="53"/>
      <c r="R1130" s="53"/>
      <c r="S1130" s="53"/>
      <c r="T1130" s="53"/>
      <c r="U1130" s="53"/>
      <c r="V1130" s="53"/>
      <c r="W1130" s="53"/>
      <c r="X1130" s="53"/>
      <c r="Y1130" s="53"/>
      <c r="Z1130" s="53"/>
      <c r="AA1130" s="53"/>
      <c r="AB1130" s="53"/>
      <c r="AC1130" s="53"/>
    </row>
    <row r="1131">
      <c r="A1131" s="53"/>
      <c r="B1131" s="53"/>
      <c r="C1131" s="131"/>
      <c r="D1131" s="131"/>
      <c r="E1131" s="131"/>
      <c r="F1131" s="131"/>
      <c r="G1131" s="131"/>
      <c r="H1131" s="131"/>
      <c r="I1131" s="131"/>
      <c r="J1131" s="132"/>
      <c r="K1131" s="132"/>
      <c r="L1131" s="131"/>
      <c r="M1131" s="131"/>
      <c r="N1131" s="131"/>
      <c r="O1131" s="53"/>
      <c r="P1131" s="53"/>
      <c r="Q1131" s="53"/>
      <c r="R1131" s="53"/>
      <c r="S1131" s="53"/>
      <c r="T1131" s="53"/>
      <c r="U1131" s="53"/>
      <c r="V1131" s="53"/>
      <c r="W1131" s="53"/>
      <c r="X1131" s="53"/>
      <c r="Y1131" s="53"/>
      <c r="Z1131" s="53"/>
      <c r="AA1131" s="53"/>
      <c r="AB1131" s="53"/>
      <c r="AC1131" s="53"/>
    </row>
    <row r="1132">
      <c r="A1132" s="53"/>
      <c r="B1132" s="53"/>
      <c r="C1132" s="131"/>
      <c r="D1132" s="131"/>
      <c r="E1132" s="131"/>
      <c r="F1132" s="131"/>
      <c r="G1132" s="131"/>
      <c r="H1132" s="131"/>
      <c r="I1132" s="131"/>
      <c r="J1132" s="132"/>
      <c r="K1132" s="132"/>
      <c r="L1132" s="131"/>
      <c r="M1132" s="131"/>
      <c r="N1132" s="131"/>
      <c r="O1132" s="53"/>
      <c r="P1132" s="53"/>
      <c r="Q1132" s="53"/>
      <c r="R1132" s="53"/>
      <c r="S1132" s="53"/>
      <c r="T1132" s="53"/>
      <c r="U1132" s="53"/>
      <c r="V1132" s="53"/>
      <c r="W1132" s="53"/>
      <c r="X1132" s="53"/>
      <c r="Y1132" s="53"/>
      <c r="Z1132" s="53"/>
      <c r="AA1132" s="53"/>
      <c r="AB1132" s="53"/>
      <c r="AC1132" s="53"/>
    </row>
    <row r="1133">
      <c r="A1133" s="53"/>
      <c r="B1133" s="53"/>
      <c r="C1133" s="131"/>
      <c r="D1133" s="131"/>
      <c r="E1133" s="131"/>
      <c r="F1133" s="131"/>
      <c r="G1133" s="131"/>
      <c r="H1133" s="131"/>
      <c r="I1133" s="131"/>
      <c r="J1133" s="132"/>
      <c r="K1133" s="132"/>
      <c r="L1133" s="131"/>
      <c r="M1133" s="131"/>
      <c r="N1133" s="131"/>
      <c r="O1133" s="53"/>
      <c r="P1133" s="53"/>
      <c r="Q1133" s="53"/>
      <c r="R1133" s="53"/>
      <c r="S1133" s="53"/>
      <c r="T1133" s="53"/>
      <c r="U1133" s="53"/>
      <c r="V1133" s="53"/>
      <c r="W1133" s="53"/>
      <c r="X1133" s="53"/>
      <c r="Y1133" s="53"/>
      <c r="Z1133" s="53"/>
      <c r="AA1133" s="53"/>
      <c r="AB1133" s="53"/>
      <c r="AC1133" s="53"/>
    </row>
    <row r="1134">
      <c r="A1134" s="53"/>
      <c r="B1134" s="53"/>
      <c r="C1134" s="131"/>
      <c r="D1134" s="131"/>
      <c r="E1134" s="131"/>
      <c r="F1134" s="131"/>
      <c r="G1134" s="131"/>
      <c r="H1134" s="131"/>
      <c r="I1134" s="131"/>
      <c r="J1134" s="132"/>
      <c r="K1134" s="132"/>
      <c r="L1134" s="131"/>
      <c r="M1134" s="131"/>
      <c r="N1134" s="131"/>
      <c r="O1134" s="53"/>
      <c r="P1134" s="53"/>
      <c r="Q1134" s="53"/>
      <c r="R1134" s="53"/>
      <c r="S1134" s="53"/>
      <c r="T1134" s="53"/>
      <c r="U1134" s="53"/>
      <c r="V1134" s="53"/>
      <c r="W1134" s="53"/>
      <c r="X1134" s="53"/>
      <c r="Y1134" s="53"/>
      <c r="Z1134" s="53"/>
      <c r="AA1134" s="53"/>
      <c r="AB1134" s="53"/>
      <c r="AC1134" s="53"/>
    </row>
    <row r="1135">
      <c r="A1135" s="53"/>
      <c r="B1135" s="53"/>
      <c r="C1135" s="131"/>
      <c r="D1135" s="131"/>
      <c r="E1135" s="131"/>
      <c r="F1135" s="131"/>
      <c r="G1135" s="131"/>
      <c r="H1135" s="131"/>
      <c r="I1135" s="131"/>
      <c r="J1135" s="132"/>
      <c r="K1135" s="132"/>
      <c r="L1135" s="131"/>
      <c r="M1135" s="131"/>
      <c r="N1135" s="131"/>
      <c r="O1135" s="53"/>
      <c r="P1135" s="53"/>
      <c r="Q1135" s="53"/>
      <c r="R1135" s="53"/>
      <c r="S1135" s="53"/>
      <c r="T1135" s="53"/>
      <c r="U1135" s="53"/>
      <c r="V1135" s="53"/>
      <c r="W1135" s="53"/>
      <c r="X1135" s="53"/>
      <c r="Y1135" s="53"/>
      <c r="Z1135" s="53"/>
      <c r="AA1135" s="53"/>
      <c r="AB1135" s="53"/>
      <c r="AC1135" s="53"/>
    </row>
    <row r="1136">
      <c r="A1136" s="53"/>
      <c r="B1136" s="53"/>
      <c r="C1136" s="131"/>
      <c r="D1136" s="131"/>
      <c r="E1136" s="131"/>
      <c r="F1136" s="131"/>
      <c r="G1136" s="131"/>
      <c r="H1136" s="131"/>
      <c r="I1136" s="131"/>
      <c r="J1136" s="132"/>
      <c r="K1136" s="132"/>
      <c r="L1136" s="131"/>
      <c r="M1136" s="131"/>
      <c r="N1136" s="131"/>
      <c r="O1136" s="53"/>
      <c r="P1136" s="53"/>
      <c r="Q1136" s="53"/>
      <c r="R1136" s="53"/>
      <c r="S1136" s="53"/>
      <c r="T1136" s="53"/>
      <c r="U1136" s="53"/>
      <c r="V1136" s="53"/>
      <c r="W1136" s="53"/>
      <c r="X1136" s="53"/>
      <c r="Y1136" s="53"/>
      <c r="Z1136" s="53"/>
      <c r="AA1136" s="53"/>
      <c r="AB1136" s="53"/>
      <c r="AC1136" s="53"/>
    </row>
    <row r="1137">
      <c r="A1137" s="53"/>
      <c r="B1137" s="53"/>
      <c r="C1137" s="131"/>
      <c r="D1137" s="131"/>
      <c r="E1137" s="131"/>
      <c r="F1137" s="131"/>
      <c r="G1137" s="131"/>
      <c r="H1137" s="131"/>
      <c r="I1137" s="131"/>
      <c r="J1137" s="132"/>
      <c r="K1137" s="132"/>
      <c r="L1137" s="131"/>
      <c r="M1137" s="131"/>
      <c r="N1137" s="131"/>
      <c r="O1137" s="53"/>
      <c r="P1137" s="53"/>
      <c r="Q1137" s="53"/>
      <c r="R1137" s="53"/>
      <c r="S1137" s="53"/>
      <c r="T1137" s="53"/>
      <c r="U1137" s="53"/>
      <c r="V1137" s="53"/>
      <c r="W1137" s="53"/>
      <c r="X1137" s="53"/>
      <c r="Y1137" s="53"/>
      <c r="Z1137" s="53"/>
      <c r="AA1137" s="53"/>
      <c r="AB1137" s="53"/>
      <c r="AC1137" s="53"/>
    </row>
    <row r="1138">
      <c r="A1138" s="53"/>
      <c r="B1138" s="53"/>
      <c r="C1138" s="131"/>
      <c r="D1138" s="131"/>
      <c r="E1138" s="131"/>
      <c r="F1138" s="131"/>
      <c r="G1138" s="131"/>
      <c r="H1138" s="131"/>
      <c r="I1138" s="131"/>
      <c r="J1138" s="132"/>
      <c r="K1138" s="132"/>
      <c r="L1138" s="131"/>
      <c r="M1138" s="131"/>
      <c r="N1138" s="131"/>
      <c r="O1138" s="53"/>
      <c r="P1138" s="53"/>
      <c r="Q1138" s="53"/>
      <c r="R1138" s="53"/>
      <c r="S1138" s="53"/>
      <c r="T1138" s="53"/>
      <c r="U1138" s="53"/>
      <c r="V1138" s="53"/>
      <c r="W1138" s="53"/>
      <c r="X1138" s="53"/>
      <c r="Y1138" s="53"/>
      <c r="Z1138" s="53"/>
      <c r="AA1138" s="53"/>
      <c r="AB1138" s="53"/>
      <c r="AC1138" s="53"/>
    </row>
    <row r="1139">
      <c r="A1139" s="53"/>
      <c r="B1139" s="53"/>
      <c r="C1139" s="131"/>
      <c r="D1139" s="131"/>
      <c r="E1139" s="131"/>
      <c r="F1139" s="131"/>
      <c r="G1139" s="131"/>
      <c r="H1139" s="131"/>
      <c r="I1139" s="131"/>
      <c r="J1139" s="132"/>
      <c r="K1139" s="132"/>
      <c r="L1139" s="131"/>
      <c r="M1139" s="131"/>
      <c r="N1139" s="131"/>
      <c r="O1139" s="53"/>
      <c r="P1139" s="53"/>
      <c r="Q1139" s="53"/>
      <c r="R1139" s="53"/>
      <c r="S1139" s="53"/>
      <c r="T1139" s="53"/>
      <c r="U1139" s="53"/>
      <c r="V1139" s="53"/>
      <c r="W1139" s="53"/>
      <c r="X1139" s="53"/>
      <c r="Y1139" s="53"/>
      <c r="Z1139" s="53"/>
      <c r="AA1139" s="53"/>
      <c r="AB1139" s="53"/>
      <c r="AC1139" s="53"/>
    </row>
    <row r="1140">
      <c r="A1140" s="53"/>
      <c r="B1140" s="53"/>
      <c r="C1140" s="131"/>
      <c r="D1140" s="131"/>
      <c r="E1140" s="131"/>
      <c r="F1140" s="131"/>
      <c r="G1140" s="131"/>
      <c r="H1140" s="131"/>
      <c r="I1140" s="131"/>
      <c r="J1140" s="132"/>
      <c r="K1140" s="132"/>
      <c r="L1140" s="131"/>
      <c r="M1140" s="131"/>
      <c r="N1140" s="131"/>
      <c r="O1140" s="53"/>
      <c r="P1140" s="53"/>
      <c r="Q1140" s="53"/>
      <c r="R1140" s="53"/>
      <c r="S1140" s="53"/>
      <c r="T1140" s="53"/>
      <c r="U1140" s="53"/>
      <c r="V1140" s="53"/>
      <c r="W1140" s="53"/>
      <c r="X1140" s="53"/>
      <c r="Y1140" s="53"/>
      <c r="Z1140" s="53"/>
      <c r="AA1140" s="53"/>
      <c r="AB1140" s="53"/>
      <c r="AC1140" s="53"/>
    </row>
    <row r="1141">
      <c r="A1141" s="53"/>
      <c r="B1141" s="53"/>
      <c r="C1141" s="131"/>
      <c r="D1141" s="131"/>
      <c r="E1141" s="131"/>
      <c r="F1141" s="131"/>
      <c r="G1141" s="131"/>
      <c r="H1141" s="131"/>
      <c r="I1141" s="131"/>
      <c r="J1141" s="132"/>
      <c r="K1141" s="132"/>
      <c r="L1141" s="131"/>
      <c r="M1141" s="131"/>
      <c r="N1141" s="131"/>
      <c r="O1141" s="53"/>
      <c r="P1141" s="53"/>
      <c r="Q1141" s="53"/>
      <c r="R1141" s="53"/>
      <c r="S1141" s="53"/>
      <c r="T1141" s="53"/>
      <c r="U1141" s="53"/>
      <c r="V1141" s="53"/>
      <c r="W1141" s="53"/>
      <c r="X1141" s="53"/>
      <c r="Y1141" s="53"/>
      <c r="Z1141" s="53"/>
      <c r="AA1141" s="53"/>
      <c r="AB1141" s="53"/>
      <c r="AC1141" s="53"/>
    </row>
    <row r="1142">
      <c r="A1142" s="53"/>
      <c r="B1142" s="53"/>
      <c r="C1142" s="131"/>
      <c r="D1142" s="131"/>
      <c r="E1142" s="131"/>
      <c r="F1142" s="131"/>
      <c r="G1142" s="131"/>
      <c r="H1142" s="131"/>
      <c r="I1142" s="131"/>
      <c r="J1142" s="132"/>
      <c r="K1142" s="132"/>
      <c r="L1142" s="131"/>
      <c r="M1142" s="131"/>
      <c r="N1142" s="131"/>
      <c r="O1142" s="53"/>
      <c r="P1142" s="53"/>
      <c r="Q1142" s="53"/>
      <c r="R1142" s="53"/>
      <c r="S1142" s="53"/>
      <c r="T1142" s="53"/>
      <c r="U1142" s="53"/>
      <c r="V1142" s="53"/>
      <c r="W1142" s="53"/>
      <c r="X1142" s="53"/>
      <c r="Y1142" s="53"/>
      <c r="Z1142" s="53"/>
      <c r="AA1142" s="53"/>
      <c r="AB1142" s="53"/>
      <c r="AC1142" s="53"/>
    </row>
    <row r="1143">
      <c r="A1143" s="53"/>
      <c r="B1143" s="53"/>
      <c r="C1143" s="131"/>
      <c r="D1143" s="131"/>
      <c r="E1143" s="131"/>
      <c r="F1143" s="131"/>
      <c r="G1143" s="131"/>
      <c r="H1143" s="131"/>
      <c r="I1143" s="131"/>
      <c r="J1143" s="132"/>
      <c r="K1143" s="132"/>
      <c r="L1143" s="131"/>
      <c r="M1143" s="131"/>
      <c r="N1143" s="131"/>
      <c r="O1143" s="53"/>
      <c r="P1143" s="53"/>
      <c r="Q1143" s="53"/>
      <c r="R1143" s="53"/>
      <c r="S1143" s="53"/>
      <c r="T1143" s="53"/>
      <c r="U1143" s="53"/>
      <c r="V1143" s="53"/>
      <c r="W1143" s="53"/>
      <c r="X1143" s="53"/>
      <c r="Y1143" s="53"/>
      <c r="Z1143" s="53"/>
      <c r="AA1143" s="53"/>
      <c r="AB1143" s="53"/>
      <c r="AC1143" s="53"/>
    </row>
    <row r="1144">
      <c r="A1144" s="53"/>
      <c r="B1144" s="53"/>
      <c r="C1144" s="131"/>
      <c r="D1144" s="131"/>
      <c r="E1144" s="131"/>
      <c r="F1144" s="131"/>
      <c r="G1144" s="131"/>
      <c r="H1144" s="131"/>
      <c r="I1144" s="131"/>
      <c r="J1144" s="132"/>
      <c r="K1144" s="132"/>
      <c r="L1144" s="131"/>
      <c r="M1144" s="131"/>
      <c r="N1144" s="131"/>
      <c r="O1144" s="53"/>
      <c r="P1144" s="53"/>
      <c r="Q1144" s="53"/>
      <c r="R1144" s="53"/>
      <c r="S1144" s="53"/>
      <c r="T1144" s="53"/>
      <c r="U1144" s="53"/>
      <c r="V1144" s="53"/>
      <c r="W1144" s="53"/>
      <c r="X1144" s="53"/>
      <c r="Y1144" s="53"/>
      <c r="Z1144" s="53"/>
      <c r="AA1144" s="53"/>
      <c r="AB1144" s="53"/>
      <c r="AC1144" s="53"/>
    </row>
    <row r="1145">
      <c r="A1145" s="53"/>
      <c r="B1145" s="53"/>
      <c r="C1145" s="131"/>
      <c r="D1145" s="131"/>
      <c r="E1145" s="131"/>
      <c r="F1145" s="131"/>
      <c r="G1145" s="131"/>
      <c r="H1145" s="131"/>
      <c r="I1145" s="131"/>
      <c r="J1145" s="132"/>
      <c r="K1145" s="132"/>
      <c r="L1145" s="131"/>
      <c r="M1145" s="131"/>
      <c r="N1145" s="131"/>
      <c r="O1145" s="53"/>
      <c r="P1145" s="53"/>
      <c r="Q1145" s="53"/>
      <c r="R1145" s="53"/>
      <c r="S1145" s="53"/>
      <c r="T1145" s="53"/>
      <c r="U1145" s="53"/>
      <c r="V1145" s="53"/>
      <c r="W1145" s="53"/>
      <c r="X1145" s="53"/>
      <c r="Y1145" s="53"/>
      <c r="Z1145" s="53"/>
      <c r="AA1145" s="53"/>
      <c r="AB1145" s="53"/>
      <c r="AC1145" s="53"/>
    </row>
    <row r="1146">
      <c r="A1146" s="53"/>
      <c r="B1146" s="53"/>
      <c r="C1146" s="131"/>
      <c r="D1146" s="131"/>
      <c r="E1146" s="131"/>
      <c r="F1146" s="131"/>
      <c r="G1146" s="131"/>
      <c r="H1146" s="131"/>
      <c r="I1146" s="131"/>
      <c r="J1146" s="132"/>
      <c r="K1146" s="132"/>
      <c r="L1146" s="131"/>
      <c r="M1146" s="131"/>
      <c r="N1146" s="131"/>
      <c r="O1146" s="53"/>
      <c r="P1146" s="53"/>
      <c r="Q1146" s="53"/>
      <c r="R1146" s="53"/>
      <c r="S1146" s="53"/>
      <c r="T1146" s="53"/>
      <c r="U1146" s="53"/>
      <c r="V1146" s="53"/>
      <c r="W1146" s="53"/>
      <c r="X1146" s="53"/>
      <c r="Y1146" s="53"/>
      <c r="Z1146" s="53"/>
      <c r="AA1146" s="53"/>
      <c r="AB1146" s="53"/>
      <c r="AC1146" s="53"/>
    </row>
    <row r="1147">
      <c r="A1147" s="53"/>
      <c r="B1147" s="53"/>
      <c r="C1147" s="131"/>
      <c r="D1147" s="131"/>
      <c r="E1147" s="131"/>
      <c r="F1147" s="131"/>
      <c r="G1147" s="131"/>
      <c r="H1147" s="131"/>
      <c r="I1147" s="131"/>
      <c r="J1147" s="132"/>
      <c r="K1147" s="132"/>
      <c r="L1147" s="131"/>
      <c r="M1147" s="131"/>
      <c r="N1147" s="131"/>
      <c r="O1147" s="53"/>
      <c r="P1147" s="53"/>
      <c r="Q1147" s="53"/>
      <c r="R1147" s="53"/>
      <c r="S1147" s="53"/>
      <c r="T1147" s="53"/>
      <c r="U1147" s="53"/>
      <c r="V1147" s="53"/>
      <c r="W1147" s="53"/>
      <c r="X1147" s="53"/>
      <c r="Y1147" s="53"/>
      <c r="Z1147" s="53"/>
      <c r="AA1147" s="53"/>
      <c r="AB1147" s="53"/>
      <c r="AC1147" s="53"/>
    </row>
    <row r="1148">
      <c r="A1148" s="53"/>
      <c r="B1148" s="53"/>
      <c r="C1148" s="131"/>
      <c r="D1148" s="131"/>
      <c r="E1148" s="131"/>
      <c r="F1148" s="131"/>
      <c r="G1148" s="131"/>
      <c r="H1148" s="131"/>
      <c r="I1148" s="131"/>
      <c r="J1148" s="132"/>
      <c r="K1148" s="132"/>
      <c r="L1148" s="131"/>
      <c r="M1148" s="131"/>
      <c r="N1148" s="131"/>
      <c r="O1148" s="53"/>
      <c r="P1148" s="53"/>
      <c r="Q1148" s="53"/>
      <c r="R1148" s="53"/>
      <c r="S1148" s="53"/>
      <c r="T1148" s="53"/>
      <c r="U1148" s="53"/>
      <c r="V1148" s="53"/>
      <c r="W1148" s="53"/>
      <c r="X1148" s="53"/>
      <c r="Y1148" s="53"/>
      <c r="Z1148" s="53"/>
      <c r="AA1148" s="53"/>
      <c r="AB1148" s="53"/>
      <c r="AC1148" s="53"/>
    </row>
    <row r="1149">
      <c r="A1149" s="53"/>
      <c r="B1149" s="53"/>
      <c r="C1149" s="131"/>
      <c r="D1149" s="131"/>
      <c r="E1149" s="131"/>
      <c r="F1149" s="131"/>
      <c r="G1149" s="131"/>
      <c r="H1149" s="131"/>
      <c r="I1149" s="131"/>
      <c r="J1149" s="132"/>
      <c r="K1149" s="132"/>
      <c r="L1149" s="131"/>
      <c r="M1149" s="131"/>
      <c r="N1149" s="131"/>
      <c r="O1149" s="53"/>
      <c r="P1149" s="53"/>
      <c r="Q1149" s="53"/>
      <c r="R1149" s="53"/>
      <c r="S1149" s="53"/>
      <c r="T1149" s="53"/>
      <c r="U1149" s="53"/>
      <c r="V1149" s="53"/>
      <c r="W1149" s="53"/>
      <c r="X1149" s="53"/>
      <c r="Y1149" s="53"/>
      <c r="Z1149" s="53"/>
      <c r="AA1149" s="53"/>
      <c r="AB1149" s="53"/>
      <c r="AC1149" s="53"/>
    </row>
    <row r="1150">
      <c r="A1150" s="53"/>
      <c r="B1150" s="53"/>
      <c r="C1150" s="131"/>
      <c r="D1150" s="131"/>
      <c r="E1150" s="131"/>
      <c r="F1150" s="131"/>
      <c r="G1150" s="131"/>
      <c r="H1150" s="131"/>
      <c r="I1150" s="131"/>
      <c r="J1150" s="132"/>
      <c r="K1150" s="132"/>
      <c r="L1150" s="131"/>
      <c r="M1150" s="131"/>
      <c r="N1150" s="131"/>
      <c r="O1150" s="53"/>
      <c r="P1150" s="53"/>
      <c r="Q1150" s="53"/>
      <c r="R1150" s="53"/>
      <c r="S1150" s="53"/>
      <c r="T1150" s="53"/>
      <c r="U1150" s="53"/>
      <c r="V1150" s="53"/>
      <c r="W1150" s="53"/>
      <c r="X1150" s="53"/>
      <c r="Y1150" s="53"/>
      <c r="Z1150" s="53"/>
      <c r="AA1150" s="53"/>
      <c r="AB1150" s="53"/>
      <c r="AC1150" s="53"/>
    </row>
    <row r="1151">
      <c r="A1151" s="53"/>
      <c r="B1151" s="53"/>
      <c r="C1151" s="131"/>
      <c r="D1151" s="131"/>
      <c r="E1151" s="131"/>
      <c r="F1151" s="131"/>
      <c r="G1151" s="131"/>
      <c r="H1151" s="131"/>
      <c r="I1151" s="131"/>
      <c r="J1151" s="132"/>
      <c r="K1151" s="132"/>
      <c r="L1151" s="131"/>
      <c r="M1151" s="131"/>
      <c r="N1151" s="131"/>
      <c r="O1151" s="53"/>
      <c r="P1151" s="53"/>
      <c r="Q1151" s="53"/>
      <c r="R1151" s="53"/>
      <c r="S1151" s="53"/>
      <c r="T1151" s="53"/>
      <c r="U1151" s="53"/>
      <c r="V1151" s="53"/>
      <c r="W1151" s="53"/>
      <c r="X1151" s="53"/>
      <c r="Y1151" s="53"/>
      <c r="Z1151" s="53"/>
      <c r="AA1151" s="53"/>
      <c r="AB1151" s="53"/>
      <c r="AC1151" s="53"/>
    </row>
    <row r="1152">
      <c r="A1152" s="53"/>
      <c r="B1152" s="53"/>
      <c r="C1152" s="131"/>
      <c r="D1152" s="131"/>
      <c r="E1152" s="131"/>
      <c r="F1152" s="131"/>
      <c r="G1152" s="131"/>
      <c r="H1152" s="131"/>
      <c r="I1152" s="131"/>
      <c r="J1152" s="132"/>
      <c r="K1152" s="132"/>
      <c r="L1152" s="131"/>
      <c r="M1152" s="131"/>
      <c r="N1152" s="131"/>
      <c r="O1152" s="53"/>
      <c r="P1152" s="53"/>
      <c r="Q1152" s="53"/>
      <c r="R1152" s="53"/>
      <c r="S1152" s="53"/>
      <c r="T1152" s="53"/>
      <c r="U1152" s="53"/>
      <c r="V1152" s="53"/>
      <c r="W1152" s="53"/>
      <c r="X1152" s="53"/>
      <c r="Y1152" s="53"/>
      <c r="Z1152" s="53"/>
      <c r="AA1152" s="53"/>
      <c r="AB1152" s="53"/>
      <c r="AC1152" s="53"/>
    </row>
    <row r="1153">
      <c r="A1153" s="53"/>
      <c r="B1153" s="53"/>
      <c r="C1153" s="131"/>
      <c r="D1153" s="131"/>
      <c r="E1153" s="131"/>
      <c r="F1153" s="131"/>
      <c r="G1153" s="131"/>
      <c r="H1153" s="131"/>
      <c r="I1153" s="131"/>
      <c r="J1153" s="132"/>
      <c r="K1153" s="132"/>
      <c r="L1153" s="131"/>
      <c r="M1153" s="131"/>
      <c r="N1153" s="131"/>
      <c r="O1153" s="53"/>
      <c r="P1153" s="53"/>
      <c r="Q1153" s="53"/>
      <c r="R1153" s="53"/>
      <c r="S1153" s="53"/>
      <c r="T1153" s="53"/>
      <c r="U1153" s="53"/>
      <c r="V1153" s="53"/>
      <c r="W1153" s="53"/>
      <c r="X1153" s="53"/>
      <c r="Y1153" s="53"/>
      <c r="Z1153" s="53"/>
      <c r="AA1153" s="53"/>
      <c r="AB1153" s="53"/>
      <c r="AC1153" s="53"/>
    </row>
    <row r="1154">
      <c r="A1154" s="53"/>
      <c r="B1154" s="53"/>
      <c r="C1154" s="131"/>
      <c r="D1154" s="131"/>
      <c r="E1154" s="131"/>
      <c r="F1154" s="131"/>
      <c r="G1154" s="131"/>
      <c r="H1154" s="131"/>
      <c r="I1154" s="131"/>
      <c r="J1154" s="132"/>
      <c r="K1154" s="132"/>
      <c r="L1154" s="131"/>
      <c r="M1154" s="131"/>
      <c r="N1154" s="131"/>
      <c r="O1154" s="53"/>
      <c r="P1154" s="53"/>
      <c r="Q1154" s="53"/>
      <c r="R1154" s="53"/>
      <c r="S1154" s="53"/>
      <c r="T1154" s="53"/>
      <c r="U1154" s="53"/>
      <c r="V1154" s="53"/>
      <c r="W1154" s="53"/>
      <c r="X1154" s="53"/>
      <c r="Y1154" s="53"/>
      <c r="Z1154" s="53"/>
      <c r="AA1154" s="53"/>
      <c r="AB1154" s="53"/>
      <c r="AC1154" s="53"/>
    </row>
    <row r="1155">
      <c r="A1155" s="53"/>
      <c r="B1155" s="53"/>
      <c r="C1155" s="131"/>
      <c r="D1155" s="131"/>
      <c r="E1155" s="131"/>
      <c r="F1155" s="131"/>
      <c r="G1155" s="131"/>
      <c r="H1155" s="131"/>
      <c r="I1155" s="131"/>
      <c r="J1155" s="132"/>
      <c r="K1155" s="132"/>
      <c r="L1155" s="131"/>
      <c r="M1155" s="131"/>
      <c r="N1155" s="131"/>
      <c r="O1155" s="53"/>
      <c r="P1155" s="53"/>
      <c r="Q1155" s="53"/>
      <c r="R1155" s="53"/>
      <c r="S1155" s="53"/>
      <c r="T1155" s="53"/>
      <c r="U1155" s="53"/>
      <c r="V1155" s="53"/>
      <c r="W1155" s="53"/>
      <c r="X1155" s="53"/>
      <c r="Y1155" s="53"/>
      <c r="Z1155" s="53"/>
      <c r="AA1155" s="53"/>
      <c r="AB1155" s="53"/>
      <c r="AC1155" s="53"/>
    </row>
    <row r="1156">
      <c r="A1156" s="53"/>
      <c r="B1156" s="53"/>
      <c r="C1156" s="131"/>
      <c r="D1156" s="131"/>
      <c r="E1156" s="131"/>
      <c r="F1156" s="131"/>
      <c r="G1156" s="131"/>
      <c r="H1156" s="131"/>
      <c r="I1156" s="131"/>
      <c r="J1156" s="132"/>
      <c r="K1156" s="132"/>
      <c r="L1156" s="131"/>
      <c r="M1156" s="131"/>
      <c r="N1156" s="131"/>
      <c r="O1156" s="53"/>
      <c r="P1156" s="53"/>
      <c r="Q1156" s="53"/>
      <c r="R1156" s="53"/>
      <c r="S1156" s="53"/>
      <c r="T1156" s="53"/>
      <c r="U1156" s="53"/>
      <c r="V1156" s="53"/>
      <c r="W1156" s="53"/>
      <c r="X1156" s="53"/>
      <c r="Y1156" s="53"/>
      <c r="Z1156" s="53"/>
      <c r="AA1156" s="53"/>
      <c r="AB1156" s="53"/>
      <c r="AC1156" s="53"/>
    </row>
    <row r="1157">
      <c r="A1157" s="53"/>
      <c r="B1157" s="53"/>
      <c r="C1157" s="131"/>
      <c r="D1157" s="131"/>
      <c r="E1157" s="131"/>
      <c r="F1157" s="131"/>
      <c r="G1157" s="131"/>
      <c r="H1157" s="131"/>
      <c r="I1157" s="131"/>
      <c r="J1157" s="132"/>
      <c r="K1157" s="132"/>
      <c r="L1157" s="131"/>
      <c r="M1157" s="131"/>
      <c r="N1157" s="131"/>
      <c r="O1157" s="53"/>
      <c r="P1157" s="53"/>
      <c r="Q1157" s="53"/>
      <c r="R1157" s="53"/>
      <c r="S1157" s="53"/>
      <c r="T1157" s="53"/>
      <c r="U1157" s="53"/>
      <c r="V1157" s="53"/>
      <c r="W1157" s="53"/>
      <c r="X1157" s="53"/>
      <c r="Y1157" s="53"/>
      <c r="Z1157" s="53"/>
      <c r="AA1157" s="53"/>
      <c r="AB1157" s="53"/>
      <c r="AC1157" s="53"/>
    </row>
    <row r="1158">
      <c r="A1158" s="53"/>
      <c r="B1158" s="53"/>
      <c r="C1158" s="131"/>
      <c r="D1158" s="131"/>
      <c r="E1158" s="131"/>
      <c r="F1158" s="131"/>
      <c r="G1158" s="131"/>
      <c r="H1158" s="131"/>
      <c r="I1158" s="131"/>
      <c r="J1158" s="132"/>
      <c r="K1158" s="132"/>
      <c r="L1158" s="131"/>
      <c r="M1158" s="131"/>
      <c r="N1158" s="131"/>
      <c r="O1158" s="53"/>
      <c r="P1158" s="53"/>
      <c r="Q1158" s="53"/>
      <c r="R1158" s="53"/>
      <c r="S1158" s="53"/>
      <c r="T1158" s="53"/>
      <c r="U1158" s="53"/>
      <c r="V1158" s="53"/>
      <c r="W1158" s="53"/>
      <c r="X1158" s="53"/>
      <c r="Y1158" s="53"/>
      <c r="Z1158" s="53"/>
      <c r="AA1158" s="53"/>
      <c r="AB1158" s="53"/>
      <c r="AC1158" s="53"/>
    </row>
    <row r="1159">
      <c r="A1159" s="53"/>
      <c r="B1159" s="53"/>
      <c r="C1159" s="131"/>
      <c r="D1159" s="131"/>
      <c r="E1159" s="131"/>
      <c r="F1159" s="131"/>
      <c r="G1159" s="131"/>
      <c r="H1159" s="131"/>
      <c r="I1159" s="131"/>
      <c r="J1159" s="132"/>
      <c r="K1159" s="132"/>
      <c r="L1159" s="131"/>
      <c r="M1159" s="131"/>
      <c r="N1159" s="131"/>
      <c r="O1159" s="53"/>
      <c r="P1159" s="53"/>
      <c r="Q1159" s="53"/>
      <c r="R1159" s="53"/>
      <c r="S1159" s="53"/>
      <c r="T1159" s="53"/>
      <c r="U1159" s="53"/>
      <c r="V1159" s="53"/>
      <c r="W1159" s="53"/>
      <c r="X1159" s="53"/>
      <c r="Y1159" s="53"/>
      <c r="Z1159" s="53"/>
      <c r="AA1159" s="53"/>
      <c r="AB1159" s="53"/>
      <c r="AC1159" s="53"/>
    </row>
    <row r="1160">
      <c r="A1160" s="53"/>
      <c r="B1160" s="53"/>
      <c r="C1160" s="131"/>
      <c r="D1160" s="131"/>
      <c r="E1160" s="131"/>
      <c r="F1160" s="131"/>
      <c r="G1160" s="131"/>
      <c r="H1160" s="131"/>
      <c r="I1160" s="131"/>
      <c r="J1160" s="132"/>
      <c r="K1160" s="132"/>
      <c r="L1160" s="131"/>
      <c r="M1160" s="131"/>
      <c r="N1160" s="131"/>
      <c r="O1160" s="53"/>
      <c r="P1160" s="53"/>
      <c r="Q1160" s="53"/>
      <c r="R1160" s="53"/>
      <c r="S1160" s="53"/>
      <c r="T1160" s="53"/>
      <c r="U1160" s="53"/>
      <c r="V1160" s="53"/>
      <c r="W1160" s="53"/>
      <c r="X1160" s="53"/>
      <c r="Y1160" s="53"/>
      <c r="Z1160" s="53"/>
      <c r="AA1160" s="53"/>
      <c r="AB1160" s="53"/>
      <c r="AC1160" s="53"/>
    </row>
    <row r="1161">
      <c r="A1161" s="53"/>
      <c r="B1161" s="53"/>
      <c r="C1161" s="131"/>
      <c r="D1161" s="131"/>
      <c r="E1161" s="131"/>
      <c r="F1161" s="131"/>
      <c r="G1161" s="131"/>
      <c r="H1161" s="131"/>
      <c r="I1161" s="131"/>
      <c r="J1161" s="132"/>
      <c r="K1161" s="132"/>
      <c r="L1161" s="131"/>
      <c r="M1161" s="131"/>
      <c r="N1161" s="131"/>
      <c r="O1161" s="53"/>
      <c r="P1161" s="53"/>
      <c r="Q1161" s="53"/>
      <c r="R1161" s="53"/>
      <c r="S1161" s="53"/>
      <c r="T1161" s="53"/>
      <c r="U1161" s="53"/>
      <c r="V1161" s="53"/>
      <c r="W1161" s="53"/>
      <c r="X1161" s="53"/>
      <c r="Y1161" s="53"/>
      <c r="Z1161" s="53"/>
      <c r="AA1161" s="53"/>
      <c r="AB1161" s="53"/>
      <c r="AC1161" s="53"/>
    </row>
    <row r="1162">
      <c r="A1162" s="53"/>
      <c r="B1162" s="53"/>
      <c r="C1162" s="131"/>
      <c r="D1162" s="131"/>
      <c r="E1162" s="131"/>
      <c r="F1162" s="131"/>
      <c r="G1162" s="131"/>
      <c r="H1162" s="131"/>
      <c r="I1162" s="131"/>
      <c r="J1162" s="132"/>
      <c r="K1162" s="132"/>
      <c r="L1162" s="131"/>
      <c r="M1162" s="131"/>
      <c r="N1162" s="131"/>
      <c r="O1162" s="53"/>
      <c r="P1162" s="53"/>
      <c r="Q1162" s="53"/>
      <c r="R1162" s="53"/>
      <c r="S1162" s="53"/>
      <c r="T1162" s="53"/>
      <c r="U1162" s="53"/>
      <c r="V1162" s="53"/>
      <c r="W1162" s="53"/>
      <c r="X1162" s="53"/>
      <c r="Y1162" s="53"/>
      <c r="Z1162" s="53"/>
      <c r="AA1162" s="53"/>
      <c r="AB1162" s="53"/>
      <c r="AC1162" s="53"/>
    </row>
    <row r="1163">
      <c r="A1163" s="53"/>
      <c r="B1163" s="53"/>
      <c r="C1163" s="131"/>
      <c r="D1163" s="131"/>
      <c r="E1163" s="131"/>
      <c r="F1163" s="131"/>
      <c r="G1163" s="131"/>
      <c r="H1163" s="131"/>
      <c r="I1163" s="131"/>
      <c r="J1163" s="132"/>
      <c r="K1163" s="132"/>
      <c r="L1163" s="131"/>
      <c r="M1163" s="131"/>
      <c r="N1163" s="131"/>
      <c r="O1163" s="53"/>
      <c r="P1163" s="53"/>
      <c r="Q1163" s="53"/>
      <c r="R1163" s="53"/>
      <c r="S1163" s="53"/>
      <c r="T1163" s="53"/>
      <c r="U1163" s="53"/>
      <c r="V1163" s="53"/>
      <c r="W1163" s="53"/>
      <c r="X1163" s="53"/>
      <c r="Y1163" s="53"/>
      <c r="Z1163" s="53"/>
      <c r="AA1163" s="53"/>
      <c r="AB1163" s="53"/>
      <c r="AC1163" s="53"/>
    </row>
    <row r="1164">
      <c r="A1164" s="53"/>
      <c r="B1164" s="53"/>
      <c r="C1164" s="131"/>
      <c r="D1164" s="131"/>
      <c r="E1164" s="131"/>
      <c r="F1164" s="131"/>
      <c r="G1164" s="131"/>
      <c r="H1164" s="131"/>
      <c r="I1164" s="131"/>
      <c r="J1164" s="132"/>
      <c r="K1164" s="132"/>
      <c r="L1164" s="131"/>
      <c r="M1164" s="131"/>
      <c r="N1164" s="131"/>
      <c r="O1164" s="53"/>
      <c r="P1164" s="53"/>
      <c r="Q1164" s="53"/>
      <c r="R1164" s="53"/>
      <c r="S1164" s="53"/>
      <c r="T1164" s="53"/>
      <c r="U1164" s="53"/>
      <c r="V1164" s="53"/>
      <c r="W1164" s="53"/>
      <c r="X1164" s="53"/>
      <c r="Y1164" s="53"/>
      <c r="Z1164" s="53"/>
      <c r="AA1164" s="53"/>
      <c r="AB1164" s="53"/>
      <c r="AC1164" s="53"/>
    </row>
    <row r="1165">
      <c r="A1165" s="53"/>
      <c r="B1165" s="53"/>
      <c r="C1165" s="131"/>
      <c r="D1165" s="131"/>
      <c r="E1165" s="131"/>
      <c r="F1165" s="131"/>
      <c r="G1165" s="131"/>
      <c r="H1165" s="131"/>
      <c r="I1165" s="131"/>
      <c r="J1165" s="132"/>
      <c r="K1165" s="132"/>
      <c r="L1165" s="131"/>
      <c r="M1165" s="131"/>
      <c r="N1165" s="131"/>
      <c r="O1165" s="53"/>
      <c r="P1165" s="53"/>
      <c r="Q1165" s="53"/>
      <c r="R1165" s="53"/>
      <c r="S1165" s="53"/>
      <c r="T1165" s="53"/>
      <c r="U1165" s="53"/>
      <c r="V1165" s="53"/>
      <c r="W1165" s="53"/>
      <c r="X1165" s="53"/>
      <c r="Y1165" s="53"/>
      <c r="Z1165" s="53"/>
      <c r="AA1165" s="53"/>
      <c r="AB1165" s="53"/>
      <c r="AC1165" s="53"/>
    </row>
    <row r="1166">
      <c r="A1166" s="53"/>
      <c r="B1166" s="53"/>
      <c r="C1166" s="131"/>
      <c r="D1166" s="131"/>
      <c r="E1166" s="131"/>
      <c r="F1166" s="131"/>
      <c r="G1166" s="131"/>
      <c r="H1166" s="131"/>
      <c r="I1166" s="131"/>
      <c r="J1166" s="132"/>
      <c r="K1166" s="132"/>
      <c r="L1166" s="131"/>
      <c r="M1166" s="131"/>
      <c r="N1166" s="131"/>
      <c r="O1166" s="53"/>
      <c r="P1166" s="53"/>
      <c r="Q1166" s="53"/>
      <c r="R1166" s="53"/>
      <c r="S1166" s="53"/>
      <c r="T1166" s="53"/>
      <c r="U1166" s="53"/>
      <c r="V1166" s="53"/>
      <c r="W1166" s="53"/>
      <c r="X1166" s="53"/>
      <c r="Y1166" s="53"/>
      <c r="Z1166" s="53"/>
      <c r="AA1166" s="53"/>
      <c r="AB1166" s="53"/>
      <c r="AC1166" s="53"/>
    </row>
    <row r="1167">
      <c r="A1167" s="53"/>
      <c r="B1167" s="53"/>
      <c r="C1167" s="131"/>
      <c r="D1167" s="131"/>
      <c r="E1167" s="131"/>
      <c r="F1167" s="131"/>
      <c r="G1167" s="131"/>
      <c r="H1167" s="131"/>
      <c r="I1167" s="131"/>
      <c r="J1167" s="132"/>
      <c r="K1167" s="132"/>
      <c r="L1167" s="131"/>
      <c r="M1167" s="131"/>
      <c r="N1167" s="131"/>
      <c r="O1167" s="53"/>
      <c r="P1167" s="53"/>
      <c r="Q1167" s="53"/>
      <c r="R1167" s="53"/>
      <c r="S1167" s="53"/>
      <c r="T1167" s="53"/>
      <c r="U1167" s="53"/>
      <c r="V1167" s="53"/>
      <c r="W1167" s="53"/>
      <c r="X1167" s="53"/>
      <c r="Y1167" s="53"/>
      <c r="Z1167" s="53"/>
      <c r="AA1167" s="53"/>
      <c r="AB1167" s="53"/>
      <c r="AC1167" s="53"/>
    </row>
    <row r="1168">
      <c r="A1168" s="53"/>
      <c r="B1168" s="53"/>
      <c r="C1168" s="131"/>
      <c r="D1168" s="131"/>
      <c r="E1168" s="131"/>
      <c r="F1168" s="131"/>
      <c r="G1168" s="131"/>
      <c r="H1168" s="131"/>
      <c r="I1168" s="131"/>
      <c r="J1168" s="132"/>
      <c r="K1168" s="132"/>
      <c r="L1168" s="131"/>
      <c r="M1168" s="131"/>
      <c r="N1168" s="131"/>
      <c r="O1168" s="53"/>
      <c r="P1168" s="53"/>
      <c r="Q1168" s="53"/>
      <c r="R1168" s="53"/>
      <c r="S1168" s="53"/>
      <c r="T1168" s="53"/>
      <c r="U1168" s="53"/>
      <c r="V1168" s="53"/>
      <c r="W1168" s="53"/>
      <c r="X1168" s="53"/>
      <c r="Y1168" s="53"/>
      <c r="Z1168" s="53"/>
      <c r="AA1168" s="53"/>
      <c r="AB1168" s="53"/>
      <c r="AC1168" s="53"/>
    </row>
    <row r="1169">
      <c r="A1169" s="53"/>
      <c r="B1169" s="53"/>
      <c r="C1169" s="131"/>
      <c r="D1169" s="131"/>
      <c r="E1169" s="131"/>
      <c r="F1169" s="131"/>
      <c r="G1169" s="131"/>
      <c r="H1169" s="131"/>
      <c r="I1169" s="131"/>
      <c r="J1169" s="132"/>
      <c r="K1169" s="132"/>
      <c r="L1169" s="131"/>
      <c r="M1169" s="131"/>
      <c r="N1169" s="131"/>
      <c r="O1169" s="53"/>
      <c r="P1169" s="53"/>
      <c r="Q1169" s="53"/>
      <c r="R1169" s="53"/>
      <c r="S1169" s="53"/>
      <c r="T1169" s="53"/>
      <c r="U1169" s="53"/>
      <c r="V1169" s="53"/>
      <c r="W1169" s="53"/>
      <c r="X1169" s="53"/>
      <c r="Y1169" s="53"/>
      <c r="Z1169" s="53"/>
      <c r="AA1169" s="53"/>
      <c r="AB1169" s="53"/>
      <c r="AC1169" s="53"/>
    </row>
    <row r="1170">
      <c r="A1170" s="53"/>
      <c r="B1170" s="53"/>
      <c r="C1170" s="131"/>
      <c r="D1170" s="131"/>
      <c r="E1170" s="131"/>
      <c r="F1170" s="131"/>
      <c r="G1170" s="131"/>
      <c r="H1170" s="131"/>
      <c r="I1170" s="131"/>
      <c r="J1170" s="132"/>
      <c r="K1170" s="132"/>
      <c r="L1170" s="131"/>
      <c r="M1170" s="131"/>
      <c r="N1170" s="131"/>
      <c r="O1170" s="53"/>
      <c r="P1170" s="53"/>
      <c r="Q1170" s="53"/>
      <c r="R1170" s="53"/>
      <c r="S1170" s="53"/>
      <c r="T1170" s="53"/>
      <c r="U1170" s="53"/>
      <c r="V1170" s="53"/>
      <c r="W1170" s="53"/>
      <c r="X1170" s="53"/>
      <c r="Y1170" s="53"/>
      <c r="Z1170" s="53"/>
      <c r="AA1170" s="53"/>
      <c r="AB1170" s="53"/>
      <c r="AC1170" s="53"/>
    </row>
    <row r="1171">
      <c r="A1171" s="53"/>
      <c r="B1171" s="53"/>
      <c r="C1171" s="131"/>
      <c r="D1171" s="131"/>
      <c r="E1171" s="131"/>
      <c r="F1171" s="131"/>
      <c r="G1171" s="131"/>
      <c r="H1171" s="131"/>
      <c r="I1171" s="131"/>
      <c r="J1171" s="132"/>
      <c r="K1171" s="132"/>
      <c r="L1171" s="131"/>
      <c r="M1171" s="131"/>
      <c r="N1171" s="131"/>
      <c r="O1171" s="53"/>
      <c r="P1171" s="53"/>
      <c r="Q1171" s="53"/>
      <c r="R1171" s="53"/>
      <c r="S1171" s="53"/>
      <c r="T1171" s="53"/>
      <c r="U1171" s="53"/>
      <c r="V1171" s="53"/>
      <c r="W1171" s="53"/>
      <c r="X1171" s="53"/>
      <c r="Y1171" s="53"/>
      <c r="Z1171" s="53"/>
      <c r="AA1171" s="53"/>
      <c r="AB1171" s="53"/>
      <c r="AC1171" s="53"/>
    </row>
    <row r="1172">
      <c r="A1172" s="53"/>
      <c r="B1172" s="53"/>
      <c r="C1172" s="131"/>
      <c r="D1172" s="131"/>
      <c r="E1172" s="131"/>
      <c r="F1172" s="131"/>
      <c r="G1172" s="131"/>
      <c r="H1172" s="131"/>
      <c r="I1172" s="131"/>
      <c r="J1172" s="132"/>
      <c r="K1172" s="132"/>
      <c r="L1172" s="131"/>
      <c r="M1172" s="131"/>
      <c r="N1172" s="131"/>
      <c r="O1172" s="53"/>
      <c r="P1172" s="53"/>
      <c r="Q1172" s="53"/>
      <c r="R1172" s="53"/>
      <c r="S1172" s="53"/>
      <c r="T1172" s="53"/>
      <c r="U1172" s="53"/>
      <c r="V1172" s="53"/>
      <c r="W1172" s="53"/>
      <c r="X1172" s="53"/>
      <c r="Y1172" s="53"/>
      <c r="Z1172" s="53"/>
      <c r="AA1172" s="53"/>
      <c r="AB1172" s="53"/>
      <c r="AC1172" s="53"/>
    </row>
    <row r="1173">
      <c r="A1173" s="53"/>
      <c r="B1173" s="53"/>
      <c r="C1173" s="131"/>
      <c r="D1173" s="131"/>
      <c r="E1173" s="131"/>
      <c r="F1173" s="131"/>
      <c r="G1173" s="131"/>
      <c r="H1173" s="131"/>
      <c r="I1173" s="131"/>
      <c r="J1173" s="132"/>
      <c r="K1173" s="132"/>
      <c r="L1173" s="131"/>
      <c r="M1173" s="131"/>
      <c r="N1173" s="131"/>
      <c r="O1173" s="53"/>
      <c r="P1173" s="53"/>
      <c r="Q1173" s="53"/>
      <c r="R1173" s="53"/>
      <c r="S1173" s="53"/>
      <c r="T1173" s="53"/>
      <c r="U1173" s="53"/>
      <c r="V1173" s="53"/>
      <c r="W1173" s="53"/>
      <c r="X1173" s="53"/>
      <c r="Y1173" s="53"/>
      <c r="Z1173" s="53"/>
      <c r="AA1173" s="53"/>
      <c r="AB1173" s="53"/>
      <c r="AC1173" s="53"/>
    </row>
    <row r="1174">
      <c r="A1174" s="53"/>
      <c r="B1174" s="53"/>
      <c r="C1174" s="131"/>
      <c r="D1174" s="131"/>
      <c r="E1174" s="131"/>
      <c r="F1174" s="131"/>
      <c r="G1174" s="131"/>
      <c r="H1174" s="131"/>
      <c r="I1174" s="131"/>
      <c r="J1174" s="132"/>
      <c r="K1174" s="132"/>
      <c r="L1174" s="131"/>
      <c r="M1174" s="131"/>
      <c r="N1174" s="131"/>
      <c r="O1174" s="53"/>
      <c r="P1174" s="53"/>
      <c r="Q1174" s="53"/>
      <c r="R1174" s="53"/>
      <c r="S1174" s="53"/>
      <c r="T1174" s="53"/>
      <c r="U1174" s="53"/>
      <c r="V1174" s="53"/>
      <c r="W1174" s="53"/>
      <c r="X1174" s="53"/>
      <c r="Y1174" s="53"/>
      <c r="Z1174" s="53"/>
      <c r="AA1174" s="53"/>
      <c r="AB1174" s="53"/>
      <c r="AC1174" s="53"/>
    </row>
    <row r="1175">
      <c r="A1175" s="53"/>
      <c r="B1175" s="53"/>
      <c r="C1175" s="131"/>
      <c r="D1175" s="131"/>
      <c r="E1175" s="131"/>
      <c r="F1175" s="131"/>
      <c r="G1175" s="131"/>
      <c r="H1175" s="131"/>
      <c r="I1175" s="131"/>
      <c r="J1175" s="132"/>
      <c r="K1175" s="132"/>
      <c r="L1175" s="131"/>
      <c r="M1175" s="131"/>
      <c r="N1175" s="131"/>
      <c r="O1175" s="53"/>
      <c r="P1175" s="53"/>
      <c r="Q1175" s="53"/>
      <c r="R1175" s="53"/>
      <c r="S1175" s="53"/>
      <c r="T1175" s="53"/>
      <c r="U1175" s="53"/>
      <c r="V1175" s="53"/>
      <c r="W1175" s="53"/>
      <c r="X1175" s="53"/>
      <c r="Y1175" s="53"/>
      <c r="Z1175" s="53"/>
      <c r="AA1175" s="53"/>
      <c r="AB1175" s="53"/>
      <c r="AC1175" s="53"/>
    </row>
    <row r="1176">
      <c r="A1176" s="53"/>
      <c r="B1176" s="53"/>
      <c r="C1176" s="131"/>
      <c r="D1176" s="131"/>
      <c r="E1176" s="131"/>
      <c r="F1176" s="131"/>
      <c r="G1176" s="131"/>
      <c r="H1176" s="131"/>
      <c r="I1176" s="131"/>
      <c r="J1176" s="132"/>
      <c r="K1176" s="132"/>
      <c r="L1176" s="131"/>
      <c r="M1176" s="131"/>
      <c r="N1176" s="131"/>
      <c r="O1176" s="53"/>
      <c r="P1176" s="53"/>
      <c r="Q1176" s="53"/>
      <c r="R1176" s="53"/>
      <c r="S1176" s="53"/>
      <c r="T1176" s="53"/>
      <c r="U1176" s="53"/>
      <c r="V1176" s="53"/>
      <c r="W1176" s="53"/>
      <c r="X1176" s="53"/>
      <c r="Y1176" s="53"/>
      <c r="Z1176" s="53"/>
      <c r="AA1176" s="53"/>
      <c r="AB1176" s="53"/>
      <c r="AC1176" s="53"/>
    </row>
    <row r="1177">
      <c r="A1177" s="53"/>
      <c r="B1177" s="53"/>
      <c r="C1177" s="131"/>
      <c r="D1177" s="131"/>
      <c r="E1177" s="131"/>
      <c r="F1177" s="131"/>
      <c r="G1177" s="131"/>
      <c r="H1177" s="131"/>
      <c r="I1177" s="131"/>
      <c r="J1177" s="132"/>
      <c r="K1177" s="132"/>
      <c r="L1177" s="131"/>
      <c r="M1177" s="131"/>
      <c r="N1177" s="131"/>
      <c r="O1177" s="53"/>
      <c r="P1177" s="53"/>
      <c r="Q1177" s="53"/>
      <c r="R1177" s="53"/>
      <c r="S1177" s="53"/>
      <c r="T1177" s="53"/>
      <c r="U1177" s="53"/>
      <c r="V1177" s="53"/>
      <c r="W1177" s="53"/>
      <c r="X1177" s="53"/>
      <c r="Y1177" s="53"/>
      <c r="Z1177" s="53"/>
      <c r="AA1177" s="53"/>
      <c r="AB1177" s="53"/>
      <c r="AC1177" s="53"/>
    </row>
    <row r="1178">
      <c r="A1178" s="53"/>
      <c r="B1178" s="53"/>
      <c r="C1178" s="131"/>
      <c r="D1178" s="131"/>
      <c r="E1178" s="131"/>
      <c r="F1178" s="131"/>
      <c r="G1178" s="131"/>
      <c r="H1178" s="131"/>
      <c r="I1178" s="131"/>
      <c r="J1178" s="132"/>
      <c r="K1178" s="132"/>
      <c r="L1178" s="131"/>
      <c r="M1178" s="131"/>
      <c r="N1178" s="131"/>
      <c r="O1178" s="53"/>
      <c r="P1178" s="53"/>
      <c r="Q1178" s="53"/>
      <c r="R1178" s="53"/>
      <c r="S1178" s="53"/>
      <c r="T1178" s="53"/>
      <c r="U1178" s="53"/>
      <c r="V1178" s="53"/>
      <c r="W1178" s="53"/>
      <c r="X1178" s="53"/>
      <c r="Y1178" s="53"/>
      <c r="Z1178" s="53"/>
      <c r="AA1178" s="53"/>
      <c r="AB1178" s="53"/>
      <c r="AC1178" s="53"/>
    </row>
    <row r="1179">
      <c r="A1179" s="53"/>
      <c r="B1179" s="53"/>
      <c r="C1179" s="131"/>
      <c r="D1179" s="131"/>
      <c r="E1179" s="131"/>
      <c r="F1179" s="131"/>
      <c r="G1179" s="131"/>
      <c r="H1179" s="131"/>
      <c r="I1179" s="131"/>
      <c r="J1179" s="132"/>
      <c r="K1179" s="132"/>
      <c r="L1179" s="131"/>
      <c r="M1179" s="131"/>
      <c r="N1179" s="131"/>
      <c r="O1179" s="53"/>
      <c r="P1179" s="53"/>
      <c r="Q1179" s="53"/>
      <c r="R1179" s="53"/>
      <c r="S1179" s="53"/>
      <c r="T1179" s="53"/>
      <c r="U1179" s="53"/>
      <c r="V1179" s="53"/>
      <c r="W1179" s="53"/>
      <c r="X1179" s="53"/>
      <c r="Y1179" s="53"/>
      <c r="Z1179" s="53"/>
      <c r="AA1179" s="53"/>
      <c r="AB1179" s="53"/>
      <c r="AC1179" s="53"/>
    </row>
    <row r="1180">
      <c r="A1180" s="53"/>
      <c r="B1180" s="53"/>
      <c r="C1180" s="131"/>
      <c r="D1180" s="131"/>
      <c r="E1180" s="131"/>
      <c r="F1180" s="131"/>
      <c r="G1180" s="131"/>
      <c r="H1180" s="131"/>
      <c r="I1180" s="131"/>
      <c r="J1180" s="132"/>
      <c r="K1180" s="132"/>
      <c r="L1180" s="131"/>
      <c r="M1180" s="131"/>
      <c r="N1180" s="131"/>
      <c r="O1180" s="53"/>
      <c r="P1180" s="53"/>
      <c r="Q1180" s="53"/>
      <c r="R1180" s="53"/>
      <c r="S1180" s="53"/>
      <c r="T1180" s="53"/>
      <c r="U1180" s="53"/>
      <c r="V1180" s="53"/>
      <c r="W1180" s="53"/>
      <c r="X1180" s="53"/>
      <c r="Y1180" s="53"/>
      <c r="Z1180" s="53"/>
      <c r="AA1180" s="53"/>
      <c r="AB1180" s="53"/>
      <c r="AC1180" s="53"/>
    </row>
    <row r="1181">
      <c r="A1181" s="53"/>
      <c r="B1181" s="53"/>
      <c r="C1181" s="131"/>
      <c r="D1181" s="131"/>
      <c r="E1181" s="131"/>
      <c r="F1181" s="131"/>
      <c r="G1181" s="131"/>
      <c r="H1181" s="131"/>
      <c r="I1181" s="131"/>
      <c r="J1181" s="132"/>
      <c r="K1181" s="132"/>
      <c r="L1181" s="131"/>
      <c r="M1181" s="131"/>
      <c r="N1181" s="131"/>
      <c r="O1181" s="53"/>
      <c r="P1181" s="53"/>
      <c r="Q1181" s="53"/>
      <c r="R1181" s="53"/>
      <c r="S1181" s="53"/>
      <c r="T1181" s="53"/>
      <c r="U1181" s="53"/>
      <c r="V1181" s="53"/>
      <c r="W1181" s="53"/>
      <c r="X1181" s="53"/>
      <c r="Y1181" s="53"/>
      <c r="Z1181" s="53"/>
      <c r="AA1181" s="53"/>
      <c r="AB1181" s="53"/>
      <c r="AC1181" s="53"/>
    </row>
    <row r="1182">
      <c r="A1182" s="53"/>
      <c r="B1182" s="53"/>
      <c r="C1182" s="131"/>
      <c r="D1182" s="131"/>
      <c r="E1182" s="131"/>
      <c r="F1182" s="131"/>
      <c r="G1182" s="131"/>
      <c r="H1182" s="131"/>
      <c r="I1182" s="131"/>
      <c r="J1182" s="132"/>
      <c r="K1182" s="132"/>
      <c r="L1182" s="131"/>
      <c r="M1182" s="131"/>
      <c r="N1182" s="131"/>
      <c r="O1182" s="53"/>
      <c r="P1182" s="53"/>
      <c r="Q1182" s="53"/>
      <c r="R1182" s="53"/>
      <c r="S1182" s="53"/>
      <c r="T1182" s="53"/>
      <c r="U1182" s="53"/>
      <c r="V1182" s="53"/>
      <c r="W1182" s="53"/>
      <c r="X1182" s="53"/>
      <c r="Y1182" s="53"/>
      <c r="Z1182" s="53"/>
      <c r="AA1182" s="53"/>
      <c r="AB1182" s="53"/>
      <c r="AC1182" s="53"/>
    </row>
    <row r="1183">
      <c r="A1183" s="53"/>
      <c r="B1183" s="53"/>
      <c r="C1183" s="131"/>
      <c r="D1183" s="131"/>
      <c r="E1183" s="131"/>
      <c r="F1183" s="131"/>
      <c r="G1183" s="131"/>
      <c r="H1183" s="131"/>
      <c r="I1183" s="131"/>
      <c r="J1183" s="132"/>
      <c r="K1183" s="132"/>
      <c r="L1183" s="131"/>
      <c r="M1183" s="131"/>
      <c r="N1183" s="131"/>
      <c r="O1183" s="53"/>
      <c r="P1183" s="53"/>
      <c r="Q1183" s="53"/>
      <c r="R1183" s="53"/>
      <c r="S1183" s="53"/>
      <c r="T1183" s="53"/>
      <c r="U1183" s="53"/>
      <c r="V1183" s="53"/>
      <c r="W1183" s="53"/>
      <c r="X1183" s="53"/>
      <c r="Y1183" s="53"/>
      <c r="Z1183" s="53"/>
      <c r="AA1183" s="53"/>
      <c r="AB1183" s="53"/>
      <c r="AC1183" s="53"/>
    </row>
    <row r="1184">
      <c r="A1184" s="53"/>
      <c r="B1184" s="53"/>
      <c r="C1184" s="131"/>
      <c r="D1184" s="131"/>
      <c r="E1184" s="131"/>
      <c r="F1184" s="131"/>
      <c r="G1184" s="131"/>
      <c r="H1184" s="131"/>
      <c r="I1184" s="131"/>
      <c r="J1184" s="132"/>
      <c r="K1184" s="132"/>
      <c r="L1184" s="131"/>
      <c r="M1184" s="131"/>
      <c r="N1184" s="131"/>
      <c r="O1184" s="53"/>
      <c r="P1184" s="53"/>
      <c r="Q1184" s="53"/>
      <c r="R1184" s="53"/>
      <c r="S1184" s="53"/>
      <c r="T1184" s="53"/>
      <c r="U1184" s="53"/>
      <c r="V1184" s="53"/>
      <c r="W1184" s="53"/>
      <c r="X1184" s="53"/>
      <c r="Y1184" s="53"/>
      <c r="Z1184" s="53"/>
      <c r="AA1184" s="53"/>
      <c r="AB1184" s="53"/>
      <c r="AC1184" s="53"/>
    </row>
    <row r="1185">
      <c r="A1185" s="53"/>
      <c r="B1185" s="53"/>
      <c r="C1185" s="131"/>
      <c r="D1185" s="131"/>
      <c r="E1185" s="131"/>
      <c r="F1185" s="131"/>
      <c r="G1185" s="131"/>
      <c r="H1185" s="131"/>
      <c r="I1185" s="131"/>
      <c r="J1185" s="132"/>
      <c r="K1185" s="132"/>
      <c r="L1185" s="131"/>
      <c r="M1185" s="131"/>
      <c r="N1185" s="131"/>
      <c r="O1185" s="53"/>
      <c r="P1185" s="53"/>
      <c r="Q1185" s="53"/>
      <c r="R1185" s="53"/>
      <c r="S1185" s="53"/>
      <c r="T1185" s="53"/>
      <c r="U1185" s="53"/>
      <c r="V1185" s="53"/>
      <c r="W1185" s="53"/>
      <c r="X1185" s="53"/>
      <c r="Y1185" s="53"/>
      <c r="Z1185" s="53"/>
      <c r="AA1185" s="53"/>
      <c r="AB1185" s="53"/>
      <c r="AC1185" s="53"/>
    </row>
    <row r="1186">
      <c r="A1186" s="53"/>
      <c r="B1186" s="53"/>
      <c r="C1186" s="131"/>
      <c r="D1186" s="131"/>
      <c r="E1186" s="131"/>
      <c r="F1186" s="131"/>
      <c r="G1186" s="131"/>
      <c r="H1186" s="131"/>
      <c r="I1186" s="131"/>
      <c r="J1186" s="132"/>
      <c r="K1186" s="132"/>
      <c r="L1186" s="131"/>
      <c r="M1186" s="131"/>
      <c r="N1186" s="131"/>
      <c r="O1186" s="53"/>
      <c r="P1186" s="53"/>
      <c r="Q1186" s="53"/>
      <c r="R1186" s="53"/>
      <c r="S1186" s="53"/>
      <c r="T1186" s="53"/>
      <c r="U1186" s="53"/>
      <c r="V1186" s="53"/>
      <c r="W1186" s="53"/>
      <c r="X1186" s="53"/>
      <c r="Y1186" s="53"/>
      <c r="Z1186" s="53"/>
      <c r="AA1186" s="53"/>
      <c r="AB1186" s="53"/>
      <c r="AC1186" s="53"/>
    </row>
    <row r="1187">
      <c r="A1187" s="53"/>
      <c r="B1187" s="53"/>
      <c r="C1187" s="131"/>
      <c r="D1187" s="131"/>
      <c r="E1187" s="131"/>
      <c r="F1187" s="131"/>
      <c r="G1187" s="131"/>
      <c r="H1187" s="131"/>
      <c r="I1187" s="131"/>
      <c r="J1187" s="132"/>
      <c r="K1187" s="132"/>
      <c r="L1187" s="131"/>
      <c r="M1187" s="131"/>
      <c r="N1187" s="131"/>
      <c r="O1187" s="53"/>
      <c r="P1187" s="53"/>
      <c r="Q1187" s="53"/>
      <c r="R1187" s="53"/>
      <c r="S1187" s="53"/>
      <c r="T1187" s="53"/>
      <c r="U1187" s="53"/>
      <c r="V1187" s="53"/>
      <c r="W1187" s="53"/>
      <c r="X1187" s="53"/>
      <c r="Y1187" s="53"/>
      <c r="Z1187" s="53"/>
      <c r="AA1187" s="53"/>
      <c r="AB1187" s="53"/>
      <c r="AC1187" s="53"/>
    </row>
    <row r="1188">
      <c r="A1188" s="53"/>
      <c r="B1188" s="53"/>
      <c r="C1188" s="131"/>
      <c r="D1188" s="131"/>
      <c r="E1188" s="131"/>
      <c r="F1188" s="131"/>
      <c r="G1188" s="131"/>
      <c r="H1188" s="131"/>
      <c r="I1188" s="131"/>
      <c r="J1188" s="132"/>
      <c r="K1188" s="132"/>
      <c r="L1188" s="131"/>
      <c r="M1188" s="131"/>
      <c r="N1188" s="131"/>
      <c r="O1188" s="53"/>
      <c r="P1188" s="53"/>
      <c r="Q1188" s="53"/>
      <c r="R1188" s="53"/>
      <c r="S1188" s="53"/>
      <c r="T1188" s="53"/>
      <c r="U1188" s="53"/>
      <c r="V1188" s="53"/>
      <c r="W1188" s="53"/>
      <c r="X1188" s="53"/>
      <c r="Y1188" s="53"/>
      <c r="Z1188" s="53"/>
      <c r="AA1188" s="53"/>
      <c r="AB1188" s="53"/>
      <c r="AC1188" s="53"/>
    </row>
    <row r="1189">
      <c r="A1189" s="53"/>
      <c r="B1189" s="53"/>
      <c r="C1189" s="131"/>
      <c r="D1189" s="131"/>
      <c r="E1189" s="131"/>
      <c r="F1189" s="131"/>
      <c r="G1189" s="131"/>
      <c r="H1189" s="131"/>
      <c r="I1189" s="131"/>
      <c r="J1189" s="132"/>
      <c r="K1189" s="132"/>
      <c r="L1189" s="131"/>
      <c r="M1189" s="131"/>
      <c r="N1189" s="131"/>
      <c r="O1189" s="53"/>
      <c r="P1189" s="53"/>
      <c r="Q1189" s="53"/>
      <c r="R1189" s="53"/>
      <c r="S1189" s="53"/>
      <c r="T1189" s="53"/>
      <c r="U1189" s="53"/>
      <c r="V1189" s="53"/>
      <c r="W1189" s="53"/>
      <c r="X1189" s="53"/>
      <c r="Y1189" s="53"/>
      <c r="Z1189" s="53"/>
      <c r="AA1189" s="53"/>
      <c r="AB1189" s="53"/>
      <c r="AC1189" s="53"/>
    </row>
    <row r="1190">
      <c r="A1190" s="53"/>
      <c r="B1190" s="53"/>
      <c r="C1190" s="131"/>
      <c r="D1190" s="131"/>
      <c r="E1190" s="131"/>
      <c r="F1190" s="131"/>
      <c r="G1190" s="131"/>
      <c r="H1190" s="131"/>
      <c r="I1190" s="131"/>
      <c r="J1190" s="132"/>
      <c r="K1190" s="132"/>
      <c r="L1190" s="131"/>
      <c r="M1190" s="131"/>
      <c r="N1190" s="131"/>
      <c r="O1190" s="53"/>
      <c r="P1190" s="53"/>
      <c r="Q1190" s="53"/>
      <c r="R1190" s="53"/>
      <c r="S1190" s="53"/>
      <c r="T1190" s="53"/>
      <c r="U1190" s="53"/>
      <c r="V1190" s="53"/>
      <c r="W1190" s="53"/>
      <c r="X1190" s="53"/>
      <c r="Y1190" s="53"/>
      <c r="Z1190" s="53"/>
      <c r="AA1190" s="53"/>
      <c r="AB1190" s="53"/>
      <c r="AC1190" s="53"/>
    </row>
    <row r="1191">
      <c r="A1191" s="53"/>
      <c r="B1191" s="53"/>
      <c r="C1191" s="131"/>
      <c r="D1191" s="131"/>
      <c r="E1191" s="131"/>
      <c r="F1191" s="131"/>
      <c r="G1191" s="131"/>
      <c r="H1191" s="131"/>
      <c r="I1191" s="131"/>
      <c r="J1191" s="132"/>
      <c r="K1191" s="132"/>
      <c r="L1191" s="131"/>
      <c r="M1191" s="131"/>
      <c r="N1191" s="131"/>
      <c r="O1191" s="53"/>
      <c r="P1191" s="53"/>
      <c r="Q1191" s="53"/>
      <c r="R1191" s="53"/>
      <c r="S1191" s="53"/>
      <c r="T1191" s="53"/>
      <c r="U1191" s="53"/>
      <c r="V1191" s="53"/>
      <c r="W1191" s="53"/>
      <c r="X1191" s="53"/>
      <c r="Y1191" s="53"/>
      <c r="Z1191" s="53"/>
      <c r="AA1191" s="53"/>
      <c r="AB1191" s="53"/>
      <c r="AC1191" s="53"/>
    </row>
    <row r="1192">
      <c r="A1192" s="53"/>
      <c r="B1192" s="53"/>
      <c r="C1192" s="131"/>
      <c r="D1192" s="131"/>
      <c r="E1192" s="131"/>
      <c r="F1192" s="131"/>
      <c r="G1192" s="131"/>
      <c r="H1192" s="131"/>
      <c r="I1192" s="131"/>
      <c r="J1192" s="132"/>
      <c r="K1192" s="132"/>
      <c r="L1192" s="131"/>
      <c r="M1192" s="131"/>
      <c r="N1192" s="131"/>
      <c r="O1192" s="53"/>
      <c r="P1192" s="53"/>
      <c r="Q1192" s="53"/>
      <c r="R1192" s="53"/>
      <c r="S1192" s="53"/>
      <c r="T1192" s="53"/>
      <c r="U1192" s="53"/>
      <c r="V1192" s="53"/>
      <c r="W1192" s="53"/>
      <c r="X1192" s="53"/>
      <c r="Y1192" s="53"/>
      <c r="Z1192" s="53"/>
      <c r="AA1192" s="53"/>
      <c r="AB1192" s="53"/>
      <c r="AC1192" s="53"/>
    </row>
    <row r="1193">
      <c r="A1193" s="53"/>
      <c r="B1193" s="53"/>
      <c r="C1193" s="131"/>
      <c r="D1193" s="131"/>
      <c r="E1193" s="131"/>
      <c r="F1193" s="131"/>
      <c r="G1193" s="131"/>
      <c r="H1193" s="131"/>
      <c r="I1193" s="131"/>
      <c r="J1193" s="132"/>
      <c r="K1193" s="132"/>
      <c r="L1193" s="131"/>
      <c r="M1193" s="131"/>
      <c r="N1193" s="131"/>
      <c r="O1193" s="53"/>
      <c r="P1193" s="53"/>
      <c r="Q1193" s="53"/>
      <c r="R1193" s="53"/>
      <c r="S1193" s="53"/>
      <c r="T1193" s="53"/>
      <c r="U1193" s="53"/>
      <c r="V1193" s="53"/>
      <c r="W1193" s="53"/>
      <c r="X1193" s="53"/>
      <c r="Y1193" s="53"/>
      <c r="Z1193" s="53"/>
      <c r="AA1193" s="53"/>
      <c r="AB1193" s="53"/>
      <c r="AC1193" s="53"/>
    </row>
    <row r="1194">
      <c r="A1194" s="53"/>
      <c r="B1194" s="53"/>
      <c r="C1194" s="131"/>
      <c r="D1194" s="131"/>
      <c r="E1194" s="131"/>
      <c r="F1194" s="131"/>
      <c r="G1194" s="131"/>
      <c r="H1194" s="131"/>
      <c r="I1194" s="131"/>
      <c r="J1194" s="132"/>
      <c r="K1194" s="132"/>
      <c r="L1194" s="131"/>
      <c r="M1194" s="131"/>
      <c r="N1194" s="131"/>
      <c r="O1194" s="53"/>
      <c r="P1194" s="53"/>
      <c r="Q1194" s="53"/>
      <c r="R1194" s="53"/>
      <c r="S1194" s="53"/>
      <c r="T1194" s="53"/>
      <c r="U1194" s="53"/>
      <c r="V1194" s="53"/>
      <c r="W1194" s="53"/>
      <c r="X1194" s="53"/>
      <c r="Y1194" s="53"/>
      <c r="Z1194" s="53"/>
      <c r="AA1194" s="53"/>
      <c r="AB1194" s="53"/>
      <c r="AC1194" s="53"/>
    </row>
    <row r="1195">
      <c r="A1195" s="53"/>
      <c r="B1195" s="53"/>
      <c r="C1195" s="131"/>
      <c r="D1195" s="131"/>
      <c r="E1195" s="131"/>
      <c r="F1195" s="131"/>
      <c r="G1195" s="131"/>
      <c r="H1195" s="131"/>
      <c r="I1195" s="131"/>
      <c r="J1195" s="132"/>
      <c r="K1195" s="132"/>
      <c r="L1195" s="131"/>
      <c r="M1195" s="131"/>
      <c r="N1195" s="131"/>
      <c r="O1195" s="53"/>
      <c r="P1195" s="53"/>
      <c r="Q1195" s="53"/>
      <c r="R1195" s="53"/>
      <c r="S1195" s="53"/>
      <c r="T1195" s="53"/>
      <c r="U1195" s="53"/>
      <c r="V1195" s="53"/>
      <c r="W1195" s="53"/>
      <c r="X1195" s="53"/>
      <c r="Y1195" s="53"/>
      <c r="Z1195" s="53"/>
      <c r="AA1195" s="53"/>
      <c r="AB1195" s="53"/>
      <c r="AC1195" s="53"/>
    </row>
    <row r="1196">
      <c r="A1196" s="53"/>
      <c r="B1196" s="53"/>
      <c r="C1196" s="131"/>
      <c r="D1196" s="131"/>
      <c r="E1196" s="131"/>
      <c r="F1196" s="131"/>
      <c r="G1196" s="131"/>
      <c r="H1196" s="131"/>
      <c r="I1196" s="131"/>
      <c r="J1196" s="132"/>
      <c r="K1196" s="132"/>
      <c r="L1196" s="131"/>
      <c r="M1196" s="131"/>
      <c r="N1196" s="131"/>
      <c r="O1196" s="53"/>
      <c r="P1196" s="53"/>
      <c r="Q1196" s="53"/>
      <c r="R1196" s="53"/>
      <c r="S1196" s="53"/>
      <c r="T1196" s="53"/>
      <c r="U1196" s="53"/>
      <c r="V1196" s="53"/>
      <c r="W1196" s="53"/>
      <c r="X1196" s="53"/>
      <c r="Y1196" s="53"/>
      <c r="Z1196" s="53"/>
      <c r="AA1196" s="53"/>
      <c r="AB1196" s="53"/>
      <c r="AC1196" s="53"/>
    </row>
    <row r="1197">
      <c r="A1197" s="53"/>
      <c r="B1197" s="53"/>
      <c r="C1197" s="131"/>
      <c r="D1197" s="131"/>
      <c r="E1197" s="131"/>
      <c r="F1197" s="131"/>
      <c r="G1197" s="131"/>
      <c r="H1197" s="131"/>
      <c r="I1197" s="131"/>
      <c r="J1197" s="132"/>
      <c r="K1197" s="132"/>
      <c r="L1197" s="131"/>
      <c r="M1197" s="131"/>
      <c r="N1197" s="131"/>
      <c r="O1197" s="53"/>
      <c r="P1197" s="53"/>
      <c r="Q1197" s="53"/>
      <c r="R1197" s="53"/>
      <c r="S1197" s="53"/>
      <c r="T1197" s="53"/>
      <c r="U1197" s="53"/>
      <c r="V1197" s="53"/>
      <c r="W1197" s="53"/>
      <c r="X1197" s="53"/>
      <c r="Y1197" s="53"/>
      <c r="Z1197" s="53"/>
      <c r="AA1197" s="53"/>
      <c r="AB1197" s="53"/>
      <c r="AC1197" s="53"/>
    </row>
    <row r="1198">
      <c r="A1198" s="53"/>
      <c r="B1198" s="53"/>
      <c r="C1198" s="131"/>
      <c r="D1198" s="131"/>
      <c r="E1198" s="131"/>
      <c r="F1198" s="131"/>
      <c r="G1198" s="131"/>
      <c r="H1198" s="131"/>
      <c r="I1198" s="131"/>
      <c r="J1198" s="132"/>
      <c r="K1198" s="132"/>
      <c r="L1198" s="131"/>
      <c r="M1198" s="131"/>
      <c r="N1198" s="131"/>
      <c r="O1198" s="53"/>
      <c r="P1198" s="53"/>
      <c r="Q1198" s="53"/>
      <c r="R1198" s="53"/>
      <c r="S1198" s="53"/>
      <c r="T1198" s="53"/>
      <c r="U1198" s="53"/>
      <c r="V1198" s="53"/>
      <c r="W1198" s="53"/>
      <c r="X1198" s="53"/>
      <c r="Y1198" s="53"/>
      <c r="Z1198" s="53"/>
      <c r="AA1198" s="53"/>
      <c r="AB1198" s="53"/>
      <c r="AC1198" s="53"/>
    </row>
    <row r="1199">
      <c r="A1199" s="53"/>
      <c r="B1199" s="53"/>
      <c r="C1199" s="131"/>
      <c r="D1199" s="131"/>
      <c r="E1199" s="131"/>
      <c r="F1199" s="131"/>
      <c r="G1199" s="131"/>
      <c r="H1199" s="131"/>
      <c r="I1199" s="131"/>
      <c r="J1199" s="132"/>
      <c r="K1199" s="132"/>
      <c r="L1199" s="131"/>
      <c r="M1199" s="131"/>
      <c r="N1199" s="131"/>
      <c r="O1199" s="53"/>
      <c r="P1199" s="53"/>
      <c r="Q1199" s="53"/>
      <c r="R1199" s="53"/>
      <c r="S1199" s="53"/>
      <c r="T1199" s="53"/>
      <c r="U1199" s="53"/>
      <c r="V1199" s="53"/>
      <c r="W1199" s="53"/>
      <c r="X1199" s="53"/>
      <c r="Y1199" s="53"/>
      <c r="Z1199" s="53"/>
      <c r="AA1199" s="53"/>
      <c r="AB1199" s="53"/>
      <c r="AC1199" s="53"/>
    </row>
    <row r="1200">
      <c r="A1200" s="53"/>
      <c r="B1200" s="53"/>
      <c r="C1200" s="131"/>
      <c r="D1200" s="131"/>
      <c r="E1200" s="131"/>
      <c r="F1200" s="131"/>
      <c r="G1200" s="131"/>
      <c r="H1200" s="131"/>
      <c r="I1200" s="131"/>
      <c r="J1200" s="132"/>
      <c r="K1200" s="132"/>
      <c r="L1200" s="131"/>
      <c r="M1200" s="131"/>
      <c r="N1200" s="131"/>
      <c r="O1200" s="53"/>
      <c r="P1200" s="53"/>
      <c r="Q1200" s="53"/>
      <c r="R1200" s="53"/>
      <c r="S1200" s="53"/>
      <c r="T1200" s="53"/>
      <c r="U1200" s="53"/>
      <c r="V1200" s="53"/>
      <c r="W1200" s="53"/>
      <c r="X1200" s="53"/>
      <c r="Y1200" s="53"/>
      <c r="Z1200" s="53"/>
      <c r="AA1200" s="53"/>
      <c r="AB1200" s="53"/>
      <c r="AC1200" s="53"/>
    </row>
    <row r="1201">
      <c r="A1201" s="53"/>
      <c r="B1201" s="53"/>
      <c r="C1201" s="131"/>
      <c r="D1201" s="131"/>
      <c r="E1201" s="131"/>
      <c r="F1201" s="131"/>
      <c r="G1201" s="131"/>
      <c r="H1201" s="131"/>
      <c r="I1201" s="131"/>
      <c r="J1201" s="132"/>
      <c r="K1201" s="132"/>
      <c r="L1201" s="131"/>
      <c r="M1201" s="131"/>
      <c r="N1201" s="131"/>
      <c r="O1201" s="53"/>
      <c r="P1201" s="53"/>
      <c r="Q1201" s="53"/>
      <c r="R1201" s="53"/>
      <c r="S1201" s="53"/>
      <c r="T1201" s="53"/>
      <c r="U1201" s="53"/>
      <c r="V1201" s="53"/>
      <c r="W1201" s="53"/>
      <c r="X1201" s="53"/>
      <c r="Y1201" s="53"/>
      <c r="Z1201" s="53"/>
      <c r="AA1201" s="53"/>
      <c r="AB1201" s="53"/>
      <c r="AC1201" s="53"/>
    </row>
    <row r="1202">
      <c r="A1202" s="53"/>
      <c r="B1202" s="53"/>
      <c r="C1202" s="131"/>
      <c r="D1202" s="131"/>
      <c r="E1202" s="131"/>
      <c r="F1202" s="131"/>
      <c r="G1202" s="131"/>
      <c r="H1202" s="131"/>
      <c r="I1202" s="131"/>
      <c r="J1202" s="132"/>
      <c r="K1202" s="132"/>
      <c r="L1202" s="131"/>
      <c r="M1202" s="131"/>
      <c r="N1202" s="131"/>
      <c r="O1202" s="53"/>
      <c r="P1202" s="53"/>
      <c r="Q1202" s="53"/>
      <c r="R1202" s="53"/>
      <c r="S1202" s="53"/>
      <c r="T1202" s="53"/>
      <c r="U1202" s="53"/>
      <c r="V1202" s="53"/>
      <c r="W1202" s="53"/>
      <c r="X1202" s="53"/>
      <c r="Y1202" s="53"/>
      <c r="Z1202" s="53"/>
      <c r="AA1202" s="53"/>
      <c r="AB1202" s="53"/>
      <c r="AC1202" s="53"/>
    </row>
    <row r="1203">
      <c r="A1203" s="53"/>
      <c r="B1203" s="53"/>
      <c r="C1203" s="131"/>
      <c r="D1203" s="131"/>
      <c r="E1203" s="131"/>
      <c r="F1203" s="131"/>
      <c r="G1203" s="131"/>
      <c r="H1203" s="131"/>
      <c r="I1203" s="131"/>
      <c r="J1203" s="132"/>
      <c r="K1203" s="132"/>
      <c r="L1203" s="131"/>
      <c r="M1203" s="131"/>
      <c r="N1203" s="131"/>
      <c r="O1203" s="53"/>
      <c r="P1203" s="53"/>
      <c r="Q1203" s="53"/>
      <c r="R1203" s="53"/>
      <c r="S1203" s="53"/>
      <c r="T1203" s="53"/>
      <c r="U1203" s="53"/>
      <c r="V1203" s="53"/>
      <c r="W1203" s="53"/>
      <c r="X1203" s="53"/>
      <c r="Y1203" s="53"/>
      <c r="Z1203" s="53"/>
      <c r="AA1203" s="53"/>
      <c r="AB1203" s="53"/>
      <c r="AC1203" s="53"/>
    </row>
    <row r="1204">
      <c r="A1204" s="53"/>
      <c r="B1204" s="53"/>
      <c r="C1204" s="131"/>
      <c r="D1204" s="131"/>
      <c r="E1204" s="131"/>
      <c r="F1204" s="131"/>
      <c r="G1204" s="131"/>
      <c r="H1204" s="131"/>
      <c r="I1204" s="131"/>
      <c r="J1204" s="132"/>
      <c r="K1204" s="132"/>
      <c r="L1204" s="131"/>
      <c r="M1204" s="131"/>
      <c r="N1204" s="131"/>
      <c r="O1204" s="53"/>
      <c r="P1204" s="53"/>
      <c r="Q1204" s="53"/>
      <c r="R1204" s="53"/>
      <c r="S1204" s="53"/>
      <c r="T1204" s="53"/>
      <c r="U1204" s="53"/>
      <c r="V1204" s="53"/>
      <c r="W1204" s="53"/>
      <c r="X1204" s="53"/>
      <c r="Y1204" s="53"/>
      <c r="Z1204" s="53"/>
      <c r="AA1204" s="53"/>
      <c r="AB1204" s="53"/>
      <c r="AC1204" s="53"/>
    </row>
    <row r="1205">
      <c r="A1205" s="53"/>
      <c r="B1205" s="53"/>
      <c r="C1205" s="131"/>
      <c r="D1205" s="131"/>
      <c r="E1205" s="131"/>
      <c r="F1205" s="131"/>
      <c r="G1205" s="131"/>
      <c r="H1205" s="131"/>
      <c r="I1205" s="131"/>
      <c r="J1205" s="132"/>
      <c r="K1205" s="132"/>
      <c r="L1205" s="131"/>
      <c r="M1205" s="131"/>
      <c r="N1205" s="131"/>
      <c r="O1205" s="53"/>
      <c r="P1205" s="53"/>
      <c r="Q1205" s="53"/>
      <c r="R1205" s="53"/>
      <c r="S1205" s="53"/>
      <c r="T1205" s="53"/>
      <c r="U1205" s="53"/>
      <c r="V1205" s="53"/>
      <c r="W1205" s="53"/>
      <c r="X1205" s="53"/>
      <c r="Y1205" s="53"/>
      <c r="Z1205" s="53"/>
      <c r="AA1205" s="53"/>
      <c r="AB1205" s="53"/>
      <c r="AC1205" s="53"/>
    </row>
    <row r="1206">
      <c r="A1206" s="53"/>
      <c r="B1206" s="53"/>
      <c r="C1206" s="131"/>
      <c r="D1206" s="131"/>
      <c r="E1206" s="131"/>
      <c r="F1206" s="131"/>
      <c r="G1206" s="131"/>
      <c r="H1206" s="131"/>
      <c r="I1206" s="131"/>
      <c r="J1206" s="132"/>
      <c r="K1206" s="132"/>
      <c r="L1206" s="131"/>
      <c r="M1206" s="131"/>
      <c r="N1206" s="131"/>
      <c r="O1206" s="53"/>
      <c r="P1206" s="53"/>
      <c r="Q1206" s="53"/>
      <c r="R1206" s="53"/>
      <c r="S1206" s="53"/>
      <c r="T1206" s="53"/>
      <c r="U1206" s="53"/>
      <c r="V1206" s="53"/>
      <c r="W1206" s="53"/>
      <c r="X1206" s="53"/>
      <c r="Y1206" s="53"/>
      <c r="Z1206" s="53"/>
      <c r="AA1206" s="53"/>
      <c r="AB1206" s="53"/>
      <c r="AC1206" s="53"/>
    </row>
    <row r="1207">
      <c r="A1207" s="53"/>
      <c r="B1207" s="53"/>
      <c r="C1207" s="131"/>
      <c r="D1207" s="131"/>
      <c r="E1207" s="131"/>
      <c r="F1207" s="131"/>
      <c r="G1207" s="131"/>
      <c r="H1207" s="131"/>
      <c r="I1207" s="131"/>
      <c r="J1207" s="132"/>
      <c r="K1207" s="132"/>
      <c r="L1207" s="131"/>
      <c r="M1207" s="131"/>
      <c r="N1207" s="131"/>
      <c r="O1207" s="53"/>
      <c r="P1207" s="53"/>
      <c r="Q1207" s="53"/>
      <c r="R1207" s="53"/>
      <c r="S1207" s="53"/>
      <c r="T1207" s="53"/>
      <c r="U1207" s="53"/>
      <c r="V1207" s="53"/>
      <c r="W1207" s="53"/>
      <c r="X1207" s="53"/>
      <c r="Y1207" s="53"/>
      <c r="Z1207" s="53"/>
      <c r="AA1207" s="53"/>
      <c r="AB1207" s="53"/>
      <c r="AC1207" s="53"/>
    </row>
    <row r="1208">
      <c r="A1208" s="53"/>
      <c r="B1208" s="53"/>
      <c r="C1208" s="131"/>
      <c r="D1208" s="131"/>
      <c r="E1208" s="131"/>
      <c r="F1208" s="131"/>
      <c r="G1208" s="131"/>
      <c r="H1208" s="131"/>
      <c r="I1208" s="131"/>
      <c r="J1208" s="132"/>
      <c r="K1208" s="132"/>
      <c r="L1208" s="131"/>
      <c r="M1208" s="131"/>
      <c r="N1208" s="131"/>
      <c r="O1208" s="53"/>
      <c r="P1208" s="53"/>
      <c r="Q1208" s="53"/>
      <c r="R1208" s="53"/>
      <c r="S1208" s="53"/>
      <c r="T1208" s="53"/>
      <c r="U1208" s="53"/>
      <c r="V1208" s="53"/>
      <c r="W1208" s="53"/>
      <c r="X1208" s="53"/>
      <c r="Y1208" s="53"/>
      <c r="Z1208" s="53"/>
      <c r="AA1208" s="53"/>
      <c r="AB1208" s="53"/>
      <c r="AC1208" s="53"/>
    </row>
    <row r="1209">
      <c r="A1209" s="53"/>
      <c r="B1209" s="53"/>
      <c r="C1209" s="131"/>
      <c r="D1209" s="131"/>
      <c r="E1209" s="131"/>
      <c r="F1209" s="131"/>
      <c r="G1209" s="131"/>
      <c r="H1209" s="131"/>
      <c r="I1209" s="131"/>
      <c r="J1209" s="132"/>
      <c r="K1209" s="132"/>
      <c r="L1209" s="131"/>
      <c r="M1209" s="131"/>
      <c r="N1209" s="131"/>
      <c r="O1209" s="53"/>
      <c r="P1209" s="53"/>
      <c r="Q1209" s="53"/>
      <c r="R1209" s="53"/>
      <c r="S1209" s="53"/>
      <c r="T1209" s="53"/>
      <c r="U1209" s="53"/>
      <c r="V1209" s="53"/>
      <c r="W1209" s="53"/>
      <c r="X1209" s="53"/>
      <c r="Y1209" s="53"/>
      <c r="Z1209" s="53"/>
      <c r="AA1209" s="53"/>
      <c r="AB1209" s="53"/>
      <c r="AC1209" s="53"/>
    </row>
    <row r="1210">
      <c r="A1210" s="53"/>
      <c r="B1210" s="53"/>
      <c r="C1210" s="131"/>
      <c r="D1210" s="131"/>
      <c r="E1210" s="131"/>
      <c r="F1210" s="131"/>
      <c r="G1210" s="131"/>
      <c r="H1210" s="131"/>
      <c r="I1210" s="131"/>
      <c r="J1210" s="132"/>
      <c r="K1210" s="132"/>
      <c r="L1210" s="131"/>
      <c r="M1210" s="131"/>
      <c r="N1210" s="131"/>
      <c r="O1210" s="53"/>
      <c r="P1210" s="53"/>
      <c r="Q1210" s="53"/>
      <c r="R1210" s="53"/>
      <c r="S1210" s="53"/>
      <c r="T1210" s="53"/>
      <c r="U1210" s="53"/>
      <c r="V1210" s="53"/>
      <c r="W1210" s="53"/>
      <c r="X1210" s="53"/>
      <c r="Y1210" s="53"/>
      <c r="Z1210" s="53"/>
      <c r="AA1210" s="53"/>
      <c r="AB1210" s="53"/>
      <c r="AC1210" s="53"/>
    </row>
    <row r="1211">
      <c r="A1211" s="53"/>
      <c r="B1211" s="53"/>
      <c r="C1211" s="131"/>
      <c r="D1211" s="131"/>
      <c r="E1211" s="131"/>
      <c r="F1211" s="131"/>
      <c r="G1211" s="131"/>
      <c r="H1211" s="131"/>
      <c r="I1211" s="131"/>
      <c r="J1211" s="132"/>
      <c r="K1211" s="132"/>
      <c r="L1211" s="131"/>
      <c r="M1211" s="131"/>
      <c r="N1211" s="131"/>
      <c r="O1211" s="53"/>
      <c r="P1211" s="53"/>
      <c r="Q1211" s="53"/>
      <c r="R1211" s="53"/>
      <c r="S1211" s="53"/>
      <c r="T1211" s="53"/>
      <c r="U1211" s="53"/>
      <c r="V1211" s="53"/>
      <c r="W1211" s="53"/>
      <c r="X1211" s="53"/>
      <c r="Y1211" s="53"/>
      <c r="Z1211" s="53"/>
      <c r="AA1211" s="53"/>
      <c r="AB1211" s="53"/>
      <c r="AC1211" s="53"/>
    </row>
    <row r="1212">
      <c r="A1212" s="53"/>
      <c r="B1212" s="53"/>
      <c r="C1212" s="131"/>
      <c r="D1212" s="131"/>
      <c r="E1212" s="131"/>
      <c r="F1212" s="131"/>
      <c r="G1212" s="131"/>
      <c r="H1212" s="131"/>
      <c r="I1212" s="131"/>
      <c r="J1212" s="132"/>
      <c r="K1212" s="132"/>
      <c r="L1212" s="131"/>
      <c r="M1212" s="131"/>
      <c r="N1212" s="131"/>
      <c r="O1212" s="53"/>
      <c r="P1212" s="53"/>
      <c r="Q1212" s="53"/>
      <c r="R1212" s="53"/>
      <c r="S1212" s="53"/>
      <c r="T1212" s="53"/>
      <c r="U1212" s="53"/>
      <c r="V1212" s="53"/>
      <c r="W1212" s="53"/>
      <c r="X1212" s="53"/>
      <c r="Y1212" s="53"/>
      <c r="Z1212" s="53"/>
      <c r="AA1212" s="53"/>
      <c r="AB1212" s="53"/>
      <c r="AC1212" s="53"/>
    </row>
    <row r="1213">
      <c r="A1213" s="53"/>
      <c r="B1213" s="53"/>
      <c r="C1213" s="131"/>
      <c r="D1213" s="131"/>
      <c r="E1213" s="131"/>
      <c r="F1213" s="131"/>
      <c r="G1213" s="131"/>
      <c r="H1213" s="131"/>
      <c r="I1213" s="131"/>
      <c r="J1213" s="132"/>
      <c r="K1213" s="132"/>
      <c r="L1213" s="131"/>
      <c r="M1213" s="131"/>
      <c r="N1213" s="131"/>
      <c r="O1213" s="53"/>
      <c r="P1213" s="53"/>
      <c r="Q1213" s="53"/>
      <c r="R1213" s="53"/>
      <c r="S1213" s="53"/>
      <c r="T1213" s="53"/>
      <c r="U1213" s="53"/>
      <c r="V1213" s="53"/>
      <c r="W1213" s="53"/>
      <c r="X1213" s="53"/>
      <c r="Y1213" s="53"/>
      <c r="Z1213" s="53"/>
      <c r="AA1213" s="53"/>
      <c r="AB1213" s="53"/>
      <c r="AC1213" s="53"/>
    </row>
    <row r="1214">
      <c r="A1214" s="53"/>
      <c r="B1214" s="53"/>
      <c r="C1214" s="131"/>
      <c r="D1214" s="131"/>
      <c r="E1214" s="131"/>
      <c r="F1214" s="131"/>
      <c r="G1214" s="131"/>
      <c r="H1214" s="131"/>
      <c r="I1214" s="131"/>
      <c r="J1214" s="132"/>
      <c r="K1214" s="132"/>
      <c r="L1214" s="131"/>
      <c r="M1214" s="131"/>
      <c r="N1214" s="131"/>
      <c r="O1214" s="53"/>
      <c r="P1214" s="53"/>
      <c r="Q1214" s="53"/>
      <c r="R1214" s="53"/>
      <c r="S1214" s="53"/>
      <c r="T1214" s="53"/>
      <c r="U1214" s="53"/>
      <c r="V1214" s="53"/>
      <c r="W1214" s="53"/>
      <c r="X1214" s="53"/>
      <c r="Y1214" s="53"/>
      <c r="Z1214" s="53"/>
      <c r="AA1214" s="53"/>
      <c r="AB1214" s="53"/>
      <c r="AC1214" s="53"/>
    </row>
    <row r="1215">
      <c r="A1215" s="53"/>
      <c r="B1215" s="53"/>
      <c r="C1215" s="131"/>
      <c r="D1215" s="131"/>
      <c r="E1215" s="131"/>
      <c r="F1215" s="131"/>
      <c r="G1215" s="131"/>
      <c r="H1215" s="131"/>
      <c r="I1215" s="131"/>
      <c r="J1215" s="132"/>
      <c r="K1215" s="132"/>
      <c r="L1215" s="131"/>
      <c r="M1215" s="131"/>
      <c r="N1215" s="131"/>
      <c r="O1215" s="53"/>
      <c r="P1215" s="53"/>
      <c r="Q1215" s="53"/>
      <c r="R1215" s="53"/>
      <c r="S1215" s="53"/>
      <c r="T1215" s="53"/>
      <c r="U1215" s="53"/>
      <c r="V1215" s="53"/>
      <c r="W1215" s="53"/>
      <c r="X1215" s="53"/>
      <c r="Y1215" s="53"/>
      <c r="Z1215" s="53"/>
      <c r="AA1215" s="53"/>
      <c r="AB1215" s="53"/>
      <c r="AC1215" s="53"/>
    </row>
    <row r="1216">
      <c r="A1216" s="53"/>
      <c r="B1216" s="53"/>
      <c r="C1216" s="131"/>
      <c r="D1216" s="131"/>
      <c r="E1216" s="131"/>
      <c r="F1216" s="131"/>
      <c r="G1216" s="131"/>
      <c r="H1216" s="131"/>
      <c r="I1216" s="131"/>
      <c r="J1216" s="132"/>
      <c r="K1216" s="132"/>
      <c r="L1216" s="131"/>
      <c r="M1216" s="131"/>
      <c r="N1216" s="131"/>
      <c r="O1216" s="53"/>
      <c r="P1216" s="53"/>
      <c r="Q1216" s="53"/>
      <c r="R1216" s="53"/>
      <c r="S1216" s="53"/>
      <c r="T1216" s="53"/>
      <c r="U1216" s="53"/>
      <c r="V1216" s="53"/>
      <c r="W1216" s="53"/>
      <c r="X1216" s="53"/>
      <c r="Y1216" s="53"/>
      <c r="Z1216" s="53"/>
      <c r="AA1216" s="53"/>
      <c r="AB1216" s="53"/>
      <c r="AC1216" s="53"/>
    </row>
    <row r="1217">
      <c r="A1217" s="53"/>
      <c r="B1217" s="53"/>
      <c r="C1217" s="131"/>
      <c r="D1217" s="131"/>
      <c r="E1217" s="131"/>
      <c r="F1217" s="131"/>
      <c r="G1217" s="131"/>
      <c r="H1217" s="131"/>
      <c r="I1217" s="131"/>
      <c r="J1217" s="132"/>
      <c r="K1217" s="132"/>
      <c r="L1217" s="131"/>
      <c r="M1217" s="131"/>
      <c r="N1217" s="131"/>
      <c r="O1217" s="53"/>
      <c r="P1217" s="53"/>
      <c r="Q1217" s="53"/>
      <c r="R1217" s="53"/>
      <c r="S1217" s="53"/>
      <c r="T1217" s="53"/>
      <c r="U1217" s="53"/>
      <c r="V1217" s="53"/>
      <c r="W1217" s="53"/>
      <c r="X1217" s="53"/>
      <c r="Y1217" s="53"/>
      <c r="Z1217" s="53"/>
      <c r="AA1217" s="53"/>
      <c r="AB1217" s="53"/>
      <c r="AC1217" s="53"/>
    </row>
    <row r="1218">
      <c r="A1218" s="53"/>
      <c r="B1218" s="53"/>
      <c r="C1218" s="131"/>
      <c r="D1218" s="131"/>
      <c r="E1218" s="131"/>
      <c r="F1218" s="131"/>
      <c r="G1218" s="131"/>
      <c r="H1218" s="131"/>
      <c r="I1218" s="131"/>
      <c r="J1218" s="132"/>
      <c r="K1218" s="132"/>
      <c r="L1218" s="131"/>
      <c r="M1218" s="131"/>
      <c r="N1218" s="131"/>
      <c r="O1218" s="53"/>
      <c r="P1218" s="53"/>
      <c r="Q1218" s="53"/>
      <c r="R1218" s="53"/>
      <c r="S1218" s="53"/>
      <c r="T1218" s="53"/>
      <c r="U1218" s="53"/>
      <c r="V1218" s="53"/>
      <c r="W1218" s="53"/>
      <c r="X1218" s="53"/>
      <c r="Y1218" s="53"/>
      <c r="Z1218" s="53"/>
      <c r="AA1218" s="53"/>
      <c r="AB1218" s="53"/>
      <c r="AC1218" s="53"/>
    </row>
    <row r="1219">
      <c r="A1219" s="53"/>
      <c r="B1219" s="53"/>
      <c r="C1219" s="131"/>
      <c r="D1219" s="131"/>
      <c r="E1219" s="131"/>
      <c r="F1219" s="131"/>
      <c r="G1219" s="131"/>
      <c r="H1219" s="131"/>
      <c r="I1219" s="131"/>
      <c r="J1219" s="132"/>
      <c r="K1219" s="132"/>
      <c r="L1219" s="131"/>
      <c r="M1219" s="131"/>
      <c r="N1219" s="131"/>
      <c r="O1219" s="53"/>
      <c r="P1219" s="53"/>
      <c r="Q1219" s="53"/>
      <c r="R1219" s="53"/>
      <c r="S1219" s="53"/>
      <c r="T1219" s="53"/>
      <c r="U1219" s="53"/>
      <c r="V1219" s="53"/>
      <c r="W1219" s="53"/>
      <c r="X1219" s="53"/>
      <c r="Y1219" s="53"/>
      <c r="Z1219" s="53"/>
      <c r="AA1219" s="53"/>
      <c r="AB1219" s="53"/>
      <c r="AC1219" s="53"/>
    </row>
    <row r="1220">
      <c r="A1220" s="53"/>
      <c r="B1220" s="53"/>
      <c r="C1220" s="131"/>
      <c r="D1220" s="131"/>
      <c r="E1220" s="131"/>
      <c r="F1220" s="131"/>
      <c r="G1220" s="131"/>
      <c r="H1220" s="131"/>
      <c r="I1220" s="131"/>
      <c r="J1220" s="132"/>
      <c r="K1220" s="132"/>
      <c r="L1220" s="131"/>
      <c r="M1220" s="131"/>
      <c r="N1220" s="131"/>
      <c r="O1220" s="53"/>
      <c r="P1220" s="53"/>
      <c r="Q1220" s="53"/>
      <c r="R1220" s="53"/>
      <c r="S1220" s="53"/>
      <c r="T1220" s="53"/>
      <c r="U1220" s="53"/>
      <c r="V1220" s="53"/>
      <c r="W1220" s="53"/>
      <c r="X1220" s="53"/>
      <c r="Y1220" s="53"/>
      <c r="Z1220" s="53"/>
      <c r="AA1220" s="53"/>
      <c r="AB1220" s="53"/>
      <c r="AC1220" s="53"/>
    </row>
    <row r="1221">
      <c r="A1221" s="53"/>
      <c r="B1221" s="53"/>
      <c r="C1221" s="131"/>
      <c r="D1221" s="131"/>
      <c r="E1221" s="131"/>
      <c r="F1221" s="131"/>
      <c r="G1221" s="131"/>
      <c r="H1221" s="131"/>
      <c r="I1221" s="131"/>
      <c r="J1221" s="132"/>
      <c r="K1221" s="132"/>
      <c r="L1221" s="131"/>
      <c r="M1221" s="131"/>
      <c r="N1221" s="131"/>
      <c r="O1221" s="53"/>
      <c r="P1221" s="53"/>
      <c r="Q1221" s="53"/>
      <c r="R1221" s="53"/>
      <c r="S1221" s="53"/>
      <c r="T1221" s="53"/>
      <c r="U1221" s="53"/>
      <c r="V1221" s="53"/>
      <c r="W1221" s="53"/>
      <c r="X1221" s="53"/>
      <c r="Y1221" s="53"/>
      <c r="Z1221" s="53"/>
      <c r="AA1221" s="53"/>
      <c r="AB1221" s="53"/>
      <c r="AC1221" s="53"/>
    </row>
    <row r="1222">
      <c r="A1222" s="53"/>
      <c r="B1222" s="53"/>
      <c r="C1222" s="131"/>
      <c r="D1222" s="131"/>
      <c r="E1222" s="131"/>
      <c r="F1222" s="131"/>
      <c r="G1222" s="131"/>
      <c r="H1222" s="131"/>
      <c r="I1222" s="131"/>
      <c r="J1222" s="132"/>
      <c r="K1222" s="132"/>
      <c r="L1222" s="131"/>
      <c r="M1222" s="131"/>
      <c r="N1222" s="131"/>
      <c r="O1222" s="53"/>
      <c r="P1222" s="53"/>
      <c r="Q1222" s="53"/>
      <c r="R1222" s="53"/>
      <c r="S1222" s="53"/>
      <c r="T1222" s="53"/>
      <c r="U1222" s="53"/>
      <c r="V1222" s="53"/>
      <c r="W1222" s="53"/>
      <c r="X1222" s="53"/>
      <c r="Y1222" s="53"/>
      <c r="Z1222" s="53"/>
      <c r="AA1222" s="53"/>
      <c r="AB1222" s="53"/>
      <c r="AC1222" s="53"/>
    </row>
    <row r="1223">
      <c r="A1223" s="53"/>
      <c r="B1223" s="53"/>
      <c r="C1223" s="131"/>
      <c r="D1223" s="131"/>
      <c r="E1223" s="131"/>
      <c r="F1223" s="131"/>
      <c r="G1223" s="131"/>
      <c r="H1223" s="131"/>
      <c r="I1223" s="131"/>
      <c r="J1223" s="132"/>
      <c r="K1223" s="132"/>
      <c r="L1223" s="131"/>
      <c r="M1223" s="131"/>
      <c r="N1223" s="131"/>
      <c r="O1223" s="53"/>
      <c r="P1223" s="53"/>
      <c r="Q1223" s="53"/>
      <c r="R1223" s="53"/>
      <c r="S1223" s="53"/>
      <c r="T1223" s="53"/>
      <c r="U1223" s="53"/>
      <c r="V1223" s="53"/>
      <c r="W1223" s="53"/>
      <c r="X1223" s="53"/>
      <c r="Y1223" s="53"/>
      <c r="Z1223" s="53"/>
      <c r="AA1223" s="53"/>
      <c r="AB1223" s="53"/>
      <c r="AC1223" s="53"/>
    </row>
    <row r="1224">
      <c r="A1224" s="53"/>
      <c r="B1224" s="53"/>
      <c r="C1224" s="131"/>
      <c r="D1224" s="131"/>
      <c r="E1224" s="131"/>
      <c r="F1224" s="131"/>
      <c r="G1224" s="131"/>
      <c r="H1224" s="131"/>
      <c r="I1224" s="131"/>
      <c r="J1224" s="132"/>
      <c r="K1224" s="132"/>
      <c r="L1224" s="131"/>
      <c r="M1224" s="131"/>
      <c r="N1224" s="131"/>
      <c r="O1224" s="53"/>
      <c r="P1224" s="53"/>
      <c r="Q1224" s="53"/>
      <c r="R1224" s="53"/>
      <c r="S1224" s="53"/>
      <c r="T1224" s="53"/>
      <c r="U1224" s="53"/>
      <c r="V1224" s="53"/>
      <c r="W1224" s="53"/>
      <c r="X1224" s="53"/>
      <c r="Y1224" s="53"/>
      <c r="Z1224" s="53"/>
      <c r="AA1224" s="53"/>
      <c r="AB1224" s="53"/>
      <c r="AC1224" s="53"/>
    </row>
    <row r="1225">
      <c r="A1225" s="53"/>
      <c r="B1225" s="53"/>
      <c r="C1225" s="131"/>
      <c r="D1225" s="131"/>
      <c r="E1225" s="131"/>
      <c r="F1225" s="131"/>
      <c r="G1225" s="131"/>
      <c r="H1225" s="131"/>
      <c r="I1225" s="131"/>
      <c r="J1225" s="132"/>
      <c r="K1225" s="132"/>
      <c r="L1225" s="131"/>
      <c r="M1225" s="131"/>
      <c r="N1225" s="131"/>
      <c r="O1225" s="53"/>
      <c r="P1225" s="53"/>
      <c r="Q1225" s="53"/>
      <c r="R1225" s="53"/>
      <c r="S1225" s="53"/>
      <c r="T1225" s="53"/>
      <c r="U1225" s="53"/>
      <c r="V1225" s="53"/>
      <c r="W1225" s="53"/>
      <c r="X1225" s="53"/>
      <c r="Y1225" s="53"/>
      <c r="Z1225" s="53"/>
      <c r="AA1225" s="53"/>
      <c r="AB1225" s="53"/>
      <c r="AC1225" s="53"/>
    </row>
    <row r="1226">
      <c r="A1226" s="53"/>
      <c r="B1226" s="53"/>
      <c r="C1226" s="131"/>
      <c r="D1226" s="131"/>
      <c r="E1226" s="131"/>
      <c r="F1226" s="131"/>
      <c r="G1226" s="131"/>
      <c r="H1226" s="131"/>
      <c r="I1226" s="131"/>
      <c r="J1226" s="132"/>
      <c r="K1226" s="132"/>
      <c r="L1226" s="131"/>
      <c r="M1226" s="131"/>
      <c r="N1226" s="131"/>
      <c r="O1226" s="53"/>
      <c r="P1226" s="53"/>
      <c r="Q1226" s="53"/>
      <c r="R1226" s="53"/>
      <c r="S1226" s="53"/>
      <c r="T1226" s="53"/>
      <c r="U1226" s="53"/>
      <c r="V1226" s="53"/>
      <c r="W1226" s="53"/>
      <c r="X1226" s="53"/>
      <c r="Y1226" s="53"/>
      <c r="Z1226" s="53"/>
      <c r="AA1226" s="53"/>
      <c r="AB1226" s="53"/>
      <c r="AC1226" s="53"/>
    </row>
    <row r="1227">
      <c r="A1227" s="53"/>
      <c r="B1227" s="53"/>
      <c r="C1227" s="131"/>
      <c r="D1227" s="131"/>
      <c r="E1227" s="131"/>
      <c r="F1227" s="131"/>
      <c r="G1227" s="131"/>
      <c r="H1227" s="131"/>
      <c r="I1227" s="131"/>
      <c r="J1227" s="132"/>
      <c r="K1227" s="132"/>
      <c r="L1227" s="131"/>
      <c r="M1227" s="131"/>
      <c r="N1227" s="131"/>
      <c r="O1227" s="53"/>
      <c r="P1227" s="53"/>
      <c r="Q1227" s="53"/>
      <c r="R1227" s="53"/>
      <c r="S1227" s="53"/>
      <c r="T1227" s="53"/>
      <c r="U1227" s="53"/>
      <c r="V1227" s="53"/>
      <c r="W1227" s="53"/>
      <c r="X1227" s="53"/>
      <c r="Y1227" s="53"/>
      <c r="Z1227" s="53"/>
      <c r="AA1227" s="53"/>
      <c r="AB1227" s="53"/>
      <c r="AC1227" s="53"/>
    </row>
    <row r="1228">
      <c r="A1228" s="53"/>
      <c r="B1228" s="53"/>
      <c r="C1228" s="131"/>
      <c r="D1228" s="131"/>
      <c r="E1228" s="131"/>
      <c r="F1228" s="131"/>
      <c r="G1228" s="131"/>
      <c r="H1228" s="131"/>
      <c r="I1228" s="131"/>
      <c r="J1228" s="132"/>
      <c r="K1228" s="132"/>
      <c r="L1228" s="131"/>
      <c r="M1228" s="131"/>
      <c r="N1228" s="131"/>
      <c r="O1228" s="53"/>
      <c r="P1228" s="53"/>
      <c r="Q1228" s="53"/>
      <c r="R1228" s="53"/>
      <c r="S1228" s="53"/>
      <c r="T1228" s="53"/>
      <c r="U1228" s="53"/>
      <c r="V1228" s="53"/>
      <c r="W1228" s="53"/>
      <c r="X1228" s="53"/>
      <c r="Y1228" s="53"/>
      <c r="Z1228" s="53"/>
      <c r="AA1228" s="53"/>
      <c r="AB1228" s="53"/>
      <c r="AC1228" s="53"/>
    </row>
    <row r="1229">
      <c r="A1229" s="53"/>
      <c r="B1229" s="53"/>
      <c r="C1229" s="131"/>
      <c r="D1229" s="131"/>
      <c r="E1229" s="131"/>
      <c r="F1229" s="131"/>
      <c r="G1229" s="131"/>
      <c r="H1229" s="131"/>
      <c r="I1229" s="131"/>
      <c r="J1229" s="132"/>
      <c r="K1229" s="132"/>
      <c r="L1229" s="131"/>
      <c r="M1229" s="131"/>
      <c r="N1229" s="131"/>
      <c r="O1229" s="53"/>
      <c r="P1229" s="53"/>
      <c r="Q1229" s="53"/>
      <c r="R1229" s="53"/>
      <c r="S1229" s="53"/>
      <c r="T1229" s="53"/>
      <c r="U1229" s="53"/>
      <c r="V1229" s="53"/>
      <c r="W1229" s="53"/>
      <c r="X1229" s="53"/>
      <c r="Y1229" s="53"/>
      <c r="Z1229" s="53"/>
      <c r="AA1229" s="53"/>
      <c r="AB1229" s="53"/>
      <c r="AC1229" s="53"/>
    </row>
    <row r="1230">
      <c r="A1230" s="53"/>
      <c r="B1230" s="53"/>
      <c r="C1230" s="131"/>
      <c r="D1230" s="131"/>
      <c r="E1230" s="131"/>
      <c r="F1230" s="131"/>
      <c r="G1230" s="131"/>
      <c r="H1230" s="131"/>
      <c r="I1230" s="131"/>
      <c r="J1230" s="132"/>
      <c r="K1230" s="132"/>
      <c r="L1230" s="131"/>
      <c r="M1230" s="131"/>
      <c r="N1230" s="131"/>
      <c r="O1230" s="53"/>
      <c r="P1230" s="53"/>
      <c r="Q1230" s="53"/>
      <c r="R1230" s="53"/>
      <c r="S1230" s="53"/>
      <c r="T1230" s="53"/>
      <c r="U1230" s="53"/>
      <c r="V1230" s="53"/>
      <c r="W1230" s="53"/>
      <c r="X1230" s="53"/>
      <c r="Y1230" s="53"/>
      <c r="Z1230" s="53"/>
      <c r="AA1230" s="53"/>
      <c r="AB1230" s="53"/>
      <c r="AC1230" s="53"/>
    </row>
    <row r="1231">
      <c r="A1231" s="53"/>
      <c r="B1231" s="53"/>
      <c r="C1231" s="131"/>
      <c r="D1231" s="131"/>
      <c r="E1231" s="131"/>
      <c r="F1231" s="131"/>
      <c r="G1231" s="131"/>
      <c r="H1231" s="131"/>
      <c r="I1231" s="131"/>
      <c r="J1231" s="132"/>
      <c r="K1231" s="132"/>
      <c r="L1231" s="131"/>
      <c r="M1231" s="131"/>
      <c r="N1231" s="131"/>
      <c r="O1231" s="53"/>
      <c r="P1231" s="53"/>
      <c r="Q1231" s="53"/>
      <c r="R1231" s="53"/>
      <c r="S1231" s="53"/>
      <c r="T1231" s="53"/>
      <c r="U1231" s="53"/>
      <c r="V1231" s="53"/>
      <c r="W1231" s="53"/>
      <c r="X1231" s="53"/>
      <c r="Y1231" s="53"/>
      <c r="Z1231" s="53"/>
      <c r="AA1231" s="53"/>
      <c r="AB1231" s="53"/>
      <c r="AC1231" s="53"/>
    </row>
    <row r="1232">
      <c r="A1232" s="53"/>
      <c r="B1232" s="53"/>
      <c r="C1232" s="131"/>
      <c r="D1232" s="131"/>
      <c r="E1232" s="131"/>
      <c r="F1232" s="131"/>
      <c r="G1232" s="131"/>
      <c r="H1232" s="131"/>
      <c r="I1232" s="131"/>
      <c r="J1232" s="132"/>
      <c r="K1232" s="132"/>
      <c r="L1232" s="131"/>
      <c r="M1232" s="131"/>
      <c r="N1232" s="131"/>
      <c r="O1232" s="53"/>
      <c r="P1232" s="53"/>
      <c r="Q1232" s="53"/>
      <c r="R1232" s="53"/>
      <c r="S1232" s="53"/>
      <c r="T1232" s="53"/>
      <c r="U1232" s="53"/>
      <c r="V1232" s="53"/>
      <c r="W1232" s="53"/>
      <c r="X1232" s="53"/>
      <c r="Y1232" s="53"/>
      <c r="Z1232" s="53"/>
      <c r="AA1232" s="53"/>
      <c r="AB1232" s="53"/>
      <c r="AC1232" s="53"/>
    </row>
    <row r="1233">
      <c r="A1233" s="53"/>
      <c r="B1233" s="53"/>
      <c r="C1233" s="131"/>
      <c r="D1233" s="131"/>
      <c r="E1233" s="131"/>
      <c r="F1233" s="131"/>
      <c r="G1233" s="131"/>
      <c r="H1233" s="131"/>
      <c r="I1233" s="131"/>
      <c r="J1233" s="132"/>
      <c r="K1233" s="132"/>
      <c r="L1233" s="131"/>
      <c r="M1233" s="131"/>
      <c r="N1233" s="131"/>
      <c r="O1233" s="53"/>
      <c r="P1233" s="53"/>
      <c r="Q1233" s="53"/>
      <c r="R1233" s="53"/>
      <c r="S1233" s="53"/>
      <c r="T1233" s="53"/>
      <c r="U1233" s="53"/>
      <c r="V1233" s="53"/>
      <c r="W1233" s="53"/>
      <c r="X1233" s="53"/>
      <c r="Y1233" s="53"/>
      <c r="Z1233" s="53"/>
      <c r="AA1233" s="53"/>
      <c r="AB1233" s="53"/>
      <c r="AC1233" s="53"/>
    </row>
    <row r="1234">
      <c r="A1234" s="53"/>
      <c r="B1234" s="53"/>
      <c r="C1234" s="131"/>
      <c r="D1234" s="131"/>
      <c r="E1234" s="131"/>
      <c r="F1234" s="131"/>
      <c r="G1234" s="131"/>
      <c r="H1234" s="131"/>
      <c r="I1234" s="131"/>
      <c r="J1234" s="132"/>
      <c r="K1234" s="132"/>
      <c r="L1234" s="131"/>
      <c r="M1234" s="131"/>
      <c r="N1234" s="131"/>
      <c r="O1234" s="53"/>
      <c r="P1234" s="53"/>
      <c r="Q1234" s="53"/>
      <c r="R1234" s="53"/>
      <c r="S1234" s="53"/>
      <c r="T1234" s="53"/>
      <c r="U1234" s="53"/>
      <c r="V1234" s="53"/>
      <c r="W1234" s="53"/>
      <c r="X1234" s="53"/>
      <c r="Y1234" s="53"/>
      <c r="Z1234" s="53"/>
      <c r="AA1234" s="53"/>
      <c r="AB1234" s="53"/>
      <c r="AC1234" s="53"/>
    </row>
    <row r="1235">
      <c r="A1235" s="53"/>
      <c r="B1235" s="53"/>
      <c r="C1235" s="131"/>
      <c r="D1235" s="131"/>
      <c r="E1235" s="131"/>
      <c r="F1235" s="131"/>
      <c r="G1235" s="131"/>
      <c r="H1235" s="131"/>
      <c r="I1235" s="131"/>
      <c r="J1235" s="132"/>
      <c r="K1235" s="132"/>
      <c r="L1235" s="131"/>
      <c r="M1235" s="131"/>
      <c r="N1235" s="131"/>
      <c r="O1235" s="53"/>
      <c r="P1235" s="53"/>
      <c r="Q1235" s="53"/>
      <c r="R1235" s="53"/>
      <c r="S1235" s="53"/>
      <c r="T1235" s="53"/>
      <c r="U1235" s="53"/>
      <c r="V1235" s="53"/>
      <c r="W1235" s="53"/>
      <c r="X1235" s="53"/>
      <c r="Y1235" s="53"/>
      <c r="Z1235" s="53"/>
      <c r="AA1235" s="53"/>
      <c r="AB1235" s="53"/>
      <c r="AC1235" s="53"/>
    </row>
    <row r="1236">
      <c r="A1236" s="53"/>
      <c r="B1236" s="53"/>
      <c r="C1236" s="131"/>
      <c r="D1236" s="131"/>
      <c r="E1236" s="131"/>
      <c r="F1236" s="131"/>
      <c r="G1236" s="131"/>
      <c r="H1236" s="131"/>
      <c r="I1236" s="131"/>
      <c r="J1236" s="132"/>
      <c r="K1236" s="132"/>
      <c r="L1236" s="131"/>
      <c r="M1236" s="131"/>
      <c r="N1236" s="131"/>
      <c r="O1236" s="53"/>
      <c r="P1236" s="53"/>
      <c r="Q1236" s="53"/>
      <c r="R1236" s="53"/>
      <c r="S1236" s="53"/>
      <c r="T1236" s="53"/>
      <c r="U1236" s="53"/>
      <c r="V1236" s="53"/>
      <c r="W1236" s="53"/>
      <c r="X1236" s="53"/>
      <c r="Y1236" s="53"/>
      <c r="Z1236" s="53"/>
      <c r="AA1236" s="53"/>
      <c r="AB1236" s="53"/>
      <c r="AC1236" s="53"/>
    </row>
    <row r="1237">
      <c r="A1237" s="53"/>
      <c r="B1237" s="53"/>
      <c r="C1237" s="131"/>
      <c r="D1237" s="131"/>
      <c r="E1237" s="131"/>
      <c r="F1237" s="131"/>
      <c r="G1237" s="131"/>
      <c r="H1237" s="131"/>
      <c r="I1237" s="131"/>
      <c r="J1237" s="132"/>
      <c r="K1237" s="132"/>
      <c r="L1237" s="131"/>
      <c r="M1237" s="131"/>
      <c r="N1237" s="131"/>
      <c r="O1237" s="53"/>
      <c r="P1237" s="53"/>
      <c r="Q1237" s="53"/>
      <c r="R1237" s="53"/>
      <c r="S1237" s="53"/>
      <c r="T1237" s="53"/>
      <c r="U1237" s="53"/>
      <c r="V1237" s="53"/>
      <c r="W1237" s="53"/>
      <c r="X1237" s="53"/>
      <c r="Y1237" s="53"/>
      <c r="Z1237" s="53"/>
      <c r="AA1237" s="53"/>
      <c r="AB1237" s="53"/>
      <c r="AC1237" s="53"/>
    </row>
    <row r="1238">
      <c r="A1238" s="53"/>
      <c r="B1238" s="53"/>
      <c r="C1238" s="131"/>
      <c r="D1238" s="131"/>
      <c r="E1238" s="131"/>
      <c r="F1238" s="131"/>
      <c r="G1238" s="131"/>
      <c r="H1238" s="131"/>
      <c r="I1238" s="131"/>
      <c r="J1238" s="132"/>
      <c r="K1238" s="132"/>
      <c r="L1238" s="131"/>
      <c r="M1238" s="131"/>
      <c r="N1238" s="131"/>
      <c r="O1238" s="53"/>
      <c r="P1238" s="53"/>
      <c r="Q1238" s="53"/>
      <c r="R1238" s="53"/>
      <c r="S1238" s="53"/>
      <c r="T1238" s="53"/>
      <c r="U1238" s="53"/>
      <c r="V1238" s="53"/>
      <c r="W1238" s="53"/>
      <c r="X1238" s="53"/>
      <c r="Y1238" s="53"/>
      <c r="Z1238" s="53"/>
      <c r="AA1238" s="53"/>
      <c r="AB1238" s="53"/>
      <c r="AC1238" s="53"/>
    </row>
    <row r="1239">
      <c r="A1239" s="53"/>
      <c r="B1239" s="53"/>
      <c r="C1239" s="131"/>
      <c r="D1239" s="131"/>
      <c r="E1239" s="131"/>
      <c r="F1239" s="131"/>
      <c r="G1239" s="131"/>
      <c r="H1239" s="131"/>
      <c r="I1239" s="131"/>
      <c r="J1239" s="132"/>
      <c r="K1239" s="132"/>
      <c r="L1239" s="131"/>
      <c r="M1239" s="131"/>
      <c r="N1239" s="131"/>
      <c r="O1239" s="53"/>
      <c r="P1239" s="53"/>
      <c r="Q1239" s="53"/>
      <c r="R1239" s="53"/>
      <c r="S1239" s="53"/>
      <c r="T1239" s="53"/>
      <c r="U1239" s="53"/>
      <c r="V1239" s="53"/>
      <c r="W1239" s="53"/>
      <c r="X1239" s="53"/>
      <c r="Y1239" s="53"/>
      <c r="Z1239" s="53"/>
      <c r="AA1239" s="53"/>
      <c r="AB1239" s="53"/>
      <c r="AC1239" s="53"/>
    </row>
    <row r="1240">
      <c r="A1240" s="53"/>
      <c r="B1240" s="53"/>
      <c r="C1240" s="131"/>
      <c r="D1240" s="131"/>
      <c r="E1240" s="131"/>
      <c r="F1240" s="131"/>
      <c r="G1240" s="131"/>
      <c r="H1240" s="131"/>
      <c r="I1240" s="131"/>
      <c r="J1240" s="132"/>
      <c r="K1240" s="132"/>
      <c r="L1240" s="131"/>
      <c r="M1240" s="131"/>
      <c r="N1240" s="131"/>
      <c r="O1240" s="53"/>
      <c r="P1240" s="53"/>
      <c r="Q1240" s="53"/>
      <c r="R1240" s="53"/>
      <c r="S1240" s="53"/>
      <c r="T1240" s="53"/>
      <c r="U1240" s="53"/>
      <c r="V1240" s="53"/>
      <c r="W1240" s="53"/>
      <c r="X1240" s="53"/>
      <c r="Y1240" s="53"/>
      <c r="Z1240" s="53"/>
      <c r="AA1240" s="53"/>
      <c r="AB1240" s="53"/>
      <c r="AC1240" s="53"/>
    </row>
    <row r="1241">
      <c r="A1241" s="53"/>
      <c r="B1241" s="53"/>
      <c r="C1241" s="131"/>
      <c r="D1241" s="131"/>
      <c r="E1241" s="131"/>
      <c r="F1241" s="131"/>
      <c r="G1241" s="131"/>
      <c r="H1241" s="131"/>
      <c r="I1241" s="131"/>
      <c r="J1241" s="132"/>
      <c r="K1241" s="132"/>
      <c r="L1241" s="131"/>
      <c r="M1241" s="131"/>
      <c r="N1241" s="131"/>
      <c r="O1241" s="53"/>
      <c r="P1241" s="53"/>
      <c r="Q1241" s="53"/>
      <c r="R1241" s="53"/>
      <c r="S1241" s="53"/>
      <c r="T1241" s="53"/>
      <c r="U1241" s="53"/>
      <c r="V1241" s="53"/>
      <c r="W1241" s="53"/>
      <c r="X1241" s="53"/>
      <c r="Y1241" s="53"/>
      <c r="Z1241" s="53"/>
      <c r="AA1241" s="53"/>
      <c r="AB1241" s="53"/>
      <c r="AC1241" s="53"/>
    </row>
    <row r="1242">
      <c r="A1242" s="53"/>
      <c r="B1242" s="53"/>
      <c r="C1242" s="131"/>
      <c r="D1242" s="131"/>
      <c r="E1242" s="131"/>
      <c r="F1242" s="131"/>
      <c r="G1242" s="131"/>
      <c r="H1242" s="131"/>
      <c r="I1242" s="131"/>
      <c r="J1242" s="132"/>
      <c r="K1242" s="132"/>
      <c r="L1242" s="131"/>
      <c r="M1242" s="131"/>
      <c r="N1242" s="131"/>
      <c r="O1242" s="53"/>
      <c r="P1242" s="53"/>
      <c r="Q1242" s="53"/>
      <c r="R1242" s="53"/>
      <c r="S1242" s="53"/>
      <c r="T1242" s="53"/>
      <c r="U1242" s="53"/>
      <c r="V1242" s="53"/>
      <c r="W1242" s="53"/>
      <c r="X1242" s="53"/>
      <c r="Y1242" s="53"/>
      <c r="Z1242" s="53"/>
      <c r="AA1242" s="53"/>
      <c r="AB1242" s="53"/>
      <c r="AC1242" s="53"/>
    </row>
    <row r="1243">
      <c r="A1243" s="53"/>
      <c r="B1243" s="53"/>
      <c r="C1243" s="131"/>
      <c r="D1243" s="131"/>
      <c r="E1243" s="131"/>
      <c r="F1243" s="131"/>
      <c r="G1243" s="131"/>
      <c r="H1243" s="131"/>
      <c r="I1243" s="131"/>
      <c r="J1243" s="132"/>
      <c r="K1243" s="132"/>
      <c r="L1243" s="131"/>
      <c r="M1243" s="131"/>
      <c r="N1243" s="131"/>
      <c r="O1243" s="53"/>
      <c r="P1243" s="53"/>
      <c r="Q1243" s="53"/>
      <c r="R1243" s="53"/>
      <c r="S1243" s="53"/>
      <c r="T1243" s="53"/>
      <c r="U1243" s="53"/>
      <c r="V1243" s="53"/>
      <c r="W1243" s="53"/>
      <c r="X1243" s="53"/>
      <c r="Y1243" s="53"/>
      <c r="Z1243" s="53"/>
      <c r="AA1243" s="53"/>
      <c r="AB1243" s="53"/>
      <c r="AC1243" s="53"/>
    </row>
    <row r="1244">
      <c r="A1244" s="53"/>
      <c r="B1244" s="53"/>
      <c r="C1244" s="131"/>
      <c r="D1244" s="131"/>
      <c r="E1244" s="131"/>
      <c r="F1244" s="131"/>
      <c r="G1244" s="131"/>
      <c r="H1244" s="131"/>
      <c r="I1244" s="131"/>
      <c r="J1244" s="132"/>
      <c r="K1244" s="132"/>
      <c r="L1244" s="131"/>
      <c r="M1244" s="131"/>
      <c r="N1244" s="131"/>
      <c r="O1244" s="53"/>
      <c r="P1244" s="53"/>
      <c r="Q1244" s="53"/>
      <c r="R1244" s="53"/>
      <c r="S1244" s="53"/>
      <c r="T1244" s="53"/>
      <c r="U1244" s="53"/>
      <c r="V1244" s="53"/>
      <c r="W1244" s="53"/>
      <c r="X1244" s="53"/>
      <c r="Y1244" s="53"/>
      <c r="Z1244" s="53"/>
      <c r="AA1244" s="53"/>
      <c r="AB1244" s="53"/>
      <c r="AC1244" s="53"/>
    </row>
    <row r="1245">
      <c r="A1245" s="53"/>
      <c r="B1245" s="53"/>
      <c r="C1245" s="131"/>
      <c r="D1245" s="131"/>
      <c r="E1245" s="131"/>
      <c r="F1245" s="131"/>
      <c r="G1245" s="131"/>
      <c r="H1245" s="131"/>
      <c r="I1245" s="131"/>
      <c r="J1245" s="132"/>
      <c r="K1245" s="132"/>
      <c r="L1245" s="131"/>
      <c r="M1245" s="131"/>
      <c r="N1245" s="131"/>
      <c r="O1245" s="53"/>
      <c r="P1245" s="53"/>
      <c r="Q1245" s="53"/>
      <c r="R1245" s="53"/>
      <c r="S1245" s="53"/>
      <c r="T1245" s="53"/>
      <c r="U1245" s="53"/>
      <c r="V1245" s="53"/>
      <c r="W1245" s="53"/>
      <c r="X1245" s="53"/>
      <c r="Y1245" s="53"/>
      <c r="Z1245" s="53"/>
      <c r="AA1245" s="53"/>
      <c r="AB1245" s="53"/>
      <c r="AC1245" s="53"/>
    </row>
    <row r="1246">
      <c r="A1246" s="53"/>
      <c r="B1246" s="53"/>
      <c r="C1246" s="131"/>
      <c r="D1246" s="131"/>
      <c r="E1246" s="131"/>
      <c r="F1246" s="131"/>
      <c r="G1246" s="131"/>
      <c r="H1246" s="131"/>
      <c r="I1246" s="131"/>
      <c r="J1246" s="132"/>
      <c r="K1246" s="132"/>
      <c r="L1246" s="131"/>
      <c r="M1246" s="131"/>
      <c r="N1246" s="131"/>
      <c r="O1246" s="53"/>
      <c r="P1246" s="53"/>
      <c r="Q1246" s="53"/>
      <c r="R1246" s="53"/>
      <c r="S1246" s="53"/>
      <c r="T1246" s="53"/>
      <c r="U1246" s="53"/>
      <c r="V1246" s="53"/>
      <c r="W1246" s="53"/>
      <c r="X1246" s="53"/>
      <c r="Y1246" s="53"/>
      <c r="Z1246" s="53"/>
      <c r="AA1246" s="53"/>
      <c r="AB1246" s="53"/>
      <c r="AC1246" s="53"/>
    </row>
    <row r="1247">
      <c r="A1247" s="53"/>
      <c r="B1247" s="53"/>
      <c r="C1247" s="131"/>
      <c r="D1247" s="131"/>
      <c r="E1247" s="131"/>
      <c r="F1247" s="131"/>
      <c r="G1247" s="131"/>
      <c r="H1247" s="131"/>
      <c r="I1247" s="131"/>
      <c r="J1247" s="132"/>
      <c r="K1247" s="132"/>
      <c r="L1247" s="131"/>
      <c r="M1247" s="131"/>
      <c r="N1247" s="131"/>
      <c r="O1247" s="53"/>
      <c r="P1247" s="53"/>
      <c r="Q1247" s="53"/>
      <c r="R1247" s="53"/>
      <c r="S1247" s="53"/>
      <c r="T1247" s="53"/>
      <c r="U1247" s="53"/>
      <c r="V1247" s="53"/>
      <c r="W1247" s="53"/>
      <c r="X1247" s="53"/>
      <c r="Y1247" s="53"/>
      <c r="Z1247" s="53"/>
      <c r="AA1247" s="53"/>
      <c r="AB1247" s="53"/>
      <c r="AC1247" s="53"/>
    </row>
    <row r="1248">
      <c r="A1248" s="53"/>
      <c r="B1248" s="53"/>
      <c r="C1248" s="131"/>
      <c r="D1248" s="131"/>
      <c r="E1248" s="131"/>
      <c r="F1248" s="131"/>
      <c r="G1248" s="131"/>
      <c r="H1248" s="131"/>
      <c r="I1248" s="131"/>
      <c r="J1248" s="132"/>
      <c r="K1248" s="132"/>
      <c r="L1248" s="131"/>
      <c r="M1248" s="131"/>
      <c r="N1248" s="131"/>
      <c r="O1248" s="53"/>
      <c r="P1248" s="53"/>
      <c r="Q1248" s="53"/>
      <c r="R1248" s="53"/>
      <c r="S1248" s="53"/>
      <c r="T1248" s="53"/>
      <c r="U1248" s="53"/>
      <c r="V1248" s="53"/>
      <c r="W1248" s="53"/>
      <c r="X1248" s="53"/>
      <c r="Y1248" s="53"/>
      <c r="Z1248" s="53"/>
      <c r="AA1248" s="53"/>
      <c r="AB1248" s="53"/>
      <c r="AC1248" s="53"/>
    </row>
    <row r="1249">
      <c r="A1249" s="53"/>
      <c r="B1249" s="53"/>
      <c r="C1249" s="131"/>
      <c r="D1249" s="131"/>
      <c r="E1249" s="131"/>
      <c r="F1249" s="131"/>
      <c r="G1249" s="131"/>
      <c r="H1249" s="131"/>
      <c r="I1249" s="131"/>
      <c r="J1249" s="132"/>
      <c r="K1249" s="132"/>
      <c r="L1249" s="131"/>
      <c r="M1249" s="131"/>
      <c r="N1249" s="131"/>
      <c r="O1249" s="53"/>
      <c r="P1249" s="53"/>
      <c r="Q1249" s="53"/>
      <c r="R1249" s="53"/>
      <c r="S1249" s="53"/>
      <c r="T1249" s="53"/>
      <c r="U1249" s="53"/>
      <c r="V1249" s="53"/>
      <c r="W1249" s="53"/>
      <c r="X1249" s="53"/>
      <c r="Y1249" s="53"/>
      <c r="Z1249" s="53"/>
      <c r="AA1249" s="53"/>
      <c r="AB1249" s="53"/>
      <c r="AC1249" s="53"/>
    </row>
    <row r="1250">
      <c r="A1250" s="53"/>
      <c r="B1250" s="53"/>
      <c r="C1250" s="131"/>
      <c r="D1250" s="131"/>
      <c r="E1250" s="131"/>
      <c r="F1250" s="131"/>
      <c r="G1250" s="131"/>
      <c r="H1250" s="131"/>
      <c r="I1250" s="131"/>
      <c r="J1250" s="132"/>
      <c r="K1250" s="132"/>
      <c r="L1250" s="131"/>
      <c r="M1250" s="131"/>
      <c r="N1250" s="131"/>
      <c r="O1250" s="53"/>
      <c r="P1250" s="53"/>
      <c r="Q1250" s="53"/>
      <c r="R1250" s="53"/>
      <c r="S1250" s="53"/>
      <c r="T1250" s="53"/>
      <c r="U1250" s="53"/>
      <c r="V1250" s="53"/>
      <c r="W1250" s="53"/>
      <c r="X1250" s="53"/>
      <c r="Y1250" s="53"/>
      <c r="Z1250" s="53"/>
      <c r="AA1250" s="53"/>
      <c r="AB1250" s="53"/>
      <c r="AC1250" s="53"/>
    </row>
    <row r="1251">
      <c r="A1251" s="53"/>
      <c r="B1251" s="53"/>
      <c r="C1251" s="131"/>
      <c r="D1251" s="131"/>
      <c r="E1251" s="131"/>
      <c r="F1251" s="131"/>
      <c r="G1251" s="131"/>
      <c r="H1251" s="131"/>
      <c r="I1251" s="131"/>
      <c r="J1251" s="132"/>
      <c r="K1251" s="132"/>
      <c r="L1251" s="131"/>
      <c r="M1251" s="131"/>
      <c r="N1251" s="131"/>
      <c r="O1251" s="53"/>
      <c r="P1251" s="53"/>
      <c r="Q1251" s="53"/>
      <c r="R1251" s="53"/>
      <c r="S1251" s="53"/>
      <c r="T1251" s="53"/>
      <c r="U1251" s="53"/>
      <c r="V1251" s="53"/>
      <c r="W1251" s="53"/>
      <c r="X1251" s="53"/>
      <c r="Y1251" s="53"/>
      <c r="Z1251" s="53"/>
      <c r="AA1251" s="53"/>
      <c r="AB1251" s="53"/>
      <c r="AC1251" s="53"/>
    </row>
    <row r="1252">
      <c r="A1252" s="53"/>
      <c r="B1252" s="53"/>
      <c r="C1252" s="131"/>
      <c r="D1252" s="131"/>
      <c r="E1252" s="131"/>
      <c r="F1252" s="131"/>
      <c r="G1252" s="131"/>
      <c r="H1252" s="131"/>
      <c r="I1252" s="131"/>
      <c r="J1252" s="132"/>
      <c r="K1252" s="132"/>
      <c r="L1252" s="131"/>
      <c r="M1252" s="131"/>
      <c r="N1252" s="131"/>
      <c r="O1252" s="53"/>
      <c r="P1252" s="53"/>
      <c r="Q1252" s="53"/>
      <c r="R1252" s="53"/>
      <c r="S1252" s="53"/>
      <c r="T1252" s="53"/>
      <c r="U1252" s="53"/>
      <c r="V1252" s="53"/>
      <c r="W1252" s="53"/>
      <c r="X1252" s="53"/>
      <c r="Y1252" s="53"/>
      <c r="Z1252" s="53"/>
      <c r="AA1252" s="53"/>
      <c r="AB1252" s="53"/>
      <c r="AC1252" s="53"/>
    </row>
    <row r="1253">
      <c r="A1253" s="53"/>
      <c r="B1253" s="53"/>
      <c r="C1253" s="131"/>
      <c r="D1253" s="131"/>
      <c r="E1253" s="131"/>
      <c r="F1253" s="131"/>
      <c r="G1253" s="131"/>
      <c r="H1253" s="131"/>
      <c r="I1253" s="131"/>
      <c r="J1253" s="132"/>
      <c r="K1253" s="132"/>
      <c r="L1253" s="131"/>
      <c r="M1253" s="131"/>
      <c r="N1253" s="131"/>
      <c r="O1253" s="53"/>
      <c r="P1253" s="53"/>
      <c r="Q1253" s="53"/>
      <c r="R1253" s="53"/>
      <c r="S1253" s="53"/>
      <c r="T1253" s="53"/>
      <c r="U1253" s="53"/>
      <c r="V1253" s="53"/>
      <c r="W1253" s="53"/>
      <c r="X1253" s="53"/>
      <c r="Y1253" s="53"/>
      <c r="Z1253" s="53"/>
      <c r="AA1253" s="53"/>
      <c r="AB1253" s="53"/>
      <c r="AC1253" s="53"/>
    </row>
    <row r="1254">
      <c r="A1254" s="53"/>
      <c r="B1254" s="53"/>
      <c r="C1254" s="131"/>
      <c r="D1254" s="131"/>
      <c r="E1254" s="131"/>
      <c r="F1254" s="131"/>
      <c r="G1254" s="131"/>
      <c r="H1254" s="131"/>
      <c r="I1254" s="131"/>
      <c r="J1254" s="132"/>
      <c r="K1254" s="132"/>
      <c r="L1254" s="131"/>
      <c r="M1254" s="131"/>
      <c r="N1254" s="131"/>
      <c r="O1254" s="53"/>
      <c r="P1254" s="53"/>
      <c r="Q1254" s="53"/>
      <c r="R1254" s="53"/>
      <c r="S1254" s="53"/>
      <c r="T1254" s="53"/>
      <c r="U1254" s="53"/>
      <c r="V1254" s="53"/>
      <c r="W1254" s="53"/>
      <c r="X1254" s="53"/>
      <c r="Y1254" s="53"/>
      <c r="Z1254" s="53"/>
      <c r="AA1254" s="53"/>
      <c r="AB1254" s="53"/>
      <c r="AC1254" s="53"/>
    </row>
    <row r="1255">
      <c r="A1255" s="53"/>
      <c r="B1255" s="53"/>
      <c r="C1255" s="131"/>
      <c r="D1255" s="131"/>
      <c r="E1255" s="131"/>
      <c r="F1255" s="131"/>
      <c r="G1255" s="131"/>
      <c r="H1255" s="131"/>
      <c r="I1255" s="131"/>
      <c r="J1255" s="132"/>
      <c r="K1255" s="132"/>
      <c r="L1255" s="131"/>
      <c r="M1255" s="131"/>
      <c r="N1255" s="131"/>
      <c r="O1255" s="53"/>
      <c r="P1255" s="53"/>
      <c r="Q1255" s="53"/>
      <c r="R1255" s="53"/>
      <c r="S1255" s="53"/>
      <c r="T1255" s="53"/>
      <c r="U1255" s="53"/>
      <c r="V1255" s="53"/>
      <c r="W1255" s="53"/>
      <c r="X1255" s="53"/>
      <c r="Y1255" s="53"/>
      <c r="Z1255" s="53"/>
      <c r="AA1255" s="53"/>
      <c r="AB1255" s="53"/>
      <c r="AC1255" s="53"/>
    </row>
    <row r="1256">
      <c r="A1256" s="53"/>
      <c r="B1256" s="53"/>
      <c r="C1256" s="131"/>
      <c r="D1256" s="131"/>
      <c r="E1256" s="131"/>
      <c r="F1256" s="131"/>
      <c r="G1256" s="131"/>
      <c r="H1256" s="131"/>
      <c r="I1256" s="131"/>
      <c r="J1256" s="132"/>
      <c r="K1256" s="132"/>
      <c r="L1256" s="131"/>
      <c r="M1256" s="131"/>
      <c r="N1256" s="131"/>
      <c r="O1256" s="53"/>
      <c r="P1256" s="53"/>
      <c r="Q1256" s="53"/>
      <c r="R1256" s="53"/>
      <c r="S1256" s="53"/>
      <c r="T1256" s="53"/>
      <c r="U1256" s="53"/>
      <c r="V1256" s="53"/>
      <c r="W1256" s="53"/>
      <c r="X1256" s="53"/>
      <c r="Y1256" s="53"/>
      <c r="Z1256" s="53"/>
      <c r="AA1256" s="53"/>
      <c r="AB1256" s="53"/>
      <c r="AC1256" s="53"/>
    </row>
    <row r="1257">
      <c r="A1257" s="53"/>
      <c r="B1257" s="53"/>
      <c r="C1257" s="131"/>
      <c r="D1257" s="131"/>
      <c r="E1257" s="131"/>
      <c r="F1257" s="131"/>
      <c r="G1257" s="131"/>
      <c r="H1257" s="131"/>
      <c r="I1257" s="131"/>
      <c r="J1257" s="132"/>
      <c r="K1257" s="132"/>
      <c r="L1257" s="131"/>
      <c r="M1257" s="131"/>
      <c r="N1257" s="131"/>
      <c r="O1257" s="53"/>
      <c r="P1257" s="53"/>
      <c r="Q1257" s="53"/>
      <c r="R1257" s="53"/>
      <c r="S1257" s="53"/>
      <c r="T1257" s="53"/>
      <c r="U1257" s="53"/>
      <c r="V1257" s="53"/>
      <c r="W1257" s="53"/>
      <c r="X1257" s="53"/>
      <c r="Y1257" s="53"/>
      <c r="Z1257" s="53"/>
      <c r="AA1257" s="53"/>
      <c r="AB1257" s="53"/>
      <c r="AC1257" s="53"/>
    </row>
    <row r="1258">
      <c r="A1258" s="53"/>
      <c r="B1258" s="53"/>
      <c r="C1258" s="131"/>
      <c r="D1258" s="131"/>
      <c r="E1258" s="131"/>
      <c r="F1258" s="131"/>
      <c r="G1258" s="131"/>
      <c r="H1258" s="131"/>
      <c r="I1258" s="131"/>
      <c r="J1258" s="132"/>
      <c r="K1258" s="132"/>
      <c r="L1258" s="131"/>
      <c r="M1258" s="131"/>
      <c r="N1258" s="131"/>
      <c r="O1258" s="53"/>
      <c r="P1258" s="53"/>
      <c r="Q1258" s="53"/>
      <c r="R1258" s="53"/>
      <c r="S1258" s="53"/>
      <c r="T1258" s="53"/>
      <c r="U1258" s="53"/>
      <c r="V1258" s="53"/>
      <c r="W1258" s="53"/>
      <c r="X1258" s="53"/>
      <c r="Y1258" s="53"/>
      <c r="Z1258" s="53"/>
      <c r="AA1258" s="53"/>
      <c r="AB1258" s="53"/>
      <c r="AC1258" s="53"/>
    </row>
    <row r="1259">
      <c r="A1259" s="53"/>
      <c r="B1259" s="53"/>
      <c r="C1259" s="131"/>
      <c r="D1259" s="131"/>
      <c r="E1259" s="131"/>
      <c r="F1259" s="131"/>
      <c r="G1259" s="131"/>
      <c r="H1259" s="131"/>
      <c r="I1259" s="131"/>
      <c r="J1259" s="132"/>
      <c r="K1259" s="132"/>
      <c r="L1259" s="131"/>
      <c r="M1259" s="131"/>
      <c r="N1259" s="131"/>
      <c r="O1259" s="53"/>
      <c r="P1259" s="53"/>
      <c r="Q1259" s="53"/>
      <c r="R1259" s="53"/>
      <c r="S1259" s="53"/>
      <c r="T1259" s="53"/>
      <c r="U1259" s="53"/>
      <c r="V1259" s="53"/>
      <c r="W1259" s="53"/>
      <c r="X1259" s="53"/>
      <c r="Y1259" s="53"/>
      <c r="Z1259" s="53"/>
      <c r="AA1259" s="53"/>
      <c r="AB1259" s="53"/>
      <c r="AC1259" s="53"/>
    </row>
    <row r="1260">
      <c r="A1260" s="53"/>
      <c r="B1260" s="53"/>
      <c r="C1260" s="131"/>
      <c r="D1260" s="131"/>
      <c r="E1260" s="131"/>
      <c r="F1260" s="131"/>
      <c r="G1260" s="131"/>
      <c r="H1260" s="131"/>
      <c r="I1260" s="131"/>
      <c r="J1260" s="132"/>
      <c r="K1260" s="132"/>
      <c r="L1260" s="131"/>
      <c r="M1260" s="131"/>
      <c r="N1260" s="131"/>
      <c r="O1260" s="53"/>
      <c r="P1260" s="53"/>
      <c r="Q1260" s="53"/>
      <c r="R1260" s="53"/>
      <c r="S1260" s="53"/>
      <c r="T1260" s="53"/>
      <c r="U1260" s="53"/>
      <c r="V1260" s="53"/>
      <c r="W1260" s="53"/>
      <c r="X1260" s="53"/>
      <c r="Y1260" s="53"/>
      <c r="Z1260" s="53"/>
      <c r="AA1260" s="53"/>
      <c r="AB1260" s="53"/>
      <c r="AC1260" s="53"/>
    </row>
    <row r="1261">
      <c r="A1261" s="53"/>
      <c r="B1261" s="53"/>
      <c r="C1261" s="131"/>
      <c r="D1261" s="131"/>
      <c r="E1261" s="131"/>
      <c r="F1261" s="131"/>
      <c r="G1261" s="131"/>
      <c r="H1261" s="131"/>
      <c r="I1261" s="131"/>
      <c r="J1261" s="132"/>
      <c r="K1261" s="132"/>
      <c r="L1261" s="131"/>
      <c r="M1261" s="131"/>
      <c r="N1261" s="131"/>
      <c r="O1261" s="53"/>
      <c r="P1261" s="53"/>
      <c r="Q1261" s="53"/>
      <c r="R1261" s="53"/>
      <c r="S1261" s="53"/>
      <c r="T1261" s="53"/>
      <c r="U1261" s="53"/>
      <c r="V1261" s="53"/>
      <c r="W1261" s="53"/>
      <c r="X1261" s="53"/>
      <c r="Y1261" s="53"/>
      <c r="Z1261" s="53"/>
      <c r="AA1261" s="53"/>
      <c r="AB1261" s="53"/>
      <c r="AC1261" s="53"/>
    </row>
    <row r="1262">
      <c r="A1262" s="53"/>
      <c r="B1262" s="53"/>
      <c r="C1262" s="131"/>
      <c r="D1262" s="131"/>
      <c r="E1262" s="131"/>
      <c r="F1262" s="131"/>
      <c r="G1262" s="131"/>
      <c r="H1262" s="131"/>
      <c r="I1262" s="131"/>
      <c r="J1262" s="132"/>
      <c r="K1262" s="132"/>
      <c r="L1262" s="131"/>
      <c r="M1262" s="131"/>
      <c r="N1262" s="131"/>
      <c r="O1262" s="53"/>
      <c r="P1262" s="53"/>
      <c r="Q1262" s="53"/>
      <c r="R1262" s="53"/>
      <c r="S1262" s="53"/>
      <c r="T1262" s="53"/>
      <c r="U1262" s="53"/>
      <c r="V1262" s="53"/>
      <c r="W1262" s="53"/>
      <c r="X1262" s="53"/>
      <c r="Y1262" s="53"/>
      <c r="Z1262" s="53"/>
      <c r="AA1262" s="53"/>
      <c r="AB1262" s="53"/>
      <c r="AC1262" s="53"/>
    </row>
    <row r="1263">
      <c r="A1263" s="53"/>
      <c r="B1263" s="53"/>
      <c r="C1263" s="131"/>
      <c r="D1263" s="131"/>
      <c r="E1263" s="131"/>
      <c r="F1263" s="131"/>
      <c r="G1263" s="131"/>
      <c r="H1263" s="131"/>
      <c r="I1263" s="131"/>
      <c r="J1263" s="132"/>
      <c r="K1263" s="132"/>
      <c r="L1263" s="131"/>
      <c r="M1263" s="131"/>
      <c r="N1263" s="131"/>
      <c r="O1263" s="53"/>
      <c r="P1263" s="53"/>
      <c r="Q1263" s="53"/>
      <c r="R1263" s="53"/>
      <c r="S1263" s="53"/>
      <c r="T1263" s="53"/>
      <c r="U1263" s="53"/>
      <c r="V1263" s="53"/>
      <c r="W1263" s="53"/>
      <c r="X1263" s="53"/>
      <c r="Y1263" s="53"/>
      <c r="Z1263" s="53"/>
      <c r="AA1263" s="53"/>
      <c r="AB1263" s="53"/>
      <c r="AC1263" s="53"/>
    </row>
    <row r="1264">
      <c r="A1264" s="53"/>
      <c r="B1264" s="53"/>
      <c r="C1264" s="131"/>
      <c r="D1264" s="131"/>
      <c r="E1264" s="131"/>
      <c r="F1264" s="131"/>
      <c r="G1264" s="131"/>
      <c r="H1264" s="131"/>
      <c r="I1264" s="131"/>
      <c r="J1264" s="132"/>
      <c r="K1264" s="132"/>
      <c r="L1264" s="131"/>
      <c r="M1264" s="131"/>
      <c r="N1264" s="131"/>
      <c r="O1264" s="53"/>
      <c r="P1264" s="53"/>
      <c r="Q1264" s="53"/>
      <c r="R1264" s="53"/>
      <c r="S1264" s="53"/>
      <c r="T1264" s="53"/>
      <c r="U1264" s="53"/>
      <c r="V1264" s="53"/>
      <c r="W1264" s="53"/>
      <c r="X1264" s="53"/>
      <c r="Y1264" s="53"/>
      <c r="Z1264" s="53"/>
      <c r="AA1264" s="53"/>
      <c r="AB1264" s="53"/>
      <c r="AC1264" s="53"/>
    </row>
    <row r="1265">
      <c r="A1265" s="53"/>
      <c r="B1265" s="53"/>
      <c r="C1265" s="131"/>
      <c r="D1265" s="131"/>
      <c r="E1265" s="131"/>
      <c r="F1265" s="131"/>
      <c r="G1265" s="131"/>
      <c r="H1265" s="131"/>
      <c r="I1265" s="131"/>
      <c r="J1265" s="132"/>
      <c r="K1265" s="132"/>
      <c r="L1265" s="131"/>
      <c r="M1265" s="131"/>
      <c r="N1265" s="131"/>
      <c r="O1265" s="53"/>
      <c r="P1265" s="53"/>
      <c r="Q1265" s="53"/>
      <c r="R1265" s="53"/>
      <c r="S1265" s="53"/>
      <c r="T1265" s="53"/>
      <c r="U1265" s="53"/>
      <c r="V1265" s="53"/>
      <c r="W1265" s="53"/>
      <c r="X1265" s="53"/>
      <c r="Y1265" s="53"/>
      <c r="Z1265" s="53"/>
      <c r="AA1265" s="53"/>
      <c r="AB1265" s="53"/>
      <c r="AC1265" s="53"/>
    </row>
    <row r="1266">
      <c r="A1266" s="53"/>
      <c r="B1266" s="53"/>
      <c r="C1266" s="131"/>
      <c r="D1266" s="131"/>
      <c r="E1266" s="131"/>
      <c r="F1266" s="131"/>
      <c r="G1266" s="131"/>
      <c r="H1266" s="131"/>
      <c r="I1266" s="131"/>
      <c r="J1266" s="132"/>
      <c r="K1266" s="132"/>
      <c r="L1266" s="131"/>
      <c r="M1266" s="131"/>
      <c r="N1266" s="131"/>
      <c r="O1266" s="53"/>
      <c r="P1266" s="53"/>
      <c r="Q1266" s="53"/>
      <c r="R1266" s="53"/>
      <c r="S1266" s="53"/>
      <c r="T1266" s="53"/>
      <c r="U1266" s="53"/>
      <c r="V1266" s="53"/>
      <c r="W1266" s="53"/>
      <c r="X1266" s="53"/>
      <c r="Y1266" s="53"/>
      <c r="Z1266" s="53"/>
      <c r="AA1266" s="53"/>
      <c r="AB1266" s="53"/>
      <c r="AC1266" s="53"/>
    </row>
    <row r="1267">
      <c r="A1267" s="53"/>
      <c r="B1267" s="53"/>
      <c r="C1267" s="131"/>
      <c r="D1267" s="131"/>
      <c r="E1267" s="131"/>
      <c r="F1267" s="131"/>
      <c r="G1267" s="131"/>
      <c r="H1267" s="131"/>
      <c r="I1267" s="131"/>
      <c r="J1267" s="132"/>
      <c r="K1267" s="132"/>
      <c r="L1267" s="131"/>
      <c r="M1267" s="131"/>
      <c r="N1267" s="131"/>
      <c r="O1267" s="53"/>
      <c r="P1267" s="53"/>
      <c r="Q1267" s="53"/>
      <c r="R1267" s="53"/>
      <c r="S1267" s="53"/>
      <c r="T1267" s="53"/>
      <c r="U1267" s="53"/>
      <c r="V1267" s="53"/>
      <c r="W1267" s="53"/>
      <c r="X1267" s="53"/>
      <c r="Y1267" s="53"/>
      <c r="Z1267" s="53"/>
      <c r="AA1267" s="53"/>
      <c r="AB1267" s="53"/>
      <c r="AC1267" s="53"/>
    </row>
    <row r="1268">
      <c r="A1268" s="53"/>
      <c r="B1268" s="53"/>
      <c r="C1268" s="131"/>
      <c r="D1268" s="131"/>
      <c r="E1268" s="131"/>
      <c r="F1268" s="131"/>
      <c r="G1268" s="131"/>
      <c r="H1268" s="131"/>
      <c r="I1268" s="131"/>
      <c r="J1268" s="132"/>
      <c r="K1268" s="132"/>
      <c r="L1268" s="131"/>
      <c r="M1268" s="131"/>
      <c r="N1268" s="131"/>
      <c r="O1268" s="53"/>
      <c r="P1268" s="53"/>
      <c r="Q1268" s="53"/>
      <c r="R1268" s="53"/>
      <c r="S1268" s="53"/>
      <c r="T1268" s="53"/>
      <c r="U1268" s="53"/>
      <c r="V1268" s="53"/>
      <c r="W1268" s="53"/>
      <c r="X1268" s="53"/>
      <c r="Y1268" s="53"/>
      <c r="Z1268" s="53"/>
      <c r="AA1268" s="53"/>
      <c r="AB1268" s="53"/>
      <c r="AC1268" s="53"/>
    </row>
    <row r="1269">
      <c r="A1269" s="53"/>
      <c r="B1269" s="53"/>
      <c r="C1269" s="131"/>
      <c r="D1269" s="131"/>
      <c r="E1269" s="131"/>
      <c r="F1269" s="131"/>
      <c r="G1269" s="131"/>
      <c r="H1269" s="131"/>
      <c r="I1269" s="131"/>
      <c r="J1269" s="132"/>
      <c r="K1269" s="132"/>
      <c r="L1269" s="131"/>
      <c r="M1269" s="131"/>
      <c r="N1269" s="131"/>
      <c r="O1269" s="53"/>
      <c r="P1269" s="53"/>
      <c r="Q1269" s="53"/>
      <c r="R1269" s="53"/>
      <c r="S1269" s="53"/>
      <c r="T1269" s="53"/>
      <c r="U1269" s="53"/>
      <c r="V1269" s="53"/>
      <c r="W1269" s="53"/>
      <c r="X1269" s="53"/>
      <c r="Y1269" s="53"/>
      <c r="Z1269" s="53"/>
      <c r="AA1269" s="53"/>
      <c r="AB1269" s="53"/>
      <c r="AC1269" s="53"/>
    </row>
    <row r="1270">
      <c r="A1270" s="53"/>
      <c r="B1270" s="53"/>
      <c r="C1270" s="131"/>
      <c r="D1270" s="131"/>
      <c r="E1270" s="131"/>
      <c r="F1270" s="131"/>
      <c r="G1270" s="131"/>
      <c r="H1270" s="131"/>
      <c r="I1270" s="131"/>
      <c r="J1270" s="132"/>
      <c r="K1270" s="132"/>
      <c r="L1270" s="131"/>
      <c r="M1270" s="131"/>
      <c r="N1270" s="131"/>
      <c r="O1270" s="53"/>
      <c r="P1270" s="53"/>
      <c r="Q1270" s="53"/>
      <c r="R1270" s="53"/>
      <c r="S1270" s="53"/>
      <c r="T1270" s="53"/>
      <c r="U1270" s="53"/>
      <c r="V1270" s="53"/>
      <c r="W1270" s="53"/>
      <c r="X1270" s="53"/>
      <c r="Y1270" s="53"/>
      <c r="Z1270" s="53"/>
      <c r="AA1270" s="53"/>
      <c r="AB1270" s="53"/>
      <c r="AC1270" s="53"/>
    </row>
    <row r="1271">
      <c r="A1271" s="53"/>
      <c r="B1271" s="53"/>
      <c r="C1271" s="131"/>
      <c r="D1271" s="131"/>
      <c r="E1271" s="131"/>
      <c r="F1271" s="131"/>
      <c r="G1271" s="131"/>
      <c r="H1271" s="131"/>
      <c r="I1271" s="131"/>
      <c r="J1271" s="132"/>
      <c r="K1271" s="132"/>
      <c r="L1271" s="131"/>
      <c r="M1271" s="131"/>
      <c r="N1271" s="131"/>
      <c r="O1271" s="53"/>
      <c r="P1271" s="53"/>
      <c r="Q1271" s="53"/>
      <c r="R1271" s="53"/>
      <c r="S1271" s="53"/>
      <c r="T1271" s="53"/>
      <c r="U1271" s="53"/>
      <c r="V1271" s="53"/>
      <c r="W1271" s="53"/>
      <c r="X1271" s="53"/>
      <c r="Y1271" s="53"/>
      <c r="Z1271" s="53"/>
      <c r="AA1271" s="53"/>
      <c r="AB1271" s="53"/>
      <c r="AC1271" s="53"/>
    </row>
    <row r="1272">
      <c r="A1272" s="53"/>
      <c r="B1272" s="53"/>
      <c r="C1272" s="131"/>
      <c r="D1272" s="131"/>
      <c r="E1272" s="131"/>
      <c r="F1272" s="131"/>
      <c r="G1272" s="131"/>
      <c r="H1272" s="131"/>
      <c r="I1272" s="131"/>
      <c r="J1272" s="132"/>
      <c r="K1272" s="132"/>
      <c r="L1272" s="131"/>
      <c r="M1272" s="131"/>
      <c r="N1272" s="131"/>
      <c r="O1272" s="53"/>
      <c r="P1272" s="53"/>
      <c r="Q1272" s="53"/>
      <c r="R1272" s="53"/>
      <c r="S1272" s="53"/>
      <c r="T1272" s="53"/>
      <c r="U1272" s="53"/>
      <c r="V1272" s="53"/>
      <c r="W1272" s="53"/>
      <c r="X1272" s="53"/>
      <c r="Y1272" s="53"/>
      <c r="Z1272" s="53"/>
      <c r="AA1272" s="53"/>
      <c r="AB1272" s="53"/>
      <c r="AC1272" s="53"/>
    </row>
    <row r="1273">
      <c r="A1273" s="53"/>
      <c r="B1273" s="53"/>
      <c r="C1273" s="131"/>
      <c r="D1273" s="131"/>
      <c r="E1273" s="131"/>
      <c r="F1273" s="131"/>
      <c r="G1273" s="131"/>
      <c r="H1273" s="131"/>
      <c r="I1273" s="131"/>
      <c r="J1273" s="132"/>
      <c r="K1273" s="132"/>
      <c r="L1273" s="131"/>
      <c r="M1273" s="131"/>
      <c r="N1273" s="131"/>
      <c r="O1273" s="53"/>
      <c r="P1273" s="53"/>
      <c r="Q1273" s="53"/>
      <c r="R1273" s="53"/>
      <c r="S1273" s="53"/>
      <c r="T1273" s="53"/>
      <c r="U1273" s="53"/>
      <c r="V1273" s="53"/>
      <c r="W1273" s="53"/>
      <c r="X1273" s="53"/>
      <c r="Y1273" s="53"/>
      <c r="Z1273" s="53"/>
      <c r="AA1273" s="53"/>
      <c r="AB1273" s="53"/>
      <c r="AC1273" s="53"/>
    </row>
    <row r="1274">
      <c r="A1274" s="53"/>
      <c r="B1274" s="53"/>
      <c r="C1274" s="131"/>
      <c r="D1274" s="131"/>
      <c r="E1274" s="131"/>
      <c r="F1274" s="131"/>
      <c r="G1274" s="131"/>
      <c r="H1274" s="131"/>
      <c r="I1274" s="131"/>
      <c r="J1274" s="132"/>
      <c r="K1274" s="132"/>
      <c r="L1274" s="131"/>
      <c r="M1274" s="131"/>
      <c r="N1274" s="131"/>
      <c r="O1274" s="53"/>
      <c r="P1274" s="53"/>
      <c r="Q1274" s="53"/>
      <c r="R1274" s="53"/>
      <c r="S1274" s="53"/>
      <c r="T1274" s="53"/>
      <c r="U1274" s="53"/>
      <c r="V1274" s="53"/>
      <c r="W1274" s="53"/>
      <c r="X1274" s="53"/>
      <c r="Y1274" s="53"/>
      <c r="Z1274" s="53"/>
      <c r="AA1274" s="53"/>
      <c r="AB1274" s="53"/>
      <c r="AC1274" s="53"/>
    </row>
    <row r="1275">
      <c r="A1275" s="53"/>
      <c r="B1275" s="53"/>
      <c r="C1275" s="131"/>
      <c r="D1275" s="131"/>
      <c r="E1275" s="131"/>
      <c r="F1275" s="131"/>
      <c r="G1275" s="131"/>
      <c r="H1275" s="131"/>
      <c r="I1275" s="131"/>
      <c r="J1275" s="132"/>
      <c r="K1275" s="132"/>
      <c r="L1275" s="131"/>
      <c r="M1275" s="131"/>
      <c r="N1275" s="131"/>
      <c r="O1275" s="53"/>
      <c r="P1275" s="53"/>
      <c r="Q1275" s="53"/>
      <c r="R1275" s="53"/>
      <c r="S1275" s="53"/>
      <c r="T1275" s="53"/>
      <c r="U1275" s="53"/>
      <c r="V1275" s="53"/>
      <c r="W1275" s="53"/>
      <c r="X1275" s="53"/>
      <c r="Y1275" s="53"/>
      <c r="Z1275" s="53"/>
      <c r="AA1275" s="53"/>
      <c r="AB1275" s="53"/>
      <c r="AC1275" s="53"/>
    </row>
    <row r="1276">
      <c r="A1276" s="53"/>
      <c r="B1276" s="53"/>
      <c r="C1276" s="131"/>
      <c r="D1276" s="131"/>
      <c r="E1276" s="131"/>
      <c r="F1276" s="131"/>
      <c r="G1276" s="131"/>
      <c r="H1276" s="131"/>
      <c r="I1276" s="131"/>
      <c r="J1276" s="132"/>
      <c r="K1276" s="132"/>
      <c r="L1276" s="131"/>
      <c r="M1276" s="131"/>
      <c r="N1276" s="131"/>
      <c r="O1276" s="53"/>
      <c r="P1276" s="53"/>
      <c r="Q1276" s="53"/>
      <c r="R1276" s="53"/>
      <c r="S1276" s="53"/>
      <c r="T1276" s="53"/>
      <c r="U1276" s="53"/>
      <c r="V1276" s="53"/>
      <c r="W1276" s="53"/>
      <c r="X1276" s="53"/>
      <c r="Y1276" s="53"/>
      <c r="Z1276" s="53"/>
      <c r="AA1276" s="53"/>
      <c r="AB1276" s="53"/>
      <c r="AC1276" s="53"/>
    </row>
    <row r="1277">
      <c r="A1277" s="53"/>
      <c r="B1277" s="53"/>
      <c r="C1277" s="131"/>
      <c r="D1277" s="131"/>
      <c r="E1277" s="131"/>
      <c r="F1277" s="131"/>
      <c r="G1277" s="131"/>
      <c r="H1277" s="131"/>
      <c r="I1277" s="131"/>
      <c r="J1277" s="132"/>
      <c r="K1277" s="132"/>
      <c r="L1277" s="131"/>
      <c r="M1277" s="131"/>
      <c r="N1277" s="131"/>
      <c r="O1277" s="53"/>
      <c r="P1277" s="53"/>
      <c r="Q1277" s="53"/>
      <c r="R1277" s="53"/>
      <c r="S1277" s="53"/>
      <c r="T1277" s="53"/>
      <c r="U1277" s="53"/>
      <c r="V1277" s="53"/>
      <c r="W1277" s="53"/>
      <c r="X1277" s="53"/>
      <c r="Y1277" s="53"/>
      <c r="Z1277" s="53"/>
      <c r="AA1277" s="53"/>
      <c r="AB1277" s="53"/>
      <c r="AC1277" s="53"/>
    </row>
    <row r="1278">
      <c r="A1278" s="53"/>
      <c r="B1278" s="53"/>
      <c r="C1278" s="131"/>
      <c r="D1278" s="131"/>
      <c r="E1278" s="131"/>
      <c r="F1278" s="131"/>
      <c r="G1278" s="131"/>
      <c r="H1278" s="131"/>
      <c r="I1278" s="131"/>
      <c r="J1278" s="132"/>
      <c r="K1278" s="132"/>
      <c r="L1278" s="131"/>
      <c r="M1278" s="131"/>
      <c r="N1278" s="131"/>
      <c r="O1278" s="53"/>
      <c r="P1278" s="53"/>
      <c r="Q1278" s="53"/>
      <c r="R1278" s="53"/>
      <c r="S1278" s="53"/>
      <c r="T1278" s="53"/>
      <c r="U1278" s="53"/>
      <c r="V1278" s="53"/>
      <c r="W1278" s="53"/>
      <c r="X1278" s="53"/>
      <c r="Y1278" s="53"/>
      <c r="Z1278" s="53"/>
      <c r="AA1278" s="53"/>
      <c r="AB1278" s="53"/>
      <c r="AC1278" s="53"/>
    </row>
    <row r="1279">
      <c r="A1279" s="53"/>
      <c r="B1279" s="53"/>
      <c r="C1279" s="131"/>
      <c r="D1279" s="131"/>
      <c r="E1279" s="131"/>
      <c r="F1279" s="131"/>
      <c r="G1279" s="131"/>
      <c r="H1279" s="131"/>
      <c r="I1279" s="131"/>
      <c r="J1279" s="132"/>
      <c r="K1279" s="132"/>
      <c r="L1279" s="131"/>
      <c r="M1279" s="131"/>
      <c r="N1279" s="131"/>
      <c r="O1279" s="53"/>
      <c r="P1279" s="53"/>
      <c r="Q1279" s="53"/>
      <c r="R1279" s="53"/>
      <c r="S1279" s="53"/>
      <c r="T1279" s="53"/>
      <c r="U1279" s="53"/>
      <c r="V1279" s="53"/>
      <c r="W1279" s="53"/>
      <c r="X1279" s="53"/>
      <c r="Y1279" s="53"/>
      <c r="Z1279" s="53"/>
      <c r="AA1279" s="53"/>
      <c r="AB1279" s="53"/>
      <c r="AC1279" s="53"/>
    </row>
    <row r="1280">
      <c r="A1280" s="53"/>
      <c r="B1280" s="53"/>
      <c r="C1280" s="131"/>
      <c r="D1280" s="131"/>
      <c r="E1280" s="131"/>
      <c r="F1280" s="131"/>
      <c r="G1280" s="131"/>
      <c r="H1280" s="131"/>
      <c r="I1280" s="131"/>
      <c r="J1280" s="132"/>
      <c r="K1280" s="132"/>
      <c r="L1280" s="131"/>
      <c r="M1280" s="131"/>
      <c r="N1280" s="131"/>
      <c r="O1280" s="53"/>
      <c r="P1280" s="53"/>
      <c r="Q1280" s="53"/>
      <c r="R1280" s="53"/>
      <c r="S1280" s="53"/>
      <c r="T1280" s="53"/>
      <c r="U1280" s="53"/>
      <c r="V1280" s="53"/>
      <c r="W1280" s="53"/>
      <c r="X1280" s="53"/>
      <c r="Y1280" s="53"/>
      <c r="Z1280" s="53"/>
      <c r="AA1280" s="53"/>
      <c r="AB1280" s="53"/>
      <c r="AC1280" s="53"/>
    </row>
    <row r="1281">
      <c r="A1281" s="53"/>
      <c r="B1281" s="53"/>
      <c r="C1281" s="131"/>
      <c r="D1281" s="131"/>
      <c r="E1281" s="131"/>
      <c r="F1281" s="131"/>
      <c r="G1281" s="131"/>
      <c r="H1281" s="131"/>
      <c r="I1281" s="131"/>
      <c r="J1281" s="132"/>
      <c r="K1281" s="132"/>
      <c r="L1281" s="131"/>
      <c r="M1281" s="131"/>
      <c r="N1281" s="131"/>
      <c r="O1281" s="53"/>
      <c r="P1281" s="53"/>
      <c r="Q1281" s="53"/>
      <c r="R1281" s="53"/>
      <c r="S1281" s="53"/>
      <c r="T1281" s="53"/>
      <c r="U1281" s="53"/>
      <c r="V1281" s="53"/>
      <c r="W1281" s="53"/>
      <c r="X1281" s="53"/>
      <c r="Y1281" s="53"/>
      <c r="Z1281" s="53"/>
      <c r="AA1281" s="53"/>
      <c r="AB1281" s="53"/>
      <c r="AC1281" s="53"/>
    </row>
    <row r="1282">
      <c r="A1282" s="53"/>
      <c r="B1282" s="53"/>
      <c r="C1282" s="131"/>
      <c r="D1282" s="131"/>
      <c r="E1282" s="131"/>
      <c r="F1282" s="131"/>
      <c r="G1282" s="131"/>
      <c r="H1282" s="131"/>
      <c r="I1282" s="131"/>
      <c r="J1282" s="132"/>
      <c r="K1282" s="132"/>
      <c r="L1282" s="131"/>
      <c r="M1282" s="131"/>
      <c r="N1282" s="131"/>
      <c r="O1282" s="53"/>
      <c r="P1282" s="53"/>
      <c r="Q1282" s="53"/>
      <c r="R1282" s="53"/>
      <c r="S1282" s="53"/>
      <c r="T1282" s="53"/>
      <c r="U1282" s="53"/>
      <c r="V1282" s="53"/>
      <c r="W1282" s="53"/>
      <c r="X1282" s="53"/>
      <c r="Y1282" s="53"/>
      <c r="Z1282" s="53"/>
      <c r="AA1282" s="53"/>
      <c r="AB1282" s="53"/>
      <c r="AC1282" s="53"/>
    </row>
    <row r="1283">
      <c r="A1283" s="53"/>
      <c r="B1283" s="53"/>
      <c r="C1283" s="131"/>
      <c r="D1283" s="131"/>
      <c r="E1283" s="131"/>
      <c r="F1283" s="131"/>
      <c r="G1283" s="131"/>
      <c r="H1283" s="131"/>
      <c r="I1283" s="131"/>
      <c r="J1283" s="132"/>
      <c r="K1283" s="132"/>
      <c r="L1283" s="131"/>
      <c r="M1283" s="131"/>
      <c r="N1283" s="131"/>
      <c r="O1283" s="53"/>
      <c r="P1283" s="53"/>
      <c r="Q1283" s="53"/>
      <c r="R1283" s="53"/>
      <c r="S1283" s="53"/>
      <c r="T1283" s="53"/>
      <c r="U1283" s="53"/>
      <c r="V1283" s="53"/>
      <c r="W1283" s="53"/>
      <c r="X1283" s="53"/>
      <c r="Y1283" s="53"/>
      <c r="Z1283" s="53"/>
      <c r="AA1283" s="53"/>
      <c r="AB1283" s="53"/>
      <c r="AC1283" s="53"/>
    </row>
    <row r="1284">
      <c r="A1284" s="53"/>
      <c r="B1284" s="53"/>
      <c r="C1284" s="131"/>
      <c r="D1284" s="131"/>
      <c r="E1284" s="131"/>
      <c r="F1284" s="131"/>
      <c r="G1284" s="131"/>
      <c r="H1284" s="131"/>
      <c r="I1284" s="131"/>
      <c r="J1284" s="132"/>
      <c r="K1284" s="132"/>
      <c r="L1284" s="131"/>
      <c r="M1284" s="131"/>
      <c r="N1284" s="131"/>
      <c r="O1284" s="53"/>
      <c r="P1284" s="53"/>
      <c r="Q1284" s="53"/>
      <c r="R1284" s="53"/>
      <c r="S1284" s="53"/>
      <c r="T1284" s="53"/>
      <c r="U1284" s="53"/>
      <c r="V1284" s="53"/>
      <c r="W1284" s="53"/>
      <c r="X1284" s="53"/>
      <c r="Y1284" s="53"/>
      <c r="Z1284" s="53"/>
      <c r="AA1284" s="53"/>
      <c r="AB1284" s="53"/>
      <c r="AC1284" s="53"/>
    </row>
    <row r="1285">
      <c r="A1285" s="53"/>
      <c r="B1285" s="53"/>
      <c r="C1285" s="131"/>
      <c r="D1285" s="131"/>
      <c r="E1285" s="131"/>
      <c r="F1285" s="131"/>
      <c r="G1285" s="131"/>
      <c r="H1285" s="131"/>
      <c r="I1285" s="131"/>
      <c r="J1285" s="132"/>
      <c r="K1285" s="132"/>
      <c r="L1285" s="131"/>
      <c r="M1285" s="131"/>
      <c r="N1285" s="131"/>
      <c r="O1285" s="53"/>
      <c r="P1285" s="53"/>
      <c r="Q1285" s="53"/>
      <c r="R1285" s="53"/>
      <c r="S1285" s="53"/>
      <c r="T1285" s="53"/>
      <c r="U1285" s="53"/>
      <c r="V1285" s="53"/>
      <c r="W1285" s="53"/>
      <c r="X1285" s="53"/>
      <c r="Y1285" s="53"/>
      <c r="Z1285" s="53"/>
      <c r="AA1285" s="53"/>
      <c r="AB1285" s="53"/>
      <c r="AC1285" s="53"/>
    </row>
    <row r="1286">
      <c r="A1286" s="53"/>
      <c r="B1286" s="53"/>
      <c r="C1286" s="131"/>
      <c r="D1286" s="131"/>
      <c r="E1286" s="131"/>
      <c r="F1286" s="131"/>
      <c r="G1286" s="131"/>
      <c r="H1286" s="131"/>
      <c r="I1286" s="131"/>
      <c r="J1286" s="132"/>
      <c r="K1286" s="132"/>
      <c r="L1286" s="131"/>
      <c r="M1286" s="131"/>
      <c r="N1286" s="131"/>
      <c r="O1286" s="53"/>
      <c r="P1286" s="53"/>
      <c r="Q1286" s="53"/>
      <c r="R1286" s="53"/>
      <c r="S1286" s="53"/>
      <c r="T1286" s="53"/>
      <c r="U1286" s="53"/>
      <c r="V1286" s="53"/>
      <c r="W1286" s="53"/>
      <c r="X1286" s="53"/>
      <c r="Y1286" s="53"/>
      <c r="Z1286" s="53"/>
      <c r="AA1286" s="53"/>
      <c r="AB1286" s="53"/>
      <c r="AC1286" s="53"/>
    </row>
    <row r="1287">
      <c r="A1287" s="53"/>
      <c r="B1287" s="53"/>
      <c r="C1287" s="131"/>
      <c r="D1287" s="131"/>
      <c r="E1287" s="131"/>
      <c r="F1287" s="131"/>
      <c r="G1287" s="131"/>
      <c r="H1287" s="131"/>
      <c r="I1287" s="131"/>
      <c r="J1287" s="132"/>
      <c r="K1287" s="132"/>
      <c r="L1287" s="131"/>
      <c r="M1287" s="131"/>
      <c r="N1287" s="131"/>
      <c r="O1287" s="53"/>
      <c r="P1287" s="53"/>
      <c r="Q1287" s="53"/>
      <c r="R1287" s="53"/>
      <c r="S1287" s="53"/>
      <c r="T1287" s="53"/>
      <c r="U1287" s="53"/>
      <c r="V1287" s="53"/>
      <c r="W1287" s="53"/>
      <c r="X1287" s="53"/>
      <c r="Y1287" s="53"/>
      <c r="Z1287" s="53"/>
      <c r="AA1287" s="53"/>
      <c r="AB1287" s="53"/>
      <c r="AC1287" s="53"/>
    </row>
    <row r="1288">
      <c r="A1288" s="53"/>
      <c r="B1288" s="53"/>
      <c r="C1288" s="131"/>
      <c r="D1288" s="131"/>
      <c r="E1288" s="131"/>
      <c r="F1288" s="131"/>
      <c r="G1288" s="131"/>
      <c r="H1288" s="131"/>
      <c r="I1288" s="131"/>
      <c r="J1288" s="132"/>
      <c r="K1288" s="132"/>
      <c r="L1288" s="131"/>
      <c r="M1288" s="131"/>
      <c r="N1288" s="131"/>
      <c r="O1288" s="53"/>
      <c r="P1288" s="53"/>
      <c r="Q1288" s="53"/>
      <c r="R1288" s="53"/>
      <c r="S1288" s="53"/>
      <c r="T1288" s="53"/>
      <c r="U1288" s="53"/>
      <c r="V1288" s="53"/>
      <c r="W1288" s="53"/>
      <c r="X1288" s="53"/>
      <c r="Y1288" s="53"/>
      <c r="Z1288" s="53"/>
      <c r="AA1288" s="53"/>
      <c r="AB1288" s="53"/>
      <c r="AC1288" s="53"/>
    </row>
    <row r="1289">
      <c r="A1289" s="53"/>
      <c r="B1289" s="53"/>
      <c r="C1289" s="131"/>
      <c r="D1289" s="131"/>
      <c r="E1289" s="131"/>
      <c r="F1289" s="131"/>
      <c r="G1289" s="131"/>
      <c r="H1289" s="131"/>
      <c r="I1289" s="131"/>
      <c r="J1289" s="132"/>
      <c r="K1289" s="132"/>
      <c r="L1289" s="131"/>
      <c r="M1289" s="131"/>
      <c r="N1289" s="131"/>
      <c r="O1289" s="53"/>
      <c r="P1289" s="53"/>
      <c r="Q1289" s="53"/>
      <c r="R1289" s="53"/>
      <c r="S1289" s="53"/>
      <c r="T1289" s="53"/>
      <c r="U1289" s="53"/>
      <c r="V1289" s="53"/>
      <c r="W1289" s="53"/>
      <c r="X1289" s="53"/>
      <c r="Y1289" s="53"/>
      <c r="Z1289" s="53"/>
      <c r="AA1289" s="53"/>
      <c r="AB1289" s="53"/>
      <c r="AC1289" s="53"/>
    </row>
    <row r="1290">
      <c r="A1290" s="53"/>
      <c r="B1290" s="53"/>
      <c r="C1290" s="131"/>
      <c r="D1290" s="131"/>
      <c r="E1290" s="131"/>
      <c r="F1290" s="131"/>
      <c r="G1290" s="131"/>
      <c r="H1290" s="131"/>
      <c r="I1290" s="131"/>
      <c r="J1290" s="132"/>
      <c r="K1290" s="132"/>
      <c r="L1290" s="131"/>
      <c r="M1290" s="131"/>
      <c r="N1290" s="131"/>
      <c r="O1290" s="53"/>
      <c r="P1290" s="53"/>
      <c r="Q1290" s="53"/>
      <c r="R1290" s="53"/>
      <c r="S1290" s="53"/>
      <c r="T1290" s="53"/>
      <c r="U1290" s="53"/>
      <c r="V1290" s="53"/>
      <c r="W1290" s="53"/>
      <c r="X1290" s="53"/>
      <c r="Y1290" s="53"/>
      <c r="Z1290" s="53"/>
      <c r="AA1290" s="53"/>
      <c r="AB1290" s="53"/>
      <c r="AC1290" s="53"/>
    </row>
    <row r="1291">
      <c r="A1291" s="53"/>
      <c r="B1291" s="53"/>
      <c r="C1291" s="131"/>
      <c r="D1291" s="131"/>
      <c r="E1291" s="131"/>
      <c r="F1291" s="131"/>
      <c r="G1291" s="131"/>
      <c r="H1291" s="131"/>
      <c r="I1291" s="131"/>
      <c r="J1291" s="132"/>
      <c r="K1291" s="132"/>
      <c r="L1291" s="131"/>
      <c r="M1291" s="131"/>
      <c r="N1291" s="131"/>
      <c r="O1291" s="53"/>
      <c r="P1291" s="53"/>
      <c r="Q1291" s="53"/>
      <c r="R1291" s="53"/>
      <c r="S1291" s="53"/>
      <c r="T1291" s="53"/>
      <c r="U1291" s="53"/>
      <c r="V1291" s="53"/>
      <c r="W1291" s="53"/>
      <c r="X1291" s="53"/>
      <c r="Y1291" s="53"/>
      <c r="Z1291" s="53"/>
      <c r="AA1291" s="53"/>
      <c r="AB1291" s="53"/>
      <c r="AC1291" s="53"/>
    </row>
    <row r="1292">
      <c r="A1292" s="53"/>
      <c r="B1292" s="53"/>
      <c r="C1292" s="131"/>
      <c r="D1292" s="131"/>
      <c r="E1292" s="131"/>
      <c r="F1292" s="131"/>
      <c r="G1292" s="131"/>
      <c r="H1292" s="131"/>
      <c r="I1292" s="131"/>
      <c r="J1292" s="132"/>
      <c r="K1292" s="132"/>
      <c r="L1292" s="131"/>
      <c r="M1292" s="131"/>
      <c r="N1292" s="131"/>
      <c r="O1292" s="53"/>
      <c r="P1292" s="53"/>
      <c r="Q1292" s="53"/>
      <c r="R1292" s="53"/>
      <c r="S1292" s="53"/>
      <c r="T1292" s="53"/>
      <c r="U1292" s="53"/>
      <c r="V1292" s="53"/>
      <c r="W1292" s="53"/>
      <c r="X1292" s="53"/>
      <c r="Y1292" s="53"/>
      <c r="Z1292" s="53"/>
      <c r="AA1292" s="53"/>
      <c r="AB1292" s="53"/>
      <c r="AC1292" s="53"/>
    </row>
    <row r="1293">
      <c r="A1293" s="53"/>
      <c r="B1293" s="53"/>
      <c r="C1293" s="131"/>
      <c r="D1293" s="131"/>
      <c r="E1293" s="131"/>
      <c r="F1293" s="131"/>
      <c r="G1293" s="131"/>
      <c r="H1293" s="131"/>
      <c r="I1293" s="131"/>
      <c r="J1293" s="132"/>
      <c r="K1293" s="132"/>
      <c r="L1293" s="131"/>
      <c r="M1293" s="131"/>
      <c r="N1293" s="131"/>
      <c r="O1293" s="53"/>
      <c r="P1293" s="53"/>
      <c r="Q1293" s="53"/>
      <c r="R1293" s="53"/>
      <c r="S1293" s="53"/>
      <c r="T1293" s="53"/>
      <c r="U1293" s="53"/>
      <c r="V1293" s="53"/>
      <c r="W1293" s="53"/>
      <c r="X1293" s="53"/>
      <c r="Y1293" s="53"/>
      <c r="Z1293" s="53"/>
      <c r="AA1293" s="53"/>
      <c r="AB1293" s="53"/>
      <c r="AC1293" s="53"/>
    </row>
    <row r="1294">
      <c r="A1294" s="53"/>
      <c r="B1294" s="53"/>
      <c r="C1294" s="131"/>
      <c r="D1294" s="131"/>
      <c r="E1294" s="131"/>
      <c r="F1294" s="131"/>
      <c r="G1294" s="131"/>
      <c r="H1294" s="131"/>
      <c r="I1294" s="131"/>
      <c r="J1294" s="132"/>
      <c r="K1294" s="132"/>
      <c r="L1294" s="131"/>
      <c r="M1294" s="131"/>
      <c r="N1294" s="131"/>
      <c r="O1294" s="53"/>
      <c r="P1294" s="53"/>
      <c r="Q1294" s="53"/>
      <c r="R1294" s="53"/>
      <c r="S1294" s="53"/>
      <c r="T1294" s="53"/>
      <c r="U1294" s="53"/>
      <c r="V1294" s="53"/>
      <c r="W1294" s="53"/>
      <c r="X1294" s="53"/>
      <c r="Y1294" s="53"/>
      <c r="Z1294" s="53"/>
      <c r="AA1294" s="53"/>
      <c r="AB1294" s="53"/>
      <c r="AC1294" s="53"/>
    </row>
    <row r="1295">
      <c r="A1295" s="53"/>
      <c r="B1295" s="53"/>
      <c r="C1295" s="131"/>
      <c r="D1295" s="131"/>
      <c r="E1295" s="131"/>
      <c r="F1295" s="131"/>
      <c r="G1295" s="131"/>
      <c r="H1295" s="131"/>
      <c r="I1295" s="131"/>
      <c r="J1295" s="132"/>
      <c r="K1295" s="132"/>
      <c r="L1295" s="131"/>
      <c r="M1295" s="131"/>
      <c r="N1295" s="131"/>
      <c r="O1295" s="53"/>
      <c r="P1295" s="53"/>
      <c r="Q1295" s="53"/>
      <c r="R1295" s="53"/>
      <c r="S1295" s="53"/>
      <c r="T1295" s="53"/>
      <c r="U1295" s="53"/>
      <c r="V1295" s="53"/>
      <c r="W1295" s="53"/>
      <c r="X1295" s="53"/>
      <c r="Y1295" s="53"/>
      <c r="Z1295" s="53"/>
      <c r="AA1295" s="53"/>
      <c r="AB1295" s="53"/>
      <c r="AC1295" s="53"/>
    </row>
    <row r="1296">
      <c r="A1296" s="53"/>
      <c r="B1296" s="53"/>
      <c r="C1296" s="131"/>
      <c r="D1296" s="131"/>
      <c r="E1296" s="131"/>
      <c r="F1296" s="131"/>
      <c r="G1296" s="131"/>
      <c r="H1296" s="131"/>
      <c r="I1296" s="131"/>
      <c r="J1296" s="132"/>
      <c r="K1296" s="132"/>
      <c r="L1296" s="131"/>
      <c r="M1296" s="131"/>
      <c r="N1296" s="131"/>
      <c r="O1296" s="53"/>
      <c r="P1296" s="53"/>
      <c r="Q1296" s="53"/>
      <c r="R1296" s="53"/>
      <c r="S1296" s="53"/>
      <c r="T1296" s="53"/>
      <c r="U1296" s="53"/>
      <c r="V1296" s="53"/>
      <c r="W1296" s="53"/>
      <c r="X1296" s="53"/>
      <c r="Y1296" s="53"/>
      <c r="Z1296" s="53"/>
      <c r="AA1296" s="53"/>
      <c r="AB1296" s="53"/>
      <c r="AC1296" s="53"/>
    </row>
    <row r="1297">
      <c r="A1297" s="53"/>
      <c r="B1297" s="53"/>
      <c r="C1297" s="131"/>
      <c r="D1297" s="131"/>
      <c r="E1297" s="131"/>
      <c r="F1297" s="131"/>
      <c r="G1297" s="131"/>
      <c r="H1297" s="131"/>
      <c r="I1297" s="131"/>
      <c r="J1297" s="132"/>
      <c r="K1297" s="132"/>
      <c r="L1297" s="131"/>
      <c r="M1297" s="131"/>
      <c r="N1297" s="131"/>
      <c r="O1297" s="53"/>
      <c r="P1297" s="53"/>
      <c r="Q1297" s="53"/>
      <c r="R1297" s="53"/>
      <c r="S1297" s="53"/>
      <c r="T1297" s="53"/>
      <c r="U1297" s="53"/>
      <c r="V1297" s="53"/>
      <c r="W1297" s="53"/>
      <c r="X1297" s="53"/>
      <c r="Y1297" s="53"/>
      <c r="Z1297" s="53"/>
      <c r="AA1297" s="53"/>
      <c r="AB1297" s="53"/>
      <c r="AC1297" s="53"/>
    </row>
    <row r="1298">
      <c r="A1298" s="53"/>
      <c r="B1298" s="53"/>
      <c r="C1298" s="131"/>
      <c r="D1298" s="131"/>
      <c r="E1298" s="131"/>
      <c r="F1298" s="131"/>
      <c r="G1298" s="131"/>
      <c r="H1298" s="131"/>
      <c r="I1298" s="131"/>
      <c r="J1298" s="132"/>
      <c r="K1298" s="132"/>
      <c r="L1298" s="131"/>
      <c r="M1298" s="131"/>
      <c r="N1298" s="131"/>
      <c r="O1298" s="53"/>
      <c r="P1298" s="53"/>
      <c r="Q1298" s="53"/>
      <c r="R1298" s="53"/>
      <c r="S1298" s="53"/>
      <c r="T1298" s="53"/>
      <c r="U1298" s="53"/>
      <c r="V1298" s="53"/>
      <c r="W1298" s="53"/>
      <c r="X1298" s="53"/>
      <c r="Y1298" s="53"/>
      <c r="Z1298" s="53"/>
      <c r="AA1298" s="53"/>
      <c r="AB1298" s="53"/>
      <c r="AC1298" s="53"/>
    </row>
    <row r="1299">
      <c r="A1299" s="53"/>
      <c r="B1299" s="53"/>
      <c r="C1299" s="131"/>
      <c r="D1299" s="131"/>
      <c r="E1299" s="131"/>
      <c r="F1299" s="131"/>
      <c r="G1299" s="131"/>
      <c r="H1299" s="131"/>
      <c r="I1299" s="131"/>
      <c r="J1299" s="132"/>
      <c r="K1299" s="132"/>
      <c r="L1299" s="131"/>
      <c r="M1299" s="131"/>
      <c r="N1299" s="131"/>
      <c r="O1299" s="53"/>
      <c r="P1299" s="53"/>
      <c r="Q1299" s="53"/>
      <c r="R1299" s="53"/>
      <c r="S1299" s="53"/>
      <c r="T1299" s="53"/>
      <c r="U1299" s="53"/>
      <c r="V1299" s="53"/>
      <c r="W1299" s="53"/>
      <c r="X1299" s="53"/>
      <c r="Y1299" s="53"/>
      <c r="Z1299" s="53"/>
      <c r="AA1299" s="53"/>
      <c r="AB1299" s="53"/>
      <c r="AC1299" s="53"/>
    </row>
    <row r="1300">
      <c r="A1300" s="53"/>
      <c r="B1300" s="53"/>
      <c r="C1300" s="131"/>
      <c r="D1300" s="131"/>
      <c r="E1300" s="131"/>
      <c r="F1300" s="131"/>
      <c r="G1300" s="131"/>
      <c r="H1300" s="131"/>
      <c r="I1300" s="131"/>
      <c r="J1300" s="132"/>
      <c r="K1300" s="132"/>
      <c r="L1300" s="131"/>
      <c r="M1300" s="131"/>
      <c r="N1300" s="131"/>
      <c r="O1300" s="53"/>
      <c r="P1300" s="53"/>
      <c r="Q1300" s="53"/>
      <c r="R1300" s="53"/>
      <c r="S1300" s="53"/>
      <c r="T1300" s="53"/>
      <c r="U1300" s="53"/>
      <c r="V1300" s="53"/>
      <c r="W1300" s="53"/>
      <c r="X1300" s="53"/>
      <c r="Y1300" s="53"/>
      <c r="Z1300" s="53"/>
      <c r="AA1300" s="53"/>
      <c r="AB1300" s="53"/>
      <c r="AC1300" s="53"/>
    </row>
    <row r="1301">
      <c r="A1301" s="53"/>
      <c r="B1301" s="53"/>
      <c r="C1301" s="131"/>
      <c r="D1301" s="131"/>
      <c r="E1301" s="131"/>
      <c r="F1301" s="131"/>
      <c r="G1301" s="131"/>
      <c r="H1301" s="131"/>
      <c r="I1301" s="131"/>
      <c r="J1301" s="132"/>
      <c r="K1301" s="132"/>
      <c r="L1301" s="131"/>
      <c r="M1301" s="131"/>
      <c r="N1301" s="131"/>
      <c r="O1301" s="53"/>
      <c r="P1301" s="53"/>
      <c r="Q1301" s="53"/>
      <c r="R1301" s="53"/>
      <c r="S1301" s="53"/>
      <c r="T1301" s="53"/>
      <c r="U1301" s="53"/>
      <c r="V1301" s="53"/>
      <c r="W1301" s="53"/>
      <c r="X1301" s="53"/>
      <c r="Y1301" s="53"/>
      <c r="Z1301" s="53"/>
      <c r="AA1301" s="53"/>
      <c r="AB1301" s="53"/>
      <c r="AC1301" s="53"/>
    </row>
    <row r="1302">
      <c r="A1302" s="53"/>
      <c r="B1302" s="53"/>
      <c r="C1302" s="131"/>
      <c r="D1302" s="131"/>
      <c r="E1302" s="131"/>
      <c r="F1302" s="131"/>
      <c r="G1302" s="131"/>
      <c r="H1302" s="131"/>
      <c r="I1302" s="131"/>
      <c r="J1302" s="132"/>
      <c r="K1302" s="132"/>
      <c r="L1302" s="131"/>
      <c r="M1302" s="131"/>
      <c r="N1302" s="131"/>
      <c r="O1302" s="53"/>
      <c r="P1302" s="53"/>
      <c r="Q1302" s="53"/>
      <c r="R1302" s="53"/>
      <c r="S1302" s="53"/>
      <c r="T1302" s="53"/>
      <c r="U1302" s="53"/>
      <c r="V1302" s="53"/>
      <c r="W1302" s="53"/>
      <c r="X1302" s="53"/>
      <c r="Y1302" s="53"/>
      <c r="Z1302" s="53"/>
      <c r="AA1302" s="53"/>
      <c r="AB1302" s="53"/>
      <c r="AC1302" s="53"/>
    </row>
    <row r="1303">
      <c r="A1303" s="53"/>
      <c r="B1303" s="53"/>
      <c r="C1303" s="131"/>
      <c r="D1303" s="131"/>
      <c r="E1303" s="131"/>
      <c r="F1303" s="131"/>
      <c r="G1303" s="131"/>
      <c r="H1303" s="131"/>
      <c r="I1303" s="131"/>
      <c r="J1303" s="132"/>
      <c r="K1303" s="132"/>
      <c r="L1303" s="131"/>
      <c r="M1303" s="131"/>
      <c r="N1303" s="131"/>
      <c r="O1303" s="53"/>
      <c r="P1303" s="53"/>
      <c r="Q1303" s="53"/>
      <c r="R1303" s="53"/>
      <c r="S1303" s="53"/>
      <c r="T1303" s="53"/>
      <c r="U1303" s="53"/>
      <c r="V1303" s="53"/>
      <c r="W1303" s="53"/>
      <c r="X1303" s="53"/>
      <c r="Y1303" s="53"/>
      <c r="Z1303" s="53"/>
      <c r="AA1303" s="53"/>
      <c r="AB1303" s="53"/>
      <c r="AC1303" s="53"/>
    </row>
    <row r="1304">
      <c r="A1304" s="53"/>
      <c r="B1304" s="53"/>
      <c r="C1304" s="131"/>
      <c r="D1304" s="131"/>
      <c r="E1304" s="131"/>
      <c r="F1304" s="131"/>
      <c r="G1304" s="131"/>
      <c r="H1304" s="131"/>
      <c r="I1304" s="131"/>
      <c r="J1304" s="132"/>
      <c r="K1304" s="132"/>
      <c r="L1304" s="131"/>
      <c r="M1304" s="131"/>
      <c r="N1304" s="131"/>
      <c r="O1304" s="53"/>
      <c r="P1304" s="53"/>
      <c r="Q1304" s="53"/>
      <c r="R1304" s="53"/>
      <c r="S1304" s="53"/>
      <c r="T1304" s="53"/>
      <c r="U1304" s="53"/>
      <c r="V1304" s="53"/>
      <c r="W1304" s="53"/>
      <c r="X1304" s="53"/>
      <c r="Y1304" s="53"/>
      <c r="Z1304" s="53"/>
      <c r="AA1304" s="53"/>
      <c r="AB1304" s="53"/>
      <c r="AC1304" s="53"/>
    </row>
    <row r="1305">
      <c r="A1305" s="53"/>
      <c r="B1305" s="53"/>
      <c r="C1305" s="131"/>
      <c r="D1305" s="131"/>
      <c r="E1305" s="131"/>
      <c r="F1305" s="131"/>
      <c r="G1305" s="131"/>
      <c r="H1305" s="131"/>
      <c r="I1305" s="131"/>
      <c r="J1305" s="132"/>
      <c r="K1305" s="132"/>
      <c r="L1305" s="131"/>
      <c r="M1305" s="131"/>
      <c r="N1305" s="131"/>
      <c r="O1305" s="53"/>
      <c r="P1305" s="53"/>
      <c r="Q1305" s="53"/>
      <c r="R1305" s="53"/>
      <c r="S1305" s="53"/>
      <c r="T1305" s="53"/>
      <c r="U1305" s="53"/>
      <c r="V1305" s="53"/>
      <c r="W1305" s="53"/>
      <c r="X1305" s="53"/>
      <c r="Y1305" s="53"/>
      <c r="Z1305" s="53"/>
      <c r="AA1305" s="53"/>
      <c r="AB1305" s="53"/>
      <c r="AC1305" s="53"/>
    </row>
    <row r="1306">
      <c r="A1306" s="53"/>
      <c r="B1306" s="53"/>
      <c r="C1306" s="131"/>
      <c r="D1306" s="131"/>
      <c r="E1306" s="131"/>
      <c r="F1306" s="131"/>
      <c r="G1306" s="131"/>
      <c r="H1306" s="131"/>
      <c r="I1306" s="131"/>
      <c r="J1306" s="132"/>
      <c r="K1306" s="132"/>
      <c r="L1306" s="131"/>
      <c r="M1306" s="131"/>
      <c r="N1306" s="131"/>
      <c r="O1306" s="53"/>
      <c r="P1306" s="53"/>
      <c r="Q1306" s="53"/>
      <c r="R1306" s="53"/>
      <c r="S1306" s="53"/>
      <c r="T1306" s="53"/>
      <c r="U1306" s="53"/>
      <c r="V1306" s="53"/>
      <c r="W1306" s="53"/>
      <c r="X1306" s="53"/>
      <c r="Y1306" s="53"/>
      <c r="Z1306" s="53"/>
      <c r="AA1306" s="53"/>
      <c r="AB1306" s="53"/>
      <c r="AC1306" s="53"/>
    </row>
    <row r="1307">
      <c r="A1307" s="53"/>
      <c r="B1307" s="53"/>
      <c r="C1307" s="131"/>
      <c r="D1307" s="131"/>
      <c r="E1307" s="131"/>
      <c r="F1307" s="131"/>
      <c r="G1307" s="131"/>
      <c r="H1307" s="131"/>
      <c r="I1307" s="131"/>
      <c r="J1307" s="132"/>
      <c r="K1307" s="132"/>
      <c r="L1307" s="131"/>
      <c r="M1307" s="131"/>
      <c r="N1307" s="131"/>
      <c r="O1307" s="53"/>
      <c r="P1307" s="53"/>
      <c r="Q1307" s="53"/>
      <c r="R1307" s="53"/>
      <c r="S1307" s="53"/>
      <c r="T1307" s="53"/>
      <c r="U1307" s="53"/>
      <c r="V1307" s="53"/>
      <c r="W1307" s="53"/>
      <c r="X1307" s="53"/>
      <c r="Y1307" s="53"/>
      <c r="Z1307" s="53"/>
      <c r="AA1307" s="53"/>
      <c r="AB1307" s="53"/>
      <c r="AC1307" s="53"/>
    </row>
    <row r="1308">
      <c r="A1308" s="53"/>
      <c r="B1308" s="53"/>
      <c r="C1308" s="131"/>
      <c r="D1308" s="131"/>
      <c r="E1308" s="131"/>
      <c r="F1308" s="131"/>
      <c r="G1308" s="131"/>
      <c r="H1308" s="131"/>
      <c r="I1308" s="131"/>
      <c r="J1308" s="132"/>
      <c r="K1308" s="132"/>
      <c r="L1308" s="131"/>
      <c r="M1308" s="131"/>
      <c r="N1308" s="131"/>
      <c r="O1308" s="53"/>
      <c r="P1308" s="53"/>
      <c r="Q1308" s="53"/>
      <c r="R1308" s="53"/>
      <c r="S1308" s="53"/>
      <c r="T1308" s="53"/>
      <c r="U1308" s="53"/>
      <c r="V1308" s="53"/>
      <c r="W1308" s="53"/>
      <c r="X1308" s="53"/>
      <c r="Y1308" s="53"/>
      <c r="Z1308" s="53"/>
      <c r="AA1308" s="53"/>
      <c r="AB1308" s="53"/>
      <c r="AC1308" s="53"/>
    </row>
    <row r="1309">
      <c r="A1309" s="53"/>
      <c r="B1309" s="53"/>
      <c r="C1309" s="131"/>
      <c r="D1309" s="131"/>
      <c r="E1309" s="131"/>
      <c r="F1309" s="131"/>
      <c r="G1309" s="131"/>
      <c r="H1309" s="131"/>
      <c r="I1309" s="131"/>
      <c r="J1309" s="132"/>
      <c r="K1309" s="132"/>
      <c r="L1309" s="131"/>
      <c r="M1309" s="131"/>
      <c r="N1309" s="131"/>
      <c r="O1309" s="53"/>
      <c r="P1309" s="53"/>
      <c r="Q1309" s="53"/>
      <c r="R1309" s="53"/>
      <c r="S1309" s="53"/>
      <c r="T1309" s="53"/>
      <c r="U1309" s="53"/>
      <c r="V1309" s="53"/>
      <c r="W1309" s="53"/>
      <c r="X1309" s="53"/>
      <c r="Y1309" s="53"/>
      <c r="Z1309" s="53"/>
      <c r="AA1309" s="53"/>
      <c r="AB1309" s="53"/>
      <c r="AC1309" s="53"/>
    </row>
    <row r="1310">
      <c r="A1310" s="53"/>
      <c r="B1310" s="53"/>
      <c r="C1310" s="131"/>
      <c r="D1310" s="131"/>
      <c r="E1310" s="131"/>
      <c r="F1310" s="131"/>
      <c r="G1310" s="131"/>
      <c r="H1310" s="131"/>
      <c r="I1310" s="131"/>
      <c r="J1310" s="132"/>
      <c r="K1310" s="132"/>
      <c r="L1310" s="131"/>
      <c r="M1310" s="131"/>
      <c r="N1310" s="131"/>
      <c r="O1310" s="53"/>
      <c r="P1310" s="53"/>
      <c r="Q1310" s="53"/>
      <c r="R1310" s="53"/>
      <c r="S1310" s="53"/>
      <c r="T1310" s="53"/>
      <c r="U1310" s="53"/>
      <c r="V1310" s="53"/>
      <c r="W1310" s="53"/>
      <c r="X1310" s="53"/>
      <c r="Y1310" s="53"/>
      <c r="Z1310" s="53"/>
      <c r="AA1310" s="53"/>
      <c r="AB1310" s="53"/>
      <c r="AC1310" s="53"/>
    </row>
    <row r="1311">
      <c r="A1311" s="53"/>
      <c r="B1311" s="53"/>
      <c r="C1311" s="131"/>
      <c r="D1311" s="131"/>
      <c r="E1311" s="131"/>
      <c r="F1311" s="131"/>
      <c r="G1311" s="131"/>
      <c r="H1311" s="131"/>
      <c r="I1311" s="131"/>
      <c r="J1311" s="132"/>
      <c r="K1311" s="132"/>
      <c r="L1311" s="131"/>
      <c r="M1311" s="131"/>
      <c r="N1311" s="131"/>
      <c r="O1311" s="53"/>
      <c r="P1311" s="53"/>
      <c r="Q1311" s="53"/>
      <c r="R1311" s="53"/>
      <c r="S1311" s="53"/>
      <c r="T1311" s="53"/>
      <c r="U1311" s="53"/>
      <c r="V1311" s="53"/>
      <c r="W1311" s="53"/>
      <c r="X1311" s="53"/>
      <c r="Y1311" s="53"/>
      <c r="Z1311" s="53"/>
      <c r="AA1311" s="53"/>
      <c r="AB1311" s="53"/>
      <c r="AC1311" s="53"/>
    </row>
    <row r="1312">
      <c r="A1312" s="53"/>
      <c r="B1312" s="53"/>
      <c r="C1312" s="131"/>
      <c r="D1312" s="131"/>
      <c r="E1312" s="131"/>
      <c r="F1312" s="131"/>
      <c r="G1312" s="131"/>
      <c r="H1312" s="131"/>
      <c r="I1312" s="131"/>
      <c r="J1312" s="132"/>
      <c r="K1312" s="132"/>
      <c r="L1312" s="131"/>
      <c r="M1312" s="131"/>
      <c r="N1312" s="131"/>
      <c r="O1312" s="53"/>
      <c r="P1312" s="53"/>
      <c r="Q1312" s="53"/>
      <c r="R1312" s="53"/>
      <c r="S1312" s="53"/>
      <c r="T1312" s="53"/>
      <c r="U1312" s="53"/>
      <c r="V1312" s="53"/>
      <c r="W1312" s="53"/>
      <c r="X1312" s="53"/>
      <c r="Y1312" s="53"/>
      <c r="Z1312" s="53"/>
      <c r="AA1312" s="53"/>
      <c r="AB1312" s="53"/>
      <c r="AC1312" s="53"/>
    </row>
    <row r="1313">
      <c r="A1313" s="53"/>
      <c r="B1313" s="53"/>
      <c r="C1313" s="131"/>
      <c r="D1313" s="131"/>
      <c r="E1313" s="131"/>
      <c r="F1313" s="131"/>
      <c r="G1313" s="131"/>
      <c r="H1313" s="131"/>
      <c r="I1313" s="131"/>
      <c r="J1313" s="132"/>
      <c r="K1313" s="132"/>
      <c r="L1313" s="131"/>
      <c r="M1313" s="131"/>
      <c r="N1313" s="131"/>
      <c r="O1313" s="53"/>
      <c r="P1313" s="53"/>
      <c r="Q1313" s="53"/>
      <c r="R1313" s="53"/>
      <c r="S1313" s="53"/>
      <c r="T1313" s="53"/>
      <c r="U1313" s="53"/>
      <c r="V1313" s="53"/>
      <c r="W1313" s="53"/>
      <c r="X1313" s="53"/>
      <c r="Y1313" s="53"/>
      <c r="Z1313" s="53"/>
      <c r="AA1313" s="53"/>
      <c r="AB1313" s="53"/>
      <c r="AC1313" s="53"/>
    </row>
    <row r="1314">
      <c r="A1314" s="53"/>
      <c r="B1314" s="53"/>
      <c r="C1314" s="131"/>
      <c r="D1314" s="131"/>
      <c r="E1314" s="131"/>
      <c r="F1314" s="131"/>
      <c r="G1314" s="131"/>
      <c r="H1314" s="131"/>
      <c r="I1314" s="131"/>
      <c r="J1314" s="132"/>
      <c r="K1314" s="132"/>
      <c r="L1314" s="131"/>
      <c r="M1314" s="131"/>
      <c r="N1314" s="131"/>
      <c r="O1314" s="53"/>
      <c r="P1314" s="53"/>
      <c r="Q1314" s="53"/>
      <c r="R1314" s="53"/>
      <c r="S1314" s="53"/>
      <c r="T1314" s="53"/>
      <c r="U1314" s="53"/>
      <c r="V1314" s="53"/>
      <c r="W1314" s="53"/>
      <c r="X1314" s="53"/>
      <c r="Y1314" s="53"/>
      <c r="Z1314" s="53"/>
      <c r="AA1314" s="53"/>
      <c r="AB1314" s="53"/>
      <c r="AC1314" s="53"/>
    </row>
    <row r="1315">
      <c r="A1315" s="53"/>
      <c r="B1315" s="53"/>
      <c r="C1315" s="131"/>
      <c r="D1315" s="131"/>
      <c r="E1315" s="131"/>
      <c r="F1315" s="131"/>
      <c r="G1315" s="131"/>
      <c r="H1315" s="131"/>
      <c r="I1315" s="131"/>
      <c r="J1315" s="132"/>
      <c r="K1315" s="132"/>
      <c r="L1315" s="131"/>
      <c r="M1315" s="131"/>
      <c r="N1315" s="131"/>
      <c r="O1315" s="53"/>
      <c r="P1315" s="53"/>
      <c r="Q1315" s="53"/>
      <c r="R1315" s="53"/>
      <c r="S1315" s="53"/>
      <c r="T1315" s="53"/>
      <c r="U1315" s="53"/>
      <c r="V1315" s="53"/>
      <c r="W1315" s="53"/>
      <c r="X1315" s="53"/>
      <c r="Y1315" s="53"/>
      <c r="Z1315" s="53"/>
      <c r="AA1315" s="53"/>
      <c r="AB1315" s="53"/>
      <c r="AC1315" s="53"/>
    </row>
    <row r="1316">
      <c r="A1316" s="53"/>
      <c r="B1316" s="53"/>
      <c r="C1316" s="131"/>
      <c r="D1316" s="131"/>
      <c r="E1316" s="131"/>
      <c r="F1316" s="131"/>
      <c r="G1316" s="131"/>
      <c r="H1316" s="131"/>
      <c r="I1316" s="131"/>
      <c r="J1316" s="132"/>
      <c r="K1316" s="132"/>
      <c r="L1316" s="131"/>
      <c r="M1316" s="131"/>
      <c r="N1316" s="131"/>
      <c r="O1316" s="53"/>
      <c r="P1316" s="53"/>
      <c r="Q1316" s="53"/>
      <c r="R1316" s="53"/>
      <c r="S1316" s="53"/>
      <c r="T1316" s="53"/>
      <c r="U1316" s="53"/>
      <c r="V1316" s="53"/>
      <c r="W1316" s="53"/>
      <c r="X1316" s="53"/>
      <c r="Y1316" s="53"/>
      <c r="Z1316" s="53"/>
      <c r="AA1316" s="53"/>
      <c r="AB1316" s="53"/>
      <c r="AC1316" s="53"/>
    </row>
    <row r="1317">
      <c r="A1317" s="53"/>
      <c r="B1317" s="53"/>
      <c r="C1317" s="131"/>
      <c r="D1317" s="131"/>
      <c r="E1317" s="131"/>
      <c r="F1317" s="131"/>
      <c r="G1317" s="131"/>
      <c r="H1317" s="131"/>
      <c r="I1317" s="131"/>
      <c r="J1317" s="132"/>
      <c r="K1317" s="132"/>
      <c r="L1317" s="131"/>
      <c r="M1317" s="131"/>
      <c r="N1317" s="131"/>
      <c r="O1317" s="53"/>
      <c r="P1317" s="53"/>
      <c r="Q1317" s="53"/>
      <c r="R1317" s="53"/>
      <c r="S1317" s="53"/>
      <c r="T1317" s="53"/>
      <c r="U1317" s="53"/>
      <c r="V1317" s="53"/>
      <c r="W1317" s="53"/>
      <c r="X1317" s="53"/>
      <c r="Y1317" s="53"/>
      <c r="Z1317" s="53"/>
      <c r="AA1317" s="53"/>
      <c r="AB1317" s="53"/>
      <c r="AC1317" s="53"/>
    </row>
    <row r="1318">
      <c r="A1318" s="53"/>
      <c r="B1318" s="53"/>
      <c r="C1318" s="131"/>
      <c r="D1318" s="131"/>
      <c r="E1318" s="131"/>
      <c r="F1318" s="131"/>
      <c r="G1318" s="131"/>
      <c r="H1318" s="131"/>
      <c r="I1318" s="131"/>
      <c r="J1318" s="132"/>
      <c r="K1318" s="132"/>
      <c r="L1318" s="131"/>
      <c r="M1318" s="131"/>
      <c r="N1318" s="131"/>
      <c r="O1318" s="53"/>
      <c r="P1318" s="53"/>
      <c r="Q1318" s="53"/>
      <c r="R1318" s="53"/>
      <c r="S1318" s="53"/>
      <c r="T1318" s="53"/>
      <c r="U1318" s="53"/>
      <c r="V1318" s="53"/>
      <c r="W1318" s="53"/>
      <c r="X1318" s="53"/>
      <c r="Y1318" s="53"/>
      <c r="Z1318" s="53"/>
      <c r="AA1318" s="53"/>
      <c r="AB1318" s="53"/>
      <c r="AC1318" s="53"/>
    </row>
    <row r="1319">
      <c r="A1319" s="53"/>
      <c r="B1319" s="53"/>
      <c r="C1319" s="131"/>
      <c r="D1319" s="131"/>
      <c r="E1319" s="131"/>
      <c r="F1319" s="131"/>
      <c r="G1319" s="131"/>
      <c r="H1319" s="131"/>
      <c r="I1319" s="131"/>
      <c r="J1319" s="132"/>
      <c r="K1319" s="132"/>
      <c r="L1319" s="131"/>
      <c r="M1319" s="131"/>
      <c r="N1319" s="131"/>
      <c r="O1319" s="53"/>
      <c r="P1319" s="53"/>
      <c r="Q1319" s="53"/>
      <c r="R1319" s="53"/>
      <c r="S1319" s="53"/>
      <c r="T1319" s="53"/>
      <c r="U1319" s="53"/>
      <c r="V1319" s="53"/>
      <c r="W1319" s="53"/>
      <c r="X1319" s="53"/>
      <c r="Y1319" s="53"/>
      <c r="Z1319" s="53"/>
      <c r="AA1319" s="53"/>
      <c r="AB1319" s="53"/>
      <c r="AC1319" s="53"/>
    </row>
    <row r="1320">
      <c r="A1320" s="53"/>
      <c r="B1320" s="53"/>
      <c r="C1320" s="131"/>
      <c r="D1320" s="131"/>
      <c r="E1320" s="131"/>
      <c r="F1320" s="131"/>
      <c r="G1320" s="131"/>
      <c r="H1320" s="131"/>
      <c r="I1320" s="131"/>
      <c r="J1320" s="132"/>
      <c r="K1320" s="132"/>
      <c r="L1320" s="131"/>
      <c r="M1320" s="131"/>
      <c r="N1320" s="131"/>
      <c r="O1320" s="53"/>
      <c r="P1320" s="53"/>
      <c r="Q1320" s="53"/>
      <c r="R1320" s="53"/>
      <c r="S1320" s="53"/>
      <c r="T1320" s="53"/>
      <c r="U1320" s="53"/>
      <c r="V1320" s="53"/>
      <c r="W1320" s="53"/>
      <c r="X1320" s="53"/>
      <c r="Y1320" s="53"/>
      <c r="Z1320" s="53"/>
      <c r="AA1320" s="53"/>
      <c r="AB1320" s="53"/>
      <c r="AC1320" s="53"/>
    </row>
    <row r="1321">
      <c r="A1321" s="53"/>
      <c r="B1321" s="53"/>
      <c r="C1321" s="131"/>
      <c r="D1321" s="131"/>
      <c r="E1321" s="131"/>
      <c r="F1321" s="131"/>
      <c r="G1321" s="131"/>
      <c r="H1321" s="131"/>
      <c r="I1321" s="131"/>
      <c r="J1321" s="132"/>
      <c r="K1321" s="132"/>
      <c r="L1321" s="131"/>
      <c r="M1321" s="131"/>
      <c r="N1321" s="131"/>
      <c r="O1321" s="53"/>
      <c r="P1321" s="53"/>
      <c r="Q1321" s="53"/>
      <c r="R1321" s="53"/>
      <c r="S1321" s="53"/>
      <c r="T1321" s="53"/>
      <c r="U1321" s="53"/>
      <c r="V1321" s="53"/>
      <c r="W1321" s="53"/>
      <c r="X1321" s="53"/>
      <c r="Y1321" s="53"/>
      <c r="Z1321" s="53"/>
      <c r="AA1321" s="53"/>
      <c r="AB1321" s="53"/>
      <c r="AC1321" s="53"/>
    </row>
    <row r="1322">
      <c r="A1322" s="53"/>
      <c r="B1322" s="53"/>
      <c r="C1322" s="131"/>
      <c r="D1322" s="131"/>
      <c r="E1322" s="131"/>
      <c r="F1322" s="131"/>
      <c r="G1322" s="131"/>
      <c r="H1322" s="131"/>
      <c r="I1322" s="131"/>
      <c r="J1322" s="132"/>
      <c r="K1322" s="132"/>
      <c r="L1322" s="131"/>
      <c r="M1322" s="131"/>
      <c r="N1322" s="131"/>
      <c r="O1322" s="53"/>
      <c r="P1322" s="53"/>
      <c r="Q1322" s="53"/>
      <c r="R1322" s="53"/>
      <c r="S1322" s="53"/>
      <c r="T1322" s="53"/>
      <c r="U1322" s="53"/>
      <c r="V1322" s="53"/>
      <c r="W1322" s="53"/>
      <c r="X1322" s="53"/>
      <c r="Y1322" s="53"/>
      <c r="Z1322" s="53"/>
      <c r="AA1322" s="53"/>
      <c r="AB1322" s="53"/>
      <c r="AC1322" s="53"/>
    </row>
    <row r="1323">
      <c r="A1323" s="53"/>
      <c r="B1323" s="53"/>
      <c r="C1323" s="131"/>
      <c r="D1323" s="131"/>
      <c r="E1323" s="131"/>
      <c r="F1323" s="131"/>
      <c r="G1323" s="131"/>
      <c r="H1323" s="131"/>
      <c r="I1323" s="131"/>
      <c r="J1323" s="132"/>
      <c r="K1323" s="132"/>
      <c r="L1323" s="131"/>
      <c r="M1323" s="131"/>
      <c r="N1323" s="131"/>
      <c r="O1323" s="53"/>
      <c r="P1323" s="53"/>
      <c r="Q1323" s="53"/>
      <c r="R1323" s="53"/>
      <c r="S1323" s="53"/>
      <c r="T1323" s="53"/>
      <c r="U1323" s="53"/>
      <c r="V1323" s="53"/>
      <c r="W1323" s="53"/>
      <c r="X1323" s="53"/>
      <c r="Y1323" s="53"/>
      <c r="Z1323" s="53"/>
      <c r="AA1323" s="53"/>
      <c r="AB1323" s="53"/>
      <c r="AC1323" s="53"/>
    </row>
    <row r="1324">
      <c r="A1324" s="53"/>
      <c r="B1324" s="53"/>
      <c r="C1324" s="131"/>
      <c r="D1324" s="131"/>
      <c r="E1324" s="131"/>
      <c r="F1324" s="131"/>
      <c r="G1324" s="131"/>
      <c r="H1324" s="131"/>
      <c r="I1324" s="131"/>
      <c r="J1324" s="132"/>
      <c r="K1324" s="132"/>
      <c r="L1324" s="131"/>
      <c r="M1324" s="131"/>
      <c r="N1324" s="131"/>
      <c r="O1324" s="53"/>
      <c r="P1324" s="53"/>
      <c r="Q1324" s="53"/>
      <c r="R1324" s="53"/>
      <c r="S1324" s="53"/>
      <c r="T1324" s="53"/>
      <c r="U1324" s="53"/>
      <c r="V1324" s="53"/>
      <c r="W1324" s="53"/>
      <c r="X1324" s="53"/>
      <c r="Y1324" s="53"/>
      <c r="Z1324" s="53"/>
      <c r="AA1324" s="53"/>
      <c r="AB1324" s="53"/>
      <c r="AC1324" s="53"/>
    </row>
    <row r="1325">
      <c r="A1325" s="53"/>
      <c r="B1325" s="53"/>
      <c r="C1325" s="131"/>
      <c r="D1325" s="131"/>
      <c r="E1325" s="131"/>
      <c r="F1325" s="131"/>
      <c r="G1325" s="131"/>
      <c r="H1325" s="131"/>
      <c r="I1325" s="131"/>
      <c r="J1325" s="132"/>
      <c r="K1325" s="132"/>
      <c r="L1325" s="131"/>
      <c r="M1325" s="131"/>
      <c r="N1325" s="131"/>
      <c r="O1325" s="53"/>
      <c r="P1325" s="53"/>
      <c r="Q1325" s="53"/>
      <c r="R1325" s="53"/>
      <c r="S1325" s="53"/>
      <c r="T1325" s="53"/>
      <c r="U1325" s="53"/>
      <c r="V1325" s="53"/>
      <c r="W1325" s="53"/>
      <c r="X1325" s="53"/>
      <c r="Y1325" s="53"/>
      <c r="Z1325" s="53"/>
      <c r="AA1325" s="53"/>
      <c r="AB1325" s="53"/>
      <c r="AC1325" s="53"/>
    </row>
    <row r="1326">
      <c r="A1326" s="53"/>
      <c r="B1326" s="53"/>
      <c r="C1326" s="131"/>
      <c r="D1326" s="131"/>
      <c r="E1326" s="131"/>
      <c r="F1326" s="131"/>
      <c r="G1326" s="131"/>
      <c r="H1326" s="131"/>
      <c r="I1326" s="131"/>
      <c r="J1326" s="132"/>
      <c r="K1326" s="132"/>
      <c r="L1326" s="131"/>
      <c r="M1326" s="131"/>
      <c r="N1326" s="131"/>
      <c r="O1326" s="53"/>
      <c r="P1326" s="53"/>
      <c r="Q1326" s="53"/>
      <c r="R1326" s="53"/>
      <c r="S1326" s="53"/>
      <c r="T1326" s="53"/>
      <c r="U1326" s="53"/>
      <c r="V1326" s="53"/>
      <c r="W1326" s="53"/>
      <c r="X1326" s="53"/>
      <c r="Y1326" s="53"/>
      <c r="Z1326" s="53"/>
      <c r="AA1326" s="53"/>
      <c r="AB1326" s="53"/>
      <c r="AC1326" s="53"/>
    </row>
    <row r="1327">
      <c r="A1327" s="53"/>
      <c r="B1327" s="53"/>
      <c r="C1327" s="131"/>
      <c r="D1327" s="131"/>
      <c r="E1327" s="131"/>
      <c r="F1327" s="131"/>
      <c r="G1327" s="131"/>
      <c r="H1327" s="131"/>
      <c r="I1327" s="131"/>
      <c r="J1327" s="132"/>
      <c r="K1327" s="132"/>
      <c r="L1327" s="131"/>
      <c r="M1327" s="131"/>
      <c r="N1327" s="131"/>
      <c r="O1327" s="53"/>
      <c r="P1327" s="53"/>
      <c r="Q1327" s="53"/>
      <c r="R1327" s="53"/>
      <c r="S1327" s="53"/>
      <c r="T1327" s="53"/>
      <c r="U1327" s="53"/>
      <c r="V1327" s="53"/>
      <c r="W1327" s="53"/>
      <c r="X1327" s="53"/>
      <c r="Y1327" s="53"/>
      <c r="Z1327" s="53"/>
      <c r="AA1327" s="53"/>
      <c r="AB1327" s="53"/>
      <c r="AC1327" s="53"/>
    </row>
    <row r="1328">
      <c r="A1328" s="53"/>
      <c r="B1328" s="53"/>
      <c r="C1328" s="131"/>
      <c r="D1328" s="131"/>
      <c r="E1328" s="131"/>
      <c r="F1328" s="131"/>
      <c r="G1328" s="131"/>
      <c r="H1328" s="131"/>
      <c r="I1328" s="131"/>
      <c r="J1328" s="132"/>
      <c r="K1328" s="132"/>
      <c r="L1328" s="131"/>
      <c r="M1328" s="131"/>
      <c r="N1328" s="131"/>
      <c r="O1328" s="53"/>
      <c r="P1328" s="53"/>
      <c r="Q1328" s="53"/>
      <c r="R1328" s="53"/>
      <c r="S1328" s="53"/>
      <c r="T1328" s="53"/>
      <c r="U1328" s="53"/>
      <c r="V1328" s="53"/>
      <c r="W1328" s="53"/>
      <c r="X1328" s="53"/>
      <c r="Y1328" s="53"/>
      <c r="Z1328" s="53"/>
      <c r="AA1328" s="53"/>
      <c r="AB1328" s="53"/>
      <c r="AC1328" s="53"/>
    </row>
    <row r="1329">
      <c r="A1329" s="53"/>
      <c r="B1329" s="53"/>
      <c r="C1329" s="131"/>
      <c r="D1329" s="131"/>
      <c r="E1329" s="131"/>
      <c r="F1329" s="131"/>
      <c r="G1329" s="131"/>
      <c r="H1329" s="131"/>
      <c r="I1329" s="131"/>
      <c r="J1329" s="132"/>
      <c r="K1329" s="132"/>
      <c r="L1329" s="131"/>
      <c r="M1329" s="131"/>
      <c r="N1329" s="131"/>
      <c r="O1329" s="53"/>
      <c r="P1329" s="53"/>
      <c r="Q1329" s="53"/>
      <c r="R1329" s="53"/>
      <c r="S1329" s="53"/>
      <c r="T1329" s="53"/>
      <c r="U1329" s="53"/>
      <c r="V1329" s="53"/>
      <c r="W1329" s="53"/>
      <c r="X1329" s="53"/>
      <c r="Y1329" s="53"/>
      <c r="Z1329" s="53"/>
      <c r="AA1329" s="53"/>
      <c r="AB1329" s="53"/>
      <c r="AC1329" s="53"/>
    </row>
    <row r="1330">
      <c r="A1330" s="53"/>
      <c r="B1330" s="53"/>
      <c r="C1330" s="131"/>
      <c r="D1330" s="131"/>
      <c r="E1330" s="131"/>
      <c r="F1330" s="131"/>
      <c r="G1330" s="131"/>
      <c r="H1330" s="131"/>
      <c r="I1330" s="131"/>
      <c r="J1330" s="132"/>
      <c r="K1330" s="132"/>
      <c r="L1330" s="131"/>
      <c r="M1330" s="131"/>
      <c r="N1330" s="131"/>
      <c r="O1330" s="53"/>
      <c r="P1330" s="53"/>
      <c r="Q1330" s="53"/>
      <c r="R1330" s="53"/>
      <c r="S1330" s="53"/>
      <c r="T1330" s="53"/>
      <c r="U1330" s="53"/>
      <c r="V1330" s="53"/>
      <c r="W1330" s="53"/>
      <c r="X1330" s="53"/>
      <c r="Y1330" s="53"/>
      <c r="Z1330" s="53"/>
      <c r="AA1330" s="53"/>
      <c r="AB1330" s="53"/>
      <c r="AC1330" s="53"/>
    </row>
    <row r="1331">
      <c r="A1331" s="53"/>
      <c r="B1331" s="53"/>
      <c r="C1331" s="131"/>
      <c r="D1331" s="131"/>
      <c r="E1331" s="131"/>
      <c r="F1331" s="131"/>
      <c r="G1331" s="131"/>
      <c r="H1331" s="131"/>
      <c r="I1331" s="131"/>
      <c r="J1331" s="132"/>
      <c r="K1331" s="132"/>
      <c r="L1331" s="131"/>
      <c r="M1331" s="131"/>
      <c r="N1331" s="131"/>
      <c r="O1331" s="53"/>
      <c r="P1331" s="53"/>
      <c r="Q1331" s="53"/>
      <c r="R1331" s="53"/>
      <c r="S1331" s="53"/>
      <c r="T1331" s="53"/>
      <c r="U1331" s="53"/>
      <c r="V1331" s="53"/>
      <c r="W1331" s="53"/>
      <c r="X1331" s="53"/>
      <c r="Y1331" s="53"/>
      <c r="Z1331" s="53"/>
      <c r="AA1331" s="53"/>
      <c r="AB1331" s="53"/>
      <c r="AC1331" s="53"/>
    </row>
    <row r="1332">
      <c r="A1332" s="53"/>
      <c r="B1332" s="53"/>
      <c r="C1332" s="131"/>
      <c r="D1332" s="131"/>
      <c r="E1332" s="131"/>
      <c r="F1332" s="131"/>
      <c r="G1332" s="131"/>
      <c r="H1332" s="131"/>
      <c r="I1332" s="131"/>
      <c r="L1332" s="131"/>
      <c r="M1332" s="131"/>
      <c r="N1332" s="131"/>
      <c r="O1332" s="53"/>
      <c r="P1332" s="53"/>
      <c r="Q1332" s="53"/>
      <c r="R1332" s="53"/>
      <c r="S1332" s="53"/>
      <c r="T1332" s="53"/>
      <c r="U1332" s="53"/>
      <c r="V1332" s="53"/>
      <c r="W1332" s="53"/>
      <c r="X1332" s="53"/>
      <c r="Y1332" s="53"/>
      <c r="Z1332" s="53"/>
      <c r="AA1332" s="53"/>
      <c r="AB1332" s="53"/>
      <c r="AC1332" s="53"/>
    </row>
    <row r="1333">
      <c r="A1333" s="53"/>
      <c r="B1333" s="53"/>
      <c r="C1333" s="131"/>
      <c r="D1333" s="131"/>
      <c r="E1333" s="131"/>
      <c r="F1333" s="131"/>
      <c r="G1333" s="131"/>
      <c r="H1333" s="131"/>
      <c r="I1333" s="131"/>
      <c r="L1333" s="131"/>
      <c r="M1333" s="131"/>
      <c r="N1333" s="131"/>
      <c r="O1333" s="53"/>
      <c r="P1333" s="53"/>
      <c r="Q1333" s="53"/>
      <c r="R1333" s="53"/>
      <c r="S1333" s="53"/>
      <c r="T1333" s="53"/>
      <c r="U1333" s="53"/>
      <c r="V1333" s="53"/>
      <c r="W1333" s="53"/>
      <c r="X1333" s="53"/>
      <c r="Y1333" s="53"/>
      <c r="Z1333" s="53"/>
      <c r="AA1333" s="53"/>
      <c r="AB1333" s="53"/>
      <c r="AC1333" s="53"/>
    </row>
    <row r="1334">
      <c r="A1334" s="53"/>
      <c r="B1334" s="53"/>
      <c r="C1334" s="131"/>
      <c r="D1334" s="131"/>
      <c r="E1334" s="131"/>
      <c r="F1334" s="131"/>
      <c r="G1334" s="131"/>
      <c r="H1334" s="131"/>
      <c r="I1334" s="131"/>
      <c r="L1334" s="131"/>
      <c r="M1334" s="131"/>
      <c r="N1334" s="131"/>
      <c r="O1334" s="53"/>
      <c r="P1334" s="53"/>
      <c r="Q1334" s="53"/>
      <c r="R1334" s="53"/>
      <c r="S1334" s="53"/>
      <c r="T1334" s="53"/>
      <c r="U1334" s="53"/>
      <c r="V1334" s="53"/>
      <c r="W1334" s="53"/>
      <c r="X1334" s="53"/>
      <c r="Y1334" s="53"/>
      <c r="Z1334" s="53"/>
      <c r="AA1334" s="53"/>
      <c r="AB1334" s="53"/>
      <c r="AC1334" s="53"/>
    </row>
    <row r="1335">
      <c r="A1335" s="53"/>
      <c r="B1335" s="53"/>
      <c r="C1335" s="131"/>
      <c r="D1335" s="131"/>
      <c r="E1335" s="131"/>
      <c r="F1335" s="131"/>
      <c r="G1335" s="131"/>
      <c r="H1335" s="131"/>
      <c r="I1335" s="131"/>
      <c r="L1335" s="131"/>
      <c r="M1335" s="131"/>
      <c r="N1335" s="131"/>
      <c r="O1335" s="53"/>
      <c r="P1335" s="53"/>
      <c r="Q1335" s="53"/>
      <c r="R1335" s="53"/>
      <c r="S1335" s="53"/>
      <c r="T1335" s="53"/>
      <c r="U1335" s="53"/>
      <c r="V1335" s="53"/>
      <c r="W1335" s="53"/>
      <c r="X1335" s="53"/>
      <c r="Y1335" s="53"/>
      <c r="Z1335" s="53"/>
      <c r="AA1335" s="53"/>
      <c r="AB1335" s="53"/>
      <c r="AC1335" s="53"/>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14"/>
    <col customWidth="1" min="2" max="2" width="57.14"/>
    <col customWidth="1" min="3" max="3" width="101.43"/>
  </cols>
  <sheetData>
    <row r="1" ht="24.0" customHeight="1">
      <c r="A1" s="46" t="s">
        <v>414</v>
      </c>
      <c r="B1" s="45" t="s">
        <v>182</v>
      </c>
      <c r="C1" s="151" t="s">
        <v>415</v>
      </c>
      <c r="W1" s="48"/>
      <c r="X1" s="48"/>
      <c r="Y1" s="48"/>
      <c r="Z1" s="48"/>
      <c r="AA1" s="48"/>
      <c r="AB1" s="48"/>
      <c r="AC1" s="48"/>
      <c r="AD1" s="48"/>
      <c r="AE1" s="48"/>
      <c r="AF1" s="48"/>
      <c r="AG1" s="48"/>
      <c r="AH1" s="48"/>
      <c r="AI1" s="48"/>
      <c r="AJ1" s="48"/>
      <c r="AK1" s="48"/>
    </row>
    <row r="2" ht="24.0" customHeight="1">
      <c r="A2" s="46" t="s">
        <v>416</v>
      </c>
      <c r="B2" s="46" t="s">
        <v>183</v>
      </c>
      <c r="C2" s="151" t="s">
        <v>417</v>
      </c>
    </row>
    <row r="3" ht="24.0" customHeight="1">
      <c r="A3" s="46" t="s">
        <v>418</v>
      </c>
      <c r="B3" s="46" t="s">
        <v>184</v>
      </c>
      <c r="C3" s="151" t="s">
        <v>419</v>
      </c>
    </row>
    <row r="4" ht="24.0" customHeight="1">
      <c r="A4" s="46" t="s">
        <v>420</v>
      </c>
      <c r="B4" s="46" t="s">
        <v>185</v>
      </c>
      <c r="C4" s="151" t="s">
        <v>421</v>
      </c>
    </row>
    <row r="5" ht="24.0" customHeight="1">
      <c r="A5" s="46" t="s">
        <v>422</v>
      </c>
      <c r="B5" s="46" t="s">
        <v>186</v>
      </c>
      <c r="C5" s="151" t="s">
        <v>423</v>
      </c>
    </row>
    <row r="6" ht="24.0" customHeight="1">
      <c r="A6" s="46" t="s">
        <v>424</v>
      </c>
      <c r="B6" s="46" t="s">
        <v>187</v>
      </c>
      <c r="C6" s="151" t="s">
        <v>425</v>
      </c>
    </row>
    <row r="7" ht="24.0" customHeight="1">
      <c r="A7" s="46" t="s">
        <v>426</v>
      </c>
      <c r="B7" s="46" t="s">
        <v>188</v>
      </c>
      <c r="C7" s="151" t="s">
        <v>427</v>
      </c>
    </row>
    <row r="8" ht="24.0" customHeight="1">
      <c r="A8" s="46" t="s">
        <v>428</v>
      </c>
      <c r="B8" s="46" t="s">
        <v>189</v>
      </c>
      <c r="C8" s="152" t="s">
        <v>429</v>
      </c>
    </row>
    <row r="9" ht="24.0" customHeight="1">
      <c r="A9" s="47" t="s">
        <v>430</v>
      </c>
      <c r="B9" s="46" t="s">
        <v>190</v>
      </c>
      <c r="C9" s="151" t="s">
        <v>431</v>
      </c>
    </row>
    <row r="10" ht="24.0" customHeight="1">
      <c r="A10" s="153" t="s">
        <v>432</v>
      </c>
      <c r="B10" s="47" t="s">
        <v>191</v>
      </c>
      <c r="C10" s="151" t="s">
        <v>433</v>
      </c>
    </row>
    <row r="11" ht="24.0" customHeight="1">
      <c r="A11" s="154" t="s">
        <v>434</v>
      </c>
      <c r="B11" s="47" t="s">
        <v>192</v>
      </c>
      <c r="C11" s="151" t="s">
        <v>435</v>
      </c>
    </row>
    <row r="12" ht="24.0" customHeight="1">
      <c r="A12" s="154" t="s">
        <v>436</v>
      </c>
      <c r="B12" s="46" t="s">
        <v>193</v>
      </c>
      <c r="C12" s="151" t="s">
        <v>437</v>
      </c>
    </row>
    <row r="13" ht="24.0" customHeight="1">
      <c r="A13" s="154" t="s">
        <v>438</v>
      </c>
      <c r="B13" s="46" t="s">
        <v>194</v>
      </c>
      <c r="C13" s="151" t="s">
        <v>439</v>
      </c>
    </row>
    <row r="14" ht="24.0" customHeight="1">
      <c r="A14" s="155" t="s">
        <v>440</v>
      </c>
      <c r="B14" s="45" t="s">
        <v>195</v>
      </c>
      <c r="C14" s="151" t="s">
        <v>441</v>
      </c>
    </row>
    <row r="15" ht="24.0" customHeight="1">
      <c r="A15" s="156"/>
      <c r="B15" s="133"/>
      <c r="C15" s="24"/>
    </row>
    <row r="16" ht="24.0" customHeight="1">
      <c r="A16" s="156"/>
      <c r="B16" s="157"/>
      <c r="C16" s="24"/>
    </row>
    <row r="17" ht="24.0" customHeight="1">
      <c r="A17" s="156"/>
      <c r="B17" s="157"/>
      <c r="C17" s="24"/>
    </row>
    <row r="18" ht="24.0" customHeight="1">
      <c r="A18" s="156"/>
      <c r="B18" s="157"/>
      <c r="C18" s="24"/>
    </row>
    <row r="19" ht="24.0" customHeight="1">
      <c r="A19" s="156"/>
      <c r="B19" s="157"/>
      <c r="C19" s="24"/>
    </row>
    <row r="20" ht="24.0" customHeight="1">
      <c r="A20" s="156"/>
      <c r="B20" s="157"/>
      <c r="C20" s="24"/>
    </row>
    <row r="21" ht="24.0" customHeight="1">
      <c r="B21" s="157"/>
      <c r="C21" s="24"/>
    </row>
    <row r="22">
      <c r="C22" s="24"/>
    </row>
    <row r="23">
      <c r="C23" s="24"/>
    </row>
    <row r="24">
      <c r="C24" s="24"/>
    </row>
    <row r="25">
      <c r="C25" s="24"/>
    </row>
    <row r="26">
      <c r="C26" s="24"/>
    </row>
    <row r="27">
      <c r="C27" s="24"/>
    </row>
    <row r="28">
      <c r="C28" s="24"/>
    </row>
    <row r="29">
      <c r="C29" s="24"/>
    </row>
    <row r="30">
      <c r="C30" s="24"/>
    </row>
    <row r="31">
      <c r="C31" s="24"/>
    </row>
    <row r="32">
      <c r="C32" s="24"/>
    </row>
    <row r="33">
      <c r="C33" s="24"/>
    </row>
    <row r="34">
      <c r="C34" s="24"/>
    </row>
    <row r="35">
      <c r="C35" s="24"/>
    </row>
    <row r="36">
      <c r="C36" s="24"/>
    </row>
    <row r="37">
      <c r="C37" s="24"/>
    </row>
    <row r="38">
      <c r="C38" s="24"/>
    </row>
    <row r="39">
      <c r="C39" s="24"/>
    </row>
    <row r="40">
      <c r="C40" s="24"/>
    </row>
    <row r="41">
      <c r="C41" s="24"/>
    </row>
    <row r="42">
      <c r="C42" s="24"/>
    </row>
    <row r="43">
      <c r="C43" s="24"/>
    </row>
    <row r="44">
      <c r="C44" s="24"/>
    </row>
    <row r="45">
      <c r="C45" s="24"/>
    </row>
    <row r="46">
      <c r="C46" s="24"/>
    </row>
    <row r="47">
      <c r="C47" s="24"/>
    </row>
    <row r="48">
      <c r="C48" s="24"/>
    </row>
    <row r="49">
      <c r="C49" s="24"/>
    </row>
    <row r="50">
      <c r="C50" s="24"/>
    </row>
    <row r="51">
      <c r="C51" s="24"/>
    </row>
    <row r="52">
      <c r="C52" s="24"/>
    </row>
    <row r="53">
      <c r="C53" s="24"/>
    </row>
    <row r="54">
      <c r="C54" s="24"/>
    </row>
    <row r="55">
      <c r="C55" s="24"/>
    </row>
    <row r="56">
      <c r="C56" s="24"/>
    </row>
    <row r="57">
      <c r="C57" s="24"/>
    </row>
    <row r="58">
      <c r="C58" s="24"/>
    </row>
    <row r="59">
      <c r="C59" s="24"/>
    </row>
    <row r="60">
      <c r="C60" s="24"/>
    </row>
    <row r="61">
      <c r="C61" s="24"/>
    </row>
    <row r="62">
      <c r="C62" s="24"/>
    </row>
    <row r="63">
      <c r="C63" s="24"/>
    </row>
    <row r="64">
      <c r="C64" s="24"/>
    </row>
    <row r="65">
      <c r="C65" s="24"/>
    </row>
    <row r="66">
      <c r="C66" s="24"/>
    </row>
    <row r="67">
      <c r="C67" s="24"/>
    </row>
    <row r="68">
      <c r="C68" s="24"/>
    </row>
    <row r="69">
      <c r="C69" s="24"/>
    </row>
    <row r="70">
      <c r="C70" s="24"/>
    </row>
    <row r="71">
      <c r="C71" s="24"/>
    </row>
    <row r="72">
      <c r="C72" s="24"/>
    </row>
    <row r="73">
      <c r="C73" s="24"/>
    </row>
    <row r="74">
      <c r="C74" s="24"/>
    </row>
    <row r="75">
      <c r="C75" s="24"/>
    </row>
    <row r="76">
      <c r="C76" s="24"/>
    </row>
    <row r="77">
      <c r="C77" s="24"/>
    </row>
    <row r="78">
      <c r="C78" s="24"/>
    </row>
    <row r="79">
      <c r="C79" s="24"/>
    </row>
    <row r="80">
      <c r="C80" s="24"/>
    </row>
    <row r="81">
      <c r="C81" s="24"/>
    </row>
    <row r="82">
      <c r="C82" s="24"/>
    </row>
    <row r="83">
      <c r="C83" s="24"/>
    </row>
    <row r="84">
      <c r="C84" s="24"/>
    </row>
    <row r="85">
      <c r="C85" s="24"/>
    </row>
    <row r="86">
      <c r="C86" s="24"/>
    </row>
    <row r="87">
      <c r="C87" s="24"/>
    </row>
    <row r="88">
      <c r="C88" s="24"/>
    </row>
    <row r="89">
      <c r="C89" s="24"/>
    </row>
    <row r="90">
      <c r="C90" s="24"/>
    </row>
    <row r="91">
      <c r="C91" s="24"/>
    </row>
    <row r="92">
      <c r="C92" s="24"/>
    </row>
    <row r="93">
      <c r="C93" s="24"/>
    </row>
    <row r="94">
      <c r="C94" s="24"/>
    </row>
    <row r="95">
      <c r="C95" s="24"/>
    </row>
    <row r="96">
      <c r="C96" s="24"/>
    </row>
    <row r="97">
      <c r="C97" s="24"/>
    </row>
    <row r="98">
      <c r="C98" s="24"/>
    </row>
    <row r="99">
      <c r="C99" s="24"/>
    </row>
    <row r="100">
      <c r="C100" s="24"/>
    </row>
    <row r="101">
      <c r="C101" s="24"/>
    </row>
    <row r="102">
      <c r="C102" s="24"/>
    </row>
    <row r="103">
      <c r="C103" s="24"/>
    </row>
    <row r="104">
      <c r="C104" s="24"/>
    </row>
    <row r="105">
      <c r="C105" s="24"/>
    </row>
    <row r="106">
      <c r="C106" s="24"/>
    </row>
    <row r="107">
      <c r="C107" s="24"/>
    </row>
    <row r="108">
      <c r="C108" s="24"/>
    </row>
    <row r="109">
      <c r="C109" s="24"/>
    </row>
    <row r="110">
      <c r="C110" s="24"/>
    </row>
    <row r="111">
      <c r="C111" s="24"/>
    </row>
    <row r="112">
      <c r="C112" s="24"/>
    </row>
    <row r="113">
      <c r="C113" s="24"/>
    </row>
    <row r="114">
      <c r="C114" s="24"/>
    </row>
    <row r="115">
      <c r="C115" s="24"/>
    </row>
    <row r="116">
      <c r="C116" s="24"/>
    </row>
    <row r="117">
      <c r="C117" s="24"/>
    </row>
    <row r="118">
      <c r="C118" s="24"/>
    </row>
    <row r="119">
      <c r="C119" s="24"/>
    </row>
    <row r="120">
      <c r="C120" s="24"/>
    </row>
    <row r="121">
      <c r="C121" s="24"/>
    </row>
    <row r="122">
      <c r="C122" s="24"/>
    </row>
    <row r="123">
      <c r="C123" s="24"/>
    </row>
    <row r="124">
      <c r="C124" s="24"/>
    </row>
    <row r="125">
      <c r="C125" s="24"/>
    </row>
    <row r="126">
      <c r="C126" s="24"/>
    </row>
    <row r="127">
      <c r="C127" s="24"/>
    </row>
    <row r="128">
      <c r="C128" s="24"/>
    </row>
    <row r="129">
      <c r="C129" s="24"/>
    </row>
    <row r="130">
      <c r="C130" s="24"/>
    </row>
    <row r="131">
      <c r="C131" s="24"/>
    </row>
    <row r="132">
      <c r="C132" s="24"/>
    </row>
    <row r="133">
      <c r="C133" s="24"/>
    </row>
    <row r="134">
      <c r="C134" s="24"/>
    </row>
    <row r="135">
      <c r="C135" s="24"/>
    </row>
    <row r="136">
      <c r="C136" s="24"/>
    </row>
    <row r="137">
      <c r="C137" s="24"/>
    </row>
    <row r="138">
      <c r="C138" s="24"/>
    </row>
    <row r="139">
      <c r="C139" s="24"/>
    </row>
    <row r="140">
      <c r="C140" s="24"/>
    </row>
    <row r="141">
      <c r="C141" s="24"/>
    </row>
    <row r="142">
      <c r="C142" s="24"/>
    </row>
    <row r="143">
      <c r="C143" s="24"/>
    </row>
    <row r="144">
      <c r="C144" s="24"/>
    </row>
    <row r="145">
      <c r="C145" s="24"/>
    </row>
    <row r="146">
      <c r="C146" s="24"/>
    </row>
    <row r="147">
      <c r="C147" s="24"/>
    </row>
    <row r="148">
      <c r="C148" s="24"/>
    </row>
    <row r="149">
      <c r="C149" s="24"/>
    </row>
    <row r="150">
      <c r="C150" s="24"/>
    </row>
    <row r="151">
      <c r="C151" s="24"/>
    </row>
    <row r="152">
      <c r="C152" s="24"/>
    </row>
    <row r="153">
      <c r="C153" s="24"/>
    </row>
    <row r="154">
      <c r="C154" s="24"/>
    </row>
    <row r="155">
      <c r="C155" s="24"/>
    </row>
    <row r="156">
      <c r="C156" s="24"/>
    </row>
    <row r="157">
      <c r="C157" s="24"/>
    </row>
    <row r="158">
      <c r="C158" s="24"/>
    </row>
    <row r="159">
      <c r="C159" s="24"/>
    </row>
    <row r="160">
      <c r="C160" s="24"/>
    </row>
    <row r="161">
      <c r="C161" s="24"/>
    </row>
    <row r="162">
      <c r="C162" s="24"/>
    </row>
    <row r="163">
      <c r="C163" s="24"/>
    </row>
    <row r="164">
      <c r="C164" s="24"/>
    </row>
    <row r="165">
      <c r="C165" s="24"/>
    </row>
    <row r="166">
      <c r="C166" s="24"/>
    </row>
    <row r="167">
      <c r="C167" s="24"/>
    </row>
    <row r="168">
      <c r="C168" s="24"/>
    </row>
    <row r="169">
      <c r="C169" s="24"/>
    </row>
    <row r="170">
      <c r="C170" s="24"/>
    </row>
    <row r="171">
      <c r="C171" s="24"/>
    </row>
    <row r="172">
      <c r="C172" s="24"/>
    </row>
    <row r="173">
      <c r="C173" s="24"/>
    </row>
    <row r="174">
      <c r="C174" s="24"/>
    </row>
    <row r="175">
      <c r="C175" s="24"/>
    </row>
    <row r="176">
      <c r="C176" s="24"/>
    </row>
    <row r="177">
      <c r="C177" s="24"/>
    </row>
    <row r="178">
      <c r="C178" s="24"/>
    </row>
    <row r="179">
      <c r="C179" s="24"/>
    </row>
    <row r="180">
      <c r="C180" s="24"/>
    </row>
    <row r="181">
      <c r="C181" s="24"/>
    </row>
    <row r="182">
      <c r="C182" s="24"/>
    </row>
    <row r="183">
      <c r="C183" s="24"/>
    </row>
    <row r="184">
      <c r="C184" s="24"/>
    </row>
    <row r="185">
      <c r="C185" s="24"/>
    </row>
    <row r="186">
      <c r="C186" s="24"/>
    </row>
    <row r="187">
      <c r="C187" s="24"/>
    </row>
    <row r="188">
      <c r="C188" s="24"/>
    </row>
    <row r="189">
      <c r="C189" s="24"/>
    </row>
    <row r="190">
      <c r="C190" s="24"/>
    </row>
    <row r="191">
      <c r="C191" s="24"/>
    </row>
    <row r="192">
      <c r="C192" s="24"/>
    </row>
    <row r="193">
      <c r="C193" s="24"/>
    </row>
    <row r="194">
      <c r="C194" s="24"/>
    </row>
    <row r="195">
      <c r="C195" s="24"/>
    </row>
    <row r="196">
      <c r="C196" s="24"/>
    </row>
    <row r="197">
      <c r="C197" s="24"/>
    </row>
    <row r="198">
      <c r="C198" s="24"/>
    </row>
    <row r="199">
      <c r="C199" s="24"/>
    </row>
    <row r="200">
      <c r="C200" s="24"/>
    </row>
    <row r="201">
      <c r="C201" s="24"/>
    </row>
    <row r="202">
      <c r="C202" s="24"/>
    </row>
    <row r="203">
      <c r="C203" s="24"/>
    </row>
    <row r="204">
      <c r="C204" s="24"/>
    </row>
    <row r="205">
      <c r="C205" s="24"/>
    </row>
    <row r="206">
      <c r="C206" s="24"/>
    </row>
    <row r="207">
      <c r="C207" s="24"/>
    </row>
    <row r="208">
      <c r="C208" s="24"/>
    </row>
    <row r="209">
      <c r="C209" s="24"/>
    </row>
    <row r="210">
      <c r="C210" s="24"/>
    </row>
    <row r="211">
      <c r="C211" s="24"/>
    </row>
    <row r="212">
      <c r="C212" s="24"/>
    </row>
    <row r="213">
      <c r="C213" s="24"/>
    </row>
    <row r="214">
      <c r="C214" s="24"/>
    </row>
    <row r="215">
      <c r="C215" s="24"/>
    </row>
    <row r="216">
      <c r="C216" s="24"/>
    </row>
    <row r="217">
      <c r="C217" s="24"/>
    </row>
    <row r="218">
      <c r="C218" s="24"/>
    </row>
    <row r="219">
      <c r="C219" s="24"/>
    </row>
    <row r="220">
      <c r="C220" s="24"/>
    </row>
    <row r="221">
      <c r="C221" s="24"/>
    </row>
    <row r="222">
      <c r="C222" s="24"/>
    </row>
    <row r="223">
      <c r="C223" s="24"/>
    </row>
    <row r="224">
      <c r="C224" s="24"/>
    </row>
    <row r="225">
      <c r="C225" s="24"/>
    </row>
    <row r="226">
      <c r="C226" s="24"/>
    </row>
    <row r="227">
      <c r="C227" s="24"/>
    </row>
    <row r="228">
      <c r="C228" s="24"/>
    </row>
    <row r="229">
      <c r="C229" s="24"/>
    </row>
    <row r="230">
      <c r="C230" s="24"/>
    </row>
    <row r="231">
      <c r="C231" s="24"/>
    </row>
    <row r="232">
      <c r="C232" s="24"/>
    </row>
    <row r="233">
      <c r="C233" s="24"/>
    </row>
    <row r="234">
      <c r="C234" s="24"/>
    </row>
    <row r="235">
      <c r="C235" s="24"/>
    </row>
    <row r="236">
      <c r="C236" s="24"/>
    </row>
    <row r="237">
      <c r="C237" s="24"/>
    </row>
    <row r="238">
      <c r="C238" s="24"/>
    </row>
    <row r="239">
      <c r="C239" s="24"/>
    </row>
    <row r="240">
      <c r="C240" s="24"/>
    </row>
    <row r="241">
      <c r="C241" s="24"/>
    </row>
    <row r="242">
      <c r="C242" s="24"/>
    </row>
    <row r="243">
      <c r="C243" s="24"/>
    </row>
    <row r="244">
      <c r="C244" s="24"/>
    </row>
    <row r="245">
      <c r="C245" s="24"/>
    </row>
    <row r="246">
      <c r="C246" s="24"/>
    </row>
    <row r="247">
      <c r="C247" s="24"/>
    </row>
    <row r="248">
      <c r="C248" s="24"/>
    </row>
    <row r="249">
      <c r="C249" s="24"/>
    </row>
    <row r="250">
      <c r="C250" s="24"/>
    </row>
    <row r="251">
      <c r="C251" s="24"/>
    </row>
    <row r="252">
      <c r="C252" s="24"/>
    </row>
    <row r="253">
      <c r="C253" s="24"/>
    </row>
    <row r="254">
      <c r="C254" s="24"/>
    </row>
    <row r="255">
      <c r="C255" s="24"/>
    </row>
    <row r="256">
      <c r="C256" s="24"/>
    </row>
    <row r="257">
      <c r="C257" s="24"/>
    </row>
    <row r="258">
      <c r="C258" s="24"/>
    </row>
    <row r="259">
      <c r="C259" s="24"/>
    </row>
    <row r="260">
      <c r="C260" s="24"/>
    </row>
    <row r="261">
      <c r="C261" s="24"/>
    </row>
    <row r="262">
      <c r="C262" s="24"/>
    </row>
    <row r="263">
      <c r="C263" s="24"/>
    </row>
    <row r="264">
      <c r="C264" s="24"/>
    </row>
    <row r="265">
      <c r="C265" s="24"/>
    </row>
    <row r="266">
      <c r="C266" s="24"/>
    </row>
    <row r="267">
      <c r="C267" s="24"/>
    </row>
    <row r="268">
      <c r="C268" s="24"/>
    </row>
    <row r="269">
      <c r="C269" s="24"/>
    </row>
    <row r="270">
      <c r="C270" s="24"/>
    </row>
    <row r="271">
      <c r="C271" s="24"/>
    </row>
    <row r="272">
      <c r="C272" s="24"/>
    </row>
    <row r="273">
      <c r="C273" s="24"/>
    </row>
    <row r="274">
      <c r="C274" s="24"/>
    </row>
    <row r="275">
      <c r="C275" s="24"/>
    </row>
    <row r="276">
      <c r="C276" s="24"/>
    </row>
    <row r="277">
      <c r="C277" s="24"/>
    </row>
    <row r="278">
      <c r="C278" s="24"/>
    </row>
    <row r="279">
      <c r="C279" s="24"/>
    </row>
    <row r="280">
      <c r="C280" s="24"/>
    </row>
    <row r="281">
      <c r="C281" s="24"/>
    </row>
    <row r="282">
      <c r="C282" s="24"/>
    </row>
    <row r="283">
      <c r="C283" s="24"/>
    </row>
    <row r="284">
      <c r="C284" s="24"/>
    </row>
    <row r="285">
      <c r="C285" s="24"/>
    </row>
    <row r="286">
      <c r="C286" s="24"/>
    </row>
    <row r="287">
      <c r="C287" s="24"/>
    </row>
    <row r="288">
      <c r="C288" s="24"/>
    </row>
    <row r="289">
      <c r="C289" s="24"/>
    </row>
    <row r="290">
      <c r="C290" s="24"/>
    </row>
    <row r="291">
      <c r="C291" s="24"/>
    </row>
    <row r="292">
      <c r="C292" s="24"/>
    </row>
    <row r="293">
      <c r="C293" s="24"/>
    </row>
    <row r="294">
      <c r="C294" s="24"/>
    </row>
    <row r="295">
      <c r="C295" s="24"/>
    </row>
    <row r="296">
      <c r="C296" s="24"/>
    </row>
    <row r="297">
      <c r="C297" s="24"/>
    </row>
    <row r="298">
      <c r="C298" s="24"/>
    </row>
    <row r="299">
      <c r="C299" s="24"/>
    </row>
    <row r="300">
      <c r="C300" s="24"/>
    </row>
    <row r="301">
      <c r="C301" s="24"/>
    </row>
    <row r="302">
      <c r="C302" s="24"/>
    </row>
    <row r="303">
      <c r="C303" s="24"/>
    </row>
    <row r="304">
      <c r="C304" s="24"/>
    </row>
    <row r="305">
      <c r="C305" s="24"/>
    </row>
    <row r="306">
      <c r="C306" s="24"/>
    </row>
    <row r="307">
      <c r="C307" s="24"/>
    </row>
    <row r="308">
      <c r="C308" s="24"/>
    </row>
    <row r="309">
      <c r="C309" s="24"/>
    </row>
    <row r="310">
      <c r="C310" s="24"/>
    </row>
    <row r="311">
      <c r="C311" s="24"/>
    </row>
    <row r="312">
      <c r="C312" s="24"/>
    </row>
    <row r="313">
      <c r="C313" s="24"/>
    </row>
    <row r="314">
      <c r="C314" s="24"/>
    </row>
    <row r="315">
      <c r="C315" s="24"/>
    </row>
    <row r="316">
      <c r="C316" s="24"/>
    </row>
    <row r="317">
      <c r="C317" s="24"/>
    </row>
    <row r="318">
      <c r="C318" s="24"/>
    </row>
    <row r="319">
      <c r="C319" s="24"/>
    </row>
    <row r="320">
      <c r="C320" s="24"/>
    </row>
    <row r="321">
      <c r="C321" s="24"/>
    </row>
    <row r="322">
      <c r="C322" s="24"/>
    </row>
    <row r="323">
      <c r="C323" s="24"/>
    </row>
    <row r="324">
      <c r="C324" s="24"/>
    </row>
    <row r="325">
      <c r="C325" s="24"/>
    </row>
    <row r="326">
      <c r="C326" s="24"/>
    </row>
    <row r="327">
      <c r="C327" s="24"/>
    </row>
    <row r="328">
      <c r="C328" s="24"/>
    </row>
    <row r="329">
      <c r="C329" s="24"/>
    </row>
    <row r="330">
      <c r="C330" s="24"/>
    </row>
    <row r="331">
      <c r="C331" s="24"/>
    </row>
    <row r="332">
      <c r="C332" s="24"/>
    </row>
    <row r="333">
      <c r="C333" s="24"/>
    </row>
    <row r="334">
      <c r="C334" s="24"/>
    </row>
    <row r="335">
      <c r="C335" s="24"/>
    </row>
    <row r="336">
      <c r="C336" s="24"/>
    </row>
    <row r="337">
      <c r="C337" s="24"/>
    </row>
    <row r="338">
      <c r="C338" s="24"/>
    </row>
    <row r="339">
      <c r="C339" s="24"/>
    </row>
    <row r="340">
      <c r="C340" s="24"/>
    </row>
    <row r="341">
      <c r="C341" s="24"/>
    </row>
    <row r="342">
      <c r="C342" s="24"/>
    </row>
    <row r="343">
      <c r="C343" s="24"/>
    </row>
    <row r="344">
      <c r="C344" s="24"/>
    </row>
    <row r="345">
      <c r="C345" s="24"/>
    </row>
    <row r="346">
      <c r="C346" s="24"/>
    </row>
    <row r="347">
      <c r="C347" s="24"/>
    </row>
    <row r="348">
      <c r="C348" s="24"/>
    </row>
    <row r="349">
      <c r="C349" s="24"/>
    </row>
    <row r="350">
      <c r="C350" s="24"/>
    </row>
    <row r="351">
      <c r="C351" s="24"/>
    </row>
    <row r="352">
      <c r="C352" s="24"/>
    </row>
    <row r="353">
      <c r="C353" s="24"/>
    </row>
    <row r="354">
      <c r="C354" s="24"/>
    </row>
    <row r="355">
      <c r="C355" s="24"/>
    </row>
    <row r="356">
      <c r="C356" s="24"/>
    </row>
    <row r="357">
      <c r="C357" s="24"/>
    </row>
    <row r="358">
      <c r="C358" s="24"/>
    </row>
    <row r="359">
      <c r="C359" s="24"/>
    </row>
    <row r="360">
      <c r="C360" s="24"/>
    </row>
    <row r="361">
      <c r="C361" s="24"/>
    </row>
    <row r="362">
      <c r="C362" s="24"/>
    </row>
    <row r="363">
      <c r="C363" s="24"/>
    </row>
    <row r="364">
      <c r="C364" s="24"/>
    </row>
    <row r="365">
      <c r="C365" s="24"/>
    </row>
    <row r="366">
      <c r="C366" s="24"/>
    </row>
    <row r="367">
      <c r="C367" s="24"/>
    </row>
    <row r="368">
      <c r="C368" s="24"/>
    </row>
    <row r="369">
      <c r="C369" s="24"/>
    </row>
    <row r="370">
      <c r="C370" s="24"/>
    </row>
    <row r="371">
      <c r="C371" s="24"/>
    </row>
    <row r="372">
      <c r="C372" s="24"/>
    </row>
    <row r="373">
      <c r="C373" s="24"/>
    </row>
    <row r="374">
      <c r="C374" s="24"/>
    </row>
    <row r="375">
      <c r="C375" s="24"/>
    </row>
    <row r="376">
      <c r="C376" s="24"/>
    </row>
    <row r="377">
      <c r="C377" s="24"/>
    </row>
    <row r="378">
      <c r="C378" s="24"/>
    </row>
    <row r="379">
      <c r="C379" s="24"/>
    </row>
    <row r="380">
      <c r="C380" s="24"/>
    </row>
    <row r="381">
      <c r="C381" s="24"/>
    </row>
    <row r="382">
      <c r="C382" s="24"/>
    </row>
    <row r="383">
      <c r="C383" s="24"/>
    </row>
    <row r="384">
      <c r="C384" s="24"/>
    </row>
    <row r="385">
      <c r="C385" s="24"/>
    </row>
    <row r="386">
      <c r="C386" s="24"/>
    </row>
    <row r="387">
      <c r="C387" s="24"/>
    </row>
    <row r="388">
      <c r="C388" s="24"/>
    </row>
    <row r="389">
      <c r="C389" s="24"/>
    </row>
    <row r="390">
      <c r="C390" s="24"/>
    </row>
    <row r="391">
      <c r="C391" s="24"/>
    </row>
    <row r="392">
      <c r="C392" s="24"/>
    </row>
    <row r="393">
      <c r="C393" s="24"/>
    </row>
    <row r="394">
      <c r="C394" s="24"/>
    </row>
    <row r="395">
      <c r="C395" s="24"/>
    </row>
    <row r="396">
      <c r="C396" s="24"/>
    </row>
    <row r="397">
      <c r="C397" s="24"/>
    </row>
    <row r="398">
      <c r="C398" s="24"/>
    </row>
    <row r="399">
      <c r="C399" s="24"/>
    </row>
    <row r="400">
      <c r="C400" s="24"/>
    </row>
    <row r="401">
      <c r="C401" s="24"/>
    </row>
    <row r="402">
      <c r="C402" s="24"/>
    </row>
    <row r="403">
      <c r="C403" s="24"/>
    </row>
    <row r="404">
      <c r="C404" s="24"/>
    </row>
    <row r="405">
      <c r="C405" s="24"/>
    </row>
    <row r="406">
      <c r="C406" s="24"/>
    </row>
    <row r="407">
      <c r="C407" s="24"/>
    </row>
    <row r="408">
      <c r="C408" s="24"/>
    </row>
    <row r="409">
      <c r="C409" s="24"/>
    </row>
    <row r="410">
      <c r="C410" s="24"/>
    </row>
    <row r="411">
      <c r="C411" s="24"/>
    </row>
    <row r="412">
      <c r="C412" s="24"/>
    </row>
    <row r="413">
      <c r="C413" s="24"/>
    </row>
    <row r="414">
      <c r="C414" s="24"/>
    </row>
    <row r="415">
      <c r="C415" s="24"/>
    </row>
    <row r="416">
      <c r="C416" s="24"/>
    </row>
    <row r="417">
      <c r="C417" s="24"/>
    </row>
    <row r="418">
      <c r="C418" s="24"/>
    </row>
    <row r="419">
      <c r="C419" s="24"/>
    </row>
    <row r="420">
      <c r="C420" s="24"/>
    </row>
    <row r="421">
      <c r="C421" s="24"/>
    </row>
    <row r="422">
      <c r="C422" s="24"/>
    </row>
    <row r="423">
      <c r="C423" s="24"/>
    </row>
    <row r="424">
      <c r="C424" s="24"/>
    </row>
    <row r="425">
      <c r="C425" s="24"/>
    </row>
    <row r="426">
      <c r="C426" s="24"/>
    </row>
    <row r="427">
      <c r="C427" s="24"/>
    </row>
    <row r="428">
      <c r="C428" s="24"/>
    </row>
    <row r="429">
      <c r="C429" s="24"/>
    </row>
    <row r="430">
      <c r="C430" s="24"/>
    </row>
    <row r="431">
      <c r="C431" s="24"/>
    </row>
    <row r="432">
      <c r="C432" s="24"/>
    </row>
    <row r="433">
      <c r="C433" s="24"/>
    </row>
    <row r="434">
      <c r="C434" s="24"/>
    </row>
    <row r="435">
      <c r="C435" s="24"/>
    </row>
    <row r="436">
      <c r="C436" s="24"/>
    </row>
    <row r="437">
      <c r="C437" s="24"/>
    </row>
    <row r="438">
      <c r="C438" s="24"/>
    </row>
    <row r="439">
      <c r="C439" s="24"/>
    </row>
    <row r="440">
      <c r="C440" s="24"/>
    </row>
    <row r="441">
      <c r="C441" s="24"/>
    </row>
    <row r="442">
      <c r="C442" s="24"/>
    </row>
    <row r="443">
      <c r="C443" s="24"/>
    </row>
    <row r="444">
      <c r="C444" s="24"/>
    </row>
    <row r="445">
      <c r="C445" s="24"/>
    </row>
    <row r="446">
      <c r="C446" s="24"/>
    </row>
    <row r="447">
      <c r="C447" s="24"/>
    </row>
    <row r="448">
      <c r="C448" s="24"/>
    </row>
    <row r="449">
      <c r="C449" s="24"/>
    </row>
    <row r="450">
      <c r="C450" s="24"/>
    </row>
    <row r="451">
      <c r="C451" s="24"/>
    </row>
    <row r="452">
      <c r="C452" s="24"/>
    </row>
    <row r="453">
      <c r="C453" s="24"/>
    </row>
    <row r="454">
      <c r="C454" s="24"/>
    </row>
    <row r="455">
      <c r="C455" s="24"/>
    </row>
    <row r="456">
      <c r="C456" s="24"/>
    </row>
    <row r="457">
      <c r="C457" s="24"/>
    </row>
    <row r="458">
      <c r="C458" s="24"/>
    </row>
    <row r="459">
      <c r="C459" s="24"/>
    </row>
    <row r="460">
      <c r="C460" s="24"/>
    </row>
    <row r="461">
      <c r="C461" s="24"/>
    </row>
    <row r="462">
      <c r="C462" s="24"/>
    </row>
    <row r="463">
      <c r="C463" s="24"/>
    </row>
    <row r="464">
      <c r="C464" s="24"/>
    </row>
    <row r="465">
      <c r="C465" s="24"/>
    </row>
    <row r="466">
      <c r="C466" s="24"/>
    </row>
    <row r="467">
      <c r="C467" s="24"/>
    </row>
    <row r="468">
      <c r="C468" s="24"/>
    </row>
    <row r="469">
      <c r="C469" s="24"/>
    </row>
    <row r="470">
      <c r="C470" s="24"/>
    </row>
    <row r="471">
      <c r="C471" s="24"/>
    </row>
    <row r="472">
      <c r="C472" s="24"/>
    </row>
    <row r="473">
      <c r="C473" s="24"/>
    </row>
    <row r="474">
      <c r="C474" s="24"/>
    </row>
    <row r="475">
      <c r="C475" s="24"/>
    </row>
    <row r="476">
      <c r="C476" s="24"/>
    </row>
    <row r="477">
      <c r="C477" s="24"/>
    </row>
    <row r="478">
      <c r="C478" s="24"/>
    </row>
    <row r="479">
      <c r="C479" s="24"/>
    </row>
    <row r="480">
      <c r="C480" s="24"/>
    </row>
    <row r="481">
      <c r="C481" s="24"/>
    </row>
    <row r="482">
      <c r="C482" s="24"/>
    </row>
    <row r="483">
      <c r="C483" s="24"/>
    </row>
    <row r="484">
      <c r="C484" s="24"/>
    </row>
    <row r="485">
      <c r="C485" s="24"/>
    </row>
    <row r="486">
      <c r="C486" s="24"/>
    </row>
    <row r="487">
      <c r="C487" s="24"/>
    </row>
    <row r="488">
      <c r="C488" s="24"/>
    </row>
    <row r="489">
      <c r="C489" s="24"/>
    </row>
    <row r="490">
      <c r="C490" s="24"/>
    </row>
    <row r="491">
      <c r="C491" s="24"/>
    </row>
    <row r="492">
      <c r="C492" s="24"/>
    </row>
    <row r="493">
      <c r="C493" s="24"/>
    </row>
    <row r="494">
      <c r="C494" s="24"/>
    </row>
    <row r="495">
      <c r="C495" s="24"/>
    </row>
    <row r="496">
      <c r="C496" s="24"/>
    </row>
    <row r="497">
      <c r="C497" s="24"/>
    </row>
    <row r="498">
      <c r="C498" s="24"/>
    </row>
    <row r="499">
      <c r="C499" s="24"/>
    </row>
    <row r="500">
      <c r="C500" s="24"/>
    </row>
    <row r="501">
      <c r="C501" s="24"/>
    </row>
    <row r="502">
      <c r="C502" s="24"/>
    </row>
    <row r="503">
      <c r="C503" s="24"/>
    </row>
    <row r="504">
      <c r="C504" s="24"/>
    </row>
    <row r="505">
      <c r="C505" s="24"/>
    </row>
    <row r="506">
      <c r="C506" s="24"/>
    </row>
    <row r="507">
      <c r="C507" s="24"/>
    </row>
    <row r="508">
      <c r="C508" s="24"/>
    </row>
    <row r="509">
      <c r="C509" s="24"/>
    </row>
    <row r="510">
      <c r="C510" s="24"/>
    </row>
    <row r="511">
      <c r="C511" s="24"/>
    </row>
    <row r="512">
      <c r="C512" s="24"/>
    </row>
    <row r="513">
      <c r="C513" s="24"/>
    </row>
    <row r="514">
      <c r="C514" s="24"/>
    </row>
    <row r="515">
      <c r="C515" s="24"/>
    </row>
    <row r="516">
      <c r="C516" s="24"/>
    </row>
    <row r="517">
      <c r="C517" s="24"/>
    </row>
    <row r="518">
      <c r="C518" s="24"/>
    </row>
    <row r="519">
      <c r="C519" s="24"/>
    </row>
    <row r="520">
      <c r="C520" s="24"/>
    </row>
    <row r="521">
      <c r="C521" s="24"/>
    </row>
    <row r="522">
      <c r="C522" s="24"/>
    </row>
    <row r="523">
      <c r="C523" s="24"/>
    </row>
    <row r="524">
      <c r="C524" s="24"/>
    </row>
    <row r="525">
      <c r="C525" s="24"/>
    </row>
    <row r="526">
      <c r="C526" s="24"/>
    </row>
    <row r="527">
      <c r="C527" s="24"/>
    </row>
    <row r="528">
      <c r="C528" s="24"/>
    </row>
    <row r="529">
      <c r="C529" s="24"/>
    </row>
    <row r="530">
      <c r="C530" s="24"/>
    </row>
    <row r="531">
      <c r="C531" s="24"/>
    </row>
    <row r="532">
      <c r="C532" s="24"/>
    </row>
    <row r="533">
      <c r="C533" s="24"/>
    </row>
    <row r="534">
      <c r="C534" s="24"/>
    </row>
    <row r="535">
      <c r="C535" s="24"/>
    </row>
    <row r="536">
      <c r="C536" s="24"/>
    </row>
    <row r="537">
      <c r="C537" s="24"/>
    </row>
    <row r="538">
      <c r="C538" s="24"/>
    </row>
    <row r="539">
      <c r="C539" s="24"/>
    </row>
    <row r="540">
      <c r="C540" s="24"/>
    </row>
    <row r="541">
      <c r="C541" s="24"/>
    </row>
    <row r="542">
      <c r="C542" s="24"/>
    </row>
    <row r="543">
      <c r="C543" s="24"/>
    </row>
    <row r="544">
      <c r="C544" s="24"/>
    </row>
    <row r="545">
      <c r="C545" s="24"/>
    </row>
    <row r="546">
      <c r="C546" s="24"/>
    </row>
    <row r="547">
      <c r="C547" s="24"/>
    </row>
    <row r="548">
      <c r="C548" s="24"/>
    </row>
    <row r="549">
      <c r="C549" s="24"/>
    </row>
    <row r="550">
      <c r="C550" s="24"/>
    </row>
    <row r="551">
      <c r="C551" s="24"/>
    </row>
    <row r="552">
      <c r="C552" s="24"/>
    </row>
    <row r="553">
      <c r="C553" s="24"/>
    </row>
    <row r="554">
      <c r="C554" s="24"/>
    </row>
    <row r="555">
      <c r="C555" s="24"/>
    </row>
    <row r="556">
      <c r="C556" s="24"/>
    </row>
    <row r="557">
      <c r="C557" s="24"/>
    </row>
    <row r="558">
      <c r="C558" s="24"/>
    </row>
    <row r="559">
      <c r="C559" s="24"/>
    </row>
    <row r="560">
      <c r="C560" s="24"/>
    </row>
    <row r="561">
      <c r="C561" s="24"/>
    </row>
    <row r="562">
      <c r="C562" s="24"/>
    </row>
    <row r="563">
      <c r="C563" s="24"/>
    </row>
    <row r="564">
      <c r="C564" s="24"/>
    </row>
    <row r="565">
      <c r="C565" s="24"/>
    </row>
    <row r="566">
      <c r="C566" s="24"/>
    </row>
    <row r="567">
      <c r="C567" s="24"/>
    </row>
    <row r="568">
      <c r="C568" s="24"/>
    </row>
    <row r="569">
      <c r="C569" s="24"/>
    </row>
    <row r="570">
      <c r="C570" s="24"/>
    </row>
    <row r="571">
      <c r="C571" s="24"/>
    </row>
    <row r="572">
      <c r="C572" s="24"/>
    </row>
    <row r="573">
      <c r="C573" s="24"/>
    </row>
    <row r="574">
      <c r="C574" s="24"/>
    </row>
    <row r="575">
      <c r="C575" s="24"/>
    </row>
    <row r="576">
      <c r="C576" s="24"/>
    </row>
    <row r="577">
      <c r="C577" s="24"/>
    </row>
    <row r="578">
      <c r="C578" s="24"/>
    </row>
    <row r="579">
      <c r="C579" s="24"/>
    </row>
    <row r="580">
      <c r="C580" s="24"/>
    </row>
    <row r="581">
      <c r="C581" s="24"/>
    </row>
    <row r="582">
      <c r="C582" s="24"/>
    </row>
    <row r="583">
      <c r="C583" s="24"/>
    </row>
    <row r="584">
      <c r="C584" s="24"/>
    </row>
    <row r="585">
      <c r="C585" s="24"/>
    </row>
    <row r="586">
      <c r="C586" s="24"/>
    </row>
    <row r="587">
      <c r="C587" s="24"/>
    </row>
    <row r="588">
      <c r="C588" s="24"/>
    </row>
    <row r="589">
      <c r="C589" s="24"/>
    </row>
    <row r="590">
      <c r="C590" s="24"/>
    </row>
    <row r="591">
      <c r="C591" s="24"/>
    </row>
    <row r="592">
      <c r="C592" s="24"/>
    </row>
    <row r="593">
      <c r="C593" s="24"/>
    </row>
    <row r="594">
      <c r="C594" s="24"/>
    </row>
    <row r="595">
      <c r="C595" s="24"/>
    </row>
    <row r="596">
      <c r="C596" s="24"/>
    </row>
    <row r="597">
      <c r="C597" s="24"/>
    </row>
    <row r="598">
      <c r="C598" s="24"/>
    </row>
    <row r="599">
      <c r="C599" s="24"/>
    </row>
    <row r="600">
      <c r="C600" s="24"/>
    </row>
    <row r="601">
      <c r="C601" s="24"/>
    </row>
    <row r="602">
      <c r="C602" s="24"/>
    </row>
    <row r="603">
      <c r="C603" s="24"/>
    </row>
    <row r="604">
      <c r="C604" s="24"/>
    </row>
    <row r="605">
      <c r="C605" s="24"/>
    </row>
    <row r="606">
      <c r="C606" s="24"/>
    </row>
    <row r="607">
      <c r="C607" s="24"/>
    </row>
    <row r="608">
      <c r="C608" s="24"/>
    </row>
    <row r="609">
      <c r="C609" s="24"/>
    </row>
    <row r="610">
      <c r="C610" s="24"/>
    </row>
    <row r="611">
      <c r="C611" s="24"/>
    </row>
    <row r="612">
      <c r="C612" s="24"/>
    </row>
    <row r="613">
      <c r="C613" s="24"/>
    </row>
    <row r="614">
      <c r="C614" s="24"/>
    </row>
    <row r="615">
      <c r="C615" s="24"/>
    </row>
    <row r="616">
      <c r="C616" s="24"/>
    </row>
    <row r="617">
      <c r="C617" s="24"/>
    </row>
    <row r="618">
      <c r="C618" s="24"/>
    </row>
    <row r="619">
      <c r="C619" s="24"/>
    </row>
    <row r="620">
      <c r="C620" s="24"/>
    </row>
    <row r="621">
      <c r="C621" s="24"/>
    </row>
    <row r="622">
      <c r="C622" s="24"/>
    </row>
    <row r="623">
      <c r="C623" s="24"/>
    </row>
    <row r="624">
      <c r="C624" s="24"/>
    </row>
    <row r="625">
      <c r="C625" s="24"/>
    </row>
    <row r="626">
      <c r="C626" s="24"/>
    </row>
    <row r="627">
      <c r="C627" s="24"/>
    </row>
    <row r="628">
      <c r="C628" s="24"/>
    </row>
    <row r="629">
      <c r="C629" s="24"/>
    </row>
    <row r="630">
      <c r="C630" s="24"/>
    </row>
    <row r="631">
      <c r="C631" s="24"/>
    </row>
    <row r="632">
      <c r="C632" s="24"/>
    </row>
    <row r="633">
      <c r="C633" s="24"/>
    </row>
    <row r="634">
      <c r="C634" s="24"/>
    </row>
    <row r="635">
      <c r="C635" s="24"/>
    </row>
    <row r="636">
      <c r="C636" s="24"/>
    </row>
    <row r="637">
      <c r="C637" s="24"/>
    </row>
    <row r="638">
      <c r="C638" s="24"/>
    </row>
    <row r="639">
      <c r="C639" s="24"/>
    </row>
    <row r="640">
      <c r="C640" s="24"/>
    </row>
    <row r="641">
      <c r="C641" s="24"/>
    </row>
    <row r="642">
      <c r="C642" s="24"/>
    </row>
    <row r="643">
      <c r="C643" s="24"/>
    </row>
    <row r="644">
      <c r="C644" s="24"/>
    </row>
    <row r="645">
      <c r="C645" s="24"/>
    </row>
    <row r="646">
      <c r="C646" s="24"/>
    </row>
    <row r="647">
      <c r="C647" s="24"/>
    </row>
    <row r="648">
      <c r="C648" s="24"/>
    </row>
    <row r="649">
      <c r="C649" s="24"/>
    </row>
    <row r="650">
      <c r="C650" s="24"/>
    </row>
    <row r="651">
      <c r="C651" s="24"/>
    </row>
    <row r="652">
      <c r="C652" s="24"/>
    </row>
    <row r="653">
      <c r="C653" s="24"/>
    </row>
    <row r="654">
      <c r="C654" s="24"/>
    </row>
    <row r="655">
      <c r="C655" s="24"/>
    </row>
    <row r="656">
      <c r="C656" s="24"/>
    </row>
    <row r="657">
      <c r="C657" s="24"/>
    </row>
    <row r="658">
      <c r="C658" s="24"/>
    </row>
    <row r="659">
      <c r="C659" s="24"/>
    </row>
    <row r="660">
      <c r="C660" s="24"/>
    </row>
    <row r="661">
      <c r="C661" s="24"/>
    </row>
    <row r="662">
      <c r="C662" s="24"/>
    </row>
    <row r="663">
      <c r="C663" s="24"/>
    </row>
    <row r="664">
      <c r="C664" s="24"/>
    </row>
    <row r="665">
      <c r="C665" s="24"/>
    </row>
    <row r="666">
      <c r="C666" s="24"/>
    </row>
    <row r="667">
      <c r="C667" s="24"/>
    </row>
    <row r="668">
      <c r="C668" s="24"/>
    </row>
    <row r="669">
      <c r="C669" s="24"/>
    </row>
    <row r="670">
      <c r="C670" s="24"/>
    </row>
    <row r="671">
      <c r="C671" s="24"/>
    </row>
    <row r="672">
      <c r="C672" s="24"/>
    </row>
    <row r="673">
      <c r="C673" s="24"/>
    </row>
    <row r="674">
      <c r="C674" s="24"/>
    </row>
    <row r="675">
      <c r="C675" s="24"/>
    </row>
    <row r="676">
      <c r="C676" s="24"/>
    </row>
    <row r="677">
      <c r="C677" s="24"/>
    </row>
    <row r="678">
      <c r="C678" s="24"/>
    </row>
    <row r="679">
      <c r="C679" s="24"/>
    </row>
    <row r="680">
      <c r="C680" s="24"/>
    </row>
    <row r="681">
      <c r="C681" s="24"/>
    </row>
    <row r="682">
      <c r="C682" s="24"/>
    </row>
    <row r="683">
      <c r="C683" s="24"/>
    </row>
    <row r="684">
      <c r="C684" s="24"/>
    </row>
    <row r="685">
      <c r="C685" s="24"/>
    </row>
    <row r="686">
      <c r="C686" s="24"/>
    </row>
    <row r="687">
      <c r="C687" s="24"/>
    </row>
    <row r="688">
      <c r="C688" s="24"/>
    </row>
    <row r="689">
      <c r="C689" s="24"/>
    </row>
    <row r="690">
      <c r="C690" s="24"/>
    </row>
    <row r="691">
      <c r="C691" s="24"/>
    </row>
    <row r="692">
      <c r="C692" s="24"/>
    </row>
    <row r="693">
      <c r="C693" s="24"/>
    </row>
    <row r="694">
      <c r="C694" s="24"/>
    </row>
    <row r="695">
      <c r="C695" s="24"/>
    </row>
    <row r="696">
      <c r="C696" s="24"/>
    </row>
    <row r="697">
      <c r="C697" s="24"/>
    </row>
    <row r="698">
      <c r="C698" s="24"/>
    </row>
    <row r="699">
      <c r="C699" s="24"/>
    </row>
    <row r="700">
      <c r="C700" s="24"/>
    </row>
    <row r="701">
      <c r="C701" s="24"/>
    </row>
    <row r="702">
      <c r="C702" s="24"/>
    </row>
    <row r="703">
      <c r="C703" s="24"/>
    </row>
    <row r="704">
      <c r="C704" s="24"/>
    </row>
    <row r="705">
      <c r="C705" s="24"/>
    </row>
    <row r="706">
      <c r="C706" s="24"/>
    </row>
    <row r="707">
      <c r="C707" s="24"/>
    </row>
    <row r="708">
      <c r="C708" s="24"/>
    </row>
    <row r="709">
      <c r="C709" s="24"/>
    </row>
    <row r="710">
      <c r="C710" s="24"/>
    </row>
    <row r="711">
      <c r="C711" s="24"/>
    </row>
    <row r="712">
      <c r="C712" s="24"/>
    </row>
    <row r="713">
      <c r="C713" s="24"/>
    </row>
    <row r="714">
      <c r="C714" s="24"/>
    </row>
    <row r="715">
      <c r="C715" s="24"/>
    </row>
    <row r="716">
      <c r="C716" s="24"/>
    </row>
    <row r="717">
      <c r="C717" s="24"/>
    </row>
    <row r="718">
      <c r="C718" s="24"/>
    </row>
    <row r="719">
      <c r="C719" s="24"/>
    </row>
    <row r="720">
      <c r="C720" s="24"/>
    </row>
    <row r="721">
      <c r="C721" s="24"/>
    </row>
    <row r="722">
      <c r="C722" s="24"/>
    </row>
    <row r="723">
      <c r="C723" s="24"/>
    </row>
    <row r="724">
      <c r="C724" s="24"/>
    </row>
    <row r="725">
      <c r="C725" s="24"/>
    </row>
    <row r="726">
      <c r="C726" s="24"/>
    </row>
    <row r="727">
      <c r="C727" s="24"/>
    </row>
    <row r="728">
      <c r="C728" s="24"/>
    </row>
    <row r="729">
      <c r="C729" s="24"/>
    </row>
    <row r="730">
      <c r="C730" s="24"/>
    </row>
    <row r="731">
      <c r="C731" s="24"/>
    </row>
    <row r="732">
      <c r="C732" s="24"/>
    </row>
    <row r="733">
      <c r="C733" s="24"/>
    </row>
    <row r="734">
      <c r="C734" s="24"/>
    </row>
    <row r="735">
      <c r="C735" s="24"/>
    </row>
    <row r="736">
      <c r="C736" s="24"/>
    </row>
    <row r="737">
      <c r="C737" s="24"/>
    </row>
    <row r="738">
      <c r="C738" s="24"/>
    </row>
    <row r="739">
      <c r="C739" s="24"/>
    </row>
    <row r="740">
      <c r="C740" s="24"/>
    </row>
    <row r="741">
      <c r="C741" s="24"/>
    </row>
    <row r="742">
      <c r="C742" s="24"/>
    </row>
    <row r="743">
      <c r="C743" s="24"/>
    </row>
    <row r="744">
      <c r="C744" s="24"/>
    </row>
    <row r="745">
      <c r="C745" s="24"/>
    </row>
    <row r="746">
      <c r="C746" s="24"/>
    </row>
    <row r="747">
      <c r="C747" s="24"/>
    </row>
    <row r="748">
      <c r="C748" s="24"/>
    </row>
    <row r="749">
      <c r="C749" s="24"/>
    </row>
    <row r="750">
      <c r="C750" s="24"/>
    </row>
    <row r="751">
      <c r="C751" s="24"/>
    </row>
    <row r="752">
      <c r="C752" s="24"/>
    </row>
    <row r="753">
      <c r="C753" s="24"/>
    </row>
    <row r="754">
      <c r="C754" s="24"/>
    </row>
    <row r="755">
      <c r="C755" s="24"/>
    </row>
    <row r="756">
      <c r="C756" s="24"/>
    </row>
    <row r="757">
      <c r="C757" s="24"/>
    </row>
    <row r="758">
      <c r="C758" s="24"/>
    </row>
    <row r="759">
      <c r="C759" s="24"/>
    </row>
    <row r="760">
      <c r="C760" s="24"/>
    </row>
    <row r="761">
      <c r="C761" s="24"/>
    </row>
    <row r="762">
      <c r="C762" s="24"/>
    </row>
    <row r="763">
      <c r="C763" s="24"/>
    </row>
    <row r="764">
      <c r="C764" s="24"/>
    </row>
    <row r="765">
      <c r="C765" s="24"/>
    </row>
    <row r="766">
      <c r="C766" s="24"/>
    </row>
    <row r="767">
      <c r="C767" s="24"/>
    </row>
    <row r="768">
      <c r="C768" s="24"/>
    </row>
    <row r="769">
      <c r="C769" s="24"/>
    </row>
    <row r="770">
      <c r="C770" s="24"/>
    </row>
    <row r="771">
      <c r="C771" s="24"/>
    </row>
    <row r="772">
      <c r="C772" s="24"/>
    </row>
    <row r="773">
      <c r="C773" s="24"/>
    </row>
    <row r="774">
      <c r="C774" s="24"/>
    </row>
    <row r="775">
      <c r="C775" s="24"/>
    </row>
    <row r="776">
      <c r="C776" s="24"/>
    </row>
    <row r="777">
      <c r="C777" s="24"/>
    </row>
    <row r="778">
      <c r="C778" s="24"/>
    </row>
    <row r="779">
      <c r="C779" s="24"/>
    </row>
    <row r="780">
      <c r="C780" s="24"/>
    </row>
    <row r="781">
      <c r="C781" s="24"/>
    </row>
    <row r="782">
      <c r="C782" s="24"/>
    </row>
    <row r="783">
      <c r="C783" s="24"/>
    </row>
    <row r="784">
      <c r="C784" s="24"/>
    </row>
    <row r="785">
      <c r="C785" s="24"/>
    </row>
    <row r="786">
      <c r="C786" s="24"/>
    </row>
    <row r="787">
      <c r="C787" s="24"/>
    </row>
    <row r="788">
      <c r="C788" s="24"/>
    </row>
    <row r="789">
      <c r="C789" s="24"/>
    </row>
    <row r="790">
      <c r="C790" s="24"/>
    </row>
    <row r="791">
      <c r="C791" s="24"/>
    </row>
    <row r="792">
      <c r="C792" s="24"/>
    </row>
    <row r="793">
      <c r="C793" s="24"/>
    </row>
    <row r="794">
      <c r="C794" s="24"/>
    </row>
    <row r="795">
      <c r="C795" s="24"/>
    </row>
    <row r="796">
      <c r="C796" s="24"/>
    </row>
    <row r="797">
      <c r="C797" s="24"/>
    </row>
    <row r="798">
      <c r="C798" s="24"/>
    </row>
    <row r="799">
      <c r="C799" s="24"/>
    </row>
    <row r="800">
      <c r="C800" s="24"/>
    </row>
    <row r="801">
      <c r="C801" s="24"/>
    </row>
    <row r="802">
      <c r="C802" s="24"/>
    </row>
    <row r="803">
      <c r="C803" s="24"/>
    </row>
    <row r="804">
      <c r="C804" s="24"/>
    </row>
    <row r="805">
      <c r="C805" s="24"/>
    </row>
    <row r="806">
      <c r="C806" s="24"/>
    </row>
    <row r="807">
      <c r="C807" s="24"/>
    </row>
    <row r="808">
      <c r="C808" s="24"/>
    </row>
    <row r="809">
      <c r="C809" s="24"/>
    </row>
    <row r="810">
      <c r="C810" s="24"/>
    </row>
    <row r="811">
      <c r="C811" s="24"/>
    </row>
    <row r="812">
      <c r="C812" s="24"/>
    </row>
    <row r="813">
      <c r="C813" s="24"/>
    </row>
    <row r="814">
      <c r="C814" s="24"/>
    </row>
    <row r="815">
      <c r="C815" s="24"/>
    </row>
    <row r="816">
      <c r="C816" s="24"/>
    </row>
    <row r="817">
      <c r="C817" s="24"/>
    </row>
    <row r="818">
      <c r="C818" s="24"/>
    </row>
    <row r="819">
      <c r="C819" s="24"/>
    </row>
    <row r="820">
      <c r="C820" s="24"/>
    </row>
    <row r="821">
      <c r="C821" s="24"/>
    </row>
    <row r="822">
      <c r="C822" s="24"/>
    </row>
    <row r="823">
      <c r="C823" s="24"/>
    </row>
    <row r="824">
      <c r="C824" s="24"/>
    </row>
    <row r="825">
      <c r="C825" s="24"/>
    </row>
    <row r="826">
      <c r="C826" s="24"/>
    </row>
    <row r="827">
      <c r="C827" s="24"/>
    </row>
    <row r="828">
      <c r="C828" s="24"/>
    </row>
    <row r="829">
      <c r="C829" s="24"/>
    </row>
    <row r="830">
      <c r="C830" s="24"/>
    </row>
    <row r="831">
      <c r="C831" s="24"/>
    </row>
    <row r="832">
      <c r="C832" s="24"/>
    </row>
    <row r="833">
      <c r="C833" s="24"/>
    </row>
    <row r="834">
      <c r="C834" s="24"/>
    </row>
    <row r="835">
      <c r="C835" s="24"/>
    </row>
    <row r="836">
      <c r="C836" s="24"/>
    </row>
    <row r="837">
      <c r="C837" s="24"/>
    </row>
    <row r="838">
      <c r="C838" s="24"/>
    </row>
    <row r="839">
      <c r="C839" s="24"/>
    </row>
    <row r="840">
      <c r="C840" s="24"/>
    </row>
    <row r="841">
      <c r="C841" s="24"/>
    </row>
    <row r="842">
      <c r="C842" s="24"/>
    </row>
    <row r="843">
      <c r="C843" s="24"/>
    </row>
    <row r="844">
      <c r="C844" s="24"/>
    </row>
    <row r="845">
      <c r="C845" s="24"/>
    </row>
    <row r="846">
      <c r="C846" s="24"/>
    </row>
    <row r="847">
      <c r="C847" s="24"/>
    </row>
    <row r="848">
      <c r="C848" s="24"/>
    </row>
    <row r="849">
      <c r="C849" s="24"/>
    </row>
    <row r="850">
      <c r="C850" s="24"/>
    </row>
    <row r="851">
      <c r="C851" s="24"/>
    </row>
    <row r="852">
      <c r="C852" s="24"/>
    </row>
    <row r="853">
      <c r="C853" s="24"/>
    </row>
    <row r="854">
      <c r="C854" s="24"/>
    </row>
    <row r="855">
      <c r="C855" s="24"/>
    </row>
    <row r="856">
      <c r="C856" s="24"/>
    </row>
    <row r="857">
      <c r="C857" s="24"/>
    </row>
    <row r="858">
      <c r="C858" s="24"/>
    </row>
    <row r="859">
      <c r="C859" s="24"/>
    </row>
    <row r="860">
      <c r="C860" s="24"/>
    </row>
    <row r="861">
      <c r="C861" s="24"/>
    </row>
    <row r="862">
      <c r="C862" s="24"/>
    </row>
    <row r="863">
      <c r="C863" s="24"/>
    </row>
    <row r="864">
      <c r="C864" s="24"/>
    </row>
    <row r="865">
      <c r="C865" s="24"/>
    </row>
    <row r="866">
      <c r="C866" s="24"/>
    </row>
    <row r="867">
      <c r="C867" s="24"/>
    </row>
    <row r="868">
      <c r="C868" s="24"/>
    </row>
    <row r="869">
      <c r="C869" s="24"/>
    </row>
    <row r="870">
      <c r="C870" s="24"/>
    </row>
    <row r="871">
      <c r="C871" s="24"/>
    </row>
    <row r="872">
      <c r="C872" s="24"/>
    </row>
    <row r="873">
      <c r="C873" s="24"/>
    </row>
    <row r="874">
      <c r="C874" s="24"/>
    </row>
    <row r="875">
      <c r="C875" s="24"/>
    </row>
    <row r="876">
      <c r="C876" s="24"/>
    </row>
    <row r="877">
      <c r="C877" s="24"/>
    </row>
    <row r="878">
      <c r="C878" s="24"/>
    </row>
    <row r="879">
      <c r="C879" s="24"/>
    </row>
    <row r="880">
      <c r="C880" s="24"/>
    </row>
    <row r="881">
      <c r="C881" s="24"/>
    </row>
    <row r="882">
      <c r="C882" s="24"/>
    </row>
    <row r="883">
      <c r="C883" s="24"/>
    </row>
    <row r="884">
      <c r="C884" s="24"/>
    </row>
    <row r="885">
      <c r="C885" s="24"/>
    </row>
    <row r="886">
      <c r="C886" s="24"/>
    </row>
    <row r="887">
      <c r="C887" s="24"/>
    </row>
    <row r="888">
      <c r="C888" s="24"/>
    </row>
    <row r="889">
      <c r="C889" s="24"/>
    </row>
    <row r="890">
      <c r="C890" s="24"/>
    </row>
    <row r="891">
      <c r="C891" s="24"/>
    </row>
    <row r="892">
      <c r="C892" s="24"/>
    </row>
    <row r="893">
      <c r="C893" s="24"/>
    </row>
    <row r="894">
      <c r="C894" s="24"/>
    </row>
    <row r="895">
      <c r="C895" s="24"/>
    </row>
    <row r="896">
      <c r="C896" s="24"/>
    </row>
    <row r="897">
      <c r="C897" s="24"/>
    </row>
    <row r="898">
      <c r="C898" s="24"/>
    </row>
    <row r="899">
      <c r="C899" s="24"/>
    </row>
    <row r="900">
      <c r="C900" s="24"/>
    </row>
    <row r="901">
      <c r="C901" s="24"/>
    </row>
    <row r="902">
      <c r="C902" s="24"/>
    </row>
    <row r="903">
      <c r="C903" s="24"/>
    </row>
    <row r="904">
      <c r="C904" s="24"/>
    </row>
    <row r="905">
      <c r="C905" s="24"/>
    </row>
    <row r="906">
      <c r="C906" s="24"/>
    </row>
    <row r="907">
      <c r="C907" s="24"/>
    </row>
    <row r="908">
      <c r="C908" s="24"/>
    </row>
    <row r="909">
      <c r="C909" s="24"/>
    </row>
    <row r="910">
      <c r="C910" s="24"/>
    </row>
    <row r="911">
      <c r="C911" s="24"/>
    </row>
    <row r="912">
      <c r="C912" s="24"/>
    </row>
    <row r="913">
      <c r="C913" s="24"/>
    </row>
    <row r="914">
      <c r="C914" s="24"/>
    </row>
    <row r="915">
      <c r="C915" s="24"/>
    </row>
    <row r="916">
      <c r="C916" s="24"/>
    </row>
    <row r="917">
      <c r="C917" s="24"/>
    </row>
    <row r="918">
      <c r="C918" s="24"/>
    </row>
    <row r="919">
      <c r="C919" s="24"/>
    </row>
    <row r="920">
      <c r="C920" s="24"/>
    </row>
    <row r="921">
      <c r="C921" s="24"/>
    </row>
    <row r="922">
      <c r="C922" s="24"/>
    </row>
    <row r="923">
      <c r="C923" s="24"/>
    </row>
    <row r="924">
      <c r="C924" s="24"/>
    </row>
    <row r="925">
      <c r="C925" s="24"/>
    </row>
    <row r="926">
      <c r="C926" s="24"/>
    </row>
    <row r="927">
      <c r="C927" s="24"/>
    </row>
    <row r="928">
      <c r="C928" s="24"/>
    </row>
    <row r="929">
      <c r="C929" s="24"/>
    </row>
    <row r="930">
      <c r="C930" s="24"/>
    </row>
    <row r="931">
      <c r="C931" s="24"/>
    </row>
    <row r="932">
      <c r="C932" s="24"/>
    </row>
    <row r="933">
      <c r="C933" s="24"/>
    </row>
    <row r="934">
      <c r="C934" s="24"/>
    </row>
    <row r="935">
      <c r="C935" s="24"/>
    </row>
    <row r="936">
      <c r="C936" s="24"/>
    </row>
    <row r="937">
      <c r="C937" s="24"/>
    </row>
    <row r="938">
      <c r="C938" s="24"/>
    </row>
    <row r="939">
      <c r="C939" s="24"/>
    </row>
    <row r="940">
      <c r="C940" s="24"/>
    </row>
    <row r="941">
      <c r="C941" s="24"/>
    </row>
    <row r="942">
      <c r="C942" s="24"/>
    </row>
    <row r="943">
      <c r="C943" s="24"/>
    </row>
    <row r="944">
      <c r="C944" s="24"/>
    </row>
    <row r="945">
      <c r="C945" s="24"/>
    </row>
    <row r="946">
      <c r="C946" s="24"/>
    </row>
    <row r="947">
      <c r="C947" s="24"/>
    </row>
    <row r="948">
      <c r="C948" s="24"/>
    </row>
    <row r="949">
      <c r="C949" s="24"/>
    </row>
    <row r="950">
      <c r="C950" s="24"/>
    </row>
    <row r="951">
      <c r="C951" s="24"/>
    </row>
    <row r="952">
      <c r="C952" s="24"/>
    </row>
    <row r="953">
      <c r="C953" s="24"/>
    </row>
    <row r="954">
      <c r="C954" s="24"/>
    </row>
    <row r="955">
      <c r="C955" s="24"/>
    </row>
    <row r="956">
      <c r="C956" s="24"/>
    </row>
    <row r="957">
      <c r="C957" s="24"/>
    </row>
    <row r="958">
      <c r="C958" s="24"/>
    </row>
    <row r="959">
      <c r="C959" s="24"/>
    </row>
    <row r="960">
      <c r="C960" s="24"/>
    </row>
    <row r="961">
      <c r="C961" s="24"/>
    </row>
    <row r="962">
      <c r="C962" s="24"/>
    </row>
    <row r="963">
      <c r="C963" s="24"/>
    </row>
    <row r="964">
      <c r="C964" s="24"/>
    </row>
    <row r="965">
      <c r="C965" s="24"/>
    </row>
    <row r="966">
      <c r="C966" s="24"/>
    </row>
    <row r="967">
      <c r="C967" s="24"/>
    </row>
    <row r="968">
      <c r="C968" s="24"/>
    </row>
    <row r="969">
      <c r="C969" s="24"/>
    </row>
    <row r="970">
      <c r="C970" s="24"/>
    </row>
    <row r="971">
      <c r="C971" s="24"/>
    </row>
    <row r="972">
      <c r="C972" s="24"/>
    </row>
    <row r="973">
      <c r="C973" s="24"/>
    </row>
    <row r="974">
      <c r="C974" s="24"/>
    </row>
    <row r="975">
      <c r="C975" s="24"/>
    </row>
    <row r="976">
      <c r="C976" s="24"/>
    </row>
    <row r="977">
      <c r="C977" s="24"/>
    </row>
    <row r="978">
      <c r="C978" s="24"/>
    </row>
    <row r="979">
      <c r="C979" s="24"/>
    </row>
    <row r="980">
      <c r="C980" s="24"/>
    </row>
    <row r="981">
      <c r="C981" s="24"/>
    </row>
    <row r="982">
      <c r="C982" s="24"/>
    </row>
    <row r="983">
      <c r="C983" s="24"/>
    </row>
    <row r="984">
      <c r="C984" s="24"/>
    </row>
    <row r="985">
      <c r="C985" s="24"/>
    </row>
    <row r="986">
      <c r="C986" s="24"/>
    </row>
    <row r="987">
      <c r="C987" s="24"/>
    </row>
    <row r="988">
      <c r="C988" s="24"/>
    </row>
    <row r="989">
      <c r="C989" s="24"/>
    </row>
    <row r="990">
      <c r="C990" s="24"/>
    </row>
    <row r="991">
      <c r="C991" s="24"/>
    </row>
    <row r="992">
      <c r="C992" s="24"/>
    </row>
    <row r="993">
      <c r="C993" s="24"/>
    </row>
    <row r="994">
      <c r="C994" s="24"/>
    </row>
    <row r="995">
      <c r="C995" s="24"/>
    </row>
    <row r="996">
      <c r="C996" s="24"/>
    </row>
    <row r="997">
      <c r="C997" s="24"/>
    </row>
    <row r="998">
      <c r="C998" s="24"/>
    </row>
    <row r="999">
      <c r="C999" s="24"/>
    </row>
    <row r="1000">
      <c r="C1000" s="24"/>
    </row>
  </sheetData>
  <drawing r:id="rId1"/>
</worksheet>
</file>