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ecasting chart" sheetId="1" r:id="rId4"/>
  </sheets>
  <definedNames/>
  <calcPr/>
</workbook>
</file>

<file path=xl/sharedStrings.xml><?xml version="1.0" encoding="utf-8"?>
<sst xmlns="http://schemas.openxmlformats.org/spreadsheetml/2006/main" count="134" uniqueCount="56">
  <si>
    <t>Use case short descriptions &amp; target</t>
  </si>
  <si>
    <t xml:space="preserve">Build mid &amp; long long term projections of emissions </t>
  </si>
  <si>
    <t>Changes to data injection &amp; structures</t>
  </si>
  <si>
    <t>"production data" will be expended with one column "Scenario" . This column will take one of three values - "basic", "pessimistic," "optimistic ". New field is required field. This field will detemine which lines are used for certain calculations</t>
  </si>
  <si>
    <t>Changes to UX/UI</t>
  </si>
  <si>
    <r>
      <rPr>
        <rFont val="Aptos Narrow"/>
        <color theme="1"/>
        <sz val="10.0"/>
      </rPr>
      <t xml:space="preserve"> First chart to be transformed
1. Now this chart can plot future values
2. Now this chart can plot </t>
    </r>
    <r>
      <rPr>
        <rFont val="Aptos Narrow"/>
        <b/>
        <color theme="1"/>
        <sz val="10.0"/>
      </rPr>
      <t>any up to</t>
    </r>
    <r>
      <rPr>
        <rFont val="Aptos Narrow"/>
        <color theme="1"/>
        <sz val="10.0"/>
      </rPr>
      <t xml:space="preserve"> 12 months based on selection
3. Chart can be switched to yearly mode. This is chart specific switcher. By click the switch, chart plots annual values rather then monthly. This chart plots years 2024 to 2035 inclusive.
4. For forecasted (future) periods chart is capable of plotting three lines - "Base scenario", "Optimistic scenario", "Pessimistic scenario". "Base scenario" is always continuation of histroic figures if data is available. For each scenario intensity is calculated
5. Chart can be switched from volumes to intensity. Only either intensity or volumes can be calcualted.
6. Optimistic/Pessimistic scenarios display values on hover</t>
    </r>
  </si>
  <si>
    <t>Changes to logics</t>
  </si>
  <si>
    <r>
      <rPr>
        <rFont val="Aptos Narrow"/>
        <color theme="1"/>
        <sz val="10.0"/>
      </rPr>
      <t xml:space="preserve">Logic change 1: System will allow calculation of L1-L2 values for future periods. System will allow &amp; store results of calculation for L1 &amp; L2 for all assets, even for those marked L3+.
Logic change 2: System will calculate L1-L2 values for three scenarios based on new columns 
[WIP] Plottable values:
System takes last  available year of emissions as starting point. 
System will calculate upcoming year in the following manner:
1. For given forecasted month, system will pull same month from last full available year, multiply it by L2 values for forecasted month and divide by by L2 values for source month. Example: 
We forecast value for december 2027. System looks into december actual emissions (best available) for december 2024 (last full year) multiply it by forecasted L2 values for december 2027 and divide it by december 2027 L2 values. Product of this operation is core trend
2. System will look into "emission register". System will look into projects deadlines. For given follow up with deadline in future, system will pply same adjustment operation as for base value from P1 . Result is expected volume of emissions covered by follow up in future. This volume is deducted from P1 value.
3. System will look into plotted abatement initiatiatives on the AC that were calculated automatically.  System will takes </t>
    </r>
    <r>
      <rPr>
        <rFont val="Aptos Narrow"/>
        <b/>
        <color theme="1"/>
        <sz val="10.0"/>
      </rPr>
      <t>volumes</t>
    </r>
    <r>
      <rPr>
        <rFont val="Aptos Narrow"/>
        <color theme="1"/>
        <sz val="10.0"/>
      </rPr>
      <t xml:space="preserve"> for those initatives that hava "abatement cost" below the one specified by the user in settings (new filed).For given initiative with deadline in future, system will apply same adjustment operation as for base value from P1.Result is expected volume of emissions covered by initative in future. This volume is deducted from P1 value. Deduction happens separatly for each follow-up/initiatve and becomes effective on month of deadline or on "Lunch year" (for automatic calulcation). 
4. System adds all values proposed by "External" Multimodal Model outputs in case if equipments mentioned in that data set is not covered in points 2-4. Elaboration on this will come later.
5. The result is forecasted value for given asset. This operation is executed for all three scenarios.
</t>
    </r>
  </si>
  <si>
    <t>Additional changes</t>
  </si>
  <si>
    <t>Forecasted values will be used in waterfall chart as final value if future period is selected.</t>
  </si>
  <si>
    <t>Changes to user journey</t>
  </si>
  <si>
    <t xml:space="preserve">None
</t>
  </si>
  <si>
    <t>Example - volumes</t>
  </si>
  <si>
    <t>Target abatement cost (user input)</t>
  </si>
  <si>
    <t>Follow-on 1</t>
  </si>
  <si>
    <t xml:space="preserve">Deadline </t>
  </si>
  <si>
    <t>Follow-on 2</t>
  </si>
  <si>
    <t>Automated initiative</t>
  </si>
  <si>
    <t xml:space="preserve">Launch date </t>
  </si>
  <si>
    <t>Gas factor master</t>
  </si>
  <si>
    <t>Reductions</t>
  </si>
  <si>
    <t>Abatement cost</t>
  </si>
  <si>
    <t>Gas density</t>
  </si>
  <si>
    <t>Methane conent</t>
  </si>
  <si>
    <t>Existing volume</t>
  </si>
  <si>
    <t>Projected month</t>
  </si>
  <si>
    <t>Month</t>
  </si>
  <si>
    <t>Period</t>
  </si>
  <si>
    <t>Historic</t>
  </si>
  <si>
    <t>L3 asset data</t>
  </si>
  <si>
    <t>L2 Asset data</t>
  </si>
  <si>
    <t>Plottable value (historic)</t>
  </si>
  <si>
    <t>Factual methane volumes (best estimation)</t>
  </si>
  <si>
    <t>Forecast</t>
  </si>
  <si>
    <t>L3 Asset data</t>
  </si>
  <si>
    <t>Exsiting methane volumes (L2 calculation for L3+ asset)</t>
  </si>
  <si>
    <t>Future methane volumes  (L2 calculation for L3+ asset, optimistic scenario)</t>
  </si>
  <si>
    <t>Future methane volumes  (L2 calculation for L3+ asset, basic scenario)</t>
  </si>
  <si>
    <t>Future methane volumes  (L2 calculation for L3+ asset, pessimistic scenario)</t>
  </si>
  <si>
    <t>Follow-on number1</t>
  </si>
  <si>
    <t>Follow-on number 2</t>
  </si>
  <si>
    <t>Initiative 1</t>
  </si>
  <si>
    <t>Initiative 2</t>
  </si>
  <si>
    <t>Future methane volumes (optimistic)</t>
  </si>
  <si>
    <t>Calculation is executed in alignment with existing L2 logic based on Production data upload</t>
  </si>
  <si>
    <t>Future methane volumes (basic)</t>
  </si>
  <si>
    <t>Future methane volumes (pessimistic)</t>
  </si>
  <si>
    <t>Plottable value</t>
  </si>
  <si>
    <t>Plotted - optimistic scenario</t>
  </si>
  <si>
    <t>Plotted - base scenario</t>
  </si>
  <si>
    <t>Plotted - pessimistic scenario</t>
  </si>
  <si>
    <t>Example - intensity (example provided for forecast only, but historic data plotting is expected)</t>
  </si>
  <si>
    <t>Injested from intensity upload</t>
  </si>
  <si>
    <t>Gas throughput -  optimistic scenario</t>
  </si>
  <si>
    <t>Gas throughput - basic scenario</t>
  </si>
  <si>
    <t>Gas throughput -pessimistic scenario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</si>
</sst>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10">
    <font>
      <sz val="10.0"/>
      <color rgb="FF000000"/>
      <name val="Arial"/>
      <scheme val="minor"/>
    </font>
    <font>
      <b/>
      <sz val="12.0"/>
      <color theme="1"/>
      <name val="Aptos Narrow"/>
    </font>
    <font/>
    <font>
      <sz val="12.0"/>
      <color theme="1"/>
      <name val="Aptos Narrow"/>
    </font>
    <font>
      <sz val="12.0"/>
      <color rgb="FFFF0000"/>
      <name val="Aptos Narrow"/>
    </font>
    <font>
      <sz val="10.0"/>
      <color theme="1"/>
      <name val="Aptos Narrow"/>
    </font>
    <font>
      <b/>
      <sz val="11.0"/>
      <color theme="1"/>
      <name val="Aptos Narrow"/>
    </font>
    <font>
      <u/>
      <sz val="11.0"/>
      <color theme="1"/>
      <name val="Aptos Narrow"/>
    </font>
    <font>
      <sz val="11.0"/>
      <color theme="1"/>
      <name val="Aptos Narrow"/>
    </font>
    <font>
      <color theme="1"/>
      <name val="Arial"/>
      <scheme val="minor"/>
    </font>
  </fonts>
  <fills count="4">
    <fill>
      <patternFill patternType="none"/>
    </fill>
    <fill>
      <patternFill patternType="lightGray"/>
    </fill>
    <fill>
      <patternFill patternType="solid">
        <fgColor theme="0"/>
        <bgColor theme="0"/>
      </patternFill>
    </fill>
    <fill>
      <patternFill patternType="solid">
        <fgColor rgb="FFD9F2D0"/>
        <bgColor rgb="FFD9F2D0"/>
      </patternFill>
    </fill>
  </fills>
  <borders count="17">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right/>
      <top/>
      <bottom/>
    </border>
    <border>
      <right/>
      <top style="medium">
        <color rgb="FF000000"/>
      </top>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bottom style="thin">
        <color rgb="FF000000"/>
      </bottom>
    </border>
    <border>
      <left style="thin">
        <color rgb="FF000000"/>
      </left>
      <right style="thin">
        <color rgb="FF000000"/>
      </right>
      <top style="medium">
        <color rgb="FF000000"/>
      </top>
      <bottom style="medium">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1" fillId="2" fontId="3" numFmtId="0" xfId="0" applyAlignment="1" applyBorder="1" applyFont="1">
      <alignment horizontal="left" shrinkToFit="0" wrapText="1"/>
    </xf>
    <xf borderId="3" fillId="0" fontId="2" numFmtId="0" xfId="0" applyBorder="1" applyFont="1"/>
    <xf borderId="4" fillId="2" fontId="3" numFmtId="0" xfId="0" applyAlignment="1" applyBorder="1" applyFont="1">
      <alignment shrinkToFit="0" wrapText="1"/>
    </xf>
    <xf borderId="1" fillId="2" fontId="1" numFmtId="0" xfId="0" applyAlignment="1" applyBorder="1" applyFont="1">
      <alignment horizontal="center" shrinkToFit="0" vertical="center" wrapText="1"/>
    </xf>
    <xf borderId="1" fillId="2"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5" fillId="0" fontId="2" numFmtId="0" xfId="0" applyBorder="1" applyFont="1"/>
    <xf borderId="1" fillId="2" fontId="3" numFmtId="0" xfId="0" applyAlignment="1" applyBorder="1" applyFont="1">
      <alignment horizontal="left" shrinkToFit="0" vertical="center" wrapText="1"/>
    </xf>
    <xf borderId="1" fillId="0" fontId="1" numFmtId="0" xfId="0" applyAlignment="1" applyBorder="1" applyFont="1">
      <alignment horizontal="center" shrinkToFit="0" vertical="center" wrapText="1"/>
    </xf>
    <xf borderId="6" fillId="0" fontId="3"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3" fontId="6" numFmtId="0" xfId="0" applyBorder="1" applyFill="1" applyFont="1"/>
    <xf borderId="0" fillId="0" fontId="7" numFmtId="0" xfId="0" applyFont="1"/>
    <xf borderId="1" fillId="0" fontId="8" numFmtId="0" xfId="0" applyBorder="1" applyFont="1"/>
    <xf borderId="2" fillId="0" fontId="8" numFmtId="0" xfId="0" applyBorder="1" applyFont="1"/>
    <xf borderId="10" fillId="0" fontId="8" numFmtId="0" xfId="0" applyBorder="1" applyFont="1"/>
    <xf borderId="11" fillId="0" fontId="8" numFmtId="0" xfId="0" applyBorder="1" applyFont="1"/>
    <xf borderId="12" fillId="0" fontId="8" numFmtId="14" xfId="0" applyBorder="1" applyFont="1" applyNumberFormat="1"/>
    <xf borderId="12" fillId="0" fontId="8" numFmtId="0" xfId="0" applyBorder="1" applyFont="1"/>
    <xf borderId="6" fillId="0" fontId="8" numFmtId="0" xfId="0" applyBorder="1" applyFont="1"/>
    <xf borderId="7" fillId="0" fontId="8" numFmtId="0" xfId="0" applyBorder="1" applyFont="1"/>
    <xf borderId="8" fillId="0" fontId="8" numFmtId="0" xfId="0" applyBorder="1" applyFont="1"/>
    <xf borderId="13" fillId="0" fontId="8" numFmtId="0" xfId="0" applyBorder="1" applyFont="1"/>
    <xf borderId="0" fillId="0" fontId="9" numFmtId="0" xfId="0" applyFont="1"/>
    <xf borderId="14" fillId="0" fontId="8" numFmtId="0" xfId="0" applyBorder="1" applyFont="1"/>
    <xf borderId="7" fillId="0" fontId="8" numFmtId="9" xfId="0" applyBorder="1" applyFont="1" applyNumberFormat="1"/>
    <xf borderId="0" fillId="0" fontId="8" numFmtId="14" xfId="0" applyFont="1" applyNumberFormat="1"/>
    <xf borderId="15" fillId="0" fontId="8" numFmtId="0" xfId="0" applyBorder="1" applyFont="1"/>
    <xf borderId="15" fillId="0" fontId="8" numFmtId="2" xfId="0" applyBorder="1" applyFont="1" applyNumberFormat="1"/>
    <xf borderId="0" fillId="0" fontId="8" numFmtId="2" xfId="0" applyFont="1" applyNumberFormat="1"/>
    <xf borderId="16" fillId="0" fontId="6" numFmtId="0" xfId="0" applyBorder="1" applyFont="1"/>
    <xf borderId="16" fillId="0" fontId="8" numFmtId="0" xfId="0" applyBorder="1" applyFont="1"/>
    <xf borderId="11" fillId="0" fontId="6" numFmtId="0" xfId="0" applyBorder="1" applyFont="1"/>
    <xf borderId="11" fillId="0" fontId="6" numFmtId="164" xfId="0" applyBorder="1" applyFont="1" applyNumberFormat="1"/>
    <xf borderId="13" fillId="0" fontId="6" numFmtId="0" xfId="0" applyBorder="1" applyFont="1"/>
    <xf borderId="0" fillId="0" fontId="6" numFmtId="0" xfId="0" applyFont="1"/>
    <xf borderId="0" fillId="0" fontId="6" numFmtId="164" xfId="0" applyFont="1" applyNumberFormat="1"/>
    <xf borderId="7" fillId="0" fontId="6" numFmtId="0" xfId="0" applyBorder="1" applyFont="1"/>
    <xf borderId="7" fillId="0" fontId="6" numFmtId="164" xfId="0" applyBorder="1" applyFont="1" applyNumberFormat="1"/>
    <xf borderId="0" fillId="0" fontId="6"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3E5A1"/>
    <pageSetUpPr/>
  </sheetPr>
  <sheetViews>
    <sheetView workbookViewId="0"/>
  </sheetViews>
  <sheetFormatPr customHeight="1" defaultColWidth="12.63" defaultRowHeight="15.75"/>
  <cols>
    <col customWidth="1" min="1" max="1" width="28.13"/>
    <col customWidth="1" min="2" max="2" width="52.0"/>
    <col customWidth="1" min="3" max="3" width="60.13"/>
    <col customWidth="1" min="4" max="4" width="28.38"/>
    <col customWidth="1" min="5" max="5" width="23.63"/>
    <col customWidth="1" min="6" max="6" width="26.88"/>
    <col customWidth="1" min="7" max="7" width="39.13"/>
    <col customWidth="1" min="8" max="8" width="16.63"/>
    <col customWidth="1" min="9" max="9" width="17.38"/>
    <col customWidth="1" min="10" max="10" width="11.38"/>
    <col customWidth="1" min="11" max="11" width="21.13"/>
    <col customWidth="1" min="12" max="12" width="22.13"/>
    <col customWidth="1" min="13" max="13" width="20.88"/>
    <col customWidth="1" min="14" max="14" width="11.38"/>
    <col customWidth="1" min="15" max="15" width="17.63"/>
    <col customWidth="1" min="16" max="16" width="13.88"/>
    <col customWidth="1" min="17" max="17" width="12.13"/>
    <col customWidth="1" min="18" max="19" width="10.38"/>
    <col customWidth="1" min="20" max="20" width="14.63"/>
    <col customWidth="1" min="21" max="24" width="10.38"/>
    <col customWidth="1" min="25" max="26" width="14.63"/>
    <col customWidth="1" min="27" max="27" width="10.38"/>
    <col customWidth="1" min="28" max="29" width="14.63"/>
    <col customWidth="1" min="30" max="40" width="10.38"/>
  </cols>
  <sheetData>
    <row r="1" ht="14.25" customHeight="1"/>
    <row r="2" ht="14.25" customHeight="1"/>
    <row r="3" ht="14.25" customHeight="1"/>
    <row r="4" ht="14.25" customHeight="1">
      <c r="C4" s="1" t="s">
        <v>0</v>
      </c>
      <c r="D4" s="2"/>
      <c r="E4" s="3" t="s">
        <v>1</v>
      </c>
      <c r="F4" s="4"/>
      <c r="G4" s="2"/>
    </row>
    <row r="5" ht="14.25" customHeight="1">
      <c r="C5" s="5"/>
      <c r="D5" s="5"/>
      <c r="E5" s="5"/>
      <c r="F5" s="5"/>
      <c r="G5" s="5"/>
    </row>
    <row r="6" ht="81.0" customHeight="1">
      <c r="C6" s="6" t="s">
        <v>2</v>
      </c>
      <c r="D6" s="2"/>
      <c r="E6" s="7" t="s">
        <v>3</v>
      </c>
      <c r="F6" s="4"/>
      <c r="G6" s="2"/>
    </row>
    <row r="7" ht="157.5" customHeight="1">
      <c r="C7" s="6" t="s">
        <v>4</v>
      </c>
      <c r="D7" s="2"/>
      <c r="E7" s="8" t="s">
        <v>5</v>
      </c>
      <c r="F7" s="4"/>
      <c r="G7" s="2"/>
    </row>
    <row r="8" ht="369.75" customHeight="1">
      <c r="C8" s="6" t="s">
        <v>6</v>
      </c>
      <c r="D8" s="2"/>
      <c r="E8" s="8" t="s">
        <v>7</v>
      </c>
      <c r="F8" s="4"/>
      <c r="G8" s="2"/>
    </row>
    <row r="9" ht="48.75" customHeight="1">
      <c r="C9" s="6" t="s">
        <v>8</v>
      </c>
      <c r="D9" s="9"/>
      <c r="E9" s="10" t="s">
        <v>9</v>
      </c>
      <c r="F9" s="4"/>
      <c r="G9" s="2"/>
    </row>
    <row r="10" ht="48.0" customHeight="1">
      <c r="C10" s="11" t="s">
        <v>10</v>
      </c>
      <c r="D10" s="4"/>
      <c r="E10" s="12" t="s">
        <v>11</v>
      </c>
      <c r="F10" s="13"/>
      <c r="G10" s="14"/>
    </row>
    <row r="11" ht="14.25" customHeight="1"/>
    <row r="12" ht="14.25" customHeight="1">
      <c r="A12" s="15"/>
      <c r="B12" s="15" t="s">
        <v>12</v>
      </c>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row>
    <row r="13" ht="14.2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row>
    <row r="14" ht="14.25" customHeight="1">
      <c r="F14" s="17" t="s">
        <v>13</v>
      </c>
      <c r="G14" s="18">
        <v>10.0</v>
      </c>
    </row>
    <row r="15" ht="14.25" customHeight="1"/>
    <row r="16" ht="14.25" customHeight="1">
      <c r="C16" s="19" t="s">
        <v>14</v>
      </c>
      <c r="D16" s="20" t="s">
        <v>15</v>
      </c>
      <c r="E16" s="21">
        <v>45778.0</v>
      </c>
      <c r="G16" s="19" t="s">
        <v>16</v>
      </c>
      <c r="H16" s="20" t="s">
        <v>15</v>
      </c>
      <c r="I16" s="21">
        <v>45717.0</v>
      </c>
      <c r="K16" s="19" t="s">
        <v>17</v>
      </c>
      <c r="L16" s="20" t="s">
        <v>18</v>
      </c>
      <c r="M16" s="21">
        <v>46023.0</v>
      </c>
      <c r="O16" s="19" t="s">
        <v>17</v>
      </c>
      <c r="P16" s="20" t="s">
        <v>18</v>
      </c>
      <c r="Q16" s="21">
        <v>46023.0</v>
      </c>
      <c r="S16" s="19" t="s">
        <v>19</v>
      </c>
      <c r="T16" s="20"/>
      <c r="U16" s="20"/>
      <c r="V16" s="22"/>
    </row>
    <row r="17" ht="14.25" customHeight="1">
      <c r="C17" s="23"/>
      <c r="D17" s="24" t="s">
        <v>20</v>
      </c>
      <c r="E17" s="25">
        <v>10.0</v>
      </c>
      <c r="G17" s="23"/>
      <c r="H17" s="24" t="s">
        <v>20</v>
      </c>
      <c r="I17" s="25">
        <v>5.0</v>
      </c>
      <c r="K17" s="26"/>
      <c r="L17" s="27" t="s">
        <v>21</v>
      </c>
      <c r="M17" s="28">
        <v>15.0</v>
      </c>
      <c r="O17" s="26"/>
      <c r="P17" s="27" t="s">
        <v>21</v>
      </c>
      <c r="Q17" s="28">
        <v>5.0</v>
      </c>
      <c r="S17" s="26"/>
      <c r="T17" s="27" t="s">
        <v>22</v>
      </c>
      <c r="U17" s="27">
        <v>0.74</v>
      </c>
      <c r="V17" s="28"/>
    </row>
    <row r="18" ht="14.25" customHeight="1">
      <c r="K18" s="23"/>
      <c r="L18" s="24" t="s">
        <v>20</v>
      </c>
      <c r="M18" s="25">
        <v>5.0</v>
      </c>
      <c r="O18" s="23"/>
      <c r="P18" s="24" t="s">
        <v>20</v>
      </c>
      <c r="Q18" s="25">
        <v>5.0</v>
      </c>
      <c r="S18" s="23"/>
      <c r="T18" s="24" t="s">
        <v>23</v>
      </c>
      <c r="U18" s="29">
        <v>0.95</v>
      </c>
      <c r="V18" s="25"/>
    </row>
    <row r="19" ht="14.25" customHeight="1"/>
    <row r="20" ht="14.25" customHeight="1">
      <c r="E20" s="27" t="s">
        <v>24</v>
      </c>
      <c r="F20" s="27" t="s">
        <v>24</v>
      </c>
      <c r="G20" s="27" t="s">
        <v>24</v>
      </c>
      <c r="H20" s="27" t="s">
        <v>24</v>
      </c>
      <c r="I20" s="27" t="s">
        <v>24</v>
      </c>
      <c r="J20" s="27" t="s">
        <v>24</v>
      </c>
      <c r="K20" s="27" t="s">
        <v>24</v>
      </c>
      <c r="L20" s="27" t="s">
        <v>24</v>
      </c>
      <c r="M20" s="27" t="s">
        <v>24</v>
      </c>
      <c r="N20" s="27" t="s">
        <v>24</v>
      </c>
      <c r="O20" s="27" t="s">
        <v>24</v>
      </c>
      <c r="P20" s="27" t="s">
        <v>24</v>
      </c>
      <c r="Q20" s="27" t="s">
        <v>25</v>
      </c>
      <c r="R20" s="27" t="s">
        <v>25</v>
      </c>
      <c r="S20" s="27" t="s">
        <v>25</v>
      </c>
      <c r="T20" s="27" t="s">
        <v>25</v>
      </c>
      <c r="U20" s="27" t="s">
        <v>25</v>
      </c>
      <c r="V20" s="27" t="s">
        <v>25</v>
      </c>
      <c r="W20" s="27" t="s">
        <v>25</v>
      </c>
      <c r="X20" s="27" t="s">
        <v>25</v>
      </c>
      <c r="Y20" s="27" t="s">
        <v>25</v>
      </c>
      <c r="Z20" s="27" t="s">
        <v>25</v>
      </c>
      <c r="AA20" s="27" t="s">
        <v>25</v>
      </c>
      <c r="AB20" s="27" t="s">
        <v>25</v>
      </c>
      <c r="AC20" s="27" t="s">
        <v>25</v>
      </c>
      <c r="AD20" s="27" t="s">
        <v>25</v>
      </c>
      <c r="AE20" s="27" t="s">
        <v>25</v>
      </c>
      <c r="AF20" s="27" t="s">
        <v>25</v>
      </c>
      <c r="AG20" s="27" t="s">
        <v>25</v>
      </c>
      <c r="AH20" s="27" t="s">
        <v>25</v>
      </c>
      <c r="AI20" s="27" t="s">
        <v>25</v>
      </c>
      <c r="AJ20" s="27" t="s">
        <v>25</v>
      </c>
      <c r="AK20" s="27" t="s">
        <v>25</v>
      </c>
      <c r="AL20" s="27" t="s">
        <v>25</v>
      </c>
      <c r="AM20" s="27" t="s">
        <v>25</v>
      </c>
      <c r="AN20" s="27" t="s">
        <v>25</v>
      </c>
    </row>
    <row r="21" ht="14.25" customHeight="1">
      <c r="C21" s="27" t="s">
        <v>26</v>
      </c>
      <c r="D21" s="30"/>
      <c r="E21" s="30">
        <f t="shared" ref="E21:F21" si="1">Q21-366</f>
        <v>45292</v>
      </c>
      <c r="F21" s="30">
        <f t="shared" si="1"/>
        <v>45323</v>
      </c>
      <c r="G21" s="30">
        <f t="shared" ref="G21:O21" si="2">S21-365</f>
        <v>45352</v>
      </c>
      <c r="H21" s="30">
        <f t="shared" si="2"/>
        <v>45383</v>
      </c>
      <c r="I21" s="30">
        <f t="shared" si="2"/>
        <v>45413</v>
      </c>
      <c r="J21" s="30">
        <f t="shared" si="2"/>
        <v>45444</v>
      </c>
      <c r="K21" s="30">
        <f t="shared" si="2"/>
        <v>45474</v>
      </c>
      <c r="L21" s="30">
        <f t="shared" si="2"/>
        <v>45505</v>
      </c>
      <c r="M21" s="30">
        <f t="shared" si="2"/>
        <v>45536</v>
      </c>
      <c r="N21" s="30">
        <f t="shared" si="2"/>
        <v>45566</v>
      </c>
      <c r="O21" s="30">
        <f t="shared" si="2"/>
        <v>45597</v>
      </c>
      <c r="P21" s="30">
        <v>45627.0</v>
      </c>
      <c r="Q21" s="30">
        <f t="shared" ref="Q21:R21" si="3">P21+31</f>
        <v>45658</v>
      </c>
      <c r="R21" s="30">
        <f t="shared" si="3"/>
        <v>45689</v>
      </c>
      <c r="S21" s="30">
        <f>R21+28</f>
        <v>45717</v>
      </c>
      <c r="T21" s="30">
        <f>S21+31</f>
        <v>45748</v>
      </c>
      <c r="U21" s="30">
        <f>T21+30</f>
        <v>45778</v>
      </c>
      <c r="V21" s="30">
        <f>U21+31</f>
        <v>45809</v>
      </c>
      <c r="W21" s="30">
        <f>V21+30</f>
        <v>45839</v>
      </c>
      <c r="X21" s="30">
        <f t="shared" ref="X21:Y21" si="4">W21+31</f>
        <v>45870</v>
      </c>
      <c r="Y21" s="30">
        <f t="shared" si="4"/>
        <v>45901</v>
      </c>
      <c r="Z21" s="30">
        <f>Y21+30</f>
        <v>45931</v>
      </c>
      <c r="AA21" s="30">
        <f>Z21+31</f>
        <v>45962</v>
      </c>
      <c r="AB21" s="30">
        <f>AA21+30</f>
        <v>45992</v>
      </c>
      <c r="AC21" s="30">
        <f t="shared" ref="AC21:AN21" si="5">Q21+365</f>
        <v>46023</v>
      </c>
      <c r="AD21" s="30">
        <f t="shared" si="5"/>
        <v>46054</v>
      </c>
      <c r="AE21" s="30">
        <f t="shared" si="5"/>
        <v>46082</v>
      </c>
      <c r="AF21" s="30">
        <f t="shared" si="5"/>
        <v>46113</v>
      </c>
      <c r="AG21" s="30">
        <f t="shared" si="5"/>
        <v>46143</v>
      </c>
      <c r="AH21" s="30">
        <f t="shared" si="5"/>
        <v>46174</v>
      </c>
      <c r="AI21" s="30">
        <f t="shared" si="5"/>
        <v>46204</v>
      </c>
      <c r="AJ21" s="30">
        <f t="shared" si="5"/>
        <v>46235</v>
      </c>
      <c r="AK21" s="30">
        <f t="shared" si="5"/>
        <v>46266</v>
      </c>
      <c r="AL21" s="30">
        <f t="shared" si="5"/>
        <v>46296</v>
      </c>
      <c r="AM21" s="30">
        <f t="shared" si="5"/>
        <v>46327</v>
      </c>
      <c r="AN21" s="30">
        <f t="shared" si="5"/>
        <v>46357</v>
      </c>
    </row>
    <row r="22" ht="14.25" customHeight="1">
      <c r="A22" s="31"/>
      <c r="B22" s="31"/>
      <c r="C22" s="31" t="s">
        <v>27</v>
      </c>
      <c r="D22" s="31"/>
      <c r="E22" s="31"/>
      <c r="F22" s="31"/>
      <c r="G22" s="31"/>
      <c r="H22" s="31"/>
      <c r="I22" s="31"/>
      <c r="J22" s="31"/>
      <c r="K22" s="31"/>
      <c r="L22" s="31"/>
      <c r="M22" s="31"/>
      <c r="N22" s="31"/>
      <c r="O22" s="31"/>
      <c r="P22" s="32">
        <v>0.0</v>
      </c>
      <c r="Q22" s="32">
        <v>1.0</v>
      </c>
      <c r="R22" s="32">
        <v>2.0</v>
      </c>
      <c r="S22" s="32">
        <v>3.0</v>
      </c>
      <c r="T22" s="32">
        <v>4.0</v>
      </c>
      <c r="U22" s="32">
        <v>5.0</v>
      </c>
      <c r="V22" s="32">
        <v>6.0</v>
      </c>
      <c r="W22" s="32">
        <v>7.0</v>
      </c>
      <c r="X22" s="32">
        <v>8.0</v>
      </c>
      <c r="Y22" s="32">
        <v>9.0</v>
      </c>
      <c r="Z22" s="32">
        <v>10.0</v>
      </c>
      <c r="AA22" s="32">
        <v>11.0</v>
      </c>
      <c r="AB22" s="32">
        <v>12.0</v>
      </c>
      <c r="AC22" s="32">
        <v>13.0</v>
      </c>
      <c r="AD22" s="32">
        <v>14.0</v>
      </c>
      <c r="AE22" s="32">
        <v>15.0</v>
      </c>
      <c r="AF22" s="32">
        <v>16.0</v>
      </c>
      <c r="AG22" s="32">
        <v>17.0</v>
      </c>
      <c r="AH22" s="32">
        <v>18.0</v>
      </c>
      <c r="AI22" s="32">
        <v>19.0</v>
      </c>
      <c r="AJ22" s="32">
        <v>20.0</v>
      </c>
      <c r="AK22" s="32">
        <v>21.0</v>
      </c>
      <c r="AL22" s="32">
        <v>22.0</v>
      </c>
      <c r="AM22" s="32">
        <v>23.0</v>
      </c>
      <c r="AN22" s="32">
        <v>24.0</v>
      </c>
    </row>
    <row r="23" ht="14.25" customHeight="1">
      <c r="A23" s="27" t="s">
        <v>28</v>
      </c>
      <c r="B23" s="27" t="s">
        <v>29</v>
      </c>
      <c r="E23" s="27">
        <v>500.0</v>
      </c>
      <c r="F23" s="27">
        <v>496.0</v>
      </c>
      <c r="G23" s="27">
        <v>492.0</v>
      </c>
      <c r="H23" s="27">
        <v>488.0</v>
      </c>
      <c r="I23" s="27">
        <v>484.0</v>
      </c>
      <c r="J23" s="27">
        <v>480.0</v>
      </c>
      <c r="K23" s="27">
        <v>476.0</v>
      </c>
      <c r="L23" s="27">
        <v>472.0</v>
      </c>
      <c r="M23" s="27">
        <v>468.0</v>
      </c>
      <c r="N23" s="27">
        <v>464.0</v>
      </c>
      <c r="O23" s="27">
        <v>460.0</v>
      </c>
      <c r="P23" s="27">
        <v>456.0</v>
      </c>
      <c r="Q23" s="33"/>
      <c r="R23" s="33"/>
      <c r="S23" s="33"/>
      <c r="T23" s="33"/>
      <c r="U23" s="33"/>
      <c r="V23" s="33"/>
      <c r="W23" s="33"/>
      <c r="X23" s="33"/>
      <c r="Y23" s="33"/>
      <c r="Z23" s="33"/>
      <c r="AA23" s="33"/>
      <c r="AB23" s="33"/>
      <c r="AC23" s="33"/>
      <c r="AD23" s="33"/>
      <c r="AE23" s="33"/>
      <c r="AF23" s="33"/>
      <c r="AG23" s="33"/>
      <c r="AH23" s="33"/>
      <c r="AI23" s="33"/>
      <c r="AJ23" s="33"/>
      <c r="AK23" s="33"/>
      <c r="AL23" s="33"/>
      <c r="AM23" s="33"/>
      <c r="AN23" s="33"/>
    </row>
    <row r="24" ht="14.25" customHeight="1">
      <c r="A24" s="27" t="s">
        <v>28</v>
      </c>
      <c r="B24" s="27" t="s">
        <v>30</v>
      </c>
      <c r="E24" s="27">
        <v>46.0</v>
      </c>
      <c r="F24" s="27">
        <v>84.0</v>
      </c>
      <c r="G24" s="27">
        <v>79.0</v>
      </c>
      <c r="H24" s="27">
        <v>71.0</v>
      </c>
      <c r="I24" s="27">
        <v>66.0</v>
      </c>
      <c r="J24" s="27">
        <v>68.0</v>
      </c>
      <c r="K24" s="27">
        <v>104.0</v>
      </c>
      <c r="L24" s="27">
        <v>69.0</v>
      </c>
      <c r="M24" s="27">
        <v>64.0</v>
      </c>
      <c r="N24" s="27">
        <v>131.0</v>
      </c>
      <c r="O24" s="27">
        <v>45.0</v>
      </c>
      <c r="P24" s="27">
        <v>47.0</v>
      </c>
      <c r="Q24" s="33"/>
      <c r="R24" s="33"/>
      <c r="S24" s="33"/>
      <c r="T24" s="33"/>
      <c r="U24" s="33"/>
      <c r="V24" s="33"/>
      <c r="W24" s="33"/>
      <c r="X24" s="33"/>
      <c r="Y24" s="33"/>
      <c r="Z24" s="33"/>
      <c r="AA24" s="33"/>
      <c r="AB24" s="33"/>
      <c r="AC24" s="33"/>
      <c r="AD24" s="33"/>
      <c r="AE24" s="33"/>
      <c r="AF24" s="33"/>
      <c r="AG24" s="33"/>
      <c r="AH24" s="33"/>
      <c r="AI24" s="33"/>
      <c r="AJ24" s="33"/>
      <c r="AK24" s="33"/>
      <c r="AL24" s="33"/>
      <c r="AM24" s="33"/>
      <c r="AN24" s="33"/>
    </row>
    <row r="25" ht="14.25" customHeight="1">
      <c r="A25" s="27" t="s">
        <v>28</v>
      </c>
      <c r="B25" s="34" t="s">
        <v>31</v>
      </c>
      <c r="C25" s="35" t="s">
        <v>32</v>
      </c>
      <c r="D25" s="35"/>
      <c r="E25" s="35">
        <f t="shared" ref="E25:P25" si="6">E23+E24</f>
        <v>546</v>
      </c>
      <c r="F25" s="35">
        <f t="shared" si="6"/>
        <v>580</v>
      </c>
      <c r="G25" s="35">
        <f t="shared" si="6"/>
        <v>571</v>
      </c>
      <c r="H25" s="35">
        <f t="shared" si="6"/>
        <v>559</v>
      </c>
      <c r="I25" s="35">
        <f t="shared" si="6"/>
        <v>550</v>
      </c>
      <c r="J25" s="35">
        <f t="shared" si="6"/>
        <v>548</v>
      </c>
      <c r="K25" s="35">
        <f t="shared" si="6"/>
        <v>580</v>
      </c>
      <c r="L25" s="35">
        <f t="shared" si="6"/>
        <v>541</v>
      </c>
      <c r="M25" s="35">
        <f t="shared" si="6"/>
        <v>532</v>
      </c>
      <c r="N25" s="35">
        <f t="shared" si="6"/>
        <v>595</v>
      </c>
      <c r="O25" s="35">
        <f t="shared" si="6"/>
        <v>505</v>
      </c>
      <c r="P25" s="35">
        <f t="shared" si="6"/>
        <v>503</v>
      </c>
      <c r="Q25" s="35"/>
      <c r="R25" s="35"/>
      <c r="S25" s="35"/>
      <c r="T25" s="35"/>
      <c r="U25" s="35"/>
      <c r="V25" s="35"/>
      <c r="W25" s="35"/>
      <c r="X25" s="35"/>
      <c r="Y25" s="35"/>
      <c r="Z25" s="35"/>
      <c r="AA25" s="35"/>
      <c r="AB25" s="35"/>
      <c r="AC25" s="35"/>
      <c r="AD25" s="35"/>
      <c r="AE25" s="35"/>
      <c r="AF25" s="35"/>
      <c r="AG25" s="35"/>
      <c r="AH25" s="35"/>
      <c r="AI25" s="35"/>
      <c r="AJ25" s="35"/>
      <c r="AK25" s="35"/>
      <c r="AL25" s="35"/>
      <c r="AM25" s="35"/>
      <c r="AN25" s="35"/>
    </row>
    <row r="26" ht="14.25" customHeight="1">
      <c r="A26" s="27" t="s">
        <v>33</v>
      </c>
      <c r="B26" s="27" t="s">
        <v>34</v>
      </c>
      <c r="C26" s="27" t="s">
        <v>35</v>
      </c>
      <c r="E26" s="27">
        <v>551.46</v>
      </c>
      <c r="F26" s="27">
        <v>580.0</v>
      </c>
      <c r="G26" s="27">
        <v>576.71</v>
      </c>
      <c r="H26" s="27">
        <v>553.41</v>
      </c>
      <c r="I26" s="27">
        <v>544.5</v>
      </c>
      <c r="J26" s="27">
        <v>537.04</v>
      </c>
      <c r="K26" s="27">
        <v>585.8</v>
      </c>
      <c r="L26" s="27">
        <v>546.41</v>
      </c>
      <c r="M26" s="27">
        <v>537.32</v>
      </c>
      <c r="N26" s="27">
        <v>583.1</v>
      </c>
      <c r="O26" s="27">
        <v>510.05</v>
      </c>
      <c r="P26" s="27">
        <v>513.06</v>
      </c>
    </row>
    <row r="27" ht="14.25" customHeight="1">
      <c r="A27" s="27" t="s">
        <v>33</v>
      </c>
      <c r="B27" s="27" t="s">
        <v>34</v>
      </c>
      <c r="C27" s="27" t="s">
        <v>36</v>
      </c>
      <c r="Q27" s="27">
        <f>P25*1.02</f>
        <v>513.06</v>
      </c>
      <c r="R27" s="27">
        <f t="shared" ref="R27:AN27" si="7">Q27*1.02</f>
        <v>523.3212</v>
      </c>
      <c r="S27" s="27">
        <f t="shared" si="7"/>
        <v>533.787624</v>
      </c>
      <c r="T27" s="27">
        <f t="shared" si="7"/>
        <v>544.4633765</v>
      </c>
      <c r="U27" s="27">
        <f t="shared" si="7"/>
        <v>555.352644</v>
      </c>
      <c r="V27" s="27">
        <f t="shared" si="7"/>
        <v>566.4596969</v>
      </c>
      <c r="W27" s="27">
        <f t="shared" si="7"/>
        <v>577.7888908</v>
      </c>
      <c r="X27" s="27">
        <f t="shared" si="7"/>
        <v>589.3446686</v>
      </c>
      <c r="Y27" s="27">
        <f t="shared" si="7"/>
        <v>601.131562</v>
      </c>
      <c r="Z27" s="27">
        <f t="shared" si="7"/>
        <v>613.1541933</v>
      </c>
      <c r="AA27" s="27">
        <f t="shared" si="7"/>
        <v>625.4172771</v>
      </c>
      <c r="AB27" s="27">
        <f t="shared" si="7"/>
        <v>637.9256227</v>
      </c>
      <c r="AC27" s="27">
        <f t="shared" si="7"/>
        <v>650.6841351</v>
      </c>
      <c r="AD27" s="27">
        <f t="shared" si="7"/>
        <v>663.6978178</v>
      </c>
      <c r="AE27" s="27">
        <f t="shared" si="7"/>
        <v>676.9717742</v>
      </c>
      <c r="AF27" s="27">
        <f t="shared" si="7"/>
        <v>690.5112097</v>
      </c>
      <c r="AG27" s="27">
        <f t="shared" si="7"/>
        <v>704.3214339</v>
      </c>
      <c r="AH27" s="27">
        <f t="shared" si="7"/>
        <v>718.4078625</v>
      </c>
      <c r="AI27" s="27">
        <f t="shared" si="7"/>
        <v>732.7760198</v>
      </c>
      <c r="AJ27" s="27">
        <f t="shared" si="7"/>
        <v>747.4315402</v>
      </c>
      <c r="AK27" s="27">
        <f t="shared" si="7"/>
        <v>762.380171</v>
      </c>
      <c r="AL27" s="27">
        <f t="shared" si="7"/>
        <v>777.6277744</v>
      </c>
      <c r="AM27" s="27">
        <f t="shared" si="7"/>
        <v>793.1803299</v>
      </c>
      <c r="AN27" s="27">
        <f t="shared" si="7"/>
        <v>809.0439365</v>
      </c>
    </row>
    <row r="28" ht="14.25" customHeight="1">
      <c r="A28" s="27" t="s">
        <v>33</v>
      </c>
      <c r="B28" s="27" t="s">
        <v>34</v>
      </c>
      <c r="C28" s="27" t="s">
        <v>37</v>
      </c>
      <c r="P28" s="27">
        <f>P25</f>
        <v>503</v>
      </c>
      <c r="Q28" s="27">
        <f>P25*1.01</f>
        <v>508.03</v>
      </c>
      <c r="R28" s="27">
        <f t="shared" ref="R28:AN28" si="8">Q28*1.01</f>
        <v>513.1103</v>
      </c>
      <c r="S28" s="27">
        <f t="shared" si="8"/>
        <v>518.241403</v>
      </c>
      <c r="T28" s="27">
        <f t="shared" si="8"/>
        <v>523.423817</v>
      </c>
      <c r="U28" s="27">
        <f t="shared" si="8"/>
        <v>528.6580552</v>
      </c>
      <c r="V28" s="27">
        <f t="shared" si="8"/>
        <v>533.9446358</v>
      </c>
      <c r="W28" s="27">
        <f t="shared" si="8"/>
        <v>539.2840821</v>
      </c>
      <c r="X28" s="27">
        <f t="shared" si="8"/>
        <v>544.6769229</v>
      </c>
      <c r="Y28" s="27">
        <f t="shared" si="8"/>
        <v>550.1236922</v>
      </c>
      <c r="Z28" s="27">
        <f t="shared" si="8"/>
        <v>555.6249291</v>
      </c>
      <c r="AA28" s="27">
        <f t="shared" si="8"/>
        <v>561.1811784</v>
      </c>
      <c r="AB28" s="27">
        <f t="shared" si="8"/>
        <v>566.7929902</v>
      </c>
      <c r="AC28" s="27">
        <f t="shared" si="8"/>
        <v>572.4609201</v>
      </c>
      <c r="AD28" s="27">
        <f t="shared" si="8"/>
        <v>578.1855293</v>
      </c>
      <c r="AE28" s="27">
        <f t="shared" si="8"/>
        <v>583.9673846</v>
      </c>
      <c r="AF28" s="27">
        <f t="shared" si="8"/>
        <v>589.8070584</v>
      </c>
      <c r="AG28" s="27">
        <f t="shared" si="8"/>
        <v>595.705129</v>
      </c>
      <c r="AH28" s="27">
        <f t="shared" si="8"/>
        <v>601.6621803</v>
      </c>
      <c r="AI28" s="27">
        <f t="shared" si="8"/>
        <v>607.6788021</v>
      </c>
      <c r="AJ28" s="27">
        <f t="shared" si="8"/>
        <v>613.7555901</v>
      </c>
      <c r="AK28" s="27">
        <f t="shared" si="8"/>
        <v>619.893146</v>
      </c>
      <c r="AL28" s="27">
        <f t="shared" si="8"/>
        <v>626.0920775</v>
      </c>
      <c r="AM28" s="27">
        <f t="shared" si="8"/>
        <v>632.3529982</v>
      </c>
      <c r="AN28" s="27">
        <f t="shared" si="8"/>
        <v>638.6765282</v>
      </c>
    </row>
    <row r="29" ht="14.25" customHeight="1">
      <c r="A29" s="27" t="s">
        <v>33</v>
      </c>
      <c r="B29" s="27" t="s">
        <v>34</v>
      </c>
      <c r="C29" s="27" t="s">
        <v>38</v>
      </c>
      <c r="Q29" s="27">
        <f>P25*0.99</f>
        <v>497.97</v>
      </c>
      <c r="R29" s="27">
        <f>Q29*0.99</f>
        <v>492.9903</v>
      </c>
      <c r="S29" s="27">
        <v>584.0</v>
      </c>
      <c r="T29" s="27">
        <v>616.0</v>
      </c>
      <c r="U29" s="27">
        <v>591.0</v>
      </c>
      <c r="V29" s="27">
        <v>574.0</v>
      </c>
      <c r="W29" s="27">
        <v>553.0</v>
      </c>
      <c r="X29" s="27">
        <v>550.0</v>
      </c>
      <c r="Y29" s="27">
        <v>592.0</v>
      </c>
      <c r="Z29" s="27">
        <v>552.0</v>
      </c>
      <c r="AA29" s="27">
        <v>546.0</v>
      </c>
      <c r="AB29" s="27">
        <v>550.0</v>
      </c>
      <c r="AC29" s="27">
        <v>613.0</v>
      </c>
      <c r="AD29" s="27">
        <v>620.0</v>
      </c>
      <c r="AE29" s="27">
        <v>600.0</v>
      </c>
      <c r="AF29" s="27">
        <v>614.0</v>
      </c>
      <c r="AG29" s="27">
        <v>562.0</v>
      </c>
      <c r="AH29" s="27">
        <v>595.0</v>
      </c>
      <c r="AI29" s="27">
        <v>591.0</v>
      </c>
      <c r="AJ29" s="27">
        <v>540.0</v>
      </c>
      <c r="AK29" s="27">
        <v>555.0</v>
      </c>
      <c r="AL29" s="27">
        <v>565.0</v>
      </c>
      <c r="AM29" s="27">
        <v>565.0</v>
      </c>
      <c r="AN29" s="27">
        <v>616.0</v>
      </c>
    </row>
    <row r="30" ht="14.25" customHeight="1">
      <c r="A30" s="27" t="s">
        <v>33</v>
      </c>
      <c r="B30" s="27" t="s">
        <v>34</v>
      </c>
      <c r="C30" s="27" t="s">
        <v>39</v>
      </c>
      <c r="P30" s="27">
        <f t="shared" ref="P30:AN30" si="9">IF(P21&gt;=$E$16,$E$17,0)</f>
        <v>0</v>
      </c>
      <c r="Q30" s="27">
        <f t="shared" si="9"/>
        <v>0</v>
      </c>
      <c r="R30" s="27">
        <f t="shared" si="9"/>
        <v>0</v>
      </c>
      <c r="S30" s="27">
        <f t="shared" si="9"/>
        <v>0</v>
      </c>
      <c r="T30" s="27">
        <f t="shared" si="9"/>
        <v>0</v>
      </c>
      <c r="U30" s="27">
        <f t="shared" si="9"/>
        <v>10</v>
      </c>
      <c r="V30" s="27">
        <f t="shared" si="9"/>
        <v>10</v>
      </c>
      <c r="W30" s="27">
        <f t="shared" si="9"/>
        <v>10</v>
      </c>
      <c r="X30" s="27">
        <f t="shared" si="9"/>
        <v>10</v>
      </c>
      <c r="Y30" s="27">
        <f t="shared" si="9"/>
        <v>10</v>
      </c>
      <c r="Z30" s="27">
        <f t="shared" si="9"/>
        <v>10</v>
      </c>
      <c r="AA30" s="27">
        <f t="shared" si="9"/>
        <v>10</v>
      </c>
      <c r="AB30" s="27">
        <f t="shared" si="9"/>
        <v>10</v>
      </c>
      <c r="AC30" s="27">
        <f t="shared" si="9"/>
        <v>10</v>
      </c>
      <c r="AD30" s="27">
        <f t="shared" si="9"/>
        <v>10</v>
      </c>
      <c r="AE30" s="27">
        <f t="shared" si="9"/>
        <v>10</v>
      </c>
      <c r="AF30" s="27">
        <f t="shared" si="9"/>
        <v>10</v>
      </c>
      <c r="AG30" s="27">
        <f t="shared" si="9"/>
        <v>10</v>
      </c>
      <c r="AH30" s="27">
        <f t="shared" si="9"/>
        <v>10</v>
      </c>
      <c r="AI30" s="27">
        <f t="shared" si="9"/>
        <v>10</v>
      </c>
      <c r="AJ30" s="27">
        <f t="shared" si="9"/>
        <v>10</v>
      </c>
      <c r="AK30" s="27">
        <f t="shared" si="9"/>
        <v>10</v>
      </c>
      <c r="AL30" s="27">
        <f t="shared" si="9"/>
        <v>10</v>
      </c>
      <c r="AM30" s="27">
        <f t="shared" si="9"/>
        <v>10</v>
      </c>
      <c r="AN30" s="27">
        <f t="shared" si="9"/>
        <v>10</v>
      </c>
    </row>
    <row r="31" ht="14.25" customHeight="1">
      <c r="A31" s="27" t="s">
        <v>33</v>
      </c>
      <c r="B31" s="27" t="s">
        <v>34</v>
      </c>
      <c r="C31" s="27" t="s">
        <v>40</v>
      </c>
      <c r="P31" s="27">
        <f t="shared" ref="P31:AN31" si="10">IF(P21&gt;=$I$16,$I$17,0)</f>
        <v>0</v>
      </c>
      <c r="Q31" s="27">
        <f t="shared" si="10"/>
        <v>0</v>
      </c>
      <c r="R31" s="27">
        <f t="shared" si="10"/>
        <v>0</v>
      </c>
      <c r="S31" s="27">
        <f t="shared" si="10"/>
        <v>5</v>
      </c>
      <c r="T31" s="27">
        <f t="shared" si="10"/>
        <v>5</v>
      </c>
      <c r="U31" s="27">
        <f t="shared" si="10"/>
        <v>5</v>
      </c>
      <c r="V31" s="27">
        <f t="shared" si="10"/>
        <v>5</v>
      </c>
      <c r="W31" s="27">
        <f t="shared" si="10"/>
        <v>5</v>
      </c>
      <c r="X31" s="27">
        <f t="shared" si="10"/>
        <v>5</v>
      </c>
      <c r="Y31" s="27">
        <f t="shared" si="10"/>
        <v>5</v>
      </c>
      <c r="Z31" s="27">
        <f t="shared" si="10"/>
        <v>5</v>
      </c>
      <c r="AA31" s="27">
        <f t="shared" si="10"/>
        <v>5</v>
      </c>
      <c r="AB31" s="27">
        <f t="shared" si="10"/>
        <v>5</v>
      </c>
      <c r="AC31" s="27">
        <f t="shared" si="10"/>
        <v>5</v>
      </c>
      <c r="AD31" s="27">
        <f t="shared" si="10"/>
        <v>5</v>
      </c>
      <c r="AE31" s="27">
        <f t="shared" si="10"/>
        <v>5</v>
      </c>
      <c r="AF31" s="27">
        <f t="shared" si="10"/>
        <v>5</v>
      </c>
      <c r="AG31" s="27">
        <f t="shared" si="10"/>
        <v>5</v>
      </c>
      <c r="AH31" s="27">
        <f t="shared" si="10"/>
        <v>5</v>
      </c>
      <c r="AI31" s="27">
        <f t="shared" si="10"/>
        <v>5</v>
      </c>
      <c r="AJ31" s="27">
        <f t="shared" si="10"/>
        <v>5</v>
      </c>
      <c r="AK31" s="27">
        <f t="shared" si="10"/>
        <v>5</v>
      </c>
      <c r="AL31" s="27">
        <f t="shared" si="10"/>
        <v>5</v>
      </c>
      <c r="AM31" s="27">
        <f t="shared" si="10"/>
        <v>5</v>
      </c>
      <c r="AN31" s="27">
        <f t="shared" si="10"/>
        <v>5</v>
      </c>
    </row>
    <row r="32" ht="14.25" customHeight="1">
      <c r="A32" s="27" t="s">
        <v>33</v>
      </c>
      <c r="B32" s="27" t="s">
        <v>34</v>
      </c>
      <c r="C32" s="27" t="s">
        <v>41</v>
      </c>
      <c r="P32" s="27">
        <f t="shared" ref="P32:AN32" si="11">IF(AND(P21&gt;=$M$16,$G$14&lt;=$M$17),$M$18,0)</f>
        <v>0</v>
      </c>
      <c r="Q32" s="27">
        <f t="shared" si="11"/>
        <v>0</v>
      </c>
      <c r="R32" s="27">
        <f t="shared" si="11"/>
        <v>0</v>
      </c>
      <c r="S32" s="27">
        <f t="shared" si="11"/>
        <v>0</v>
      </c>
      <c r="T32" s="27">
        <f t="shared" si="11"/>
        <v>0</v>
      </c>
      <c r="U32" s="27">
        <f t="shared" si="11"/>
        <v>0</v>
      </c>
      <c r="V32" s="27">
        <f t="shared" si="11"/>
        <v>0</v>
      </c>
      <c r="W32" s="27">
        <f t="shared" si="11"/>
        <v>0</v>
      </c>
      <c r="X32" s="27">
        <f t="shared" si="11"/>
        <v>0</v>
      </c>
      <c r="Y32" s="27">
        <f t="shared" si="11"/>
        <v>0</v>
      </c>
      <c r="Z32" s="27">
        <f t="shared" si="11"/>
        <v>0</v>
      </c>
      <c r="AA32" s="27">
        <f t="shared" si="11"/>
        <v>0</v>
      </c>
      <c r="AB32" s="27">
        <f t="shared" si="11"/>
        <v>0</v>
      </c>
      <c r="AC32" s="27">
        <f t="shared" si="11"/>
        <v>5</v>
      </c>
      <c r="AD32" s="27">
        <f t="shared" si="11"/>
        <v>5</v>
      </c>
      <c r="AE32" s="27">
        <f t="shared" si="11"/>
        <v>5</v>
      </c>
      <c r="AF32" s="27">
        <f t="shared" si="11"/>
        <v>5</v>
      </c>
      <c r="AG32" s="27">
        <f t="shared" si="11"/>
        <v>5</v>
      </c>
      <c r="AH32" s="27">
        <f t="shared" si="11"/>
        <v>5</v>
      </c>
      <c r="AI32" s="27">
        <f t="shared" si="11"/>
        <v>5</v>
      </c>
      <c r="AJ32" s="27">
        <f t="shared" si="11"/>
        <v>5</v>
      </c>
      <c r="AK32" s="27">
        <f t="shared" si="11"/>
        <v>5</v>
      </c>
      <c r="AL32" s="27">
        <f t="shared" si="11"/>
        <v>5</v>
      </c>
      <c r="AM32" s="27">
        <f t="shared" si="11"/>
        <v>5</v>
      </c>
      <c r="AN32" s="27">
        <f t="shared" si="11"/>
        <v>5</v>
      </c>
    </row>
    <row r="33" ht="14.25" customHeight="1">
      <c r="A33" s="27" t="s">
        <v>33</v>
      </c>
      <c r="B33" s="27" t="s">
        <v>34</v>
      </c>
      <c r="C33" s="27" t="s">
        <v>42</v>
      </c>
      <c r="P33" s="27">
        <f t="shared" ref="P33:AN33" si="12">-IF(AND(P21&gt;=$Q$16,$G$14&lt;=$Q$17),$Q$18,0)</f>
        <v>0</v>
      </c>
      <c r="Q33" s="27">
        <f t="shared" si="12"/>
        <v>0</v>
      </c>
      <c r="R33" s="27">
        <f t="shared" si="12"/>
        <v>0</v>
      </c>
      <c r="S33" s="27">
        <f t="shared" si="12"/>
        <v>0</v>
      </c>
      <c r="T33" s="27">
        <f t="shared" si="12"/>
        <v>0</v>
      </c>
      <c r="U33" s="27">
        <f t="shared" si="12"/>
        <v>0</v>
      </c>
      <c r="V33" s="27">
        <f t="shared" si="12"/>
        <v>0</v>
      </c>
      <c r="W33" s="27">
        <f t="shared" si="12"/>
        <v>0</v>
      </c>
      <c r="X33" s="27">
        <f t="shared" si="12"/>
        <v>0</v>
      </c>
      <c r="Y33" s="27">
        <f t="shared" si="12"/>
        <v>0</v>
      </c>
      <c r="Z33" s="27">
        <f t="shared" si="12"/>
        <v>0</v>
      </c>
      <c r="AA33" s="27">
        <f t="shared" si="12"/>
        <v>0</v>
      </c>
      <c r="AB33" s="27">
        <f t="shared" si="12"/>
        <v>0</v>
      </c>
      <c r="AC33" s="27">
        <f t="shared" si="12"/>
        <v>0</v>
      </c>
      <c r="AD33" s="27">
        <f t="shared" si="12"/>
        <v>0</v>
      </c>
      <c r="AE33" s="27">
        <f t="shared" si="12"/>
        <v>0</v>
      </c>
      <c r="AF33" s="27">
        <f t="shared" si="12"/>
        <v>0</v>
      </c>
      <c r="AG33" s="27">
        <f t="shared" si="12"/>
        <v>0</v>
      </c>
      <c r="AH33" s="27">
        <f t="shared" si="12"/>
        <v>0</v>
      </c>
      <c r="AI33" s="27">
        <f t="shared" si="12"/>
        <v>0</v>
      </c>
      <c r="AJ33" s="27">
        <f t="shared" si="12"/>
        <v>0</v>
      </c>
      <c r="AK33" s="27">
        <f t="shared" si="12"/>
        <v>0</v>
      </c>
      <c r="AL33" s="27">
        <f t="shared" si="12"/>
        <v>0</v>
      </c>
      <c r="AM33" s="27">
        <f t="shared" si="12"/>
        <v>0</v>
      </c>
      <c r="AN33" s="27">
        <f t="shared" si="12"/>
        <v>0</v>
      </c>
    </row>
    <row r="34" ht="14.25" customHeight="1"/>
    <row r="35" ht="14.25" customHeight="1">
      <c r="A35" s="27" t="s">
        <v>33</v>
      </c>
      <c r="B35" s="27" t="s">
        <v>30</v>
      </c>
      <c r="C35" s="27" t="s">
        <v>43</v>
      </c>
      <c r="D35" s="27" t="s">
        <v>44</v>
      </c>
      <c r="Q35" s="27">
        <v>60.0</v>
      </c>
      <c r="R35" s="27">
        <v>60.0</v>
      </c>
      <c r="S35" s="27">
        <v>60.0</v>
      </c>
      <c r="T35" s="27">
        <v>60.0</v>
      </c>
      <c r="U35" s="27">
        <v>60.0</v>
      </c>
      <c r="V35" s="27">
        <v>60.0</v>
      </c>
      <c r="W35" s="27">
        <v>60.0</v>
      </c>
      <c r="X35" s="27">
        <v>60.0</v>
      </c>
      <c r="Y35" s="27">
        <v>60.0</v>
      </c>
      <c r="Z35" s="27">
        <v>60.0</v>
      </c>
      <c r="AA35" s="27">
        <v>60.0</v>
      </c>
      <c r="AB35" s="27">
        <v>60.0</v>
      </c>
      <c r="AC35" s="27">
        <v>60.0</v>
      </c>
      <c r="AD35" s="27">
        <v>60.0</v>
      </c>
      <c r="AE35" s="27">
        <v>60.0</v>
      </c>
      <c r="AF35" s="27">
        <v>60.0</v>
      </c>
      <c r="AG35" s="27">
        <v>60.0</v>
      </c>
      <c r="AH35" s="27">
        <v>60.0</v>
      </c>
      <c r="AI35" s="27">
        <v>60.0</v>
      </c>
      <c r="AJ35" s="27">
        <v>60.0</v>
      </c>
      <c r="AK35" s="27">
        <v>60.0</v>
      </c>
      <c r="AL35" s="27">
        <v>60.0</v>
      </c>
      <c r="AM35" s="27">
        <v>60.0</v>
      </c>
      <c r="AN35" s="27">
        <v>60.0</v>
      </c>
    </row>
    <row r="36" ht="14.25" customHeight="1">
      <c r="A36" s="27" t="s">
        <v>33</v>
      </c>
      <c r="B36" s="27" t="s">
        <v>30</v>
      </c>
      <c r="C36" s="27" t="s">
        <v>45</v>
      </c>
      <c r="D36" s="27" t="s">
        <v>44</v>
      </c>
      <c r="Q36" s="27">
        <v>50.0</v>
      </c>
      <c r="R36" s="27">
        <v>50.0</v>
      </c>
      <c r="S36" s="27">
        <v>50.0</v>
      </c>
      <c r="T36" s="27">
        <v>50.0</v>
      </c>
      <c r="U36" s="27">
        <v>50.0</v>
      </c>
      <c r="V36" s="27">
        <v>50.0</v>
      </c>
      <c r="W36" s="27">
        <v>50.0</v>
      </c>
      <c r="X36" s="27">
        <v>50.0</v>
      </c>
      <c r="Y36" s="27">
        <v>50.0</v>
      </c>
      <c r="Z36" s="27">
        <v>50.0</v>
      </c>
      <c r="AA36" s="27">
        <v>50.0</v>
      </c>
      <c r="AB36" s="27">
        <v>50.0</v>
      </c>
      <c r="AC36" s="27">
        <v>50.0</v>
      </c>
      <c r="AD36" s="27">
        <v>50.0</v>
      </c>
      <c r="AE36" s="27">
        <v>50.0</v>
      </c>
      <c r="AF36" s="27">
        <v>50.0</v>
      </c>
      <c r="AG36" s="27">
        <v>50.0</v>
      </c>
      <c r="AH36" s="27">
        <v>50.0</v>
      </c>
      <c r="AI36" s="27">
        <v>50.0</v>
      </c>
      <c r="AJ36" s="27">
        <v>50.0</v>
      </c>
      <c r="AK36" s="27">
        <v>50.0</v>
      </c>
      <c r="AL36" s="27">
        <v>50.0</v>
      </c>
      <c r="AM36" s="27">
        <v>50.0</v>
      </c>
      <c r="AN36" s="27">
        <v>50.0</v>
      </c>
    </row>
    <row r="37" ht="14.25" customHeight="1">
      <c r="A37" s="27" t="s">
        <v>33</v>
      </c>
      <c r="B37" s="27" t="s">
        <v>30</v>
      </c>
      <c r="C37" s="27" t="s">
        <v>46</v>
      </c>
      <c r="D37" s="27" t="s">
        <v>44</v>
      </c>
      <c r="Q37" s="27">
        <v>40.0</v>
      </c>
      <c r="R37" s="27">
        <v>40.0</v>
      </c>
      <c r="S37" s="27">
        <v>40.0</v>
      </c>
      <c r="T37" s="27">
        <v>40.0</v>
      </c>
      <c r="U37" s="27">
        <v>40.0</v>
      </c>
      <c r="V37" s="27">
        <v>40.0</v>
      </c>
      <c r="W37" s="27">
        <v>40.0</v>
      </c>
      <c r="X37" s="27">
        <v>40.0</v>
      </c>
      <c r="Y37" s="27">
        <v>40.0</v>
      </c>
      <c r="Z37" s="27">
        <v>40.0</v>
      </c>
      <c r="AA37" s="27">
        <v>40.0</v>
      </c>
      <c r="AB37" s="27">
        <v>40.0</v>
      </c>
      <c r="AC37" s="27">
        <v>40.0</v>
      </c>
      <c r="AD37" s="27">
        <v>40.0</v>
      </c>
      <c r="AE37" s="27">
        <v>40.0</v>
      </c>
      <c r="AF37" s="27">
        <v>40.0</v>
      </c>
      <c r="AG37" s="27">
        <v>40.0</v>
      </c>
      <c r="AH37" s="27">
        <v>40.0</v>
      </c>
      <c r="AI37" s="27">
        <v>40.0</v>
      </c>
      <c r="AJ37" s="27">
        <v>40.0</v>
      </c>
      <c r="AK37" s="27">
        <v>40.0</v>
      </c>
      <c r="AL37" s="27">
        <v>40.0</v>
      </c>
      <c r="AM37" s="27">
        <v>40.0</v>
      </c>
      <c r="AN37" s="27">
        <v>40.0</v>
      </c>
    </row>
    <row r="38" ht="14.25" customHeight="1"/>
    <row r="39" ht="14.25" customHeight="1">
      <c r="A39" s="19" t="s">
        <v>33</v>
      </c>
      <c r="B39" s="36" t="s">
        <v>47</v>
      </c>
      <c r="C39" s="20" t="s">
        <v>48</v>
      </c>
      <c r="D39" s="20"/>
      <c r="E39" s="20"/>
      <c r="F39" s="20"/>
      <c r="G39" s="20"/>
      <c r="H39" s="20"/>
      <c r="I39" s="20"/>
      <c r="J39" s="20"/>
      <c r="K39" s="20"/>
      <c r="L39" s="20"/>
      <c r="M39" s="20"/>
      <c r="N39" s="20"/>
      <c r="O39" s="20"/>
      <c r="P39" s="20"/>
      <c r="Q39" s="37">
        <f t="shared" ref="Q39:AB39" si="13">(E$25-SUM(Q$30:Q$33))*Q27/E$26+Q35</f>
        <v>567.980198</v>
      </c>
      <c r="R39" s="37">
        <f t="shared" si="13"/>
        <v>583.3212</v>
      </c>
      <c r="S39" s="37">
        <f t="shared" si="13"/>
        <v>583.8747294</v>
      </c>
      <c r="T39" s="37">
        <f t="shared" si="13"/>
        <v>605.0438383</v>
      </c>
      <c r="U39" s="37">
        <f t="shared" si="13"/>
        <v>605.6632958</v>
      </c>
      <c r="V39" s="37">
        <f t="shared" si="13"/>
        <v>622.1983808</v>
      </c>
      <c r="W39" s="37">
        <f t="shared" si="13"/>
        <v>617.2733413</v>
      </c>
      <c r="X39" s="37">
        <f t="shared" si="13"/>
        <v>627.3309341</v>
      </c>
      <c r="Y39" s="37">
        <f t="shared" si="13"/>
        <v>638.39838</v>
      </c>
      <c r="Z39" s="37">
        <f t="shared" si="13"/>
        <v>669.8944128</v>
      </c>
      <c r="AA39" s="37">
        <f t="shared" si="13"/>
        <v>660.8322043</v>
      </c>
      <c r="AB39" s="37">
        <f t="shared" si="13"/>
        <v>666.7666625</v>
      </c>
      <c r="AC39" s="37">
        <f t="shared" ref="AC39:AN39" si="14">(E$25-SUM(AC$30:AC$33))*AC27/E$26+AC35</f>
        <v>680.6431202</v>
      </c>
      <c r="AD39" s="37">
        <f t="shared" si="14"/>
        <v>700.8116862</v>
      </c>
      <c r="AE39" s="37">
        <f t="shared" si="14"/>
        <v>706.7920577</v>
      </c>
      <c r="AF39" s="37">
        <f t="shared" si="14"/>
        <v>732.5312915</v>
      </c>
      <c r="AG39" s="37">
        <f t="shared" si="14"/>
        <v>745.5653993</v>
      </c>
      <c r="AH39" s="37">
        <f t="shared" si="14"/>
        <v>766.3148954</v>
      </c>
      <c r="AI39" s="37">
        <f t="shared" si="14"/>
        <v>760.5028526</v>
      </c>
      <c r="AJ39" s="37">
        <f t="shared" si="14"/>
        <v>772.6733267</v>
      </c>
      <c r="AK39" s="37">
        <f t="shared" si="14"/>
        <v>786.4547151</v>
      </c>
      <c r="AL39" s="37">
        <f t="shared" si="14"/>
        <v>826.8255364</v>
      </c>
      <c r="AM39" s="37">
        <f t="shared" si="14"/>
        <v>814.2249975</v>
      </c>
      <c r="AN39" s="37">
        <f t="shared" si="14"/>
        <v>821.6423446</v>
      </c>
    </row>
    <row r="40" ht="14.25" customHeight="1">
      <c r="A40" s="38" t="s">
        <v>33</v>
      </c>
      <c r="B40" s="39" t="s">
        <v>47</v>
      </c>
      <c r="C40" s="27" t="s">
        <v>49</v>
      </c>
      <c r="D40" s="39"/>
      <c r="E40" s="39"/>
      <c r="F40" s="39"/>
      <c r="G40" s="39"/>
      <c r="H40" s="39"/>
      <c r="I40" s="39"/>
      <c r="J40" s="39"/>
      <c r="K40" s="39"/>
      <c r="L40" s="39"/>
      <c r="M40" s="39"/>
      <c r="N40" s="39"/>
      <c r="O40" s="39"/>
      <c r="P40" s="39"/>
      <c r="Q40" s="40">
        <f t="shared" ref="Q40:AB40" si="15">(E$25-SUM(Q$30:Q$33))*Q28/E$26+Q36</f>
        <v>553</v>
      </c>
      <c r="R40" s="40">
        <f t="shared" si="15"/>
        <v>563.1103</v>
      </c>
      <c r="S40" s="40">
        <f t="shared" si="15"/>
        <v>558.6172151</v>
      </c>
      <c r="T40" s="40">
        <f t="shared" si="15"/>
        <v>573.9818482</v>
      </c>
      <c r="U40" s="40">
        <f t="shared" si="15"/>
        <v>569.4344528</v>
      </c>
      <c r="V40" s="40">
        <f t="shared" si="15"/>
        <v>579.9279213</v>
      </c>
      <c r="W40" s="40">
        <f t="shared" si="15"/>
        <v>570.1357228</v>
      </c>
      <c r="X40" s="40">
        <f t="shared" si="15"/>
        <v>574.3316584</v>
      </c>
      <c r="Y40" s="40">
        <f t="shared" si="15"/>
        <v>579.3194909</v>
      </c>
      <c r="Z40" s="40">
        <f t="shared" si="15"/>
        <v>602.6709979</v>
      </c>
      <c r="AA40" s="40">
        <f t="shared" si="15"/>
        <v>589.1212183</v>
      </c>
      <c r="AB40" s="40">
        <f t="shared" si="15"/>
        <v>589.1084458</v>
      </c>
      <c r="AC40" s="40">
        <f t="shared" ref="AC40:AN40" si="16">(E$25-SUM(AC$30:AC$33))*AC28/E$26+AC36</f>
        <v>596.0313422</v>
      </c>
      <c r="AD40" s="40">
        <f t="shared" si="16"/>
        <v>608.2480972</v>
      </c>
      <c r="AE40" s="40">
        <f t="shared" si="16"/>
        <v>607.933847</v>
      </c>
      <c r="AF40" s="40">
        <f t="shared" si="16"/>
        <v>624.4493314</v>
      </c>
      <c r="AG40" s="40">
        <f t="shared" si="16"/>
        <v>629.8415397</v>
      </c>
      <c r="AH40" s="40">
        <f t="shared" si="16"/>
        <v>641.5343944</v>
      </c>
      <c r="AI40" s="40">
        <f t="shared" si="16"/>
        <v>630.9152085</v>
      </c>
      <c r="AJ40" s="40">
        <f t="shared" si="16"/>
        <v>635.2137817</v>
      </c>
      <c r="AK40" s="40">
        <f t="shared" si="16"/>
        <v>640.6820717</v>
      </c>
      <c r="AL40" s="40">
        <f t="shared" si="16"/>
        <v>667.3948629</v>
      </c>
      <c r="AM40" s="40">
        <f t="shared" si="16"/>
        <v>651.2963516</v>
      </c>
      <c r="AN40" s="40">
        <f t="shared" si="16"/>
        <v>651.2567012</v>
      </c>
    </row>
    <row r="41" ht="14.25" customHeight="1">
      <c r="A41" s="23" t="s">
        <v>33</v>
      </c>
      <c r="B41" s="41" t="s">
        <v>47</v>
      </c>
      <c r="C41" s="24" t="s">
        <v>50</v>
      </c>
      <c r="D41" s="24"/>
      <c r="E41" s="24"/>
      <c r="F41" s="24"/>
      <c r="G41" s="24"/>
      <c r="H41" s="24"/>
      <c r="I41" s="24"/>
      <c r="J41" s="24"/>
      <c r="K41" s="24"/>
      <c r="L41" s="24"/>
      <c r="M41" s="24"/>
      <c r="N41" s="24"/>
      <c r="O41" s="24"/>
      <c r="P41" s="24"/>
      <c r="Q41" s="42">
        <f t="shared" ref="Q41:AB41" si="17">Q37+(E$25-SUM(Q$30:Q$33))*Q29/E$26</f>
        <v>533.039604</v>
      </c>
      <c r="R41" s="42">
        <f t="shared" si="17"/>
        <v>532.9903</v>
      </c>
      <c r="S41" s="42">
        <f t="shared" si="17"/>
        <v>613.1546184</v>
      </c>
      <c r="T41" s="42">
        <f t="shared" si="17"/>
        <v>656.6567283</v>
      </c>
      <c r="U41" s="42">
        <f t="shared" si="17"/>
        <v>620.6887052</v>
      </c>
      <c r="V41" s="42">
        <f t="shared" si="17"/>
        <v>609.6819604</v>
      </c>
      <c r="W41" s="42">
        <f t="shared" si="17"/>
        <v>573.3646296</v>
      </c>
      <c r="X41" s="42">
        <f t="shared" si="17"/>
        <v>569.4559031</v>
      </c>
      <c r="Y41" s="42">
        <f t="shared" si="17"/>
        <v>609.6121492</v>
      </c>
      <c r="Z41" s="42">
        <f t="shared" si="17"/>
        <v>589.0653404</v>
      </c>
      <c r="AA41" s="42">
        <f t="shared" si="17"/>
        <v>564.5368101</v>
      </c>
      <c r="AB41" s="42">
        <f t="shared" si="17"/>
        <v>563.1356956</v>
      </c>
      <c r="AC41" s="42">
        <f t="shared" ref="AC41:AN41" si="18">(E$25-SUM(AC$30:AC$33))*AC29/E$26+AC37</f>
        <v>624.6987996</v>
      </c>
      <c r="AD41" s="42">
        <f t="shared" si="18"/>
        <v>638.6206897</v>
      </c>
      <c r="AE41" s="42">
        <f t="shared" si="18"/>
        <v>613.251721</v>
      </c>
      <c r="AF41" s="42">
        <f t="shared" si="18"/>
        <v>638.0123236</v>
      </c>
      <c r="AG41" s="42">
        <f t="shared" si="18"/>
        <v>587.0339761</v>
      </c>
      <c r="AH41" s="42">
        <f t="shared" si="18"/>
        <v>624.9843587</v>
      </c>
      <c r="AI41" s="42">
        <f t="shared" si="18"/>
        <v>604.9709799</v>
      </c>
      <c r="AJ41" s="42">
        <f t="shared" si="18"/>
        <v>554.8880877</v>
      </c>
      <c r="AK41" s="42">
        <f t="shared" si="18"/>
        <v>568.8468696</v>
      </c>
      <c r="AL41" s="42">
        <f t="shared" si="18"/>
        <v>597.151432</v>
      </c>
      <c r="AM41" s="42">
        <f t="shared" si="18"/>
        <v>577.2512499</v>
      </c>
      <c r="AN41" s="42">
        <f t="shared" si="18"/>
        <v>619.9087826</v>
      </c>
    </row>
    <row r="42" ht="14.25" customHeight="1"/>
    <row r="43" ht="14.25" customHeight="1"/>
    <row r="44" ht="14.25" customHeight="1">
      <c r="A44" s="15"/>
      <c r="B44" s="15" t="s">
        <v>51</v>
      </c>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row>
    <row r="45" ht="14.25" customHeight="1"/>
    <row r="46" ht="14.25" customHeight="1">
      <c r="B46" s="27" t="s">
        <v>52</v>
      </c>
      <c r="C46" s="27" t="s">
        <v>53</v>
      </c>
      <c r="Q46" s="27">
        <v>5.814E8</v>
      </c>
      <c r="R46" s="27">
        <v>5.8845024E8</v>
      </c>
      <c r="S46" s="27">
        <v>5.829629415119998E8</v>
      </c>
      <c r="T46" s="27">
        <v>6.283710279292319E8</v>
      </c>
      <c r="U46" s="27">
        <v>6.234937759333221E8</v>
      </c>
      <c r="V46" s="27">
        <v>6.34275252377337E8</v>
      </c>
      <c r="W46" s="27">
        <v>6.244577745579312E8</v>
      </c>
      <c r="X46" s="27">
        <v>6.484234513112358E8</v>
      </c>
      <c r="Y46" s="27">
        <v>6.798289517450976E8</v>
      </c>
      <c r="Z46" s="27">
        <v>7.072940413955997E8</v>
      </c>
      <c r="AA46" s="27">
        <v>7.008632009635714E8</v>
      </c>
      <c r="AB46" s="27">
        <v>7.355743731797147E8</v>
      </c>
      <c r="AC46" s="27">
        <v>7.453274497381876E8</v>
      </c>
      <c r="AD46" s="27">
        <v>7.526316587456219E8</v>
      </c>
      <c r="AE46" s="27">
        <v>7.600074490013292E8</v>
      </c>
      <c r="AF46" s="27">
        <v>7.732695789864023E8</v>
      </c>
      <c r="AG46" s="27">
        <v>7.534494587250139E8</v>
      </c>
      <c r="AH46" s="27">
        <v>7.608332634205191E8</v>
      </c>
      <c r="AI46" s="27">
        <v>7.743567288445172E8</v>
      </c>
      <c r="AJ46" s="27">
        <v>7.819454247871934E8</v>
      </c>
      <c r="AK46" s="27">
        <v>7.911751734619136E8</v>
      </c>
      <c r="AL46" s="27">
        <v>8.196172016977121E8</v>
      </c>
      <c r="AM46" s="27">
        <v>8.295561387119834E8</v>
      </c>
      <c r="AN46" s="27">
        <v>8.292243162564987E8</v>
      </c>
    </row>
    <row r="47" ht="14.25" customHeight="1">
      <c r="B47" s="27" t="s">
        <v>52</v>
      </c>
      <c r="C47" s="27" t="s">
        <v>54</v>
      </c>
      <c r="E47" s="27">
        <v>5.0E8</v>
      </c>
      <c r="F47" s="27">
        <v>5.0E8</v>
      </c>
      <c r="G47" s="27">
        <v>5.0E8</v>
      </c>
      <c r="H47" s="27">
        <v>5.0E8</v>
      </c>
      <c r="I47" s="27">
        <v>5.0E8</v>
      </c>
      <c r="J47" s="27">
        <v>5.0E8</v>
      </c>
      <c r="K47" s="27">
        <v>5.0E8</v>
      </c>
      <c r="L47" s="27">
        <v>5.0E8</v>
      </c>
      <c r="M47" s="27">
        <v>5.0E8</v>
      </c>
      <c r="N47" s="27">
        <v>5.0E8</v>
      </c>
      <c r="O47" s="27">
        <v>5.0E8</v>
      </c>
      <c r="P47" s="27">
        <v>5.0E8</v>
      </c>
      <c r="Q47" s="27">
        <v>5.05E8</v>
      </c>
      <c r="R47" s="27">
        <v>5.151505E8</v>
      </c>
      <c r="S47" s="27">
        <v>5.098959649E8</v>
      </c>
      <c r="T47" s="27">
        <v>5.2529482303997993E8</v>
      </c>
      <c r="U47" s="27">
        <v>5.2524229355767596E8</v>
      </c>
      <c r="V47" s="27">
        <v>5.198848221633876E8</v>
      </c>
      <c r="W47" s="27">
        <v>5.2508367038502145E8</v>
      </c>
      <c r="X47" s="27">
        <v>5.303345070888717E8</v>
      </c>
      <c r="Y47" s="27">
        <v>5.40994230681358E8</v>
      </c>
      <c r="Z47" s="27">
        <v>5.57332256447935E8</v>
      </c>
      <c r="AA47" s="27">
        <v>5.516474674321661E8</v>
      </c>
      <c r="AB47" s="27">
        <v>5.683072209486175E8</v>
      </c>
      <c r="AC47" s="27">
        <v>5.854700990212656E8</v>
      </c>
      <c r="AD47" s="27">
        <v>5.854115520113635E8</v>
      </c>
      <c r="AE47" s="27">
        <v>5.853530108561623E8</v>
      </c>
      <c r="AF47" s="27">
        <v>5.793824101454295E8</v>
      </c>
      <c r="AG47" s="27">
        <v>5.793244719044149E8</v>
      </c>
      <c r="AH47" s="27">
        <v>5.792665394572245E8</v>
      </c>
      <c r="AI47" s="27">
        <v>5.733580207547609E8</v>
      </c>
      <c r="AJ47" s="27">
        <v>5.733006849526855E8</v>
      </c>
      <c r="AK47" s="27">
        <v>5.848240287202344E8</v>
      </c>
      <c r="AL47" s="27">
        <v>5.788588236272881E8</v>
      </c>
      <c r="AM47" s="27">
        <v>5.904938859821967E8</v>
      </c>
      <c r="AN47" s="27">
        <v>5.844708483451782E8</v>
      </c>
    </row>
    <row r="48" ht="14.25" customHeight="1">
      <c r="B48" s="27" t="s">
        <v>52</v>
      </c>
      <c r="C48" s="27" t="s">
        <v>55</v>
      </c>
      <c r="Q48" s="27">
        <v>4.7024999999999994E8</v>
      </c>
      <c r="R48" s="27">
        <v>4.8505148999999994E8</v>
      </c>
      <c r="S48" s="27">
        <v>5.401198886679919E8</v>
      </c>
      <c r="T48" s="27">
        <v>5.811098089860833E8</v>
      </c>
      <c r="U48" s="27">
        <v>5.636941776286279E8</v>
      </c>
      <c r="V48" s="27">
        <v>5.421188863079282E8</v>
      </c>
      <c r="W48" s="27">
        <v>5.2766965272768164E8</v>
      </c>
      <c r="X48" s="27">
        <v>5.1945189454592425E8</v>
      </c>
      <c r="Y48" s="27">
        <v>5.472450537576102E8</v>
      </c>
      <c r="Z48" s="27">
        <v>5.0386353168414545E8</v>
      </c>
      <c r="AA48" s="27">
        <v>5.206224708901615E8</v>
      </c>
      <c r="AB48" s="27">
        <v>5.404399796948622E8</v>
      </c>
      <c r="AC48" s="27">
        <v>6.081225169812417E8</v>
      </c>
      <c r="AD48" s="27">
        <v>6.026386654885768E8</v>
      </c>
      <c r="AE48" s="27">
        <v>5.53309774724794E8</v>
      </c>
      <c r="AF48" s="27">
        <v>5.669588843995633E8</v>
      </c>
      <c r="AG48" s="27">
        <v>5.028224710202555E8</v>
      </c>
      <c r="AH48" s="27">
        <v>5.270241575702518E8</v>
      </c>
      <c r="AI48" s="27">
        <v>5.2974015163036454E8</v>
      </c>
      <c r="AJ48" s="27">
        <v>4.7414220314880633E8</v>
      </c>
      <c r="AK48" s="27">
        <v>4.817139066529911E8</v>
      </c>
      <c r="AL48" s="27">
        <v>5.014805924583054E8</v>
      </c>
      <c r="AM48" s="27">
        <v>5.170473858491988E8</v>
      </c>
      <c r="AN48" s="27">
        <v>5.411701630013844E8</v>
      </c>
    </row>
    <row r="49" ht="14.25" customHeight="1"/>
    <row r="50" ht="14.25" customHeight="1">
      <c r="A50" s="19"/>
      <c r="B50" s="36" t="s">
        <v>47</v>
      </c>
      <c r="C50" s="20" t="s">
        <v>48</v>
      </c>
      <c r="D50" s="20"/>
      <c r="E50" s="20"/>
      <c r="F50" s="20"/>
      <c r="G50" s="20"/>
      <c r="H50" s="20"/>
      <c r="I50" s="20"/>
      <c r="J50" s="20"/>
      <c r="K50" s="20"/>
      <c r="L50" s="20"/>
      <c r="M50" s="20"/>
      <c r="N50" s="20"/>
      <c r="O50" s="20"/>
      <c r="P50" s="20"/>
      <c r="Q50" s="43">
        <f t="shared" ref="Q50:AN50" si="19">Q39/(Q46*($U$17*$U$18)/1000)</f>
        <v>0.001389641714</v>
      </c>
      <c r="R50" s="43">
        <f t="shared" si="19"/>
        <v>0.001410076553</v>
      </c>
      <c r="S50" s="43">
        <f t="shared" si="19"/>
        <v>0.00142469994</v>
      </c>
      <c r="T50" s="43">
        <f t="shared" si="19"/>
        <v>0.001369668174</v>
      </c>
      <c r="U50" s="43">
        <f t="shared" si="19"/>
        <v>0.001381795608</v>
      </c>
      <c r="V50" s="43">
        <f t="shared" si="19"/>
        <v>0.001395390573</v>
      </c>
      <c r="W50" s="43">
        <f t="shared" si="19"/>
        <v>0.001406109424</v>
      </c>
      <c r="X50" s="43">
        <f t="shared" si="19"/>
        <v>0.001376203522</v>
      </c>
      <c r="Y50" s="43">
        <f t="shared" si="19"/>
        <v>0.001335785717</v>
      </c>
      <c r="Z50" s="43">
        <f t="shared" si="19"/>
        <v>0.001347258807</v>
      </c>
      <c r="AA50" s="43">
        <f t="shared" si="19"/>
        <v>0.001341228016</v>
      </c>
      <c r="AB50" s="43">
        <f t="shared" si="19"/>
        <v>0.001289412755</v>
      </c>
      <c r="AC50" s="43">
        <f t="shared" si="19"/>
        <v>0.00129902353</v>
      </c>
      <c r="AD50" s="43">
        <f t="shared" si="19"/>
        <v>0.001324535271</v>
      </c>
      <c r="AE50" s="43">
        <f t="shared" si="19"/>
        <v>0.001322874018</v>
      </c>
      <c r="AF50" s="43">
        <f t="shared" si="19"/>
        <v>0.001347534618</v>
      </c>
      <c r="AG50" s="43">
        <f t="shared" si="19"/>
        <v>0.001407590395</v>
      </c>
      <c r="AH50" s="43">
        <f t="shared" si="19"/>
        <v>0.001432723719</v>
      </c>
      <c r="AI50" s="43">
        <f t="shared" si="19"/>
        <v>0.001397025862</v>
      </c>
      <c r="AJ50" s="43">
        <f t="shared" si="19"/>
        <v>0.00140560778</v>
      </c>
      <c r="AK50" s="43">
        <f t="shared" si="19"/>
        <v>0.001413988068</v>
      </c>
      <c r="AL50" s="43">
        <f t="shared" si="19"/>
        <v>0.001434985431</v>
      </c>
      <c r="AM50" s="43">
        <f t="shared" si="19"/>
        <v>0.001396186148</v>
      </c>
      <c r="AN50" s="43">
        <f t="shared" si="19"/>
        <v>0.001409468776</v>
      </c>
    </row>
    <row r="51" ht="14.25" customHeight="1">
      <c r="A51" s="38"/>
      <c r="B51" s="39" t="s">
        <v>47</v>
      </c>
      <c r="C51" s="27" t="s">
        <v>49</v>
      </c>
      <c r="D51" s="39"/>
      <c r="E51" s="39"/>
      <c r="F51" s="39"/>
      <c r="G51" s="39"/>
      <c r="H51" s="39"/>
      <c r="I51" s="39"/>
      <c r="J51" s="39"/>
      <c r="K51" s="39"/>
      <c r="L51" s="39"/>
      <c r="M51" s="39"/>
      <c r="N51" s="39"/>
      <c r="O51" s="39"/>
      <c r="P51" s="39"/>
      <c r="Q51" s="43">
        <f t="shared" ref="Q51:AN51" si="20">Q40/(Q47*($U$17*$U$18)/1000)</f>
        <v>0.001557680661</v>
      </c>
      <c r="R51" s="43">
        <f t="shared" si="20"/>
        <v>0.001554905574</v>
      </c>
      <c r="S51" s="43">
        <f t="shared" si="20"/>
        <v>0.00155839453</v>
      </c>
      <c r="T51" s="43">
        <f t="shared" si="20"/>
        <v>0.001554317414</v>
      </c>
      <c r="U51" s="43">
        <f t="shared" si="20"/>
        <v>0.001542157484</v>
      </c>
      <c r="V51" s="43">
        <f t="shared" si="20"/>
        <v>0.001586761137</v>
      </c>
      <c r="W51" s="43">
        <f t="shared" si="20"/>
        <v>0.001544523128</v>
      </c>
      <c r="X51" s="43">
        <f t="shared" si="20"/>
        <v>0.001540485252</v>
      </c>
      <c r="Y51" s="43">
        <f t="shared" si="20"/>
        <v>0.001523246475</v>
      </c>
      <c r="Z51" s="43">
        <f t="shared" si="20"/>
        <v>0.00153819285</v>
      </c>
      <c r="AA51" s="43">
        <f t="shared" si="20"/>
        <v>0.001519104713</v>
      </c>
      <c r="AB51" s="43">
        <f t="shared" si="20"/>
        <v>0.001474540651</v>
      </c>
      <c r="AC51" s="43">
        <f t="shared" si="20"/>
        <v>0.001448135009</v>
      </c>
      <c r="AD51" s="43">
        <f t="shared" si="20"/>
        <v>0.001477964987</v>
      </c>
      <c r="AE51" s="43">
        <f t="shared" si="20"/>
        <v>0.001477349134</v>
      </c>
      <c r="AF51" s="43">
        <f t="shared" si="20"/>
        <v>0.001533121499</v>
      </c>
      <c r="AG51" s="43">
        <f t="shared" si="20"/>
        <v>0.001546514872</v>
      </c>
      <c r="AH51" s="43">
        <f t="shared" si="20"/>
        <v>0.001575383082</v>
      </c>
      <c r="AI51" s="43">
        <f t="shared" si="20"/>
        <v>0.001565271865</v>
      </c>
      <c r="AJ51" s="43">
        <f t="shared" si="20"/>
        <v>0.001576094039</v>
      </c>
      <c r="AK51" s="43">
        <f t="shared" si="20"/>
        <v>0.001558339353</v>
      </c>
      <c r="AL51" s="43">
        <f t="shared" si="20"/>
        <v>0.001640041647</v>
      </c>
      <c r="AM51" s="43">
        <f t="shared" si="20"/>
        <v>0.001568945707</v>
      </c>
      <c r="AN51" s="43">
        <f t="shared" si="20"/>
        <v>0.001585017368</v>
      </c>
    </row>
    <row r="52" ht="14.25" customHeight="1">
      <c r="A52" s="23"/>
      <c r="B52" s="41" t="s">
        <v>47</v>
      </c>
      <c r="C52" s="24" t="s">
        <v>50</v>
      </c>
      <c r="D52" s="24"/>
      <c r="E52" s="24"/>
      <c r="F52" s="24"/>
      <c r="G52" s="24"/>
      <c r="H52" s="24"/>
      <c r="I52" s="24"/>
      <c r="J52" s="24"/>
      <c r="K52" s="24"/>
      <c r="L52" s="24"/>
      <c r="M52" s="24"/>
      <c r="N52" s="24"/>
      <c r="O52" s="24"/>
      <c r="P52" s="24"/>
      <c r="Q52" s="43">
        <f t="shared" ref="Q52:AN52" si="21">Q41/(Q48*($U$17*$U$18)/1000)</f>
        <v>0.0016124095</v>
      </c>
      <c r="R52" s="43">
        <f t="shared" si="21"/>
        <v>0.001563061756</v>
      </c>
      <c r="S52" s="43">
        <f t="shared" si="21"/>
        <v>0.001614821449</v>
      </c>
      <c r="T52" s="43">
        <f t="shared" si="21"/>
        <v>0.001607403343</v>
      </c>
      <c r="U52" s="43">
        <f t="shared" si="21"/>
        <v>0.001566300074</v>
      </c>
      <c r="V52" s="43">
        <f t="shared" si="21"/>
        <v>0.001599755023</v>
      </c>
      <c r="W52" s="43">
        <f t="shared" si="21"/>
        <v>0.001545658175</v>
      </c>
      <c r="X52" s="43">
        <f t="shared" si="21"/>
        <v>0.001559406857</v>
      </c>
      <c r="Y52" s="43">
        <f t="shared" si="21"/>
        <v>0.001584588295</v>
      </c>
      <c r="Z52" s="43">
        <f t="shared" si="21"/>
        <v>0.001663011372</v>
      </c>
      <c r="AA52" s="43">
        <f t="shared" si="21"/>
        <v>0.001542460428</v>
      </c>
      <c r="AB52" s="43">
        <f t="shared" si="21"/>
        <v>0.001482211788</v>
      </c>
      <c r="AC52" s="43">
        <f t="shared" si="21"/>
        <v>0.001461249118</v>
      </c>
      <c r="AD52" s="43">
        <f t="shared" si="21"/>
        <v>0.001507407483</v>
      </c>
      <c r="AE52" s="43">
        <f t="shared" si="21"/>
        <v>0.001576576715</v>
      </c>
      <c r="AF52" s="43">
        <f t="shared" si="21"/>
        <v>0.001600745086</v>
      </c>
      <c r="AG52" s="43">
        <f t="shared" si="21"/>
        <v>0.001660707836</v>
      </c>
      <c r="AH52" s="43">
        <f t="shared" si="21"/>
        <v>0.001686876549</v>
      </c>
      <c r="AI52" s="43">
        <f t="shared" si="21"/>
        <v>0.00162448732</v>
      </c>
      <c r="AJ52" s="43">
        <f t="shared" si="21"/>
        <v>0.001664721019</v>
      </c>
      <c r="AK52" s="43">
        <f t="shared" si="21"/>
        <v>0.001679774033</v>
      </c>
      <c r="AL52" s="43">
        <f t="shared" si="21"/>
        <v>0.00169385029</v>
      </c>
      <c r="AM52" s="43">
        <f t="shared" si="21"/>
        <v>0.001588104989</v>
      </c>
      <c r="AN52" s="43">
        <f t="shared" si="21"/>
        <v>0.001629440926</v>
      </c>
    </row>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2">
    <mergeCell ref="C8:D8"/>
    <mergeCell ref="C9:D9"/>
    <mergeCell ref="C10:D10"/>
    <mergeCell ref="E9:G9"/>
    <mergeCell ref="E10:G10"/>
    <mergeCell ref="C4:D4"/>
    <mergeCell ref="E4:G4"/>
    <mergeCell ref="C6:D6"/>
    <mergeCell ref="E6:G6"/>
    <mergeCell ref="C7:D7"/>
    <mergeCell ref="E7:G7"/>
    <mergeCell ref="E8:G8"/>
  </mergeCells>
  <printOptions/>
  <pageMargins bottom="0.75" footer="0.0" header="0.0" left="0.7" right="0.7" top="0.75"/>
  <pageSetup orientation="landscape"/>
  <drawing r:id="rId1"/>
</worksheet>
</file>