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 calculation example" sheetId="1" r:id="rId4"/>
  </sheets>
  <definedNames/>
  <calcPr/>
</workbook>
</file>

<file path=xl/sharedStrings.xml><?xml version="1.0" encoding="utf-8"?>
<sst xmlns="http://schemas.openxmlformats.org/spreadsheetml/2006/main" count="163" uniqueCount="126">
  <si>
    <t>Data</t>
  </si>
  <si>
    <t>Calculation for each Lever. This tab covers Flow 2 only</t>
  </si>
  <si>
    <t>STEP FROM DESCRIPTION</t>
  </si>
  <si>
    <t>PERFORMED FUNCTION</t>
  </si>
  <si>
    <t>General assumptions - separate master/screen. No Upload required.</t>
  </si>
  <si>
    <t>Flags</t>
  </si>
  <si>
    <t>Name</t>
  </si>
  <si>
    <t>Value</t>
  </si>
  <si>
    <t>Step 2.1</t>
  </si>
  <si>
    <t>Time flag between "Start date" (inclusive) and "Launch date" (exclsuive)</t>
  </si>
  <si>
    <t>Started?</t>
  </si>
  <si>
    <t>Growth rate</t>
  </si>
  <si>
    <t>Time flag between  "Launch date" (inclusive) and "End date" (exclusive)</t>
  </si>
  <si>
    <t>Launched?</t>
  </si>
  <si>
    <t>Discount rate</t>
  </si>
  <si>
    <t>Count of periods between "Start date" and "End Date". Count starts with "0"</t>
  </si>
  <si>
    <t>Period</t>
  </si>
  <si>
    <t>Start date</t>
  </si>
  <si>
    <t>This has been moved from lever assumptions</t>
  </si>
  <si>
    <t>Gas price</t>
  </si>
  <si>
    <t>Current annual emissions</t>
  </si>
  <si>
    <t>Tax rate</t>
  </si>
  <si>
    <t>Step 2.2.</t>
  </si>
  <si>
    <t>Use formula: (1/(1+"disount rate"))^([Year]- Start Date)</t>
  </si>
  <si>
    <t xml:space="preserve">Discount factor </t>
  </si>
  <si>
    <t>Step 2.3</t>
  </si>
  <si>
    <t>Use formula: (1+"Growth rate"))^([Year]- Start Date)</t>
  </si>
  <si>
    <t>Growth factor</t>
  </si>
  <si>
    <t>Step 2.4</t>
  </si>
  <si>
    <r>
      <rPr>
        <rFont val="Aptos Narrow"/>
        <color theme="1"/>
        <sz val="16.0"/>
      </rPr>
      <t>1. Pulls values from emissions for each relevant subcategry.  
2.Multiplies by</t>
    </r>
    <r>
      <rPr>
        <rFont val="Aptos Narrow"/>
        <color theme="8"/>
        <sz val="16.0"/>
      </rPr>
      <t xml:space="preserve"> Growth factor</t>
    </r>
  </si>
  <si>
    <t>Piston rod venting</t>
  </si>
  <si>
    <r>
      <rPr>
        <rFont val="Aptos Narrow"/>
        <color theme="1"/>
        <sz val="16.0"/>
      </rPr>
      <t>1. Pulls values from emissions for each relevant subcategry.  
2.Multiplies by</t>
    </r>
    <r>
      <rPr>
        <rFont val="Aptos Narrow"/>
        <color theme="8"/>
        <sz val="16.0"/>
      </rPr>
      <t xml:space="preserve"> Growth factor</t>
    </r>
  </si>
  <si>
    <t>Unintended leaks</t>
  </si>
  <si>
    <r>
      <rPr>
        <rFont val="Aptos Narrow"/>
        <color theme="1"/>
        <sz val="16.0"/>
      </rPr>
      <t>1. Pulls values from emissions for each relevant subcategry.  
2.Multiplies by</t>
    </r>
    <r>
      <rPr>
        <rFont val="Aptos Narrow"/>
        <color theme="8"/>
        <sz val="16.0"/>
      </rPr>
      <t xml:space="preserve"> Growth factor</t>
    </r>
  </si>
  <si>
    <t>Stationary combustion</t>
  </si>
  <si>
    <r>
      <rPr>
        <rFont val="Aptos Narrow"/>
        <color theme="1"/>
        <sz val="16.0"/>
      </rPr>
      <t>1. Pulls values from emissions for each relevant subcategry.  
2.Multiplies by</t>
    </r>
    <r>
      <rPr>
        <rFont val="Aptos Narrow"/>
        <color theme="8"/>
        <sz val="16.0"/>
      </rPr>
      <t xml:space="preserve"> Growth factor</t>
    </r>
  </si>
  <si>
    <t>Blowdowns</t>
  </si>
  <si>
    <r>
      <rPr>
        <rFont val="Aptos Narrow"/>
        <color theme="1"/>
        <sz val="16.0"/>
      </rPr>
      <t>1. Pulls values from emissions for each relevant subcategry.  
2.Multiplies by</t>
    </r>
    <r>
      <rPr>
        <rFont val="Aptos Narrow"/>
        <color theme="8"/>
        <sz val="16.0"/>
      </rPr>
      <t xml:space="preserve"> Growth factor</t>
    </r>
  </si>
  <si>
    <t>Incidents</t>
  </si>
  <si>
    <t>Expected annual savings</t>
  </si>
  <si>
    <t>Lever assumptions - separate master/screen. No upload is required.</t>
  </si>
  <si>
    <t>Step 2.5</t>
  </si>
  <si>
    <r>
      <rPr>
        <rFont val="Aptos Narrow"/>
        <color theme="1"/>
        <sz val="16.0"/>
      </rPr>
      <t>1. Takes current annual emissions of each year. 
2. Multiples by</t>
    </r>
    <r>
      <rPr>
        <rFont val="Aptos Narrow"/>
        <color theme="5"/>
        <sz val="16.0"/>
      </rPr>
      <t xml:space="preserve"> "Reduction %"</t>
    </r>
  </si>
  <si>
    <r>
      <rPr>
        <rFont val="Aptos Narrow"/>
        <color theme="1"/>
        <sz val="16.0"/>
      </rPr>
      <t>1. Takes current annual emissions of each year. 
2. Multiples by</t>
    </r>
    <r>
      <rPr>
        <rFont val="Aptos Narrow"/>
        <color theme="5"/>
        <sz val="16.0"/>
      </rPr>
      <t xml:space="preserve"> "Reduction %"</t>
    </r>
  </si>
  <si>
    <t xml:space="preserve">Reduction % </t>
  </si>
  <si>
    <r>
      <rPr>
        <rFont val="Aptos Narrow"/>
        <color theme="1"/>
        <sz val="16.0"/>
      </rPr>
      <t>1. Takes current annual emissions of each year. 
2. Multiples by</t>
    </r>
    <r>
      <rPr>
        <rFont val="Aptos Narrow"/>
        <color theme="5"/>
        <sz val="16.0"/>
      </rPr>
      <t xml:space="preserve"> "Reduction %"</t>
    </r>
  </si>
  <si>
    <t>Launch date</t>
  </si>
  <si>
    <r>
      <rPr>
        <rFont val="Aptos Narrow"/>
        <color theme="1"/>
        <sz val="16.0"/>
      </rPr>
      <t>1. Takes current annual emissions of each year. 
2. Multiples by</t>
    </r>
    <r>
      <rPr>
        <rFont val="Aptos Narrow"/>
        <color theme="5"/>
        <sz val="16.0"/>
      </rPr>
      <t xml:space="preserve"> "Reduction %"</t>
    </r>
  </si>
  <si>
    <t>End date</t>
  </si>
  <si>
    <t>This has been moved from general assumptions</t>
  </si>
  <si>
    <r>
      <rPr>
        <rFont val="Aptos Narrow"/>
        <color theme="1"/>
        <sz val="16.0"/>
      </rPr>
      <t>1. Takes current annual emissions of each year. 
2. Multiples by</t>
    </r>
    <r>
      <rPr>
        <rFont val="Aptos Narrow"/>
        <color theme="5"/>
        <sz val="16.0"/>
      </rPr>
      <t xml:space="preserve"> "Reduction %"</t>
    </r>
  </si>
  <si>
    <t>Positive effect, USD per tonne abated</t>
  </si>
  <si>
    <t>CAPEX,USD per tonne abated</t>
  </si>
  <si>
    <t>OPEX,USD per tonne abated</t>
  </si>
  <si>
    <t>Economics</t>
  </si>
  <si>
    <t>Step 2.6</t>
  </si>
  <si>
    <t xml:space="preserve">1. Sum expected annual savings by subcategory 
2. Divide result by gas density and then by methane content 
</t>
  </si>
  <si>
    <t>Saved gas</t>
  </si>
  <si>
    <r>
      <rPr>
        <rFont val="Aptos Narrow"/>
        <color theme="1"/>
        <sz val="16.0"/>
      </rPr>
      <t xml:space="preserve">1. Pull </t>
    </r>
    <r>
      <rPr>
        <rFont val="Aptos Narrow"/>
        <color theme="9"/>
        <sz val="16.0"/>
      </rPr>
      <t>Retail Price of Gas</t>
    </r>
    <r>
      <rPr>
        <rFont val="Aptos Narrow"/>
        <color theme="1"/>
        <sz val="16.0"/>
      </rPr>
      <t xml:space="preserve"> from General Assumptions</t>
    </r>
  </si>
  <si>
    <t>Retail price of gas</t>
  </si>
  <si>
    <r>
      <rPr>
        <rFont val="Aptos Narrow"/>
        <color theme="1"/>
        <sz val="16.0"/>
      </rPr>
      <t xml:space="preserve">Calculate Gas Revenue by Multiplying </t>
    </r>
    <r>
      <rPr>
        <rFont val="Aptos Narrow"/>
        <color rgb="FFC00000"/>
        <sz val="16.0"/>
      </rPr>
      <t>Saved Gas</t>
    </r>
    <r>
      <rPr>
        <rFont val="Aptos Narrow"/>
        <color theme="1"/>
        <sz val="16.0"/>
      </rPr>
      <t xml:space="preserve"> by </t>
    </r>
    <r>
      <rPr>
        <rFont val="Aptos Narrow"/>
        <color theme="9"/>
        <sz val="16.0"/>
      </rPr>
      <t>Retail Price</t>
    </r>
  </si>
  <si>
    <t>Gas  revenue</t>
  </si>
  <si>
    <r>
      <rPr>
        <rFont val="Aptos Narrow"/>
        <color theme="1"/>
        <sz val="16.0"/>
      </rPr>
      <t xml:space="preserve">Pulled </t>
    </r>
    <r>
      <rPr>
        <rFont val="Aptos Narrow"/>
        <color rgb="FF747474"/>
        <sz val="16.0"/>
      </rPr>
      <t>"Positive effect, USD per tonne abated"</t>
    </r>
    <r>
      <rPr>
        <rFont val="Aptos Narrow"/>
        <color theme="1"/>
        <sz val="16.0"/>
      </rPr>
      <t xml:space="preserve"> from lever assumptions, multiplied by Total Annual Savings</t>
    </r>
  </si>
  <si>
    <t>Additional effects</t>
  </si>
  <si>
    <t xml:space="preserve">Emission volumes data </t>
  </si>
  <si>
    <t>For each year in range "Launch date- End Date" sum Additional Effects + Gas Revenue</t>
  </si>
  <si>
    <t>Total positive effect</t>
  </si>
  <si>
    <t>Step 2.7</t>
  </si>
  <si>
    <r>
      <rPr>
        <rFont val="Aptos Narrow"/>
        <color theme="1"/>
        <sz val="16.0"/>
      </rPr>
      <t xml:space="preserve">1. For each year in range between "Start Year" and "Launch Year"  - Takes </t>
    </r>
    <r>
      <rPr>
        <rFont val="Aptos Narrow"/>
        <color theme="4"/>
        <sz val="16.0"/>
      </rPr>
      <t>CAPEX</t>
    </r>
    <r>
      <rPr>
        <rFont val="Aptos Narrow"/>
        <color theme="1"/>
        <sz val="16.0"/>
      </rPr>
      <t xml:space="preserve"> from assumption
2. Multiples by total emission volumes in Time Period
3. Distributes result evenly between years in [</t>
    </r>
    <r>
      <rPr>
        <rFont val="Aptos Narrow"/>
        <b/>
        <color theme="1"/>
        <sz val="16.0"/>
      </rPr>
      <t>Start</t>
    </r>
    <r>
      <rPr>
        <rFont val="Aptos Narrow"/>
        <color theme="1"/>
        <sz val="16.0"/>
      </rPr>
      <t xml:space="preserve"> year] to </t>
    </r>
    <r>
      <rPr>
        <rFont val="Aptos Narrow"/>
        <b/>
        <color theme="1"/>
        <sz val="16.0"/>
      </rPr>
      <t xml:space="preserve">[Launch </t>
    </r>
    <r>
      <rPr>
        <rFont val="Aptos Narrow"/>
        <color theme="1"/>
        <sz val="16.0"/>
      </rPr>
      <t>year]</t>
    </r>
  </si>
  <si>
    <t>CAPEX</t>
  </si>
  <si>
    <t>Subcategory</t>
  </si>
  <si>
    <t>Equipment type</t>
  </si>
  <si>
    <t>Measured last month volumes</t>
  </si>
  <si>
    <t>Measured volumes from ER follow up (last month)</t>
  </si>
  <si>
    <t>Non-measured volumes from currently decomissioned equipments</t>
  </si>
  <si>
    <t>Last month of Non-measured volumes equipment comissioned last 11 months</t>
  </si>
  <si>
    <t>12 months of Non-measured volumes from equipment that has has been operational all last 12 months</t>
  </si>
  <si>
    <t>Returned volumes</t>
  </si>
  <si>
    <r>
      <rPr>
        <rFont val="Aptos Narrow"/>
        <color theme="1"/>
        <sz val="16.0"/>
      </rPr>
      <t>For each year in range between "Lauch year" and "End year"  - Take  CAPEX from all years from previous line, 
 distribute evenly between years in [</t>
    </r>
    <r>
      <rPr>
        <rFont val="Aptos Narrow"/>
        <b/>
        <color theme="1"/>
        <sz val="16.0"/>
      </rPr>
      <t xml:space="preserve">Launch </t>
    </r>
    <r>
      <rPr>
        <rFont val="Aptos Narrow"/>
        <color theme="1"/>
        <sz val="16.0"/>
      </rPr>
      <t>date] to [</t>
    </r>
    <r>
      <rPr>
        <rFont val="Aptos Narrow"/>
        <b/>
        <color theme="1"/>
        <sz val="16.0"/>
      </rPr>
      <t>End</t>
    </r>
    <r>
      <rPr>
        <rFont val="Aptos Narrow"/>
        <color theme="1"/>
        <sz val="16.0"/>
      </rPr>
      <t xml:space="preserve"> date]</t>
    </r>
  </si>
  <si>
    <t>Amortization</t>
  </si>
  <si>
    <t xml:space="preserve">Reciprocating compressors </t>
  </si>
  <si>
    <r>
      <rPr>
        <rFont val="Aptos Narrow"/>
        <color theme="1"/>
        <sz val="16.0"/>
      </rPr>
      <t xml:space="preserve">For each year in range between "Lauch year" and "End year"  
1. Pull </t>
    </r>
    <r>
      <rPr>
        <rFont val="Aptos Narrow"/>
        <color rgb="FFFF9999"/>
        <sz val="16.0"/>
      </rPr>
      <t>OPEX</t>
    </r>
    <r>
      <rPr>
        <rFont val="Aptos Narrow"/>
        <color theme="1"/>
        <sz val="16.0"/>
      </rPr>
      <t>,USD per tonne abated from lever assumptions
2. Multiply by total annual savings</t>
    </r>
  </si>
  <si>
    <t>OPEX</t>
  </si>
  <si>
    <t>Step 2.8</t>
  </si>
  <si>
    <r>
      <rPr>
        <rFont val="Aptos Narrow"/>
        <color theme="1"/>
        <sz val="16.0"/>
      </rPr>
      <t xml:space="preserve">Takes </t>
    </r>
    <r>
      <rPr>
        <rFont val="Aptos Narrow"/>
        <color rgb="FF45B0E1"/>
        <sz val="16.0"/>
      </rPr>
      <t>"total positive effect"</t>
    </r>
    <r>
      <rPr>
        <rFont val="Aptos Narrow"/>
        <color theme="1"/>
        <sz val="16.0"/>
      </rPr>
      <t xml:space="preserve"> and subtracts  </t>
    </r>
    <r>
      <rPr>
        <rFont val="Aptos Narrow"/>
        <color rgb="FF0033CC"/>
        <sz val="16.0"/>
      </rPr>
      <t>OPEX</t>
    </r>
    <r>
      <rPr>
        <rFont val="Aptos Narrow"/>
        <color theme="1"/>
        <sz val="16.0"/>
      </rPr>
      <t xml:space="preserve"> and </t>
    </r>
    <r>
      <rPr>
        <rFont val="Aptos Narrow"/>
        <color rgb="FF008080"/>
        <sz val="16.0"/>
      </rPr>
      <t>Amortization</t>
    </r>
  </si>
  <si>
    <t>Operational profit</t>
  </si>
  <si>
    <r>
      <rPr>
        <rFont val="Aptos Narrow"/>
        <color theme="1"/>
        <sz val="16.0"/>
      </rPr>
      <t>If operational profit &gt;0: Takes "Operational profit" and multiplies by (1-</t>
    </r>
    <r>
      <rPr>
        <rFont val="Aptos Narrow"/>
        <color rgb="FFFF9900"/>
        <sz val="16.0"/>
      </rPr>
      <t>Tax rate)</t>
    </r>
    <r>
      <rPr>
        <rFont val="Aptos Narrow"/>
        <color theme="1"/>
        <sz val="16.0"/>
      </rPr>
      <t>. 
If Operational profit =&lt;0 - takes zero.</t>
    </r>
  </si>
  <si>
    <t>Tax</t>
  </si>
  <si>
    <r>
      <rPr>
        <rFont val="Aptos Narrow"/>
        <color theme="1"/>
        <sz val="16.0"/>
      </rPr>
      <t>Takes "operational profit" and subtracts "</t>
    </r>
    <r>
      <rPr>
        <rFont val="Aptos Narrow"/>
        <color rgb="FF669900"/>
        <sz val="16.0"/>
      </rPr>
      <t>Tax</t>
    </r>
    <r>
      <rPr>
        <rFont val="Aptos Narrow"/>
        <color theme="1"/>
        <sz val="16.0"/>
      </rPr>
      <t>"</t>
    </r>
  </si>
  <si>
    <t>Post tax profit</t>
  </si>
  <si>
    <t>Step 2.10</t>
  </si>
  <si>
    <t>Takes "Post tax profit", subtracts "CAPEX", adds "Amortization</t>
  </si>
  <si>
    <t xml:space="preserve">Cashflow </t>
  </si>
  <si>
    <r>
      <rPr>
        <rFont val="Aptos Narrow"/>
        <color theme="1"/>
        <sz val="16.0"/>
      </rPr>
      <t xml:space="preserve">Multiply Cashflow by </t>
    </r>
    <r>
      <rPr>
        <rFont val="Aptos Narrow"/>
        <color rgb="FFFF3399"/>
        <sz val="16.0"/>
      </rPr>
      <t>Discount Factor</t>
    </r>
  </si>
  <si>
    <t>Discounted Cash Flow</t>
  </si>
  <si>
    <t>Data is pulled from Emission Data Base</t>
  </si>
  <si>
    <t>Step 2.12</t>
  </si>
  <si>
    <t>Sum of all values in Discounted Cash Flow</t>
  </si>
  <si>
    <t>NPV</t>
  </si>
  <si>
    <t>Note: combination of equipment and subcategory will be hardcoded for each lever</t>
  </si>
  <si>
    <t>Step 2.11</t>
  </si>
  <si>
    <r>
      <rPr>
        <rFont val="Aptos Narrow"/>
        <color theme="1"/>
        <sz val="16.0"/>
      </rPr>
      <t xml:space="preserve">For each year in range between "Lauch year" and "End year" - 
take sum of  reduced emissions and multiply by </t>
    </r>
    <r>
      <rPr>
        <rFont val="Aptos Narrow"/>
        <color rgb="FFFF3399"/>
        <sz val="16.0"/>
      </rPr>
      <t>"Discount factor"</t>
    </r>
  </si>
  <si>
    <t>Discounted Methane reduction</t>
  </si>
  <si>
    <t>Sum of all values in previous line</t>
  </si>
  <si>
    <t>Discounted abatement potential</t>
  </si>
  <si>
    <t>Output per lever</t>
  </si>
  <si>
    <t>Asset parameters</t>
  </si>
  <si>
    <t>Sum of all years "CAPEX"</t>
  </si>
  <si>
    <t>Total initiative CAPEX</t>
  </si>
  <si>
    <t>Step 1</t>
  </si>
  <si>
    <t>Sum of all last 12 months "Emission Volumes" multiplied by Reduction %</t>
  </si>
  <si>
    <t>Abatement potential (Reduction volume)</t>
  </si>
  <si>
    <t xml:space="preserve">Asset </t>
  </si>
  <si>
    <t>"Gas factor" values</t>
  </si>
  <si>
    <t>"NVP" divided by "Discounted Abatement potential" and multiplied by minus one</t>
  </si>
  <si>
    <t>Abatement cost, tonn of methane</t>
  </si>
  <si>
    <t>Gas density</t>
  </si>
  <si>
    <t>Oil Rocks</t>
  </si>
  <si>
    <t>Methane content</t>
  </si>
  <si>
    <t>Data is pulled from Gas Factor for given asset</t>
  </si>
  <si>
    <t>Emission volume sum</t>
  </si>
  <si>
    <r>
      <rPr>
        <rFont val="Aptos Narrow"/>
        <color theme="1"/>
        <sz val="16.0"/>
      </rPr>
      <t xml:space="preserve">1) Sums emissions of 3 tanks that are Manual
2) Divides total emissions by unique number of tanks in the verified emissions database
</t>
    </r>
    <r>
      <rPr>
        <rFont val="Aptos Narrow"/>
        <b/>
        <color theme="1"/>
        <sz val="16.0"/>
      </rPr>
      <t>Result: Hourly average emission rate of one tank</t>
    </r>
  </si>
  <si>
    <r>
      <rPr>
        <rFont val="Aptos Narrow"/>
        <color theme="1"/>
        <sz val="16.0"/>
      </rPr>
      <t xml:space="preserve">1) Finds monthly average throughput of tanks excluding those w 0
2) Divides by n of Cluster 1 Oil tanks present in static Master (10 in this case) 
</t>
    </r>
    <r>
      <rPr>
        <rFont val="Aptos Narrow"/>
        <b/>
        <color theme="1"/>
        <sz val="16.0"/>
      </rPr>
      <t>Result: Monthly average throughput of one tank</t>
    </r>
    <r>
      <rPr>
        <rFont val="Aptos Narrow"/>
        <color theme="1"/>
        <sz val="16.0"/>
      </rPr>
      <t xml:space="preserve"> (bbl)</t>
    </r>
  </si>
  <si>
    <t>Throughput</t>
  </si>
  <si>
    <r>
      <rPr>
        <rFont val="Aptos Narrow"/>
        <color theme="1"/>
        <sz val="16.0"/>
      </rPr>
      <t xml:space="preserve">3) Divides above by 744 to convert monthly throughput of one tank into hourly throughput of one tank
</t>
    </r>
    <r>
      <rPr>
        <rFont val="Aptos Narrow"/>
        <b/>
        <color theme="1"/>
        <sz val="16.0"/>
      </rPr>
      <t>Result: Hourly average throughput of one tank (bbl)</t>
    </r>
  </si>
  <si>
    <t xml:space="preserve">4) Emissions volume (hourly, avg of one tank) /throughput (hourly, avg of one tank)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</si>
</sst>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6.0"/>
      <color theme="1"/>
      <name val="Aptos Narrow"/>
    </font>
    <font>
      <sz val="16.0"/>
      <color rgb="FFFF0000"/>
      <name val="Aptos Narrow"/>
    </font>
    <font>
      <b/>
      <sz val="16.0"/>
      <color theme="0"/>
      <name val="Arial"/>
    </font>
    <font>
      <b/>
      <sz val="16.0"/>
      <color theme="1"/>
      <name val="Aptos Narrow"/>
    </font>
    <font>
      <sz val="16.0"/>
      <color theme="8"/>
      <name val="Aptos Narrow"/>
    </font>
    <font>
      <sz val="16.0"/>
      <color theme="9"/>
      <name val="Aptos Narrow"/>
    </font>
    <font>
      <sz val="16.0"/>
      <color rgb="FFFF9900"/>
      <name val="Aptos Narrow"/>
    </font>
    <font>
      <sz val="16.0"/>
      <color rgb="FFFF3399"/>
      <name val="Aptos Narrow"/>
    </font>
    <font>
      <sz val="16.0"/>
      <color theme="5"/>
      <name val="Aptos Narrow"/>
    </font>
    <font>
      <sz val="16.0"/>
      <color rgb="FF747474"/>
      <name val="Aptos Narrow"/>
    </font>
    <font>
      <sz val="16.0"/>
      <color rgb="FFFF9999"/>
      <name val="Aptos Narrow"/>
    </font>
    <font>
      <sz val="16.0"/>
      <color rgb="FFC00000"/>
      <name val="Aptos Narrow"/>
    </font>
    <font>
      <b/>
      <sz val="16.0"/>
      <color rgb="FF45B0E1"/>
      <name val="Aptos Narrow"/>
    </font>
    <font>
      <sz val="16.0"/>
      <color rgb="FF008080"/>
      <name val="Aptos Narrow"/>
    </font>
    <font>
      <sz val="16.0"/>
      <color rgb="FF0033CC"/>
      <name val="Aptos Narrow"/>
    </font>
    <font>
      <sz val="16.0"/>
      <color rgb="FF669900"/>
      <name val="Aptos Narrow"/>
    </font>
    <font>
      <b/>
      <sz val="16.0"/>
      <color rgb="FF000000"/>
      <name val="Aptos Narrow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E2841"/>
        <bgColor rgb="FF0E2841"/>
      </patternFill>
    </fill>
    <fill>
      <patternFill patternType="solid">
        <fgColor rgb="FFC1E4F5"/>
        <bgColor rgb="FFC1E4F5"/>
      </patternFill>
    </fill>
    <fill>
      <patternFill patternType="solid">
        <fgColor rgb="FF45B0E1"/>
        <bgColor rgb="FF45B0E1"/>
      </patternFill>
    </fill>
    <fill>
      <patternFill patternType="solid">
        <fgColor rgb="FFD9F2D0"/>
        <bgColor rgb="FFD9F2D0"/>
      </patternFill>
    </fill>
  </fills>
  <borders count="35">
    <border/>
    <border>
      <right style="thin">
        <color rgb="FF000000"/>
      </right>
    </border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2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/>
    </xf>
    <xf borderId="3" fillId="2" fontId="1" numFmtId="0" xfId="0" applyAlignment="1" applyBorder="1" applyFont="1">
      <alignment horizontal="left"/>
    </xf>
    <xf borderId="2" fillId="2" fontId="1" numFmtId="4" xfId="0" applyAlignment="1" applyBorder="1" applyFont="1" applyNumberFormat="1">
      <alignment horizontal="left"/>
    </xf>
    <xf borderId="4" fillId="3" fontId="3" numFmtId="0" xfId="0" applyAlignment="1" applyBorder="1" applyFill="1" applyFont="1">
      <alignment horizontal="left"/>
    </xf>
    <xf borderId="5" fillId="2" fontId="4" numFmtId="0" xfId="0" applyAlignment="1" applyBorder="1" applyFont="1">
      <alignment horizontal="left"/>
    </xf>
    <xf borderId="6" fillId="2" fontId="1" numFmtId="0" xfId="0" applyAlignment="1" applyBorder="1" applyFont="1">
      <alignment horizontal="left"/>
    </xf>
    <xf borderId="7" fillId="2" fontId="1" numFmtId="0" xfId="0" applyAlignment="1" applyBorder="1" applyFont="1">
      <alignment horizontal="left"/>
    </xf>
    <xf borderId="8" fillId="4" fontId="1" numFmtId="0" xfId="0" applyAlignment="1" applyBorder="1" applyFill="1" applyFont="1">
      <alignment horizontal="left"/>
    </xf>
    <xf borderId="8" fillId="4" fontId="1" numFmtId="4" xfId="0" applyAlignment="1" applyBorder="1" applyFont="1" applyNumberFormat="1">
      <alignment horizontal="left"/>
    </xf>
    <xf borderId="9" fillId="2" fontId="1" numFmtId="0" xfId="0" applyAlignment="1" applyBorder="1" applyFont="1">
      <alignment horizontal="left"/>
    </xf>
    <xf borderId="10" fillId="2" fontId="4" numFmtId="0" xfId="0" applyAlignment="1" applyBorder="1" applyFont="1">
      <alignment horizontal="left"/>
    </xf>
    <xf borderId="11" fillId="2" fontId="4" numFmtId="0" xfId="0" applyAlignment="1" applyBorder="1" applyFont="1">
      <alignment horizontal="left"/>
    </xf>
    <xf borderId="10" fillId="2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/>
    </xf>
    <xf borderId="10" fillId="0" fontId="1" numFmtId="4" xfId="0" applyAlignment="1" applyBorder="1" applyFont="1" applyNumberFormat="1">
      <alignment horizontal="left"/>
    </xf>
    <xf borderId="12" fillId="0" fontId="1" numFmtId="4" xfId="0" applyAlignment="1" applyBorder="1" applyFont="1" applyNumberFormat="1">
      <alignment horizontal="left"/>
    </xf>
    <xf borderId="10" fillId="2" fontId="5" numFmtId="0" xfId="0" applyAlignment="1" applyBorder="1" applyFont="1">
      <alignment horizontal="left"/>
    </xf>
    <xf borderId="11" fillId="2" fontId="1" numFmtId="9" xfId="0" applyAlignment="1" applyBorder="1" applyFont="1" applyNumberFormat="1">
      <alignment horizontal="left"/>
    </xf>
    <xf borderId="10" fillId="2" fontId="2" numFmtId="0" xfId="0" applyAlignment="1" applyBorder="1" applyFont="1">
      <alignment horizontal="left"/>
    </xf>
    <xf borderId="11" fillId="2" fontId="2" numFmtId="0" xfId="0" applyAlignment="1" applyBorder="1" applyFont="1">
      <alignment horizontal="left"/>
    </xf>
    <xf borderId="0" fillId="0" fontId="1" numFmtId="4" xfId="0" applyAlignment="1" applyFont="1" applyNumberFormat="1">
      <alignment horizontal="left"/>
    </xf>
    <xf borderId="10" fillId="2" fontId="6" numFmtId="0" xfId="0" applyAlignment="1" applyBorder="1" applyFont="1">
      <alignment horizontal="left"/>
    </xf>
    <xf borderId="11" fillId="2" fontId="1" numFmtId="0" xfId="0" applyAlignment="1" applyBorder="1" applyFont="1">
      <alignment horizontal="left"/>
    </xf>
    <xf borderId="13" fillId="2" fontId="1" numFmtId="0" xfId="0" applyAlignment="1" applyBorder="1" applyFont="1">
      <alignment horizontal="left"/>
    </xf>
    <xf borderId="14" fillId="2" fontId="7" numFmtId="0" xfId="0" applyAlignment="1" applyBorder="1" applyFont="1">
      <alignment horizontal="left"/>
    </xf>
    <xf borderId="15" fillId="2" fontId="1" numFmtId="9" xfId="0" applyAlignment="1" applyBorder="1" applyFont="1" applyNumberFormat="1">
      <alignment horizontal="left"/>
    </xf>
    <xf borderId="16" fillId="0" fontId="8" numFmtId="0" xfId="0" applyAlignment="1" applyBorder="1" applyFont="1">
      <alignment horizontal="left"/>
    </xf>
    <xf borderId="10" fillId="0" fontId="4" numFmtId="0" xfId="0" applyAlignment="1" applyBorder="1" applyFont="1">
      <alignment horizontal="left"/>
    </xf>
    <xf borderId="2" fillId="2" fontId="1" numFmtId="9" xfId="0" applyAlignment="1" applyBorder="1" applyFont="1" applyNumberFormat="1">
      <alignment horizontal="left"/>
    </xf>
    <xf borderId="10" fillId="2" fontId="1" numFmtId="0" xfId="0" applyAlignment="1" applyBorder="1" applyFont="1">
      <alignment horizontal="left" shrinkToFit="0" wrapText="1"/>
    </xf>
    <xf borderId="17" fillId="2" fontId="1" numFmtId="0" xfId="0" applyAlignment="1" applyBorder="1" applyFont="1">
      <alignment horizontal="left"/>
    </xf>
    <xf borderId="10" fillId="2" fontId="9" numFmtId="0" xfId="0" applyAlignment="1" applyBorder="1" applyFont="1">
      <alignment horizontal="left"/>
    </xf>
    <xf borderId="10" fillId="2" fontId="10" numFmtId="0" xfId="0" applyAlignment="1" applyBorder="1" applyFont="1">
      <alignment horizontal="left"/>
    </xf>
    <xf borderId="14" fillId="2" fontId="11" numFmtId="0" xfId="0" applyAlignment="1" applyBorder="1" applyFont="1">
      <alignment horizontal="left"/>
    </xf>
    <xf borderId="15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vertical="top"/>
    </xf>
    <xf borderId="8" fillId="4" fontId="1" numFmtId="0" xfId="0" applyAlignment="1" applyBorder="1" applyFont="1">
      <alignment horizontal="left" vertical="top"/>
    </xf>
    <xf borderId="10" fillId="2" fontId="1" numFmtId="0" xfId="0" applyAlignment="1" applyBorder="1" applyFont="1">
      <alignment horizontal="left" vertical="top"/>
    </xf>
    <xf borderId="10" fillId="2" fontId="1" numFmtId="0" xfId="0" applyAlignment="1" applyBorder="1" applyFont="1">
      <alignment horizontal="left" shrinkToFit="0" vertical="top" wrapText="1"/>
    </xf>
    <xf borderId="16" fillId="0" fontId="12" numFmtId="0" xfId="0" applyAlignment="1" applyBorder="1" applyFont="1">
      <alignment horizontal="left" vertical="top"/>
    </xf>
    <xf borderId="16" fillId="0" fontId="1" numFmtId="0" xfId="0" applyAlignment="1" applyBorder="1" applyFont="1">
      <alignment horizontal="left" vertical="top"/>
    </xf>
    <xf borderId="16" fillId="0" fontId="4" numFmtId="0" xfId="0" applyAlignment="1" applyBorder="1" applyFont="1">
      <alignment horizontal="left" vertical="top"/>
    </xf>
    <xf borderId="10" fillId="0" fontId="4" numFmtId="4" xfId="0" applyAlignment="1" applyBorder="1" applyFont="1" applyNumberFormat="1">
      <alignment horizontal="left"/>
    </xf>
    <xf borderId="12" fillId="0" fontId="4" numFmtId="4" xfId="0" applyAlignment="1" applyBorder="1" applyFont="1" applyNumberFormat="1">
      <alignment horizontal="left"/>
    </xf>
    <xf borderId="18" fillId="2" fontId="4" numFmtId="0" xfId="0" applyAlignment="1" applyBorder="1" applyFont="1">
      <alignment horizontal="left"/>
    </xf>
    <xf borderId="19" fillId="2" fontId="1" numFmtId="0" xfId="0" applyAlignment="1" applyBorder="1" applyFont="1">
      <alignment horizontal="left"/>
    </xf>
    <xf borderId="16" fillId="0" fontId="13" numFmtId="0" xfId="0" applyAlignment="1" applyBorder="1" applyFont="1">
      <alignment horizontal="left" vertical="top"/>
    </xf>
    <xf borderId="20" fillId="2" fontId="1" numFmtId="0" xfId="0" applyAlignment="1" applyBorder="1" applyFont="1">
      <alignment horizontal="left"/>
    </xf>
    <xf borderId="16" fillId="0" fontId="14" numFmtId="0" xfId="0" applyAlignment="1" applyBorder="1" applyFont="1">
      <alignment horizontal="left" vertical="top"/>
    </xf>
    <xf borderId="16" fillId="0" fontId="15" numFmtId="0" xfId="0" applyAlignment="1" applyBorder="1" applyFont="1">
      <alignment horizontal="left" vertical="top"/>
    </xf>
    <xf borderId="16" fillId="0" fontId="16" numFmtId="0" xfId="0" applyAlignment="1" applyBorder="1" applyFont="1">
      <alignment horizontal="left" vertical="top"/>
    </xf>
    <xf borderId="10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left" vertical="top"/>
    </xf>
    <xf borderId="21" fillId="2" fontId="1" numFmtId="0" xfId="0" applyAlignment="1" applyBorder="1" applyFont="1">
      <alignment horizontal="left"/>
    </xf>
    <xf borderId="4" fillId="2" fontId="1" numFmtId="0" xfId="0" applyAlignment="1" applyBorder="1" applyFont="1">
      <alignment horizontal="left"/>
    </xf>
    <xf borderId="8" fillId="5" fontId="4" numFmtId="0" xfId="0" applyAlignment="1" applyBorder="1" applyFill="1" applyFont="1">
      <alignment horizontal="left"/>
    </xf>
    <xf borderId="8" fillId="5" fontId="4" numFmtId="4" xfId="0" applyAlignment="1" applyBorder="1" applyFont="1" applyNumberFormat="1">
      <alignment horizontal="left"/>
    </xf>
    <xf borderId="22" fillId="2" fontId="1" numFmtId="0" xfId="0" applyAlignment="1" applyBorder="1" applyFont="1">
      <alignment horizontal="left"/>
    </xf>
    <xf borderId="23" fillId="2" fontId="1" numFmtId="0" xfId="0" applyAlignment="1" applyBorder="1" applyFont="1">
      <alignment horizontal="left"/>
    </xf>
    <xf borderId="2" fillId="2" fontId="4" numFmtId="0" xfId="0" applyAlignment="1" applyBorder="1" applyFont="1">
      <alignment horizontal="left"/>
    </xf>
    <xf borderId="10" fillId="2" fontId="1" numFmtId="9" xfId="0" applyAlignment="1" applyBorder="1" applyFont="1" applyNumberFormat="1">
      <alignment horizontal="left"/>
    </xf>
    <xf borderId="24" fillId="2" fontId="1" numFmtId="0" xfId="0" applyAlignment="1" applyBorder="1" applyFont="1">
      <alignment horizontal="left"/>
    </xf>
    <xf borderId="25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left"/>
    </xf>
    <xf borderId="29" fillId="0" fontId="1" numFmtId="0" xfId="0" applyAlignment="1" applyBorder="1" applyFont="1">
      <alignment horizontal="left"/>
    </xf>
    <xf borderId="30" fillId="0" fontId="1" numFmtId="0" xfId="0" applyAlignment="1" applyBorder="1" applyFont="1">
      <alignment horizontal="left"/>
    </xf>
    <xf borderId="0" fillId="0" fontId="1" numFmtId="14" xfId="0" applyAlignment="1" applyFont="1" applyNumberFormat="1">
      <alignment horizontal="left"/>
    </xf>
    <xf borderId="31" fillId="0" fontId="1" numFmtId="0" xfId="0" applyAlignment="1" applyBorder="1" applyFont="1">
      <alignment horizontal="left"/>
    </xf>
    <xf borderId="32" fillId="0" fontId="1" numFmtId="0" xfId="0" applyAlignment="1" applyBorder="1" applyFont="1">
      <alignment horizontal="left"/>
    </xf>
    <xf borderId="33" fillId="0" fontId="1" numFmtId="0" xfId="0" applyAlignment="1" applyBorder="1" applyFont="1">
      <alignment horizontal="left"/>
    </xf>
    <xf borderId="34" fillId="0" fontId="1" numFmtId="0" xfId="0" applyAlignment="1" applyBorder="1" applyFont="1">
      <alignment horizontal="left"/>
    </xf>
    <xf borderId="2" fillId="4" fontId="1" numFmtId="0" xfId="0" applyAlignment="1" applyBorder="1" applyFont="1">
      <alignment horizontal="left"/>
    </xf>
    <xf borderId="3" fillId="4" fontId="1" numFmtId="0" xfId="0" applyAlignment="1" applyBorder="1" applyFont="1">
      <alignment horizontal="left"/>
    </xf>
    <xf borderId="2" fillId="4" fontId="1" numFmtId="0" xfId="0" applyAlignment="1" applyBorder="1" applyFont="1">
      <alignment horizontal="left" shrinkToFit="0" wrapText="1"/>
    </xf>
    <xf borderId="3" fillId="4" fontId="1" numFmtId="4" xfId="0" applyAlignment="1" applyBorder="1" applyFont="1" applyNumberFormat="1">
      <alignment horizontal="left"/>
    </xf>
    <xf borderId="2" fillId="4" fontId="1" numFmtId="0" xfId="0" applyAlignment="1" applyBorder="1" applyFont="1">
      <alignment horizontal="left" shrinkToFit="0" vertical="center" wrapText="1"/>
    </xf>
    <xf borderId="2" fillId="6" fontId="1" numFmtId="0" xfId="0" applyAlignment="1" applyBorder="1" applyFill="1" applyFont="1">
      <alignment horizontal="left"/>
    </xf>
    <xf borderId="3" fillId="6" fontId="1" numFmtId="0" xfId="0" applyAlignment="1" applyBorder="1" applyFont="1">
      <alignment horizontal="left"/>
    </xf>
    <xf borderId="3" fillId="6" fontId="1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CC"/>
    <pageSetUpPr/>
  </sheetPr>
  <sheetViews>
    <sheetView workbookViewId="0"/>
  </sheetViews>
  <sheetFormatPr customHeight="1" defaultColWidth="12.63" defaultRowHeight="15.75"/>
  <cols>
    <col customWidth="1" min="1" max="3" width="8.88"/>
    <col customWidth="1" min="4" max="4" width="100.63"/>
    <col customWidth="1" min="5" max="5" width="50.63"/>
    <col customWidth="1" min="6" max="6" width="44.13"/>
    <col customWidth="1" min="7" max="8" width="27.0"/>
    <col customWidth="1" min="9" max="9" width="111.88"/>
    <col customWidth="1" min="10" max="10" width="146.63"/>
    <col customWidth="1" min="11" max="11" width="27.0"/>
    <col customWidth="1" min="12" max="13" width="8.88"/>
    <col customWidth="1" min="14" max="14" width="103.0"/>
    <col customWidth="1" min="15" max="15" width="15.13"/>
    <col customWidth="1" min="16" max="16" width="88.38"/>
    <col customWidth="1" min="17" max="17" width="56.13"/>
    <col customWidth="1" min="18" max="18" width="10.13"/>
    <col customWidth="1" min="19" max="19" width="27.0"/>
    <col customWidth="1" min="20" max="20" width="18.13"/>
    <col customWidth="1" min="21" max="43" width="21.13"/>
    <col customWidth="1" min="44" max="44" width="17.13"/>
    <col customWidth="1" min="45" max="46" width="21.13"/>
  </cols>
  <sheetData>
    <row r="1" ht="21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ht="21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21.0" customHeight="1">
      <c r="A3" s="3"/>
      <c r="B3" s="3"/>
      <c r="C3" s="4" t="s">
        <v>0</v>
      </c>
      <c r="D3" s="3"/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4" t="s">
        <v>1</v>
      </c>
      <c r="Q3" s="3"/>
      <c r="R3" s="3"/>
      <c r="S3" s="3"/>
      <c r="T3" s="3"/>
      <c r="U3" s="3"/>
      <c r="V3" s="3"/>
      <c r="W3" s="3"/>
      <c r="X3" s="3"/>
      <c r="Y3" s="6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ht="21.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6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ht="21.0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3"/>
      <c r="O5" s="7" t="s">
        <v>2</v>
      </c>
      <c r="P5" s="7" t="s">
        <v>3</v>
      </c>
      <c r="Q5" s="7"/>
      <c r="R5" s="7"/>
      <c r="S5" s="7"/>
      <c r="T5" s="7">
        <v>2024.0</v>
      </c>
      <c r="U5" s="7">
        <f>2025</f>
        <v>2025</v>
      </c>
      <c r="V5" s="7">
        <f t="shared" ref="V5:AT5" si="1">U5+1</f>
        <v>2026</v>
      </c>
      <c r="W5" s="7">
        <f t="shared" si="1"/>
        <v>2027</v>
      </c>
      <c r="X5" s="7">
        <f t="shared" si="1"/>
        <v>2028</v>
      </c>
      <c r="Y5" s="7">
        <f t="shared" si="1"/>
        <v>2029</v>
      </c>
      <c r="Z5" s="7">
        <f t="shared" si="1"/>
        <v>2030</v>
      </c>
      <c r="AA5" s="7">
        <f t="shared" si="1"/>
        <v>2031</v>
      </c>
      <c r="AB5" s="7">
        <f t="shared" si="1"/>
        <v>2032</v>
      </c>
      <c r="AC5" s="7">
        <f t="shared" si="1"/>
        <v>2033</v>
      </c>
      <c r="AD5" s="7">
        <f t="shared" si="1"/>
        <v>2034</v>
      </c>
      <c r="AE5" s="7">
        <f t="shared" si="1"/>
        <v>2035</v>
      </c>
      <c r="AF5" s="7">
        <f t="shared" si="1"/>
        <v>2036</v>
      </c>
      <c r="AG5" s="7">
        <f t="shared" si="1"/>
        <v>2037</v>
      </c>
      <c r="AH5" s="7">
        <f t="shared" si="1"/>
        <v>2038</v>
      </c>
      <c r="AI5" s="7">
        <f t="shared" si="1"/>
        <v>2039</v>
      </c>
      <c r="AJ5" s="7">
        <f t="shared" si="1"/>
        <v>2040</v>
      </c>
      <c r="AK5" s="7">
        <f t="shared" si="1"/>
        <v>2041</v>
      </c>
      <c r="AL5" s="7">
        <f t="shared" si="1"/>
        <v>2042</v>
      </c>
      <c r="AM5" s="7">
        <f t="shared" si="1"/>
        <v>2043</v>
      </c>
      <c r="AN5" s="7">
        <f t="shared" si="1"/>
        <v>2044</v>
      </c>
      <c r="AO5" s="7">
        <f t="shared" si="1"/>
        <v>2045</v>
      </c>
      <c r="AP5" s="7">
        <f t="shared" si="1"/>
        <v>2046</v>
      </c>
      <c r="AQ5" s="7">
        <f t="shared" si="1"/>
        <v>2047</v>
      </c>
      <c r="AR5" s="7">
        <f t="shared" si="1"/>
        <v>2048</v>
      </c>
      <c r="AS5" s="7">
        <f t="shared" si="1"/>
        <v>2049</v>
      </c>
      <c r="AT5" s="7">
        <f t="shared" si="1"/>
        <v>2050</v>
      </c>
    </row>
    <row r="6" ht="21.0" customHeight="1">
      <c r="A6" s="3"/>
      <c r="B6" s="3"/>
      <c r="C6" s="8" t="s">
        <v>4</v>
      </c>
      <c r="D6" s="9"/>
      <c r="E6" s="10"/>
      <c r="F6" s="3"/>
      <c r="G6" s="3"/>
      <c r="H6" s="3"/>
      <c r="I6" s="3"/>
      <c r="J6" s="3"/>
      <c r="K6" s="3"/>
      <c r="L6" s="3"/>
      <c r="M6" s="5"/>
      <c r="N6" s="3"/>
      <c r="O6" s="3"/>
      <c r="P6" s="1"/>
      <c r="Q6" s="11" t="s">
        <v>5</v>
      </c>
      <c r="R6" s="11"/>
      <c r="S6" s="11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</row>
    <row r="7" ht="21.0" customHeight="1">
      <c r="A7" s="3"/>
      <c r="B7" s="3"/>
      <c r="C7" s="13"/>
      <c r="D7" s="14" t="s">
        <v>6</v>
      </c>
      <c r="E7" s="15" t="s">
        <v>7</v>
      </c>
      <c r="F7" s="3"/>
      <c r="G7" s="3"/>
      <c r="H7" s="3"/>
      <c r="I7" s="3"/>
      <c r="J7" s="3"/>
      <c r="K7" s="3"/>
      <c r="L7" s="3"/>
      <c r="M7" s="5"/>
      <c r="N7" s="3"/>
      <c r="O7" s="16" t="s">
        <v>8</v>
      </c>
      <c r="P7" s="16" t="s">
        <v>9</v>
      </c>
      <c r="Q7" s="17" t="s">
        <v>10</v>
      </c>
      <c r="R7" s="17"/>
      <c r="S7" s="18"/>
      <c r="T7" s="18">
        <f t="shared" ref="T7:AT7" si="2">IF(AND(T5&gt;=$E$10,T5&lt;$E$23),1,0)</f>
        <v>0</v>
      </c>
      <c r="U7" s="18">
        <f t="shared" si="2"/>
        <v>1</v>
      </c>
      <c r="V7" s="18">
        <f t="shared" si="2"/>
        <v>1</v>
      </c>
      <c r="W7" s="18">
        <f t="shared" si="2"/>
        <v>1</v>
      </c>
      <c r="X7" s="18">
        <f t="shared" si="2"/>
        <v>0</v>
      </c>
      <c r="Y7" s="18">
        <f t="shared" si="2"/>
        <v>0</v>
      </c>
      <c r="Z7" s="18">
        <f t="shared" si="2"/>
        <v>0</v>
      </c>
      <c r="AA7" s="18">
        <f t="shared" si="2"/>
        <v>0</v>
      </c>
      <c r="AB7" s="18">
        <f t="shared" si="2"/>
        <v>0</v>
      </c>
      <c r="AC7" s="18">
        <f t="shared" si="2"/>
        <v>0</v>
      </c>
      <c r="AD7" s="18">
        <f t="shared" si="2"/>
        <v>0</v>
      </c>
      <c r="AE7" s="18">
        <f t="shared" si="2"/>
        <v>0</v>
      </c>
      <c r="AF7" s="18">
        <f t="shared" si="2"/>
        <v>0</v>
      </c>
      <c r="AG7" s="18">
        <f t="shared" si="2"/>
        <v>0</v>
      </c>
      <c r="AH7" s="18">
        <f t="shared" si="2"/>
        <v>0</v>
      </c>
      <c r="AI7" s="18">
        <f t="shared" si="2"/>
        <v>0</v>
      </c>
      <c r="AJ7" s="18">
        <f t="shared" si="2"/>
        <v>0</v>
      </c>
      <c r="AK7" s="18">
        <f t="shared" si="2"/>
        <v>0</v>
      </c>
      <c r="AL7" s="18">
        <f t="shared" si="2"/>
        <v>0</v>
      </c>
      <c r="AM7" s="18">
        <f t="shared" si="2"/>
        <v>0</v>
      </c>
      <c r="AN7" s="18">
        <f t="shared" si="2"/>
        <v>0</v>
      </c>
      <c r="AO7" s="18">
        <f t="shared" si="2"/>
        <v>0</v>
      </c>
      <c r="AP7" s="18">
        <f t="shared" si="2"/>
        <v>0</v>
      </c>
      <c r="AQ7" s="18">
        <f t="shared" si="2"/>
        <v>0</v>
      </c>
      <c r="AR7" s="18">
        <f t="shared" si="2"/>
        <v>0</v>
      </c>
      <c r="AS7" s="18">
        <f t="shared" si="2"/>
        <v>0</v>
      </c>
      <c r="AT7" s="19">
        <f t="shared" si="2"/>
        <v>0</v>
      </c>
    </row>
    <row r="8" ht="21.0" customHeight="1">
      <c r="A8" s="3"/>
      <c r="B8" s="3"/>
      <c r="C8" s="13"/>
      <c r="D8" s="20" t="s">
        <v>11</v>
      </c>
      <c r="E8" s="21">
        <v>0.1</v>
      </c>
      <c r="F8" s="3"/>
      <c r="G8" s="3"/>
      <c r="H8" s="3"/>
      <c r="I8" s="3"/>
      <c r="J8" s="3"/>
      <c r="K8" s="3"/>
      <c r="L8" s="3"/>
      <c r="M8" s="5"/>
      <c r="N8" s="3"/>
      <c r="O8" s="16" t="s">
        <v>8</v>
      </c>
      <c r="P8" s="16" t="s">
        <v>12</v>
      </c>
      <c r="Q8" s="17" t="s">
        <v>13</v>
      </c>
      <c r="R8" s="17"/>
      <c r="S8" s="18"/>
      <c r="T8" s="18">
        <f t="shared" ref="T8:AT8" si="3">IF(AND(T5&gt;=$E$23,T5&lt;=$E$24),1,0)</f>
        <v>0</v>
      </c>
      <c r="U8" s="18">
        <f t="shared" si="3"/>
        <v>0</v>
      </c>
      <c r="V8" s="18">
        <f t="shared" si="3"/>
        <v>0</v>
      </c>
      <c r="W8" s="18">
        <f t="shared" si="3"/>
        <v>0</v>
      </c>
      <c r="X8" s="18">
        <f t="shared" si="3"/>
        <v>1</v>
      </c>
      <c r="Y8" s="18">
        <f t="shared" si="3"/>
        <v>1</v>
      </c>
      <c r="Z8" s="18">
        <f t="shared" si="3"/>
        <v>1</v>
      </c>
      <c r="AA8" s="18">
        <f t="shared" si="3"/>
        <v>1</v>
      </c>
      <c r="AB8" s="18">
        <f t="shared" si="3"/>
        <v>1</v>
      </c>
      <c r="AC8" s="18">
        <f t="shared" si="3"/>
        <v>1</v>
      </c>
      <c r="AD8" s="18">
        <f t="shared" si="3"/>
        <v>1</v>
      </c>
      <c r="AE8" s="18">
        <f t="shared" si="3"/>
        <v>1</v>
      </c>
      <c r="AF8" s="18">
        <f t="shared" si="3"/>
        <v>1</v>
      </c>
      <c r="AG8" s="18">
        <f t="shared" si="3"/>
        <v>1</v>
      </c>
      <c r="AH8" s="18">
        <f t="shared" si="3"/>
        <v>1</v>
      </c>
      <c r="AI8" s="18">
        <f t="shared" si="3"/>
        <v>1</v>
      </c>
      <c r="AJ8" s="18">
        <f t="shared" si="3"/>
        <v>1</v>
      </c>
      <c r="AK8" s="18">
        <f t="shared" si="3"/>
        <v>0</v>
      </c>
      <c r="AL8" s="18">
        <f t="shared" si="3"/>
        <v>0</v>
      </c>
      <c r="AM8" s="18">
        <f t="shared" si="3"/>
        <v>0</v>
      </c>
      <c r="AN8" s="18">
        <f t="shared" si="3"/>
        <v>0</v>
      </c>
      <c r="AO8" s="18">
        <f t="shared" si="3"/>
        <v>0</v>
      </c>
      <c r="AP8" s="18">
        <f t="shared" si="3"/>
        <v>0</v>
      </c>
      <c r="AQ8" s="18">
        <f t="shared" si="3"/>
        <v>0</v>
      </c>
      <c r="AR8" s="18">
        <f t="shared" si="3"/>
        <v>0</v>
      </c>
      <c r="AS8" s="18">
        <f t="shared" si="3"/>
        <v>0</v>
      </c>
      <c r="AT8" s="19">
        <f t="shared" si="3"/>
        <v>0</v>
      </c>
    </row>
    <row r="9" ht="21.0" customHeight="1">
      <c r="A9" s="3"/>
      <c r="B9" s="3"/>
      <c r="C9" s="13"/>
      <c r="D9" s="16" t="s">
        <v>14</v>
      </c>
      <c r="E9" s="21">
        <v>0.2</v>
      </c>
      <c r="F9" s="1"/>
      <c r="G9" s="3"/>
      <c r="H9" s="3"/>
      <c r="I9" s="3"/>
      <c r="J9" s="3"/>
      <c r="K9" s="3"/>
      <c r="L9" s="3"/>
      <c r="M9" s="5"/>
      <c r="N9" s="3"/>
      <c r="O9" s="16" t="s">
        <v>8</v>
      </c>
      <c r="P9" s="16" t="s">
        <v>15</v>
      </c>
      <c r="Q9" s="17" t="s">
        <v>16</v>
      </c>
      <c r="R9" s="17"/>
      <c r="S9" s="17"/>
      <c r="T9" s="18">
        <f>SUM(T7:T8)+S8</f>
        <v>0</v>
      </c>
      <c r="U9" s="18">
        <f>SUM(U7:U8)+T9-1</f>
        <v>0</v>
      </c>
      <c r="V9" s="18">
        <f t="shared" ref="V9:AT9" si="4">SUM(V7:V8)+U9</f>
        <v>1</v>
      </c>
      <c r="W9" s="18">
        <f t="shared" si="4"/>
        <v>2</v>
      </c>
      <c r="X9" s="18">
        <f t="shared" si="4"/>
        <v>3</v>
      </c>
      <c r="Y9" s="18">
        <f t="shared" si="4"/>
        <v>4</v>
      </c>
      <c r="Z9" s="18">
        <f t="shared" si="4"/>
        <v>5</v>
      </c>
      <c r="AA9" s="18">
        <f t="shared" si="4"/>
        <v>6</v>
      </c>
      <c r="AB9" s="18">
        <f t="shared" si="4"/>
        <v>7</v>
      </c>
      <c r="AC9" s="18">
        <f t="shared" si="4"/>
        <v>8</v>
      </c>
      <c r="AD9" s="18">
        <f t="shared" si="4"/>
        <v>9</v>
      </c>
      <c r="AE9" s="18">
        <f t="shared" si="4"/>
        <v>10</v>
      </c>
      <c r="AF9" s="18">
        <f t="shared" si="4"/>
        <v>11</v>
      </c>
      <c r="AG9" s="18">
        <f t="shared" si="4"/>
        <v>12</v>
      </c>
      <c r="AH9" s="18">
        <f t="shared" si="4"/>
        <v>13</v>
      </c>
      <c r="AI9" s="18">
        <f t="shared" si="4"/>
        <v>14</v>
      </c>
      <c r="AJ9" s="18">
        <f t="shared" si="4"/>
        <v>15</v>
      </c>
      <c r="AK9" s="18">
        <f t="shared" si="4"/>
        <v>15</v>
      </c>
      <c r="AL9" s="18">
        <f t="shared" si="4"/>
        <v>15</v>
      </c>
      <c r="AM9" s="18">
        <f t="shared" si="4"/>
        <v>15</v>
      </c>
      <c r="AN9" s="18">
        <f t="shared" si="4"/>
        <v>15</v>
      </c>
      <c r="AO9" s="18">
        <f t="shared" si="4"/>
        <v>15</v>
      </c>
      <c r="AP9" s="18">
        <f t="shared" si="4"/>
        <v>15</v>
      </c>
      <c r="AQ9" s="18">
        <f t="shared" si="4"/>
        <v>15</v>
      </c>
      <c r="AR9" s="18">
        <f t="shared" si="4"/>
        <v>15</v>
      </c>
      <c r="AS9" s="18">
        <f t="shared" si="4"/>
        <v>15</v>
      </c>
      <c r="AT9" s="19">
        <f t="shared" si="4"/>
        <v>15</v>
      </c>
    </row>
    <row r="10" ht="21.0" customHeight="1">
      <c r="A10" s="3"/>
      <c r="B10" s="3"/>
      <c r="C10" s="13"/>
      <c r="D10" s="22" t="s">
        <v>17</v>
      </c>
      <c r="E10" s="23">
        <v>2025.0</v>
      </c>
      <c r="F10" s="4" t="s">
        <v>18</v>
      </c>
      <c r="G10" s="3"/>
      <c r="H10" s="3"/>
      <c r="I10" s="3"/>
      <c r="J10" s="3"/>
      <c r="K10" s="3"/>
      <c r="L10" s="3"/>
      <c r="M10" s="5"/>
      <c r="N10" s="3"/>
      <c r="O10" s="3"/>
      <c r="P10" s="3"/>
      <c r="Q10" s="1"/>
      <c r="R10" s="1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ht="21.0" customHeight="1">
      <c r="A11" s="3"/>
      <c r="B11" s="3"/>
      <c r="C11" s="13"/>
      <c r="D11" s="25" t="s">
        <v>19</v>
      </c>
      <c r="E11" s="26">
        <v>0.05</v>
      </c>
      <c r="F11" s="1"/>
      <c r="G11" s="4"/>
      <c r="H11" s="4"/>
      <c r="I11" s="4"/>
      <c r="J11" s="4"/>
      <c r="K11" s="4"/>
      <c r="L11" s="3"/>
      <c r="M11" s="5"/>
      <c r="N11" s="3"/>
      <c r="O11" s="3"/>
      <c r="P11" s="3"/>
      <c r="Q11" s="11" t="s">
        <v>20</v>
      </c>
      <c r="R11" s="11"/>
      <c r="S11" s="1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ht="21.0" customHeight="1">
      <c r="A12" s="3"/>
      <c r="B12" s="3"/>
      <c r="C12" s="27"/>
      <c r="D12" s="28" t="s">
        <v>21</v>
      </c>
      <c r="E12" s="29">
        <v>0.2</v>
      </c>
      <c r="F12" s="3"/>
      <c r="G12" s="3"/>
      <c r="H12" s="3"/>
      <c r="I12" s="3"/>
      <c r="J12" s="3"/>
      <c r="K12" s="3"/>
      <c r="L12" s="3"/>
      <c r="M12" s="5"/>
      <c r="N12" s="3"/>
      <c r="O12" s="16" t="s">
        <v>22</v>
      </c>
      <c r="P12" s="16" t="s">
        <v>23</v>
      </c>
      <c r="Q12" s="30" t="s">
        <v>24</v>
      </c>
      <c r="R12" s="17"/>
      <c r="S12" s="31"/>
      <c r="T12" s="18"/>
      <c r="U12" s="18">
        <f t="shared" ref="U12:AT12" si="5">1/(1+$E$9)^U9</f>
        <v>1</v>
      </c>
      <c r="V12" s="18">
        <f t="shared" si="5"/>
        <v>0.8333333333</v>
      </c>
      <c r="W12" s="18">
        <f t="shared" si="5"/>
        <v>0.6944444444</v>
      </c>
      <c r="X12" s="18">
        <f t="shared" si="5"/>
        <v>0.5787037037</v>
      </c>
      <c r="Y12" s="18">
        <f t="shared" si="5"/>
        <v>0.4822530864</v>
      </c>
      <c r="Z12" s="18">
        <f t="shared" si="5"/>
        <v>0.401877572</v>
      </c>
      <c r="AA12" s="18">
        <f t="shared" si="5"/>
        <v>0.3348979767</v>
      </c>
      <c r="AB12" s="18">
        <f t="shared" si="5"/>
        <v>0.2790816472</v>
      </c>
      <c r="AC12" s="18">
        <f t="shared" si="5"/>
        <v>0.2325680394</v>
      </c>
      <c r="AD12" s="18">
        <f t="shared" si="5"/>
        <v>0.1938066995</v>
      </c>
      <c r="AE12" s="18">
        <f t="shared" si="5"/>
        <v>0.1615055829</v>
      </c>
      <c r="AF12" s="18">
        <f t="shared" si="5"/>
        <v>0.1345879857</v>
      </c>
      <c r="AG12" s="18">
        <f t="shared" si="5"/>
        <v>0.1121566548</v>
      </c>
      <c r="AH12" s="18">
        <f t="shared" si="5"/>
        <v>0.09346387899</v>
      </c>
      <c r="AI12" s="18">
        <f t="shared" si="5"/>
        <v>0.07788656582</v>
      </c>
      <c r="AJ12" s="18">
        <f t="shared" si="5"/>
        <v>0.06490547152</v>
      </c>
      <c r="AK12" s="18">
        <f t="shared" si="5"/>
        <v>0.06490547152</v>
      </c>
      <c r="AL12" s="18">
        <f t="shared" si="5"/>
        <v>0.06490547152</v>
      </c>
      <c r="AM12" s="18">
        <f t="shared" si="5"/>
        <v>0.06490547152</v>
      </c>
      <c r="AN12" s="18">
        <f t="shared" si="5"/>
        <v>0.06490547152</v>
      </c>
      <c r="AO12" s="18">
        <f t="shared" si="5"/>
        <v>0.06490547152</v>
      </c>
      <c r="AP12" s="18">
        <f t="shared" si="5"/>
        <v>0.06490547152</v>
      </c>
      <c r="AQ12" s="18">
        <f t="shared" si="5"/>
        <v>0.06490547152</v>
      </c>
      <c r="AR12" s="18">
        <f t="shared" si="5"/>
        <v>0.06490547152</v>
      </c>
      <c r="AS12" s="18">
        <f t="shared" si="5"/>
        <v>0.06490547152</v>
      </c>
      <c r="AT12" s="19">
        <f t="shared" si="5"/>
        <v>0.06490547152</v>
      </c>
    </row>
    <row r="13" ht="21.0" customHeight="1">
      <c r="A13" s="3"/>
      <c r="B13" s="3"/>
      <c r="C13" s="3"/>
      <c r="D13" s="3"/>
      <c r="E13" s="32"/>
      <c r="F13" s="3"/>
      <c r="G13" s="3"/>
      <c r="H13" s="3"/>
      <c r="I13" s="3"/>
      <c r="J13" s="3"/>
      <c r="K13" s="3"/>
      <c r="L13" s="3"/>
      <c r="M13" s="5"/>
      <c r="N13" s="3"/>
      <c r="O13" s="16" t="s">
        <v>25</v>
      </c>
      <c r="P13" s="16" t="s">
        <v>26</v>
      </c>
      <c r="Q13" s="3" t="s">
        <v>27</v>
      </c>
      <c r="R13" s="3"/>
      <c r="S13" s="3"/>
      <c r="T13" s="3"/>
      <c r="U13" s="18">
        <f t="shared" ref="U13:AT13" si="6">1*(1+$E$8)^U9</f>
        <v>1</v>
      </c>
      <c r="V13" s="18">
        <f t="shared" si="6"/>
        <v>1.1</v>
      </c>
      <c r="W13" s="18">
        <f t="shared" si="6"/>
        <v>1.21</v>
      </c>
      <c r="X13" s="18">
        <f t="shared" si="6"/>
        <v>1.331</v>
      </c>
      <c r="Y13" s="18">
        <f t="shared" si="6"/>
        <v>1.4641</v>
      </c>
      <c r="Z13" s="18">
        <f t="shared" si="6"/>
        <v>1.61051</v>
      </c>
      <c r="AA13" s="18">
        <f t="shared" si="6"/>
        <v>1.771561</v>
      </c>
      <c r="AB13" s="18">
        <f t="shared" si="6"/>
        <v>1.9487171</v>
      </c>
      <c r="AC13" s="18">
        <f t="shared" si="6"/>
        <v>2.14358881</v>
      </c>
      <c r="AD13" s="18">
        <f t="shared" si="6"/>
        <v>2.357947691</v>
      </c>
      <c r="AE13" s="18">
        <f t="shared" si="6"/>
        <v>2.59374246</v>
      </c>
      <c r="AF13" s="18">
        <f t="shared" si="6"/>
        <v>2.853116706</v>
      </c>
      <c r="AG13" s="18">
        <f t="shared" si="6"/>
        <v>3.138428377</v>
      </c>
      <c r="AH13" s="18">
        <f t="shared" si="6"/>
        <v>3.452271214</v>
      </c>
      <c r="AI13" s="18">
        <f t="shared" si="6"/>
        <v>3.797498336</v>
      </c>
      <c r="AJ13" s="18">
        <f t="shared" si="6"/>
        <v>4.177248169</v>
      </c>
      <c r="AK13" s="18">
        <f t="shared" si="6"/>
        <v>4.177248169</v>
      </c>
      <c r="AL13" s="18">
        <f t="shared" si="6"/>
        <v>4.177248169</v>
      </c>
      <c r="AM13" s="18">
        <f t="shared" si="6"/>
        <v>4.177248169</v>
      </c>
      <c r="AN13" s="18">
        <f t="shared" si="6"/>
        <v>4.177248169</v>
      </c>
      <c r="AO13" s="18">
        <f t="shared" si="6"/>
        <v>4.177248169</v>
      </c>
      <c r="AP13" s="18">
        <f t="shared" si="6"/>
        <v>4.177248169</v>
      </c>
      <c r="AQ13" s="18">
        <f t="shared" si="6"/>
        <v>4.177248169</v>
      </c>
      <c r="AR13" s="18">
        <f t="shared" si="6"/>
        <v>4.177248169</v>
      </c>
      <c r="AS13" s="18">
        <f t="shared" si="6"/>
        <v>4.177248169</v>
      </c>
      <c r="AT13" s="19">
        <f t="shared" si="6"/>
        <v>4.177248169</v>
      </c>
    </row>
    <row r="14" ht="21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3"/>
      <c r="O14" s="16" t="s">
        <v>28</v>
      </c>
      <c r="P14" s="33" t="s">
        <v>29</v>
      </c>
      <c r="Q14" s="34" t="s">
        <v>30</v>
      </c>
      <c r="R14" s="17"/>
      <c r="S14" s="17"/>
      <c r="T14" s="18"/>
      <c r="U14" s="18">
        <f t="shared" ref="U14:AT14" si="7">$K35*U$13</f>
        <v>206.6129032</v>
      </c>
      <c r="V14" s="18">
        <f t="shared" si="7"/>
        <v>227.2741935</v>
      </c>
      <c r="W14" s="18">
        <f t="shared" si="7"/>
        <v>250.0016129</v>
      </c>
      <c r="X14" s="18">
        <f t="shared" si="7"/>
        <v>275.0017742</v>
      </c>
      <c r="Y14" s="18">
        <f t="shared" si="7"/>
        <v>302.5019516</v>
      </c>
      <c r="Z14" s="18">
        <f t="shared" si="7"/>
        <v>332.7521468</v>
      </c>
      <c r="AA14" s="18">
        <f t="shared" si="7"/>
        <v>366.0273615</v>
      </c>
      <c r="AB14" s="18">
        <f t="shared" si="7"/>
        <v>402.6300976</v>
      </c>
      <c r="AC14" s="18">
        <f t="shared" si="7"/>
        <v>442.8931074</v>
      </c>
      <c r="AD14" s="18">
        <f t="shared" si="7"/>
        <v>487.1824181</v>
      </c>
      <c r="AE14" s="18">
        <f t="shared" si="7"/>
        <v>535.9006599</v>
      </c>
      <c r="AF14" s="18">
        <f t="shared" si="7"/>
        <v>589.4907259</v>
      </c>
      <c r="AG14" s="18">
        <f t="shared" si="7"/>
        <v>648.4397985</v>
      </c>
      <c r="AH14" s="18">
        <f t="shared" si="7"/>
        <v>713.2837783</v>
      </c>
      <c r="AI14" s="18">
        <f t="shared" si="7"/>
        <v>784.6121562</v>
      </c>
      <c r="AJ14" s="18">
        <f t="shared" si="7"/>
        <v>863.0733718</v>
      </c>
      <c r="AK14" s="18">
        <f t="shared" si="7"/>
        <v>863.0733718</v>
      </c>
      <c r="AL14" s="18">
        <f t="shared" si="7"/>
        <v>863.0733718</v>
      </c>
      <c r="AM14" s="18">
        <f t="shared" si="7"/>
        <v>863.0733718</v>
      </c>
      <c r="AN14" s="18">
        <f t="shared" si="7"/>
        <v>863.0733718</v>
      </c>
      <c r="AO14" s="18">
        <f t="shared" si="7"/>
        <v>863.0733718</v>
      </c>
      <c r="AP14" s="18">
        <f t="shared" si="7"/>
        <v>863.0733718</v>
      </c>
      <c r="AQ14" s="18">
        <f t="shared" si="7"/>
        <v>863.0733718</v>
      </c>
      <c r="AR14" s="18">
        <f t="shared" si="7"/>
        <v>863.0733718</v>
      </c>
      <c r="AS14" s="18">
        <f t="shared" si="7"/>
        <v>863.0733718</v>
      </c>
      <c r="AT14" s="19">
        <f t="shared" si="7"/>
        <v>863.0733718</v>
      </c>
    </row>
    <row r="15" ht="21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3"/>
      <c r="O15" s="16" t="s">
        <v>28</v>
      </c>
      <c r="P15" s="33" t="s">
        <v>31</v>
      </c>
      <c r="Q15" s="34" t="s">
        <v>32</v>
      </c>
      <c r="R15" s="17"/>
      <c r="S15" s="17"/>
      <c r="T15" s="18"/>
      <c r="U15" s="18">
        <f t="shared" ref="U15:AT15" si="8">$K36*U$13</f>
        <v>435.9677419</v>
      </c>
      <c r="V15" s="18">
        <f t="shared" si="8"/>
        <v>479.5645161</v>
      </c>
      <c r="W15" s="18">
        <f t="shared" si="8"/>
        <v>527.5209677</v>
      </c>
      <c r="X15" s="18">
        <f t="shared" si="8"/>
        <v>580.2730645</v>
      </c>
      <c r="Y15" s="18">
        <f t="shared" si="8"/>
        <v>638.300371</v>
      </c>
      <c r="Z15" s="18">
        <f t="shared" si="8"/>
        <v>702.1304081</v>
      </c>
      <c r="AA15" s="18">
        <f t="shared" si="8"/>
        <v>772.3434489</v>
      </c>
      <c r="AB15" s="18">
        <f t="shared" si="8"/>
        <v>849.5777938</v>
      </c>
      <c r="AC15" s="18">
        <f t="shared" si="8"/>
        <v>934.5355731</v>
      </c>
      <c r="AD15" s="18">
        <f t="shared" si="8"/>
        <v>1027.98913</v>
      </c>
      <c r="AE15" s="18">
        <f t="shared" si="8"/>
        <v>1130.788043</v>
      </c>
      <c r="AF15" s="18">
        <f t="shared" si="8"/>
        <v>1243.866848</v>
      </c>
      <c r="AG15" s="18">
        <f t="shared" si="8"/>
        <v>1368.253533</v>
      </c>
      <c r="AH15" s="18">
        <f t="shared" si="8"/>
        <v>1505.078886</v>
      </c>
      <c r="AI15" s="18">
        <f t="shared" si="8"/>
        <v>1655.586774</v>
      </c>
      <c r="AJ15" s="18">
        <f t="shared" si="8"/>
        <v>1821.145452</v>
      </c>
      <c r="AK15" s="18">
        <f t="shared" si="8"/>
        <v>1821.145452</v>
      </c>
      <c r="AL15" s="18">
        <f t="shared" si="8"/>
        <v>1821.145452</v>
      </c>
      <c r="AM15" s="18">
        <f t="shared" si="8"/>
        <v>1821.145452</v>
      </c>
      <c r="AN15" s="18">
        <f t="shared" si="8"/>
        <v>1821.145452</v>
      </c>
      <c r="AO15" s="18">
        <f t="shared" si="8"/>
        <v>1821.145452</v>
      </c>
      <c r="AP15" s="18">
        <f t="shared" si="8"/>
        <v>1821.145452</v>
      </c>
      <c r="AQ15" s="18">
        <f t="shared" si="8"/>
        <v>1821.145452</v>
      </c>
      <c r="AR15" s="18">
        <f t="shared" si="8"/>
        <v>1821.145452</v>
      </c>
      <c r="AS15" s="18">
        <f t="shared" si="8"/>
        <v>1821.145452</v>
      </c>
      <c r="AT15" s="19">
        <f t="shared" si="8"/>
        <v>1821.145452</v>
      </c>
    </row>
    <row r="16" ht="21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3"/>
      <c r="O16" s="16" t="s">
        <v>28</v>
      </c>
      <c r="P16" s="33" t="s">
        <v>33</v>
      </c>
      <c r="Q16" s="34" t="s">
        <v>34</v>
      </c>
      <c r="R16" s="17"/>
      <c r="S16" s="17"/>
      <c r="T16" s="18"/>
      <c r="U16" s="18">
        <f t="shared" ref="U16:AT16" si="9">$K37*U$13</f>
        <v>109.4193548</v>
      </c>
      <c r="V16" s="18">
        <f t="shared" si="9"/>
        <v>120.3612903</v>
      </c>
      <c r="W16" s="18">
        <f t="shared" si="9"/>
        <v>132.3974194</v>
      </c>
      <c r="X16" s="18">
        <f t="shared" si="9"/>
        <v>145.6371613</v>
      </c>
      <c r="Y16" s="18">
        <f t="shared" si="9"/>
        <v>160.2008774</v>
      </c>
      <c r="Z16" s="18">
        <f t="shared" si="9"/>
        <v>176.2209652</v>
      </c>
      <c r="AA16" s="18">
        <f t="shared" si="9"/>
        <v>193.8430617</v>
      </c>
      <c r="AB16" s="18">
        <f t="shared" si="9"/>
        <v>213.2273678</v>
      </c>
      <c r="AC16" s="18">
        <f t="shared" si="9"/>
        <v>234.5501046</v>
      </c>
      <c r="AD16" s="18">
        <f t="shared" si="9"/>
        <v>258.0051151</v>
      </c>
      <c r="AE16" s="18">
        <f t="shared" si="9"/>
        <v>283.8056266</v>
      </c>
      <c r="AF16" s="18">
        <f t="shared" si="9"/>
        <v>312.1861893</v>
      </c>
      <c r="AG16" s="18">
        <f t="shared" si="9"/>
        <v>343.4048082</v>
      </c>
      <c r="AH16" s="18">
        <f t="shared" si="9"/>
        <v>377.745289</v>
      </c>
      <c r="AI16" s="18">
        <f t="shared" si="9"/>
        <v>415.5198179</v>
      </c>
      <c r="AJ16" s="18">
        <f t="shared" si="9"/>
        <v>457.0717997</v>
      </c>
      <c r="AK16" s="18">
        <f t="shared" si="9"/>
        <v>457.0717997</v>
      </c>
      <c r="AL16" s="18">
        <f t="shared" si="9"/>
        <v>457.0717997</v>
      </c>
      <c r="AM16" s="18">
        <f t="shared" si="9"/>
        <v>457.0717997</v>
      </c>
      <c r="AN16" s="18">
        <f t="shared" si="9"/>
        <v>457.0717997</v>
      </c>
      <c r="AO16" s="18">
        <f t="shared" si="9"/>
        <v>457.0717997</v>
      </c>
      <c r="AP16" s="18">
        <f t="shared" si="9"/>
        <v>457.0717997</v>
      </c>
      <c r="AQ16" s="18">
        <f t="shared" si="9"/>
        <v>457.0717997</v>
      </c>
      <c r="AR16" s="18">
        <f t="shared" si="9"/>
        <v>457.0717997</v>
      </c>
      <c r="AS16" s="18">
        <f t="shared" si="9"/>
        <v>457.0717997</v>
      </c>
      <c r="AT16" s="19">
        <f t="shared" si="9"/>
        <v>457.0717997</v>
      </c>
    </row>
    <row r="17" ht="21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3"/>
      <c r="O17" s="16" t="s">
        <v>28</v>
      </c>
      <c r="P17" s="33" t="s">
        <v>35</v>
      </c>
      <c r="Q17" s="34" t="s">
        <v>36</v>
      </c>
      <c r="R17" s="17"/>
      <c r="S17" s="17"/>
      <c r="T17" s="18"/>
      <c r="U17" s="18">
        <f t="shared" ref="U17:AT17" si="10">$K38*U$13</f>
        <v>321.3548387</v>
      </c>
      <c r="V17" s="18">
        <f t="shared" si="10"/>
        <v>353.4903226</v>
      </c>
      <c r="W17" s="18">
        <f t="shared" si="10"/>
        <v>388.8393548</v>
      </c>
      <c r="X17" s="18">
        <f t="shared" si="10"/>
        <v>427.7232903</v>
      </c>
      <c r="Y17" s="18">
        <f t="shared" si="10"/>
        <v>470.4956194</v>
      </c>
      <c r="Z17" s="18">
        <f t="shared" si="10"/>
        <v>517.5451813</v>
      </c>
      <c r="AA17" s="18">
        <f t="shared" si="10"/>
        <v>569.2996994</v>
      </c>
      <c r="AB17" s="18">
        <f t="shared" si="10"/>
        <v>626.2296694</v>
      </c>
      <c r="AC17" s="18">
        <f t="shared" si="10"/>
        <v>688.8526363</v>
      </c>
      <c r="AD17" s="18">
        <f t="shared" si="10"/>
        <v>757.7378999</v>
      </c>
      <c r="AE17" s="18">
        <f t="shared" si="10"/>
        <v>833.5116899</v>
      </c>
      <c r="AF17" s="18">
        <f t="shared" si="10"/>
        <v>916.8628589</v>
      </c>
      <c r="AG17" s="18">
        <f t="shared" si="10"/>
        <v>1008.549145</v>
      </c>
      <c r="AH17" s="18">
        <f t="shared" si="10"/>
        <v>1109.404059</v>
      </c>
      <c r="AI17" s="18">
        <f t="shared" si="10"/>
        <v>1220.344465</v>
      </c>
      <c r="AJ17" s="18">
        <f t="shared" si="10"/>
        <v>1342.378912</v>
      </c>
      <c r="AK17" s="18">
        <f t="shared" si="10"/>
        <v>1342.378912</v>
      </c>
      <c r="AL17" s="18">
        <f t="shared" si="10"/>
        <v>1342.378912</v>
      </c>
      <c r="AM17" s="18">
        <f t="shared" si="10"/>
        <v>1342.378912</v>
      </c>
      <c r="AN17" s="18">
        <f t="shared" si="10"/>
        <v>1342.378912</v>
      </c>
      <c r="AO17" s="18">
        <f t="shared" si="10"/>
        <v>1342.378912</v>
      </c>
      <c r="AP17" s="18">
        <f t="shared" si="10"/>
        <v>1342.378912</v>
      </c>
      <c r="AQ17" s="18">
        <f t="shared" si="10"/>
        <v>1342.378912</v>
      </c>
      <c r="AR17" s="18">
        <f t="shared" si="10"/>
        <v>1342.378912</v>
      </c>
      <c r="AS17" s="18">
        <f t="shared" si="10"/>
        <v>1342.378912</v>
      </c>
      <c r="AT17" s="19">
        <f t="shared" si="10"/>
        <v>1342.378912</v>
      </c>
    </row>
    <row r="18" ht="21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/>
      <c r="N18" s="3"/>
      <c r="O18" s="16" t="s">
        <v>28</v>
      </c>
      <c r="P18" s="33" t="s">
        <v>37</v>
      </c>
      <c r="Q18" s="34" t="s">
        <v>38</v>
      </c>
      <c r="R18" s="17"/>
      <c r="S18" s="17"/>
      <c r="T18" s="18"/>
      <c r="U18" s="18">
        <f t="shared" ref="U18:AT18" si="11">$K39*U$13</f>
        <v>78.32258065</v>
      </c>
      <c r="V18" s="18">
        <f t="shared" si="11"/>
        <v>86.15483871</v>
      </c>
      <c r="W18" s="18">
        <f t="shared" si="11"/>
        <v>94.77032258</v>
      </c>
      <c r="X18" s="18">
        <f t="shared" si="11"/>
        <v>104.2473548</v>
      </c>
      <c r="Y18" s="18">
        <f t="shared" si="11"/>
        <v>114.6720903</v>
      </c>
      <c r="Z18" s="18">
        <f t="shared" si="11"/>
        <v>126.1392994</v>
      </c>
      <c r="AA18" s="18">
        <f t="shared" si="11"/>
        <v>138.7532293</v>
      </c>
      <c r="AB18" s="18">
        <f t="shared" si="11"/>
        <v>152.6285522</v>
      </c>
      <c r="AC18" s="18">
        <f t="shared" si="11"/>
        <v>167.8914074</v>
      </c>
      <c r="AD18" s="18">
        <f t="shared" si="11"/>
        <v>184.6805482</v>
      </c>
      <c r="AE18" s="18">
        <f t="shared" si="11"/>
        <v>203.148603</v>
      </c>
      <c r="AF18" s="18">
        <f t="shared" si="11"/>
        <v>223.4634633</v>
      </c>
      <c r="AG18" s="18">
        <f t="shared" si="11"/>
        <v>245.8098096</v>
      </c>
      <c r="AH18" s="18">
        <f t="shared" si="11"/>
        <v>270.3907906</v>
      </c>
      <c r="AI18" s="18">
        <f t="shared" si="11"/>
        <v>297.4298697</v>
      </c>
      <c r="AJ18" s="18">
        <f t="shared" si="11"/>
        <v>327.1728566</v>
      </c>
      <c r="AK18" s="18">
        <f t="shared" si="11"/>
        <v>327.1728566</v>
      </c>
      <c r="AL18" s="18">
        <f t="shared" si="11"/>
        <v>327.1728566</v>
      </c>
      <c r="AM18" s="18">
        <f t="shared" si="11"/>
        <v>327.1728566</v>
      </c>
      <c r="AN18" s="18">
        <f t="shared" si="11"/>
        <v>327.1728566</v>
      </c>
      <c r="AO18" s="18">
        <f t="shared" si="11"/>
        <v>327.1728566</v>
      </c>
      <c r="AP18" s="18">
        <f t="shared" si="11"/>
        <v>327.1728566</v>
      </c>
      <c r="AQ18" s="18">
        <f t="shared" si="11"/>
        <v>327.1728566</v>
      </c>
      <c r="AR18" s="18">
        <f t="shared" si="11"/>
        <v>327.1728566</v>
      </c>
      <c r="AS18" s="18">
        <f t="shared" si="11"/>
        <v>327.1728566</v>
      </c>
      <c r="AT18" s="19">
        <f t="shared" si="11"/>
        <v>327.1728566</v>
      </c>
    </row>
    <row r="19" ht="21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3"/>
      <c r="O19" s="3"/>
      <c r="P19" s="3"/>
      <c r="Q19" s="11" t="s">
        <v>39</v>
      </c>
      <c r="R19" s="11"/>
      <c r="S19" s="11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</row>
    <row r="20" ht="21.0" customHeight="1">
      <c r="A20" s="3"/>
      <c r="B20" s="3"/>
      <c r="C20" s="8" t="s">
        <v>40</v>
      </c>
      <c r="D20" s="9"/>
      <c r="E20" s="10"/>
      <c r="F20" s="3"/>
      <c r="G20" s="3"/>
      <c r="H20" s="3"/>
      <c r="I20" s="3"/>
      <c r="J20" s="3"/>
      <c r="K20" s="3"/>
      <c r="L20" s="3"/>
      <c r="M20" s="5"/>
      <c r="N20" s="3"/>
      <c r="O20" s="16" t="s">
        <v>41</v>
      </c>
      <c r="P20" s="33" t="s">
        <v>42</v>
      </c>
      <c r="Q20" s="16" t="s">
        <v>30</v>
      </c>
      <c r="R20" s="17"/>
      <c r="S20" s="17"/>
      <c r="T20" s="18"/>
      <c r="U20" s="18">
        <f t="shared" ref="U20:AT20" si="12">U14*$E$22</f>
        <v>206.6129032</v>
      </c>
      <c r="V20" s="18">
        <f t="shared" si="12"/>
        <v>227.2741935</v>
      </c>
      <c r="W20" s="18">
        <f t="shared" si="12"/>
        <v>250.0016129</v>
      </c>
      <c r="X20" s="18">
        <f t="shared" si="12"/>
        <v>275.0017742</v>
      </c>
      <c r="Y20" s="18">
        <f t="shared" si="12"/>
        <v>302.5019516</v>
      </c>
      <c r="Z20" s="18">
        <f t="shared" si="12"/>
        <v>332.7521468</v>
      </c>
      <c r="AA20" s="18">
        <f t="shared" si="12"/>
        <v>366.0273615</v>
      </c>
      <c r="AB20" s="18">
        <f t="shared" si="12"/>
        <v>402.6300976</v>
      </c>
      <c r="AC20" s="18">
        <f t="shared" si="12"/>
        <v>442.8931074</v>
      </c>
      <c r="AD20" s="18">
        <f t="shared" si="12"/>
        <v>487.1824181</v>
      </c>
      <c r="AE20" s="18">
        <f t="shared" si="12"/>
        <v>535.9006599</v>
      </c>
      <c r="AF20" s="18">
        <f t="shared" si="12"/>
        <v>589.4907259</v>
      </c>
      <c r="AG20" s="18">
        <f t="shared" si="12"/>
        <v>648.4397985</v>
      </c>
      <c r="AH20" s="18">
        <f t="shared" si="12"/>
        <v>713.2837783</v>
      </c>
      <c r="AI20" s="18">
        <f t="shared" si="12"/>
        <v>784.6121562</v>
      </c>
      <c r="AJ20" s="18">
        <f t="shared" si="12"/>
        <v>863.0733718</v>
      </c>
      <c r="AK20" s="18">
        <f t="shared" si="12"/>
        <v>863.0733718</v>
      </c>
      <c r="AL20" s="18">
        <f t="shared" si="12"/>
        <v>863.0733718</v>
      </c>
      <c r="AM20" s="18">
        <f t="shared" si="12"/>
        <v>863.0733718</v>
      </c>
      <c r="AN20" s="18">
        <f t="shared" si="12"/>
        <v>863.0733718</v>
      </c>
      <c r="AO20" s="18">
        <f t="shared" si="12"/>
        <v>863.0733718</v>
      </c>
      <c r="AP20" s="18">
        <f t="shared" si="12"/>
        <v>863.0733718</v>
      </c>
      <c r="AQ20" s="18">
        <f t="shared" si="12"/>
        <v>863.0733718</v>
      </c>
      <c r="AR20" s="18">
        <f t="shared" si="12"/>
        <v>863.0733718</v>
      </c>
      <c r="AS20" s="18">
        <f t="shared" si="12"/>
        <v>863.0733718</v>
      </c>
      <c r="AT20" s="19">
        <f t="shared" si="12"/>
        <v>863.0733718</v>
      </c>
    </row>
    <row r="21" ht="21.0" customHeight="1">
      <c r="A21" s="3"/>
      <c r="B21" s="3"/>
      <c r="C21" s="13"/>
      <c r="D21" s="14" t="s">
        <v>6</v>
      </c>
      <c r="E21" s="15" t="s">
        <v>7</v>
      </c>
      <c r="F21" s="3"/>
      <c r="G21" s="3"/>
      <c r="H21" s="3"/>
      <c r="I21" s="3"/>
      <c r="J21" s="3"/>
      <c r="K21" s="3"/>
      <c r="L21" s="3"/>
      <c r="M21" s="5"/>
      <c r="N21" s="3"/>
      <c r="O21" s="16" t="s">
        <v>41</v>
      </c>
      <c r="P21" s="33" t="s">
        <v>43</v>
      </c>
      <c r="Q21" s="16" t="s">
        <v>32</v>
      </c>
      <c r="R21" s="17"/>
      <c r="S21" s="17"/>
      <c r="T21" s="18"/>
      <c r="U21" s="18">
        <f t="shared" ref="U21:AT21" si="13">U15*$E$22</f>
        <v>435.9677419</v>
      </c>
      <c r="V21" s="18">
        <f t="shared" si="13"/>
        <v>479.5645161</v>
      </c>
      <c r="W21" s="18">
        <f t="shared" si="13"/>
        <v>527.5209677</v>
      </c>
      <c r="X21" s="18">
        <f t="shared" si="13"/>
        <v>580.2730645</v>
      </c>
      <c r="Y21" s="18">
        <f t="shared" si="13"/>
        <v>638.300371</v>
      </c>
      <c r="Z21" s="18">
        <f t="shared" si="13"/>
        <v>702.1304081</v>
      </c>
      <c r="AA21" s="18">
        <f t="shared" si="13"/>
        <v>772.3434489</v>
      </c>
      <c r="AB21" s="18">
        <f t="shared" si="13"/>
        <v>849.5777938</v>
      </c>
      <c r="AC21" s="18">
        <f t="shared" si="13"/>
        <v>934.5355731</v>
      </c>
      <c r="AD21" s="18">
        <f t="shared" si="13"/>
        <v>1027.98913</v>
      </c>
      <c r="AE21" s="18">
        <f t="shared" si="13"/>
        <v>1130.788043</v>
      </c>
      <c r="AF21" s="18">
        <f t="shared" si="13"/>
        <v>1243.866848</v>
      </c>
      <c r="AG21" s="18">
        <f t="shared" si="13"/>
        <v>1368.253533</v>
      </c>
      <c r="AH21" s="18">
        <f t="shared" si="13"/>
        <v>1505.078886</v>
      </c>
      <c r="AI21" s="18">
        <f t="shared" si="13"/>
        <v>1655.586774</v>
      </c>
      <c r="AJ21" s="18">
        <f t="shared" si="13"/>
        <v>1821.145452</v>
      </c>
      <c r="AK21" s="18">
        <f t="shared" si="13"/>
        <v>1821.145452</v>
      </c>
      <c r="AL21" s="18">
        <f t="shared" si="13"/>
        <v>1821.145452</v>
      </c>
      <c r="AM21" s="18">
        <f t="shared" si="13"/>
        <v>1821.145452</v>
      </c>
      <c r="AN21" s="18">
        <f t="shared" si="13"/>
        <v>1821.145452</v>
      </c>
      <c r="AO21" s="18">
        <f t="shared" si="13"/>
        <v>1821.145452</v>
      </c>
      <c r="AP21" s="18">
        <f t="shared" si="13"/>
        <v>1821.145452</v>
      </c>
      <c r="AQ21" s="18">
        <f t="shared" si="13"/>
        <v>1821.145452</v>
      </c>
      <c r="AR21" s="18">
        <f t="shared" si="13"/>
        <v>1821.145452</v>
      </c>
      <c r="AS21" s="18">
        <f t="shared" si="13"/>
        <v>1821.145452</v>
      </c>
      <c r="AT21" s="19">
        <f t="shared" si="13"/>
        <v>1821.145452</v>
      </c>
    </row>
    <row r="22" ht="21.0" customHeight="1">
      <c r="A22" s="3"/>
      <c r="B22" s="3"/>
      <c r="C22" s="13"/>
      <c r="D22" s="35" t="s">
        <v>44</v>
      </c>
      <c r="E22" s="21">
        <v>1.0</v>
      </c>
      <c r="F22" s="3"/>
      <c r="G22" s="3"/>
      <c r="H22" s="3"/>
      <c r="I22" s="3"/>
      <c r="J22" s="3"/>
      <c r="K22" s="3"/>
      <c r="L22" s="3"/>
      <c r="M22" s="5"/>
      <c r="N22" s="3"/>
      <c r="O22" s="16" t="s">
        <v>41</v>
      </c>
      <c r="P22" s="33" t="s">
        <v>45</v>
      </c>
      <c r="Q22" s="16" t="s">
        <v>34</v>
      </c>
      <c r="R22" s="17"/>
      <c r="S22" s="17"/>
      <c r="T22" s="18"/>
      <c r="U22" s="18">
        <f t="shared" ref="U22:AT22" si="14">U16*$E$22</f>
        <v>109.4193548</v>
      </c>
      <c r="V22" s="18">
        <f t="shared" si="14"/>
        <v>120.3612903</v>
      </c>
      <c r="W22" s="18">
        <f t="shared" si="14"/>
        <v>132.3974194</v>
      </c>
      <c r="X22" s="18">
        <f t="shared" si="14"/>
        <v>145.6371613</v>
      </c>
      <c r="Y22" s="18">
        <f t="shared" si="14"/>
        <v>160.2008774</v>
      </c>
      <c r="Z22" s="18">
        <f t="shared" si="14"/>
        <v>176.2209652</v>
      </c>
      <c r="AA22" s="18">
        <f t="shared" si="14"/>
        <v>193.8430617</v>
      </c>
      <c r="AB22" s="18">
        <f t="shared" si="14"/>
        <v>213.2273678</v>
      </c>
      <c r="AC22" s="18">
        <f t="shared" si="14"/>
        <v>234.5501046</v>
      </c>
      <c r="AD22" s="18">
        <f t="shared" si="14"/>
        <v>258.0051151</v>
      </c>
      <c r="AE22" s="18">
        <f t="shared" si="14"/>
        <v>283.8056266</v>
      </c>
      <c r="AF22" s="18">
        <f t="shared" si="14"/>
        <v>312.1861893</v>
      </c>
      <c r="AG22" s="18">
        <f t="shared" si="14"/>
        <v>343.4048082</v>
      </c>
      <c r="AH22" s="18">
        <f t="shared" si="14"/>
        <v>377.745289</v>
      </c>
      <c r="AI22" s="18">
        <f t="shared" si="14"/>
        <v>415.5198179</v>
      </c>
      <c r="AJ22" s="18">
        <f t="shared" si="14"/>
        <v>457.0717997</v>
      </c>
      <c r="AK22" s="18">
        <f t="shared" si="14"/>
        <v>457.0717997</v>
      </c>
      <c r="AL22" s="18">
        <f t="shared" si="14"/>
        <v>457.0717997</v>
      </c>
      <c r="AM22" s="18">
        <f t="shared" si="14"/>
        <v>457.0717997</v>
      </c>
      <c r="AN22" s="18">
        <f t="shared" si="14"/>
        <v>457.0717997</v>
      </c>
      <c r="AO22" s="18">
        <f t="shared" si="14"/>
        <v>457.0717997</v>
      </c>
      <c r="AP22" s="18">
        <f t="shared" si="14"/>
        <v>457.0717997</v>
      </c>
      <c r="AQ22" s="18">
        <f t="shared" si="14"/>
        <v>457.0717997</v>
      </c>
      <c r="AR22" s="18">
        <f t="shared" si="14"/>
        <v>457.0717997</v>
      </c>
      <c r="AS22" s="18">
        <f t="shared" si="14"/>
        <v>457.0717997</v>
      </c>
      <c r="AT22" s="19">
        <f t="shared" si="14"/>
        <v>457.0717997</v>
      </c>
    </row>
    <row r="23" ht="21.0" customHeight="1">
      <c r="A23" s="3"/>
      <c r="B23" s="3"/>
      <c r="C23" s="13"/>
      <c r="D23" s="16" t="s">
        <v>46</v>
      </c>
      <c r="E23" s="26">
        <v>2028.0</v>
      </c>
      <c r="F23" s="4"/>
      <c r="G23" s="4"/>
      <c r="H23" s="4"/>
      <c r="I23" s="4"/>
      <c r="J23" s="4"/>
      <c r="K23" s="4"/>
      <c r="L23" s="3"/>
      <c r="M23" s="5"/>
      <c r="N23" s="3"/>
      <c r="O23" s="16" t="s">
        <v>41</v>
      </c>
      <c r="P23" s="33" t="s">
        <v>47</v>
      </c>
      <c r="Q23" s="16" t="s">
        <v>36</v>
      </c>
      <c r="R23" s="17"/>
      <c r="S23" s="17"/>
      <c r="T23" s="18"/>
      <c r="U23" s="18">
        <f t="shared" ref="U23:AT23" si="15">U17*$E$22</f>
        <v>321.3548387</v>
      </c>
      <c r="V23" s="18">
        <f t="shared" si="15"/>
        <v>353.4903226</v>
      </c>
      <c r="W23" s="18">
        <f t="shared" si="15"/>
        <v>388.8393548</v>
      </c>
      <c r="X23" s="18">
        <f t="shared" si="15"/>
        <v>427.7232903</v>
      </c>
      <c r="Y23" s="18">
        <f t="shared" si="15"/>
        <v>470.4956194</v>
      </c>
      <c r="Z23" s="18">
        <f t="shared" si="15"/>
        <v>517.5451813</v>
      </c>
      <c r="AA23" s="18">
        <f t="shared" si="15"/>
        <v>569.2996994</v>
      </c>
      <c r="AB23" s="18">
        <f t="shared" si="15"/>
        <v>626.2296694</v>
      </c>
      <c r="AC23" s="18">
        <f t="shared" si="15"/>
        <v>688.8526363</v>
      </c>
      <c r="AD23" s="18">
        <f t="shared" si="15"/>
        <v>757.7378999</v>
      </c>
      <c r="AE23" s="18">
        <f t="shared" si="15"/>
        <v>833.5116899</v>
      </c>
      <c r="AF23" s="18">
        <f t="shared" si="15"/>
        <v>916.8628589</v>
      </c>
      <c r="AG23" s="18">
        <f t="shared" si="15"/>
        <v>1008.549145</v>
      </c>
      <c r="AH23" s="18">
        <f t="shared" si="15"/>
        <v>1109.404059</v>
      </c>
      <c r="AI23" s="18">
        <f t="shared" si="15"/>
        <v>1220.344465</v>
      </c>
      <c r="AJ23" s="18">
        <f t="shared" si="15"/>
        <v>1342.378912</v>
      </c>
      <c r="AK23" s="18">
        <f t="shared" si="15"/>
        <v>1342.378912</v>
      </c>
      <c r="AL23" s="18">
        <f t="shared" si="15"/>
        <v>1342.378912</v>
      </c>
      <c r="AM23" s="18">
        <f t="shared" si="15"/>
        <v>1342.378912</v>
      </c>
      <c r="AN23" s="18">
        <f t="shared" si="15"/>
        <v>1342.378912</v>
      </c>
      <c r="AO23" s="18">
        <f t="shared" si="15"/>
        <v>1342.378912</v>
      </c>
      <c r="AP23" s="18">
        <f t="shared" si="15"/>
        <v>1342.378912</v>
      </c>
      <c r="AQ23" s="18">
        <f t="shared" si="15"/>
        <v>1342.378912</v>
      </c>
      <c r="AR23" s="18">
        <f t="shared" si="15"/>
        <v>1342.378912</v>
      </c>
      <c r="AS23" s="18">
        <f t="shared" si="15"/>
        <v>1342.378912</v>
      </c>
      <c r="AT23" s="19">
        <f t="shared" si="15"/>
        <v>1342.378912</v>
      </c>
    </row>
    <row r="24" ht="21.0" customHeight="1">
      <c r="A24" s="3"/>
      <c r="B24" s="3"/>
      <c r="C24" s="13"/>
      <c r="D24" s="16" t="s">
        <v>48</v>
      </c>
      <c r="E24" s="26">
        <v>2040.0</v>
      </c>
      <c r="F24" s="4" t="s">
        <v>49</v>
      </c>
      <c r="G24" s="3"/>
      <c r="H24" s="3"/>
      <c r="I24" s="3"/>
      <c r="J24" s="3"/>
      <c r="K24" s="3"/>
      <c r="L24" s="3"/>
      <c r="M24" s="5"/>
      <c r="N24" s="3"/>
      <c r="O24" s="16" t="s">
        <v>41</v>
      </c>
      <c r="P24" s="33" t="s">
        <v>50</v>
      </c>
      <c r="Q24" s="16" t="s">
        <v>38</v>
      </c>
      <c r="R24" s="17"/>
      <c r="S24" s="17"/>
      <c r="T24" s="18"/>
      <c r="U24" s="18">
        <f t="shared" ref="U24:AT24" si="16">U18*$E$22</f>
        <v>78.32258065</v>
      </c>
      <c r="V24" s="18">
        <f t="shared" si="16"/>
        <v>86.15483871</v>
      </c>
      <c r="W24" s="18">
        <f t="shared" si="16"/>
        <v>94.77032258</v>
      </c>
      <c r="X24" s="18">
        <f t="shared" si="16"/>
        <v>104.2473548</v>
      </c>
      <c r="Y24" s="18">
        <f t="shared" si="16"/>
        <v>114.6720903</v>
      </c>
      <c r="Z24" s="18">
        <f t="shared" si="16"/>
        <v>126.1392994</v>
      </c>
      <c r="AA24" s="18">
        <f t="shared" si="16"/>
        <v>138.7532293</v>
      </c>
      <c r="AB24" s="18">
        <f t="shared" si="16"/>
        <v>152.6285522</v>
      </c>
      <c r="AC24" s="18">
        <f t="shared" si="16"/>
        <v>167.8914074</v>
      </c>
      <c r="AD24" s="18">
        <f t="shared" si="16"/>
        <v>184.6805482</v>
      </c>
      <c r="AE24" s="18">
        <f t="shared" si="16"/>
        <v>203.148603</v>
      </c>
      <c r="AF24" s="18">
        <f t="shared" si="16"/>
        <v>223.4634633</v>
      </c>
      <c r="AG24" s="18">
        <f t="shared" si="16"/>
        <v>245.8098096</v>
      </c>
      <c r="AH24" s="18">
        <f t="shared" si="16"/>
        <v>270.3907906</v>
      </c>
      <c r="AI24" s="18">
        <f t="shared" si="16"/>
        <v>297.4298697</v>
      </c>
      <c r="AJ24" s="18">
        <f t="shared" si="16"/>
        <v>327.1728566</v>
      </c>
      <c r="AK24" s="18">
        <f t="shared" si="16"/>
        <v>327.1728566</v>
      </c>
      <c r="AL24" s="18">
        <f t="shared" si="16"/>
        <v>327.1728566</v>
      </c>
      <c r="AM24" s="18">
        <f t="shared" si="16"/>
        <v>327.1728566</v>
      </c>
      <c r="AN24" s="18">
        <f t="shared" si="16"/>
        <v>327.1728566</v>
      </c>
      <c r="AO24" s="18">
        <f t="shared" si="16"/>
        <v>327.1728566</v>
      </c>
      <c r="AP24" s="18">
        <f t="shared" si="16"/>
        <v>327.1728566</v>
      </c>
      <c r="AQ24" s="18">
        <f t="shared" si="16"/>
        <v>327.1728566</v>
      </c>
      <c r="AR24" s="18">
        <f t="shared" si="16"/>
        <v>327.1728566</v>
      </c>
      <c r="AS24" s="18">
        <f t="shared" si="16"/>
        <v>327.1728566</v>
      </c>
      <c r="AT24" s="19">
        <f t="shared" si="16"/>
        <v>327.1728566</v>
      </c>
    </row>
    <row r="25" ht="21.0" customHeight="1">
      <c r="A25" s="3"/>
      <c r="B25" s="3"/>
      <c r="C25" s="13"/>
      <c r="D25" s="36" t="s">
        <v>51</v>
      </c>
      <c r="E25" s="26">
        <v>50.0</v>
      </c>
      <c r="F25" s="3"/>
      <c r="G25" s="3"/>
      <c r="H25" s="3"/>
      <c r="I25" s="3"/>
      <c r="J25" s="3"/>
      <c r="K25" s="3"/>
      <c r="L25" s="3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ht="21.0" customHeight="1">
      <c r="A26" s="3"/>
      <c r="B26" s="3"/>
      <c r="C26" s="13"/>
      <c r="D26" s="16" t="s">
        <v>52</v>
      </c>
      <c r="E26" s="26">
        <v>5000.0</v>
      </c>
      <c r="F26" s="3"/>
      <c r="G26" s="3"/>
      <c r="H26" s="3"/>
      <c r="I26" s="3"/>
      <c r="J26" s="3"/>
      <c r="K26" s="3"/>
      <c r="L26" s="3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ht="21.0" customHeight="1">
      <c r="A27" s="3"/>
      <c r="B27" s="3"/>
      <c r="C27" s="27"/>
      <c r="D27" s="37" t="s">
        <v>53</v>
      </c>
      <c r="E27" s="38">
        <v>40.0</v>
      </c>
      <c r="F27" s="3"/>
      <c r="G27" s="3"/>
      <c r="H27" s="3"/>
      <c r="I27" s="3"/>
      <c r="J27" s="3"/>
      <c r="K27" s="3"/>
      <c r="L27" s="3"/>
      <c r="M27" s="5"/>
      <c r="N27" s="3"/>
      <c r="O27" s="39"/>
      <c r="P27" s="39"/>
      <c r="Q27" s="40" t="s">
        <v>54</v>
      </c>
      <c r="R27" s="11"/>
      <c r="S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</row>
    <row r="28" ht="21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5"/>
      <c r="N28" s="3"/>
      <c r="O28" s="41" t="s">
        <v>55</v>
      </c>
      <c r="P28" s="42" t="s">
        <v>56</v>
      </c>
      <c r="Q28" s="43" t="s">
        <v>57</v>
      </c>
      <c r="R28" s="17"/>
      <c r="S28" s="17"/>
      <c r="T28" s="18"/>
      <c r="U28" s="18">
        <f t="shared" ref="U28:AT28" si="17">SUM(U20:U24)*1000/$F$49/$F$50</f>
        <v>1683738.917</v>
      </c>
      <c r="V28" s="18">
        <f t="shared" si="17"/>
        <v>1852112.809</v>
      </c>
      <c r="W28" s="18">
        <f t="shared" si="17"/>
        <v>2037324.09</v>
      </c>
      <c r="X28" s="18">
        <f t="shared" si="17"/>
        <v>2241056.499</v>
      </c>
      <c r="Y28" s="18">
        <f t="shared" si="17"/>
        <v>2465162.149</v>
      </c>
      <c r="Z28" s="18">
        <f t="shared" si="17"/>
        <v>2711678.364</v>
      </c>
      <c r="AA28" s="18">
        <f t="shared" si="17"/>
        <v>2982846.2</v>
      </c>
      <c r="AB28" s="18">
        <f t="shared" si="17"/>
        <v>3281130.82</v>
      </c>
      <c r="AC28" s="18">
        <f t="shared" si="17"/>
        <v>3609243.902</v>
      </c>
      <c r="AD28" s="18">
        <f t="shared" si="17"/>
        <v>3970168.292</v>
      </c>
      <c r="AE28" s="18">
        <f t="shared" si="17"/>
        <v>4367185.121</v>
      </c>
      <c r="AF28" s="18">
        <f t="shared" si="17"/>
        <v>4803903.633</v>
      </c>
      <c r="AG28" s="18">
        <f t="shared" si="17"/>
        <v>5284293.997</v>
      </c>
      <c r="AH28" s="18">
        <f t="shared" si="17"/>
        <v>5812723.396</v>
      </c>
      <c r="AI28" s="18">
        <f t="shared" si="17"/>
        <v>6393995.736</v>
      </c>
      <c r="AJ28" s="18">
        <f t="shared" si="17"/>
        <v>7033395.31</v>
      </c>
      <c r="AK28" s="18">
        <f t="shared" si="17"/>
        <v>7033395.31</v>
      </c>
      <c r="AL28" s="18">
        <f t="shared" si="17"/>
        <v>7033395.31</v>
      </c>
      <c r="AM28" s="18">
        <f t="shared" si="17"/>
        <v>7033395.31</v>
      </c>
      <c r="AN28" s="18">
        <f t="shared" si="17"/>
        <v>7033395.31</v>
      </c>
      <c r="AO28" s="18">
        <f t="shared" si="17"/>
        <v>7033395.31</v>
      </c>
      <c r="AP28" s="18">
        <f t="shared" si="17"/>
        <v>7033395.31</v>
      </c>
      <c r="AQ28" s="18">
        <f t="shared" si="17"/>
        <v>7033395.31</v>
      </c>
      <c r="AR28" s="18">
        <f t="shared" si="17"/>
        <v>7033395.31</v>
      </c>
      <c r="AS28" s="18">
        <f t="shared" si="17"/>
        <v>7033395.31</v>
      </c>
      <c r="AT28" s="19">
        <f t="shared" si="17"/>
        <v>7033395.31</v>
      </c>
    </row>
    <row r="29" ht="21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5"/>
      <c r="N29" s="3"/>
      <c r="O29" s="41" t="s">
        <v>55</v>
      </c>
      <c r="P29" s="41" t="s">
        <v>58</v>
      </c>
      <c r="Q29" s="44" t="s">
        <v>59</v>
      </c>
      <c r="R29" s="17"/>
      <c r="S29" s="17"/>
      <c r="T29" s="18"/>
      <c r="U29" s="18">
        <f t="shared" ref="U29:AT29" si="18">$E$11</f>
        <v>0.05</v>
      </c>
      <c r="V29" s="18">
        <f t="shared" si="18"/>
        <v>0.05</v>
      </c>
      <c r="W29" s="18">
        <f t="shared" si="18"/>
        <v>0.05</v>
      </c>
      <c r="X29" s="18">
        <f t="shared" si="18"/>
        <v>0.05</v>
      </c>
      <c r="Y29" s="18">
        <f t="shared" si="18"/>
        <v>0.05</v>
      </c>
      <c r="Z29" s="18">
        <f t="shared" si="18"/>
        <v>0.05</v>
      </c>
      <c r="AA29" s="18">
        <f t="shared" si="18"/>
        <v>0.05</v>
      </c>
      <c r="AB29" s="18">
        <f t="shared" si="18"/>
        <v>0.05</v>
      </c>
      <c r="AC29" s="18">
        <f t="shared" si="18"/>
        <v>0.05</v>
      </c>
      <c r="AD29" s="18">
        <f t="shared" si="18"/>
        <v>0.05</v>
      </c>
      <c r="AE29" s="18">
        <f t="shared" si="18"/>
        <v>0.05</v>
      </c>
      <c r="AF29" s="18">
        <f t="shared" si="18"/>
        <v>0.05</v>
      </c>
      <c r="AG29" s="18">
        <f t="shared" si="18"/>
        <v>0.05</v>
      </c>
      <c r="AH29" s="18">
        <f t="shared" si="18"/>
        <v>0.05</v>
      </c>
      <c r="AI29" s="18">
        <f t="shared" si="18"/>
        <v>0.05</v>
      </c>
      <c r="AJ29" s="18">
        <f t="shared" si="18"/>
        <v>0.05</v>
      </c>
      <c r="AK29" s="18">
        <f t="shared" si="18"/>
        <v>0.05</v>
      </c>
      <c r="AL29" s="18">
        <f t="shared" si="18"/>
        <v>0.05</v>
      </c>
      <c r="AM29" s="18">
        <f t="shared" si="18"/>
        <v>0.05</v>
      </c>
      <c r="AN29" s="18">
        <f t="shared" si="18"/>
        <v>0.05</v>
      </c>
      <c r="AO29" s="18">
        <f t="shared" si="18"/>
        <v>0.05</v>
      </c>
      <c r="AP29" s="18">
        <f t="shared" si="18"/>
        <v>0.05</v>
      </c>
      <c r="AQ29" s="18">
        <f t="shared" si="18"/>
        <v>0.05</v>
      </c>
      <c r="AR29" s="18">
        <f t="shared" si="18"/>
        <v>0.05</v>
      </c>
      <c r="AS29" s="18">
        <f t="shared" si="18"/>
        <v>0.05</v>
      </c>
      <c r="AT29" s="19">
        <f t="shared" si="18"/>
        <v>0.05</v>
      </c>
    </row>
    <row r="30" ht="21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5"/>
      <c r="N30" s="3"/>
      <c r="O30" s="41" t="s">
        <v>55</v>
      </c>
      <c r="P30" s="41" t="s">
        <v>60</v>
      </c>
      <c r="Q30" s="45" t="s">
        <v>61</v>
      </c>
      <c r="R30" s="31"/>
      <c r="S30" s="31"/>
      <c r="T30" s="46"/>
      <c r="U30" s="46">
        <f t="shared" ref="U30:AT30" si="19">SUM(U28)*U29</f>
        <v>84186.94586</v>
      </c>
      <c r="V30" s="46">
        <f t="shared" si="19"/>
        <v>92605.64045</v>
      </c>
      <c r="W30" s="46">
        <f t="shared" si="19"/>
        <v>101866.2045</v>
      </c>
      <c r="X30" s="46">
        <f t="shared" si="19"/>
        <v>112052.8249</v>
      </c>
      <c r="Y30" s="46">
        <f t="shared" si="19"/>
        <v>123258.1074</v>
      </c>
      <c r="Z30" s="46">
        <f t="shared" si="19"/>
        <v>135583.9182</v>
      </c>
      <c r="AA30" s="46">
        <f t="shared" si="19"/>
        <v>149142.31</v>
      </c>
      <c r="AB30" s="46">
        <f t="shared" si="19"/>
        <v>164056.541</v>
      </c>
      <c r="AC30" s="46">
        <f t="shared" si="19"/>
        <v>180462.1951</v>
      </c>
      <c r="AD30" s="46">
        <f t="shared" si="19"/>
        <v>198508.4146</v>
      </c>
      <c r="AE30" s="46">
        <f t="shared" si="19"/>
        <v>218359.2561</v>
      </c>
      <c r="AF30" s="46">
        <f t="shared" si="19"/>
        <v>240195.1817</v>
      </c>
      <c r="AG30" s="46">
        <f t="shared" si="19"/>
        <v>264214.6998</v>
      </c>
      <c r="AH30" s="46">
        <f t="shared" si="19"/>
        <v>290636.1698</v>
      </c>
      <c r="AI30" s="46">
        <f t="shared" si="19"/>
        <v>319699.7868</v>
      </c>
      <c r="AJ30" s="46">
        <f t="shared" si="19"/>
        <v>351669.7655</v>
      </c>
      <c r="AK30" s="46">
        <f t="shared" si="19"/>
        <v>351669.7655</v>
      </c>
      <c r="AL30" s="46">
        <f t="shared" si="19"/>
        <v>351669.7655</v>
      </c>
      <c r="AM30" s="46">
        <f t="shared" si="19"/>
        <v>351669.7655</v>
      </c>
      <c r="AN30" s="46">
        <f t="shared" si="19"/>
        <v>351669.7655</v>
      </c>
      <c r="AO30" s="46">
        <f t="shared" si="19"/>
        <v>351669.7655</v>
      </c>
      <c r="AP30" s="46">
        <f t="shared" si="19"/>
        <v>351669.7655</v>
      </c>
      <c r="AQ30" s="46">
        <f t="shared" si="19"/>
        <v>351669.7655</v>
      </c>
      <c r="AR30" s="46">
        <f t="shared" si="19"/>
        <v>351669.7655</v>
      </c>
      <c r="AS30" s="46">
        <f t="shared" si="19"/>
        <v>351669.7655</v>
      </c>
      <c r="AT30" s="47">
        <f t="shared" si="19"/>
        <v>351669.7655</v>
      </c>
    </row>
    <row r="31" ht="35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5"/>
      <c r="N31" s="3"/>
      <c r="O31" s="41" t="s">
        <v>55</v>
      </c>
      <c r="P31" s="42" t="s">
        <v>62</v>
      </c>
      <c r="Q31" s="45" t="s">
        <v>63</v>
      </c>
      <c r="R31" s="17"/>
      <c r="S31" s="17"/>
      <c r="T31" s="18"/>
      <c r="U31" s="18">
        <f t="shared" ref="U31:AT31" si="20">$E$25*SUM(U20:U24)</f>
        <v>57583.87097</v>
      </c>
      <c r="V31" s="18">
        <f t="shared" si="20"/>
        <v>63342.25806</v>
      </c>
      <c r="W31" s="18">
        <f t="shared" si="20"/>
        <v>69676.48387</v>
      </c>
      <c r="X31" s="18">
        <f t="shared" si="20"/>
        <v>76644.13226</v>
      </c>
      <c r="Y31" s="18">
        <f t="shared" si="20"/>
        <v>84308.54548</v>
      </c>
      <c r="Z31" s="18">
        <f t="shared" si="20"/>
        <v>92739.40003</v>
      </c>
      <c r="AA31" s="18">
        <f t="shared" si="20"/>
        <v>102013.34</v>
      </c>
      <c r="AB31" s="18">
        <f t="shared" si="20"/>
        <v>112214.674</v>
      </c>
      <c r="AC31" s="18">
        <f t="shared" si="20"/>
        <v>123436.1414</v>
      </c>
      <c r="AD31" s="18">
        <f t="shared" si="20"/>
        <v>135779.7556</v>
      </c>
      <c r="AE31" s="18">
        <f t="shared" si="20"/>
        <v>149357.7311</v>
      </c>
      <c r="AF31" s="18">
        <f t="shared" si="20"/>
        <v>164293.5043</v>
      </c>
      <c r="AG31" s="18">
        <f t="shared" si="20"/>
        <v>180722.8547</v>
      </c>
      <c r="AH31" s="18">
        <f t="shared" si="20"/>
        <v>198795.1402</v>
      </c>
      <c r="AI31" s="18">
        <f t="shared" si="20"/>
        <v>218674.6542</v>
      </c>
      <c r="AJ31" s="18">
        <f t="shared" si="20"/>
        <v>240542.1196</v>
      </c>
      <c r="AK31" s="18">
        <f t="shared" si="20"/>
        <v>240542.1196</v>
      </c>
      <c r="AL31" s="18">
        <f t="shared" si="20"/>
        <v>240542.1196</v>
      </c>
      <c r="AM31" s="18">
        <f t="shared" si="20"/>
        <v>240542.1196</v>
      </c>
      <c r="AN31" s="18">
        <f t="shared" si="20"/>
        <v>240542.1196</v>
      </c>
      <c r="AO31" s="18">
        <f t="shared" si="20"/>
        <v>240542.1196</v>
      </c>
      <c r="AP31" s="18">
        <f t="shared" si="20"/>
        <v>240542.1196</v>
      </c>
      <c r="AQ31" s="18">
        <f t="shared" si="20"/>
        <v>240542.1196</v>
      </c>
      <c r="AR31" s="18">
        <f t="shared" si="20"/>
        <v>240542.1196</v>
      </c>
      <c r="AS31" s="18">
        <f t="shared" si="20"/>
        <v>240542.1196</v>
      </c>
      <c r="AT31" s="19">
        <f t="shared" si="20"/>
        <v>240542.1196</v>
      </c>
    </row>
    <row r="32" ht="78.0" customHeight="1">
      <c r="A32" s="3"/>
      <c r="B32" s="3"/>
      <c r="C32" s="48" t="s">
        <v>64</v>
      </c>
      <c r="D32" s="49"/>
      <c r="E32" s="3"/>
      <c r="F32" s="3"/>
      <c r="G32" s="3"/>
      <c r="H32" s="3"/>
      <c r="I32" s="3"/>
      <c r="J32" s="3"/>
      <c r="K32" s="3"/>
      <c r="L32" s="3"/>
      <c r="M32" s="5"/>
      <c r="N32" s="3"/>
      <c r="O32" s="41" t="s">
        <v>55</v>
      </c>
      <c r="P32" s="41" t="s">
        <v>65</v>
      </c>
      <c r="Q32" s="50" t="s">
        <v>66</v>
      </c>
      <c r="R32" s="31"/>
      <c r="S32" s="31"/>
      <c r="T32" s="46"/>
      <c r="U32" s="46">
        <f t="shared" ref="U32:AT32" si="21">(U31+U30)*U$8</f>
        <v>0</v>
      </c>
      <c r="V32" s="46">
        <f t="shared" si="21"/>
        <v>0</v>
      </c>
      <c r="W32" s="46">
        <f t="shared" si="21"/>
        <v>0</v>
      </c>
      <c r="X32" s="46">
        <f t="shared" si="21"/>
        <v>188696.9572</v>
      </c>
      <c r="Y32" s="46">
        <f t="shared" si="21"/>
        <v>207566.6529</v>
      </c>
      <c r="Z32" s="46">
        <f t="shared" si="21"/>
        <v>228323.3182</v>
      </c>
      <c r="AA32" s="46">
        <f t="shared" si="21"/>
        <v>251155.65</v>
      </c>
      <c r="AB32" s="46">
        <f t="shared" si="21"/>
        <v>276271.215</v>
      </c>
      <c r="AC32" s="46">
        <f t="shared" si="21"/>
        <v>303898.3365</v>
      </c>
      <c r="AD32" s="46">
        <f t="shared" si="21"/>
        <v>334288.1702</v>
      </c>
      <c r="AE32" s="46">
        <f t="shared" si="21"/>
        <v>367716.9872</v>
      </c>
      <c r="AF32" s="46">
        <f t="shared" si="21"/>
        <v>404488.6859</v>
      </c>
      <c r="AG32" s="46">
        <f t="shared" si="21"/>
        <v>444937.5545</v>
      </c>
      <c r="AH32" s="46">
        <f t="shared" si="21"/>
        <v>489431.31</v>
      </c>
      <c r="AI32" s="46">
        <f t="shared" si="21"/>
        <v>538374.441</v>
      </c>
      <c r="AJ32" s="46">
        <f t="shared" si="21"/>
        <v>592211.8851</v>
      </c>
      <c r="AK32" s="46">
        <f t="shared" si="21"/>
        <v>0</v>
      </c>
      <c r="AL32" s="46">
        <f t="shared" si="21"/>
        <v>0</v>
      </c>
      <c r="AM32" s="46">
        <f t="shared" si="21"/>
        <v>0</v>
      </c>
      <c r="AN32" s="46">
        <f t="shared" si="21"/>
        <v>0</v>
      </c>
      <c r="AO32" s="46">
        <f t="shared" si="21"/>
        <v>0</v>
      </c>
      <c r="AP32" s="46">
        <f t="shared" si="21"/>
        <v>0</v>
      </c>
      <c r="AQ32" s="46">
        <f t="shared" si="21"/>
        <v>0</v>
      </c>
      <c r="AR32" s="46">
        <f t="shared" si="21"/>
        <v>0</v>
      </c>
      <c r="AS32" s="46">
        <f t="shared" si="21"/>
        <v>0</v>
      </c>
      <c r="AT32" s="47">
        <f t="shared" si="21"/>
        <v>0</v>
      </c>
    </row>
    <row r="33" ht="21.0" customHeight="1">
      <c r="A33" s="3"/>
      <c r="B33" s="3"/>
      <c r="C33" s="51"/>
      <c r="D33" s="3"/>
      <c r="E33" s="3"/>
      <c r="F33" s="3"/>
      <c r="G33" s="3"/>
      <c r="H33" s="3"/>
      <c r="I33" s="3"/>
      <c r="J33" s="3"/>
      <c r="K33" s="3"/>
      <c r="L33" s="3"/>
      <c r="M33" s="5"/>
      <c r="N33" s="3"/>
      <c r="O33" s="41" t="s">
        <v>67</v>
      </c>
      <c r="P33" s="42" t="s">
        <v>68</v>
      </c>
      <c r="Q33" s="44" t="s">
        <v>69</v>
      </c>
      <c r="R33" s="17"/>
      <c r="S33" s="17"/>
      <c r="T33" s="18"/>
      <c r="U33" s="18">
        <f>(SUM(U14:U18)*$E$26*U7)/COUNTIF($T$7:$AT$7,"1")</f>
        <v>1919462.366</v>
      </c>
      <c r="V33" s="18">
        <f>(SUM(U14:U18)*$E$26*V7)/COUNTIF($T$7:$AT$7,"1")</f>
        <v>1919462.366</v>
      </c>
      <c r="W33" s="18">
        <f>(SUM(U14:U18)*$E$26*W7)/COUNTIF($T$7:$AT$7,"1")</f>
        <v>1919462.366</v>
      </c>
      <c r="X33" s="18">
        <f t="shared" ref="X33:AT33" si="22">(SUM(X14:X18)*$E$26*X7)/COUNTIF($T$7:$AT$7,"1")</f>
        <v>0</v>
      </c>
      <c r="Y33" s="18">
        <f t="shared" si="22"/>
        <v>0</v>
      </c>
      <c r="Z33" s="18">
        <f t="shared" si="22"/>
        <v>0</v>
      </c>
      <c r="AA33" s="18">
        <f t="shared" si="22"/>
        <v>0</v>
      </c>
      <c r="AB33" s="18">
        <f t="shared" si="22"/>
        <v>0</v>
      </c>
      <c r="AC33" s="18">
        <f t="shared" si="22"/>
        <v>0</v>
      </c>
      <c r="AD33" s="18">
        <f t="shared" si="22"/>
        <v>0</v>
      </c>
      <c r="AE33" s="18">
        <f t="shared" si="22"/>
        <v>0</v>
      </c>
      <c r="AF33" s="18">
        <f t="shared" si="22"/>
        <v>0</v>
      </c>
      <c r="AG33" s="18">
        <f t="shared" si="22"/>
        <v>0</v>
      </c>
      <c r="AH33" s="18">
        <f t="shared" si="22"/>
        <v>0</v>
      </c>
      <c r="AI33" s="18">
        <f t="shared" si="22"/>
        <v>0</v>
      </c>
      <c r="AJ33" s="18">
        <f t="shared" si="22"/>
        <v>0</v>
      </c>
      <c r="AK33" s="18">
        <f t="shared" si="22"/>
        <v>0</v>
      </c>
      <c r="AL33" s="18">
        <f t="shared" si="22"/>
        <v>0</v>
      </c>
      <c r="AM33" s="18">
        <f t="shared" si="22"/>
        <v>0</v>
      </c>
      <c r="AN33" s="18">
        <f t="shared" si="22"/>
        <v>0</v>
      </c>
      <c r="AO33" s="18">
        <f t="shared" si="22"/>
        <v>0</v>
      </c>
      <c r="AP33" s="18">
        <f t="shared" si="22"/>
        <v>0</v>
      </c>
      <c r="AQ33" s="18">
        <f t="shared" si="22"/>
        <v>0</v>
      </c>
      <c r="AR33" s="18">
        <f t="shared" si="22"/>
        <v>0</v>
      </c>
      <c r="AS33" s="18">
        <f t="shared" si="22"/>
        <v>0</v>
      </c>
      <c r="AT33" s="18">
        <f t="shared" si="22"/>
        <v>0</v>
      </c>
    </row>
    <row r="34" ht="21.0" customHeight="1">
      <c r="A34" s="3"/>
      <c r="B34" s="3"/>
      <c r="C34" s="51"/>
      <c r="D34" s="14" t="s">
        <v>70</v>
      </c>
      <c r="E34" s="22" t="s">
        <v>71</v>
      </c>
      <c r="F34" s="22" t="s">
        <v>72</v>
      </c>
      <c r="G34" s="22" t="s">
        <v>73</v>
      </c>
      <c r="H34" s="22" t="s">
        <v>74</v>
      </c>
      <c r="I34" s="22" t="s">
        <v>75</v>
      </c>
      <c r="J34" s="22" t="s">
        <v>76</v>
      </c>
      <c r="K34" s="22" t="s">
        <v>77</v>
      </c>
      <c r="L34" s="3"/>
      <c r="M34" s="5"/>
      <c r="N34" s="3"/>
      <c r="O34" s="41" t="s">
        <v>67</v>
      </c>
      <c r="P34" s="42" t="s">
        <v>78</v>
      </c>
      <c r="Q34" s="52" t="s">
        <v>79</v>
      </c>
      <c r="R34" s="17"/>
      <c r="S34" s="18"/>
      <c r="T34" s="18"/>
      <c r="U34" s="18">
        <f>(SUM($U$33:$AT$33)*U8)/COUNT($T$8:$AT$8)</f>
        <v>0</v>
      </c>
      <c r="V34" s="18">
        <f t="shared" ref="V34:AT34" si="23">(SUM($U$33:$AT$33)*V8)/COUNTIF($T$8:$AT$8,"="&amp;1)</f>
        <v>0</v>
      </c>
      <c r="W34" s="18">
        <f t="shared" si="23"/>
        <v>0</v>
      </c>
      <c r="X34" s="18">
        <f t="shared" si="23"/>
        <v>442952.8536</v>
      </c>
      <c r="Y34" s="18">
        <f t="shared" si="23"/>
        <v>442952.8536</v>
      </c>
      <c r="Z34" s="18">
        <f t="shared" si="23"/>
        <v>442952.8536</v>
      </c>
      <c r="AA34" s="18">
        <f t="shared" si="23"/>
        <v>442952.8536</v>
      </c>
      <c r="AB34" s="18">
        <f t="shared" si="23"/>
        <v>442952.8536</v>
      </c>
      <c r="AC34" s="18">
        <f t="shared" si="23"/>
        <v>442952.8536</v>
      </c>
      <c r="AD34" s="18">
        <f t="shared" si="23"/>
        <v>442952.8536</v>
      </c>
      <c r="AE34" s="18">
        <f t="shared" si="23"/>
        <v>442952.8536</v>
      </c>
      <c r="AF34" s="18">
        <f t="shared" si="23"/>
        <v>442952.8536</v>
      </c>
      <c r="AG34" s="18">
        <f t="shared" si="23"/>
        <v>442952.8536</v>
      </c>
      <c r="AH34" s="18">
        <f t="shared" si="23"/>
        <v>442952.8536</v>
      </c>
      <c r="AI34" s="18">
        <f t="shared" si="23"/>
        <v>442952.8536</v>
      </c>
      <c r="AJ34" s="18">
        <f t="shared" si="23"/>
        <v>442952.8536</v>
      </c>
      <c r="AK34" s="18">
        <f t="shared" si="23"/>
        <v>0</v>
      </c>
      <c r="AL34" s="18">
        <f t="shared" si="23"/>
        <v>0</v>
      </c>
      <c r="AM34" s="18">
        <f t="shared" si="23"/>
        <v>0</v>
      </c>
      <c r="AN34" s="18">
        <f t="shared" si="23"/>
        <v>0</v>
      </c>
      <c r="AO34" s="18">
        <f t="shared" si="23"/>
        <v>0</v>
      </c>
      <c r="AP34" s="18">
        <f t="shared" si="23"/>
        <v>0</v>
      </c>
      <c r="AQ34" s="18">
        <f t="shared" si="23"/>
        <v>0</v>
      </c>
      <c r="AR34" s="18">
        <f t="shared" si="23"/>
        <v>0</v>
      </c>
      <c r="AS34" s="18">
        <f t="shared" si="23"/>
        <v>0</v>
      </c>
      <c r="AT34" s="19">
        <f t="shared" si="23"/>
        <v>0</v>
      </c>
    </row>
    <row r="35" ht="21.0" customHeight="1">
      <c r="A35" s="3"/>
      <c r="B35" s="3"/>
      <c r="C35" s="51"/>
      <c r="D35" s="16" t="s">
        <v>30</v>
      </c>
      <c r="E35" s="22" t="s">
        <v>80</v>
      </c>
      <c r="F35" s="22">
        <v>8.0</v>
      </c>
      <c r="G35" s="22">
        <v>1.0</v>
      </c>
      <c r="H35" s="22">
        <v>100.0</v>
      </c>
      <c r="I35" s="22">
        <v>8.0</v>
      </c>
      <c r="J35" s="22">
        <v>30.0</v>
      </c>
      <c r="K35" s="22">
        <f t="shared" ref="K35:K39" si="25">((F35-G35)/31*365)+I35/31*365+J35</f>
        <v>206.6129032</v>
      </c>
      <c r="L35" s="3"/>
      <c r="M35" s="5"/>
      <c r="N35" s="3"/>
      <c r="O35" s="41" t="s">
        <v>67</v>
      </c>
      <c r="P35" s="42" t="s">
        <v>81</v>
      </c>
      <c r="Q35" s="53" t="s">
        <v>82</v>
      </c>
      <c r="R35" s="17"/>
      <c r="S35" s="17"/>
      <c r="T35" s="18"/>
      <c r="U35" s="18">
        <f t="shared" ref="U35:AT35" si="24">SUM(U20:U24)*U8*$E$27</f>
        <v>0</v>
      </c>
      <c r="V35" s="18">
        <f t="shared" si="24"/>
        <v>0</v>
      </c>
      <c r="W35" s="18">
        <f t="shared" si="24"/>
        <v>0</v>
      </c>
      <c r="X35" s="18">
        <f t="shared" si="24"/>
        <v>61315.30581</v>
      </c>
      <c r="Y35" s="18">
        <f t="shared" si="24"/>
        <v>67446.83639</v>
      </c>
      <c r="Z35" s="18">
        <f t="shared" si="24"/>
        <v>74191.52003</v>
      </c>
      <c r="AA35" s="18">
        <f t="shared" si="24"/>
        <v>81610.67203</v>
      </c>
      <c r="AB35" s="18">
        <f t="shared" si="24"/>
        <v>89771.73923</v>
      </c>
      <c r="AC35" s="18">
        <f t="shared" si="24"/>
        <v>98748.91315</v>
      </c>
      <c r="AD35" s="18">
        <f t="shared" si="24"/>
        <v>108623.8045</v>
      </c>
      <c r="AE35" s="18">
        <f t="shared" si="24"/>
        <v>119486.1849</v>
      </c>
      <c r="AF35" s="18">
        <f t="shared" si="24"/>
        <v>131434.8034</v>
      </c>
      <c r="AG35" s="18">
        <f t="shared" si="24"/>
        <v>144578.2837</v>
      </c>
      <c r="AH35" s="18">
        <f t="shared" si="24"/>
        <v>159036.1121</v>
      </c>
      <c r="AI35" s="18">
        <f t="shared" si="24"/>
        <v>174939.7233</v>
      </c>
      <c r="AJ35" s="18">
        <f t="shared" si="24"/>
        <v>192433.6957</v>
      </c>
      <c r="AK35" s="18">
        <f t="shared" si="24"/>
        <v>0</v>
      </c>
      <c r="AL35" s="18">
        <f t="shared" si="24"/>
        <v>0</v>
      </c>
      <c r="AM35" s="18">
        <f t="shared" si="24"/>
        <v>0</v>
      </c>
      <c r="AN35" s="18">
        <f t="shared" si="24"/>
        <v>0</v>
      </c>
      <c r="AO35" s="18">
        <f t="shared" si="24"/>
        <v>0</v>
      </c>
      <c r="AP35" s="18">
        <f t="shared" si="24"/>
        <v>0</v>
      </c>
      <c r="AQ35" s="18">
        <f t="shared" si="24"/>
        <v>0</v>
      </c>
      <c r="AR35" s="18">
        <f t="shared" si="24"/>
        <v>0</v>
      </c>
      <c r="AS35" s="18">
        <f t="shared" si="24"/>
        <v>0</v>
      </c>
      <c r="AT35" s="19">
        <f t="shared" si="24"/>
        <v>0</v>
      </c>
    </row>
    <row r="36" ht="21.0" customHeight="1">
      <c r="A36" s="3"/>
      <c r="B36" s="3"/>
      <c r="C36" s="51"/>
      <c r="D36" s="16" t="s">
        <v>32</v>
      </c>
      <c r="E36" s="22" t="s">
        <v>80</v>
      </c>
      <c r="F36" s="22">
        <v>5.0</v>
      </c>
      <c r="G36" s="22">
        <v>1.0</v>
      </c>
      <c r="H36" s="22">
        <v>100.0</v>
      </c>
      <c r="I36" s="22">
        <v>5.0</v>
      </c>
      <c r="J36" s="22">
        <v>330.0</v>
      </c>
      <c r="K36" s="22">
        <f t="shared" si="25"/>
        <v>435.9677419</v>
      </c>
      <c r="L36" s="3"/>
      <c r="M36" s="5"/>
      <c r="N36" s="3"/>
      <c r="O36" s="41" t="s">
        <v>83</v>
      </c>
      <c r="P36" s="41" t="s">
        <v>84</v>
      </c>
      <c r="Q36" s="45" t="s">
        <v>85</v>
      </c>
      <c r="R36" s="31"/>
      <c r="S36" s="31"/>
      <c r="T36" s="46"/>
      <c r="U36" s="46">
        <f t="shared" ref="U36:AT36" si="26">SUM(U32-U34-U35)</f>
        <v>0</v>
      </c>
      <c r="V36" s="46">
        <f t="shared" si="26"/>
        <v>0</v>
      </c>
      <c r="W36" s="46">
        <f t="shared" si="26"/>
        <v>0</v>
      </c>
      <c r="X36" s="46">
        <f t="shared" si="26"/>
        <v>-315571.2022</v>
      </c>
      <c r="Y36" s="46">
        <f t="shared" si="26"/>
        <v>-302833.0371</v>
      </c>
      <c r="Z36" s="46">
        <f t="shared" si="26"/>
        <v>-288821.0554</v>
      </c>
      <c r="AA36" s="46">
        <f t="shared" si="26"/>
        <v>-273407.8756</v>
      </c>
      <c r="AB36" s="46">
        <f t="shared" si="26"/>
        <v>-256453.3778</v>
      </c>
      <c r="AC36" s="46">
        <f t="shared" si="26"/>
        <v>-237803.4302</v>
      </c>
      <c r="AD36" s="46">
        <f t="shared" si="26"/>
        <v>-217288.4879</v>
      </c>
      <c r="AE36" s="46">
        <f t="shared" si="26"/>
        <v>-194722.0513</v>
      </c>
      <c r="AF36" s="46">
        <f t="shared" si="26"/>
        <v>-169898.9711</v>
      </c>
      <c r="AG36" s="46">
        <f t="shared" si="26"/>
        <v>-142593.5828</v>
      </c>
      <c r="AH36" s="46">
        <f t="shared" si="26"/>
        <v>-112557.6557</v>
      </c>
      <c r="AI36" s="46">
        <f t="shared" si="26"/>
        <v>-79518.13596</v>
      </c>
      <c r="AJ36" s="46">
        <f t="shared" si="26"/>
        <v>-43174.6642</v>
      </c>
      <c r="AK36" s="46">
        <f t="shared" si="26"/>
        <v>0</v>
      </c>
      <c r="AL36" s="46">
        <f t="shared" si="26"/>
        <v>0</v>
      </c>
      <c r="AM36" s="46">
        <f t="shared" si="26"/>
        <v>0</v>
      </c>
      <c r="AN36" s="46">
        <f t="shared" si="26"/>
        <v>0</v>
      </c>
      <c r="AO36" s="46">
        <f t="shared" si="26"/>
        <v>0</v>
      </c>
      <c r="AP36" s="46">
        <f t="shared" si="26"/>
        <v>0</v>
      </c>
      <c r="AQ36" s="46">
        <f t="shared" si="26"/>
        <v>0</v>
      </c>
      <c r="AR36" s="46">
        <f t="shared" si="26"/>
        <v>0</v>
      </c>
      <c r="AS36" s="46">
        <f t="shared" si="26"/>
        <v>0</v>
      </c>
      <c r="AT36" s="47">
        <f t="shared" si="26"/>
        <v>0</v>
      </c>
    </row>
    <row r="37" ht="21.0" customHeight="1">
      <c r="A37" s="3"/>
      <c r="B37" s="3"/>
      <c r="C37" s="51"/>
      <c r="D37" s="16" t="s">
        <v>34</v>
      </c>
      <c r="E37" s="22" t="s">
        <v>80</v>
      </c>
      <c r="F37" s="22">
        <v>4.0</v>
      </c>
      <c r="G37" s="22">
        <v>1.0</v>
      </c>
      <c r="H37" s="22">
        <v>100.0</v>
      </c>
      <c r="I37" s="22">
        <v>4.0</v>
      </c>
      <c r="J37" s="22">
        <v>27.0</v>
      </c>
      <c r="K37" s="22">
        <f t="shared" si="25"/>
        <v>109.4193548</v>
      </c>
      <c r="L37" s="3"/>
      <c r="M37" s="5"/>
      <c r="N37" s="3"/>
      <c r="O37" s="3"/>
      <c r="P37" s="42" t="s">
        <v>86</v>
      </c>
      <c r="Q37" s="54" t="s">
        <v>87</v>
      </c>
      <c r="R37" s="17"/>
      <c r="S37" s="17"/>
      <c r="T37" s="18"/>
      <c r="U37" s="18">
        <f t="shared" ref="U37:AT37" si="27">IF(U36&gt;0,U36*(1-$E$12),0)</f>
        <v>0</v>
      </c>
      <c r="V37" s="18">
        <f t="shared" si="27"/>
        <v>0</v>
      </c>
      <c r="W37" s="18">
        <f t="shared" si="27"/>
        <v>0</v>
      </c>
      <c r="X37" s="18">
        <f t="shared" si="27"/>
        <v>0</v>
      </c>
      <c r="Y37" s="18">
        <f t="shared" si="27"/>
        <v>0</v>
      </c>
      <c r="Z37" s="18">
        <f t="shared" si="27"/>
        <v>0</v>
      </c>
      <c r="AA37" s="18">
        <f t="shared" si="27"/>
        <v>0</v>
      </c>
      <c r="AB37" s="18">
        <f t="shared" si="27"/>
        <v>0</v>
      </c>
      <c r="AC37" s="18">
        <f t="shared" si="27"/>
        <v>0</v>
      </c>
      <c r="AD37" s="18">
        <f t="shared" si="27"/>
        <v>0</v>
      </c>
      <c r="AE37" s="18">
        <f t="shared" si="27"/>
        <v>0</v>
      </c>
      <c r="AF37" s="18">
        <f t="shared" si="27"/>
        <v>0</v>
      </c>
      <c r="AG37" s="18">
        <f t="shared" si="27"/>
        <v>0</v>
      </c>
      <c r="AH37" s="18">
        <f t="shared" si="27"/>
        <v>0</v>
      </c>
      <c r="AI37" s="18">
        <f t="shared" si="27"/>
        <v>0</v>
      </c>
      <c r="AJ37" s="18">
        <f t="shared" si="27"/>
        <v>0</v>
      </c>
      <c r="AK37" s="18">
        <f t="shared" si="27"/>
        <v>0</v>
      </c>
      <c r="AL37" s="18">
        <f t="shared" si="27"/>
        <v>0</v>
      </c>
      <c r="AM37" s="18">
        <f t="shared" si="27"/>
        <v>0</v>
      </c>
      <c r="AN37" s="18">
        <f t="shared" si="27"/>
        <v>0</v>
      </c>
      <c r="AO37" s="18">
        <f t="shared" si="27"/>
        <v>0</v>
      </c>
      <c r="AP37" s="18">
        <f t="shared" si="27"/>
        <v>0</v>
      </c>
      <c r="AQ37" s="18">
        <f t="shared" si="27"/>
        <v>0</v>
      </c>
      <c r="AR37" s="18">
        <f t="shared" si="27"/>
        <v>0</v>
      </c>
      <c r="AS37" s="18">
        <f t="shared" si="27"/>
        <v>0</v>
      </c>
      <c r="AT37" s="19">
        <f t="shared" si="27"/>
        <v>0</v>
      </c>
    </row>
    <row r="38" ht="21.0" customHeight="1">
      <c r="A38" s="3"/>
      <c r="B38" s="3"/>
      <c r="C38" s="51"/>
      <c r="D38" s="16" t="s">
        <v>36</v>
      </c>
      <c r="E38" s="22" t="s">
        <v>80</v>
      </c>
      <c r="F38" s="22">
        <v>13.0</v>
      </c>
      <c r="G38" s="22">
        <v>1.0</v>
      </c>
      <c r="H38" s="22">
        <v>100.0</v>
      </c>
      <c r="I38" s="22">
        <v>13.0</v>
      </c>
      <c r="J38" s="22">
        <v>27.0</v>
      </c>
      <c r="K38" s="22">
        <f t="shared" si="25"/>
        <v>321.3548387</v>
      </c>
      <c r="L38" s="3"/>
      <c r="M38" s="5"/>
      <c r="N38" s="3"/>
      <c r="O38" s="3"/>
      <c r="P38" s="41" t="s">
        <v>88</v>
      </c>
      <c r="Q38" s="45" t="s">
        <v>89</v>
      </c>
      <c r="R38" s="17"/>
      <c r="S38" s="17"/>
      <c r="T38" s="18"/>
      <c r="U38" s="18">
        <f t="shared" ref="U38:AT38" si="28">U36-U37</f>
        <v>0</v>
      </c>
      <c r="V38" s="18">
        <f t="shared" si="28"/>
        <v>0</v>
      </c>
      <c r="W38" s="18">
        <f t="shared" si="28"/>
        <v>0</v>
      </c>
      <c r="X38" s="18">
        <f t="shared" si="28"/>
        <v>-315571.2022</v>
      </c>
      <c r="Y38" s="18">
        <f t="shared" si="28"/>
        <v>-302833.0371</v>
      </c>
      <c r="Z38" s="18">
        <f t="shared" si="28"/>
        <v>-288821.0554</v>
      </c>
      <c r="AA38" s="18">
        <f t="shared" si="28"/>
        <v>-273407.8756</v>
      </c>
      <c r="AB38" s="18">
        <f t="shared" si="28"/>
        <v>-256453.3778</v>
      </c>
      <c r="AC38" s="18">
        <f t="shared" si="28"/>
        <v>-237803.4302</v>
      </c>
      <c r="AD38" s="18">
        <f t="shared" si="28"/>
        <v>-217288.4879</v>
      </c>
      <c r="AE38" s="18">
        <f t="shared" si="28"/>
        <v>-194722.0513</v>
      </c>
      <c r="AF38" s="18">
        <f t="shared" si="28"/>
        <v>-169898.9711</v>
      </c>
      <c r="AG38" s="18">
        <f t="shared" si="28"/>
        <v>-142593.5828</v>
      </c>
      <c r="AH38" s="18">
        <f t="shared" si="28"/>
        <v>-112557.6557</v>
      </c>
      <c r="AI38" s="18">
        <f t="shared" si="28"/>
        <v>-79518.13596</v>
      </c>
      <c r="AJ38" s="18">
        <f t="shared" si="28"/>
        <v>-43174.6642</v>
      </c>
      <c r="AK38" s="18">
        <f t="shared" si="28"/>
        <v>0</v>
      </c>
      <c r="AL38" s="18">
        <f t="shared" si="28"/>
        <v>0</v>
      </c>
      <c r="AM38" s="18">
        <f t="shared" si="28"/>
        <v>0</v>
      </c>
      <c r="AN38" s="18">
        <f t="shared" si="28"/>
        <v>0</v>
      </c>
      <c r="AO38" s="18">
        <f t="shared" si="28"/>
        <v>0</v>
      </c>
      <c r="AP38" s="18">
        <f t="shared" si="28"/>
        <v>0</v>
      </c>
      <c r="AQ38" s="18">
        <f t="shared" si="28"/>
        <v>0</v>
      </c>
      <c r="AR38" s="18">
        <f t="shared" si="28"/>
        <v>0</v>
      </c>
      <c r="AS38" s="18">
        <f t="shared" si="28"/>
        <v>0</v>
      </c>
      <c r="AT38" s="19">
        <f t="shared" si="28"/>
        <v>0</v>
      </c>
    </row>
    <row r="39" ht="21.0" customHeight="1">
      <c r="A39" s="3"/>
      <c r="B39" s="3"/>
      <c r="C39" s="51"/>
      <c r="D39" s="16" t="s">
        <v>38</v>
      </c>
      <c r="E39" s="22" t="s">
        <v>80</v>
      </c>
      <c r="F39" s="22">
        <v>2.0</v>
      </c>
      <c r="G39" s="22">
        <v>1.0</v>
      </c>
      <c r="H39" s="22">
        <v>100.0</v>
      </c>
      <c r="I39" s="22">
        <v>2.0</v>
      </c>
      <c r="J39" s="22">
        <v>43.0</v>
      </c>
      <c r="K39" s="22">
        <f t="shared" si="25"/>
        <v>78.32258065</v>
      </c>
      <c r="L39" s="3"/>
      <c r="M39" s="5"/>
      <c r="N39" s="3"/>
      <c r="O39" s="41" t="s">
        <v>90</v>
      </c>
      <c r="P39" s="41" t="s">
        <v>91</v>
      </c>
      <c r="Q39" s="45" t="s">
        <v>92</v>
      </c>
      <c r="R39" s="31"/>
      <c r="S39" s="31"/>
      <c r="T39" s="46"/>
      <c r="U39" s="46">
        <f t="shared" ref="U39:AT39" si="29">U38+U34-U33</f>
        <v>-1919462.366</v>
      </c>
      <c r="V39" s="46">
        <f t="shared" si="29"/>
        <v>-1919462.366</v>
      </c>
      <c r="W39" s="46">
        <f t="shared" si="29"/>
        <v>-1919462.366</v>
      </c>
      <c r="X39" s="46">
        <f t="shared" si="29"/>
        <v>127381.6514</v>
      </c>
      <c r="Y39" s="46">
        <f t="shared" si="29"/>
        <v>140119.8165</v>
      </c>
      <c r="Z39" s="46">
        <f t="shared" si="29"/>
        <v>154131.7982</v>
      </c>
      <c r="AA39" s="46">
        <f t="shared" si="29"/>
        <v>169544.978</v>
      </c>
      <c r="AB39" s="46">
        <f t="shared" si="29"/>
        <v>186499.4758</v>
      </c>
      <c r="AC39" s="46">
        <f t="shared" si="29"/>
        <v>205149.4234</v>
      </c>
      <c r="AD39" s="46">
        <f t="shared" si="29"/>
        <v>225664.3657</v>
      </c>
      <c r="AE39" s="46">
        <f t="shared" si="29"/>
        <v>248230.8023</v>
      </c>
      <c r="AF39" s="46">
        <f t="shared" si="29"/>
        <v>273053.8825</v>
      </c>
      <c r="AG39" s="46">
        <f t="shared" si="29"/>
        <v>300359.2708</v>
      </c>
      <c r="AH39" s="46">
        <f t="shared" si="29"/>
        <v>330395.1978</v>
      </c>
      <c r="AI39" s="46">
        <f t="shared" si="29"/>
        <v>363434.7176</v>
      </c>
      <c r="AJ39" s="46">
        <f t="shared" si="29"/>
        <v>399778.1894</v>
      </c>
      <c r="AK39" s="46">
        <f t="shared" si="29"/>
        <v>0</v>
      </c>
      <c r="AL39" s="46">
        <f t="shared" si="29"/>
        <v>0</v>
      </c>
      <c r="AM39" s="46">
        <f t="shared" si="29"/>
        <v>0</v>
      </c>
      <c r="AN39" s="46">
        <f t="shared" si="29"/>
        <v>0</v>
      </c>
      <c r="AO39" s="46">
        <f t="shared" si="29"/>
        <v>0</v>
      </c>
      <c r="AP39" s="46">
        <f t="shared" si="29"/>
        <v>0</v>
      </c>
      <c r="AQ39" s="46">
        <f t="shared" si="29"/>
        <v>0</v>
      </c>
      <c r="AR39" s="46">
        <f t="shared" si="29"/>
        <v>0</v>
      </c>
      <c r="AS39" s="46">
        <f t="shared" si="29"/>
        <v>0</v>
      </c>
      <c r="AT39" s="47">
        <f t="shared" si="29"/>
        <v>0</v>
      </c>
    </row>
    <row r="40" ht="21.0" customHeight="1">
      <c r="A40" s="3"/>
      <c r="B40" s="3"/>
      <c r="C40" s="51"/>
      <c r="D40" s="3"/>
      <c r="E40" s="3"/>
      <c r="F40" s="3"/>
      <c r="G40" s="3"/>
      <c r="H40" s="3"/>
      <c r="I40" s="3"/>
      <c r="J40" s="3"/>
      <c r="K40" s="3"/>
      <c r="L40" s="3"/>
      <c r="M40" s="5"/>
      <c r="N40" s="3"/>
      <c r="O40" s="41" t="s">
        <v>90</v>
      </c>
      <c r="P40" s="41" t="s">
        <v>93</v>
      </c>
      <c r="Q40" s="45" t="s">
        <v>94</v>
      </c>
      <c r="R40" s="31"/>
      <c r="S40" s="31"/>
      <c r="T40" s="46"/>
      <c r="U40" s="46">
        <f t="shared" ref="U40:AT40" si="30">U39*U12</f>
        <v>-1919462.366</v>
      </c>
      <c r="V40" s="46">
        <f t="shared" si="30"/>
        <v>-1599551.971</v>
      </c>
      <c r="W40" s="46">
        <f t="shared" si="30"/>
        <v>-1332959.976</v>
      </c>
      <c r="X40" s="46">
        <f t="shared" si="30"/>
        <v>73716.23344</v>
      </c>
      <c r="Y40" s="46">
        <f t="shared" si="30"/>
        <v>67573.21399</v>
      </c>
      <c r="Z40" s="46">
        <f t="shared" si="30"/>
        <v>61942.11282</v>
      </c>
      <c r="AA40" s="46">
        <f t="shared" si="30"/>
        <v>56780.27009</v>
      </c>
      <c r="AB40" s="46">
        <f t="shared" si="30"/>
        <v>52048.58091</v>
      </c>
      <c r="AC40" s="46">
        <f t="shared" si="30"/>
        <v>47711.19917</v>
      </c>
      <c r="AD40" s="46">
        <f t="shared" si="30"/>
        <v>43735.26591</v>
      </c>
      <c r="AE40" s="46">
        <f t="shared" si="30"/>
        <v>40090.66042</v>
      </c>
      <c r="AF40" s="46">
        <f t="shared" si="30"/>
        <v>36749.77205</v>
      </c>
      <c r="AG40" s="46">
        <f t="shared" si="30"/>
        <v>33687.29104</v>
      </c>
      <c r="AH40" s="46">
        <f t="shared" si="30"/>
        <v>30880.01679</v>
      </c>
      <c r="AI40" s="46">
        <f t="shared" si="30"/>
        <v>28306.68206</v>
      </c>
      <c r="AJ40" s="46">
        <f t="shared" si="30"/>
        <v>25947.79189</v>
      </c>
      <c r="AK40" s="46">
        <f t="shared" si="30"/>
        <v>0</v>
      </c>
      <c r="AL40" s="46">
        <f t="shared" si="30"/>
        <v>0</v>
      </c>
      <c r="AM40" s="46">
        <f t="shared" si="30"/>
        <v>0</v>
      </c>
      <c r="AN40" s="46">
        <f t="shared" si="30"/>
        <v>0</v>
      </c>
      <c r="AO40" s="46">
        <f t="shared" si="30"/>
        <v>0</v>
      </c>
      <c r="AP40" s="46">
        <f t="shared" si="30"/>
        <v>0</v>
      </c>
      <c r="AQ40" s="46">
        <f t="shared" si="30"/>
        <v>0</v>
      </c>
      <c r="AR40" s="46">
        <f t="shared" si="30"/>
        <v>0</v>
      </c>
      <c r="AS40" s="46">
        <f t="shared" si="30"/>
        <v>0</v>
      </c>
      <c r="AT40" s="47">
        <f t="shared" si="30"/>
        <v>0</v>
      </c>
    </row>
    <row r="41" ht="21.0" customHeight="1">
      <c r="A41" s="3"/>
      <c r="B41" s="3"/>
      <c r="C41" s="51"/>
      <c r="D41" s="1" t="s">
        <v>95</v>
      </c>
      <c r="E41" s="3"/>
      <c r="F41" s="3"/>
      <c r="G41" s="3"/>
      <c r="H41" s="3"/>
      <c r="I41" s="3"/>
      <c r="J41" s="3"/>
      <c r="K41" s="3"/>
      <c r="L41" s="3"/>
      <c r="M41" s="5"/>
      <c r="N41" s="3"/>
      <c r="O41" s="41" t="s">
        <v>96</v>
      </c>
      <c r="P41" s="55" t="s">
        <v>97</v>
      </c>
      <c r="Q41" s="56" t="s">
        <v>98</v>
      </c>
      <c r="R41" s="1"/>
      <c r="S41" s="24">
        <f>SUM(U40:AT40)</f>
        <v>-4252805.222</v>
      </c>
      <c r="T41" s="46"/>
      <c r="U41" s="1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7"/>
    </row>
    <row r="42" ht="21.0" customHeight="1">
      <c r="A42" s="3"/>
      <c r="B42" s="3"/>
      <c r="C42" s="57"/>
      <c r="D42" s="58" t="s">
        <v>99</v>
      </c>
      <c r="E42" s="58"/>
      <c r="F42" s="3"/>
      <c r="G42" s="3"/>
      <c r="H42" s="3"/>
      <c r="I42" s="3"/>
      <c r="J42" s="3"/>
      <c r="K42" s="3"/>
      <c r="L42" s="3"/>
      <c r="M42" s="5"/>
      <c r="N42" s="3"/>
      <c r="O42" s="41" t="s">
        <v>100</v>
      </c>
      <c r="P42" s="42" t="s">
        <v>101</v>
      </c>
      <c r="Q42" s="44" t="s">
        <v>102</v>
      </c>
      <c r="R42" s="17"/>
      <c r="S42" s="17"/>
      <c r="T42" s="18"/>
      <c r="U42" s="18">
        <f t="shared" ref="U42:AT42" si="31">SUM(U20:U24)*U12*U8</f>
        <v>0</v>
      </c>
      <c r="V42" s="18">
        <f t="shared" si="31"/>
        <v>0</v>
      </c>
      <c r="W42" s="18">
        <f t="shared" si="31"/>
        <v>0</v>
      </c>
      <c r="X42" s="18">
        <f t="shared" si="31"/>
        <v>887.0848641</v>
      </c>
      <c r="Y42" s="18">
        <f t="shared" si="31"/>
        <v>813.1611254</v>
      </c>
      <c r="Z42" s="18">
        <f t="shared" si="31"/>
        <v>745.3976983</v>
      </c>
      <c r="AA42" s="18">
        <f t="shared" si="31"/>
        <v>683.2812234</v>
      </c>
      <c r="AB42" s="18">
        <f t="shared" si="31"/>
        <v>626.3411215</v>
      </c>
      <c r="AC42" s="18">
        <f t="shared" si="31"/>
        <v>574.146028</v>
      </c>
      <c r="AD42" s="18">
        <f t="shared" si="31"/>
        <v>526.3005257</v>
      </c>
      <c r="AE42" s="18">
        <f t="shared" si="31"/>
        <v>482.4421486</v>
      </c>
      <c r="AF42" s="18">
        <f t="shared" si="31"/>
        <v>442.2386362</v>
      </c>
      <c r="AG42" s="18">
        <f t="shared" si="31"/>
        <v>405.3854165</v>
      </c>
      <c r="AH42" s="18">
        <f t="shared" si="31"/>
        <v>371.6032985</v>
      </c>
      <c r="AI42" s="18">
        <f t="shared" si="31"/>
        <v>340.6363569</v>
      </c>
      <c r="AJ42" s="18">
        <f t="shared" si="31"/>
        <v>312.2499938</v>
      </c>
      <c r="AK42" s="18">
        <f t="shared" si="31"/>
        <v>0</v>
      </c>
      <c r="AL42" s="18">
        <f t="shared" si="31"/>
        <v>0</v>
      </c>
      <c r="AM42" s="18">
        <f t="shared" si="31"/>
        <v>0</v>
      </c>
      <c r="AN42" s="18">
        <f t="shared" si="31"/>
        <v>0</v>
      </c>
      <c r="AO42" s="18">
        <f t="shared" si="31"/>
        <v>0</v>
      </c>
      <c r="AP42" s="18">
        <f t="shared" si="31"/>
        <v>0</v>
      </c>
      <c r="AQ42" s="18">
        <f t="shared" si="31"/>
        <v>0</v>
      </c>
      <c r="AR42" s="18">
        <f t="shared" si="31"/>
        <v>0</v>
      </c>
      <c r="AS42" s="18">
        <f t="shared" si="31"/>
        <v>0</v>
      </c>
      <c r="AT42" s="19">
        <f t="shared" si="31"/>
        <v>0</v>
      </c>
    </row>
    <row r="43" ht="21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5"/>
      <c r="N43" s="3"/>
      <c r="O43" s="41" t="s">
        <v>96</v>
      </c>
      <c r="P43" s="55" t="s">
        <v>103</v>
      </c>
      <c r="Q43" s="44" t="s">
        <v>104</v>
      </c>
      <c r="R43" s="17"/>
      <c r="S43" s="24">
        <f>SUM(U42:AT42)</f>
        <v>7210.268437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9"/>
    </row>
    <row r="44" ht="21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5"/>
      <c r="N44" s="3"/>
      <c r="O44" s="3"/>
      <c r="P44" s="1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ht="21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5"/>
      <c r="N45" s="3"/>
      <c r="O45" s="3"/>
      <c r="P45" s="3"/>
      <c r="Q45" s="59" t="s">
        <v>105</v>
      </c>
      <c r="R45" s="59"/>
      <c r="S45" s="59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59"/>
    </row>
    <row r="46" ht="21.0" customHeight="1">
      <c r="A46" s="3"/>
      <c r="B46" s="3"/>
      <c r="C46" s="48" t="s">
        <v>106</v>
      </c>
      <c r="D46" s="49"/>
      <c r="E46" s="49"/>
      <c r="F46" s="61"/>
      <c r="G46" s="3"/>
      <c r="H46" s="3"/>
      <c r="I46" s="3"/>
      <c r="J46" s="3"/>
      <c r="K46" s="3"/>
      <c r="L46" s="3"/>
      <c r="M46" s="5"/>
      <c r="N46" s="3"/>
      <c r="O46" s="16"/>
      <c r="P46" s="16" t="s">
        <v>107</v>
      </c>
      <c r="Q46" s="17" t="s">
        <v>108</v>
      </c>
      <c r="R46" s="17"/>
      <c r="S46" s="18">
        <f>SUM(U33:AT33)</f>
        <v>5758387.097</v>
      </c>
      <c r="T46" s="1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ht="21.0" customHeight="1">
      <c r="A47" s="3"/>
      <c r="B47" s="3"/>
      <c r="C47" s="51"/>
      <c r="D47" s="3"/>
      <c r="E47" s="3"/>
      <c r="F47" s="62"/>
      <c r="G47" s="3"/>
      <c r="H47" s="3"/>
      <c r="I47" s="3"/>
      <c r="J47" s="3"/>
      <c r="K47" s="3"/>
      <c r="L47" s="3"/>
      <c r="M47" s="5"/>
      <c r="N47" s="3"/>
      <c r="O47" s="16" t="s">
        <v>109</v>
      </c>
      <c r="P47" s="16" t="s">
        <v>110</v>
      </c>
      <c r="Q47" s="17" t="s">
        <v>111</v>
      </c>
      <c r="R47" s="17"/>
      <c r="S47" s="18">
        <f>SUM(U20:U24)</f>
        <v>1151.677419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ht="21.0" customHeight="1">
      <c r="A48" s="3"/>
      <c r="B48" s="3"/>
      <c r="C48" s="51"/>
      <c r="D48" s="14" t="s">
        <v>6</v>
      </c>
      <c r="E48" s="14" t="s">
        <v>112</v>
      </c>
      <c r="F48" s="14" t="s">
        <v>113</v>
      </c>
      <c r="G48" s="63"/>
      <c r="H48" s="63"/>
      <c r="I48" s="63"/>
      <c r="J48" s="63"/>
      <c r="K48" s="63"/>
      <c r="L48" s="3"/>
      <c r="M48" s="5"/>
      <c r="N48" s="3"/>
      <c r="O48" s="16" t="s">
        <v>96</v>
      </c>
      <c r="P48" s="17" t="s">
        <v>114</v>
      </c>
      <c r="Q48" s="17" t="s">
        <v>115</v>
      </c>
      <c r="R48" s="17"/>
      <c r="S48" s="18">
        <f>-S41/S43</f>
        <v>589.8261985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ht="21.0" customHeight="1">
      <c r="A49" s="3"/>
      <c r="B49" s="3"/>
      <c r="C49" s="1"/>
      <c r="D49" s="16" t="s">
        <v>116</v>
      </c>
      <c r="E49" s="16" t="s">
        <v>117</v>
      </c>
      <c r="F49" s="16">
        <v>0.76</v>
      </c>
      <c r="G49" s="3"/>
      <c r="H49" s="3"/>
      <c r="I49" s="3"/>
      <c r="J49" s="3"/>
      <c r="K49" s="3"/>
      <c r="L49" s="1"/>
      <c r="M49" s="2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ht="21.0" customHeight="1">
      <c r="A50" s="3"/>
      <c r="B50" s="3"/>
      <c r="C50" s="1"/>
      <c r="D50" s="16" t="s">
        <v>118</v>
      </c>
      <c r="E50" s="16" t="s">
        <v>117</v>
      </c>
      <c r="F50" s="64">
        <v>0.9</v>
      </c>
      <c r="G50" s="32"/>
      <c r="H50" s="32"/>
      <c r="I50" s="32"/>
      <c r="J50" s="32"/>
      <c r="K50" s="32"/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ht="21.0" customHeight="1">
      <c r="A51" s="3"/>
      <c r="B51" s="3"/>
      <c r="C51" s="1"/>
      <c r="D51" s="3"/>
      <c r="E51" s="3"/>
      <c r="F51" s="62"/>
      <c r="G51" s="3"/>
      <c r="H51" s="3"/>
      <c r="I51" s="3"/>
      <c r="J51" s="3"/>
      <c r="K51" s="3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ht="21.0" customHeight="1">
      <c r="A52" s="3"/>
      <c r="B52" s="3"/>
      <c r="C52" s="1"/>
      <c r="D52" s="58" t="s">
        <v>119</v>
      </c>
      <c r="E52" s="58"/>
      <c r="F52" s="65"/>
      <c r="G52" s="3"/>
      <c r="H52" s="3"/>
      <c r="I52" s="3"/>
      <c r="J52" s="3"/>
      <c r="K52" s="3"/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ht="21.0" hidden="1" customHeight="1">
      <c r="A53" s="3"/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ht="21.0" hidden="1" customHeight="1">
      <c r="A54" s="3"/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ht="21.0" hidden="1" customHeight="1">
      <c r="A55" s="3"/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ht="21.0" hidden="1" customHeight="1">
      <c r="A56" s="3"/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ht="21.0" hidden="1" customHeight="1">
      <c r="A57" s="3"/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ht="21.0" hidden="1" customHeight="1">
      <c r="A58" s="3"/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ht="21.0" hidden="1" customHeight="1">
      <c r="A59" s="3"/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ht="21.0" hidden="1" customHeight="1">
      <c r="A60" s="3"/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ht="21.0" hidden="1" customHeight="1">
      <c r="A61" s="3"/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ht="21.0" hidden="1" customHeight="1">
      <c r="A62" s="3"/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ht="21.0" hidden="1" customHeight="1">
      <c r="A63" s="3"/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ht="21.0" hidden="1" customHeight="1">
      <c r="A64" s="3"/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ht="21.0" hidden="1" customHeight="1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ht="21.0" hidden="1" customHeight="1">
      <c r="A66" s="3"/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ht="21.0" hidden="1" customHeight="1">
      <c r="A67" s="3"/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ht="21.0" hidden="1" customHeight="1">
      <c r="A68" s="3"/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ht="21.0" hidden="1" customHeight="1">
      <c r="A69" s="3"/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ht="21.0" hidden="1" customHeight="1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ht="21.0" hidden="1" customHeight="1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ht="21.0" hidden="1" customHeight="1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ht="21.0" hidden="1" customHeight="1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ht="21.0" hidden="1" customHeight="1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ht="21.0" hidden="1" customHeight="1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ht="21.0" hidden="1" customHeight="1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ht="21.0" hidden="1" customHeight="1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ht="21.0" hidden="1" customHeight="1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ht="21.0" hidden="1" customHeight="1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ht="21.0" hidden="1" customHeight="1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ht="21.0" hidden="1" customHeight="1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ht="21.0" hidden="1" customHeight="1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ht="21.0" hidden="1" customHeight="1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ht="21.0" hidden="1" customHeight="1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ht="21.0" hidden="1" customHeight="1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ht="21.0" hidden="1" customHeight="1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ht="21.0" hidden="1" customHeight="1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ht="21.0" hidden="1" customHeight="1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ht="21.0" hidden="1" customHeight="1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ht="21.0" hidden="1" customHeight="1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ht="21.0" hidden="1" customHeight="1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ht="21.0" hidden="1" customHeight="1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ht="21.0" hidden="1" customHeight="1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ht="21.0" hidden="1" customHeight="1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66"/>
      <c r="M94" s="67"/>
      <c r="N94" s="68"/>
      <c r="O94" s="68"/>
      <c r="P94" s="68"/>
      <c r="Q94" s="68"/>
      <c r="R94" s="69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ht="21.0" hidden="1" customHeight="1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70"/>
      <c r="M95" s="2"/>
      <c r="N95" s="1"/>
      <c r="O95" s="1"/>
      <c r="P95" s="1"/>
      <c r="Q95" s="1"/>
      <c r="R95" s="7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ht="21.0" hidden="1" customHeight="1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70"/>
      <c r="M96" s="2"/>
      <c r="N96" s="1"/>
      <c r="O96" s="1"/>
      <c r="P96" s="1"/>
      <c r="Q96" s="1"/>
      <c r="R96" s="7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ht="21.0" hidden="1" customHeight="1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70"/>
      <c r="M97" s="2"/>
      <c r="N97" s="1"/>
      <c r="O97" s="1"/>
      <c r="P97" s="1"/>
      <c r="Q97" s="1"/>
      <c r="R97" s="71">
        <v>20.0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ht="21.0" hidden="1" customHeight="1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70"/>
      <c r="M98" s="2"/>
      <c r="N98" s="1"/>
      <c r="O98" s="1"/>
      <c r="P98" s="72">
        <v>45017.0</v>
      </c>
      <c r="Q98" s="1"/>
      <c r="R98" s="7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ht="21.0" hidden="1" customHeight="1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70"/>
      <c r="M99" s="2"/>
      <c r="N99" s="1"/>
      <c r="O99" s="1"/>
      <c r="P99" s="1"/>
      <c r="Q99" s="1"/>
      <c r="R99" s="7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ht="21.0" hidden="1" customHeight="1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73"/>
      <c r="M100" s="74"/>
      <c r="N100" s="75"/>
      <c r="O100" s="75"/>
      <c r="P100" s="75"/>
      <c r="Q100" s="75"/>
      <c r="R100" s="7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ht="21.0" hidden="1" customHeight="1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ht="21.0" hidden="1" customHeight="1">
      <c r="A102" s="3"/>
      <c r="B102" s="3"/>
      <c r="C102" s="1"/>
      <c r="D102" s="1"/>
      <c r="E102" s="1"/>
      <c r="F102" s="1" t="s">
        <v>120</v>
      </c>
      <c r="G102" s="1"/>
      <c r="H102" s="1"/>
      <c r="I102" s="1"/>
      <c r="J102" s="1"/>
      <c r="K102" s="1"/>
      <c r="L102" s="77"/>
      <c r="M102" s="78">
        <f>(SUM(R97:R98)+R96+R100)/4</f>
        <v>5</v>
      </c>
      <c r="N102" s="79" t="s">
        <v>121</v>
      </c>
      <c r="O102" s="1"/>
      <c r="P102" s="1"/>
      <c r="Q102" s="1"/>
      <c r="R102" s="1"/>
      <c r="S102" s="1"/>
      <c r="T102" s="24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ht="21.0" hidden="1" customHeight="1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ht="21.0" hidden="1" customHeight="1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ht="21.0" hidden="1" customHeight="1">
      <c r="A105" s="3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ht="21.0" hidden="1" customHeight="1">
      <c r="A106" s="3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24">
        <v>400000.0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ht="21.0" hidden="1" customHeight="1">
      <c r="A107" s="3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24">
        <v>200000.0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ht="21.0" hidden="1" customHeight="1">
      <c r="A108" s="3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24">
        <v>300000.0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ht="21.0" hidden="1" customHeight="1">
      <c r="A109" s="3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24">
        <v>500000.0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ht="21.0" hidden="1" customHeight="1">
      <c r="A110" s="3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24">
        <v>200000.0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ht="21.0" hidden="1" customHeight="1">
      <c r="A111" s="3"/>
      <c r="B111" s="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24">
        <v>100000.0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ht="21.0" hidden="1" customHeight="1">
      <c r="A112" s="3"/>
      <c r="B112" s="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ht="21.0" hidden="1" customHeight="1">
      <c r="A113" s="3"/>
      <c r="B113" s="3"/>
      <c r="C113" s="1"/>
      <c r="D113" s="1"/>
      <c r="E113" s="1"/>
      <c r="F113" s="1"/>
      <c r="G113" s="1"/>
      <c r="H113" s="1"/>
      <c r="I113" s="1"/>
      <c r="J113" s="1"/>
      <c r="K113" s="1"/>
      <c r="L113" s="77"/>
      <c r="M113" s="80">
        <f>AVERAGE(O106:O111)/10</f>
        <v>28333.33333</v>
      </c>
      <c r="N113" s="81" t="s">
        <v>122</v>
      </c>
      <c r="O113" s="1"/>
      <c r="P113" s="1"/>
      <c r="Q113" s="1"/>
      <c r="R113" s="1"/>
      <c r="S113" s="24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ht="21.0" hidden="1" customHeight="1">
      <c r="A114" s="3"/>
      <c r="B114" s="3"/>
      <c r="C114" s="1"/>
      <c r="D114" s="1"/>
      <c r="E114" s="1"/>
      <c r="F114" s="1" t="s">
        <v>123</v>
      </c>
      <c r="G114" s="1"/>
      <c r="H114" s="1"/>
      <c r="I114" s="1"/>
      <c r="J114" s="1"/>
      <c r="K114" s="1"/>
      <c r="L114" s="77"/>
      <c r="M114" s="78">
        <f>M113/744</f>
        <v>38.08243728</v>
      </c>
      <c r="N114" s="81" t="s">
        <v>124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ht="21.0" hidden="1" customHeight="1">
      <c r="A115" s="3"/>
      <c r="B115" s="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ht="21.0" hidden="1" customHeight="1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82"/>
      <c r="M116" s="83">
        <f>M102/M114</f>
        <v>0.1312941176</v>
      </c>
      <c r="N116" s="84" t="s">
        <v>125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ht="21.0" hidden="1" customHeight="1">
      <c r="A117" s="3"/>
      <c r="B117" s="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ht="21.0" hidden="1" customHeight="1">
      <c r="A118" s="3"/>
      <c r="B118" s="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ht="21.0" hidden="1" customHeight="1">
      <c r="A119" s="3"/>
      <c r="B119" s="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ht="21.0" hidden="1" customHeight="1">
      <c r="A120" s="3"/>
      <c r="B120" s="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ht="21.0" hidden="1" customHeight="1">
      <c r="A121" s="3"/>
      <c r="B121" s="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ht="21.0" hidden="1" customHeight="1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ht="21.0" hidden="1" customHeight="1">
      <c r="A123" s="3"/>
      <c r="B123" s="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ht="21.0" hidden="1" customHeight="1">
      <c r="A124" s="3"/>
      <c r="B124" s="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ht="21.0" hidden="1" customHeight="1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ht="21.0" hidden="1" customHeight="1">
      <c r="A126" s="3"/>
      <c r="B126" s="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ht="21.0" hidden="1" customHeight="1">
      <c r="A127" s="3"/>
      <c r="B127" s="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ht="21.0" hidden="1" customHeight="1">
      <c r="A128" s="3"/>
      <c r="B128" s="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ht="21.0" hidden="1" customHeight="1">
      <c r="A129" s="3"/>
      <c r="B129" s="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ht="21.0" hidden="1" customHeight="1">
      <c r="A130" s="3"/>
      <c r="B130" s="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ht="21.0" hidden="1" customHeight="1">
      <c r="A131" s="3"/>
      <c r="B131" s="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ht="21.0" hidden="1" customHeight="1">
      <c r="A132" s="3"/>
      <c r="B132" s="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ht="21.0" hidden="1" customHeight="1">
      <c r="A133" s="3"/>
      <c r="B133" s="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ht="21.0" hidden="1" customHeight="1">
      <c r="A134" s="3"/>
      <c r="B134" s="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ht="21.0" hidden="1" customHeight="1">
      <c r="A135" s="3"/>
      <c r="B135" s="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ht="21.0" hidden="1" customHeight="1">
      <c r="A136" s="3"/>
      <c r="B136" s="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ht="21.0" hidden="1" customHeight="1">
      <c r="A137" s="3"/>
      <c r="B137" s="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ht="21.0" hidden="1" customHeight="1">
      <c r="A138" s="3"/>
      <c r="B138" s="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ht="21.0" hidden="1" customHeight="1">
      <c r="A139" s="3"/>
      <c r="B139" s="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ht="21.0" hidden="1" customHeight="1">
      <c r="A140" s="3"/>
      <c r="B140" s="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ht="21.0" hidden="1" customHeight="1">
      <c r="A141" s="3"/>
      <c r="B141" s="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ht="21.0" hidden="1" customHeight="1">
      <c r="A142" s="3"/>
      <c r="B142" s="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ht="21.0" hidden="1" customHeight="1">
      <c r="A143" s="3"/>
      <c r="B143" s="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ht="21.0" hidden="1" customHeight="1">
      <c r="A144" s="3"/>
      <c r="B144" s="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ht="21.0" hidden="1" customHeight="1">
      <c r="A145" s="3"/>
      <c r="B145" s="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ht="21.0" hidden="1" customHeight="1">
      <c r="A146" s="3"/>
      <c r="B146" s="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ht="21.0" hidden="1" customHeight="1">
      <c r="A147" s="3"/>
      <c r="B147" s="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ht="21.0" hidden="1" customHeight="1">
      <c r="A148" s="3"/>
      <c r="B148" s="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ht="21.0" hidden="1" customHeight="1">
      <c r="A149" s="3"/>
      <c r="B149" s="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ht="21.0" hidden="1" customHeight="1">
      <c r="A150" s="3"/>
      <c r="B150" s="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ht="21.0" hidden="1" customHeight="1">
      <c r="A151" s="3"/>
      <c r="B151" s="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ht="21.0" hidden="1" customHeight="1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ht="21.0" hidden="1" customHeight="1">
      <c r="A153" s="3"/>
      <c r="B153" s="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ht="21.0" hidden="1" customHeight="1">
      <c r="A154" s="3"/>
      <c r="B154" s="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ht="21.0" hidden="1" customHeight="1">
      <c r="A155" s="3"/>
      <c r="B155" s="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ht="21.0" hidden="1" customHeight="1">
      <c r="A156" s="3"/>
      <c r="B156" s="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ht="21.0" hidden="1" customHeight="1">
      <c r="A157" s="3"/>
      <c r="B157" s="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ht="21.0" hidden="1" customHeight="1">
      <c r="A158" s="3"/>
      <c r="B158" s="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ht="21.0" hidden="1" customHeight="1">
      <c r="A159" s="3"/>
      <c r="B159" s="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ht="21.0" hidden="1" customHeight="1">
      <c r="A160" s="3"/>
      <c r="B160" s="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ht="21.0" hidden="1" customHeight="1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ht="21.0" hidden="1" customHeight="1">
      <c r="A162" s="3"/>
      <c r="B162" s="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ht="21.0" hidden="1" customHeight="1">
      <c r="A163" s="3"/>
      <c r="B163" s="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ht="21.0" hidden="1" customHeight="1">
      <c r="A164" s="3"/>
      <c r="B164" s="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ht="21.0" hidden="1" customHeight="1">
      <c r="A165" s="3"/>
      <c r="B165" s="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ht="21.0" hidden="1" customHeight="1">
      <c r="A166" s="3"/>
      <c r="B166" s="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ht="21.0" hidden="1" customHeight="1">
      <c r="A167" s="3"/>
      <c r="B167" s="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ht="21.0" hidden="1" customHeight="1">
      <c r="A168" s="3"/>
      <c r="B168" s="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ht="21.0" hidden="1" customHeight="1">
      <c r="A169" s="3"/>
      <c r="B169" s="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ht="21.0" hidden="1" customHeight="1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ht="21.0" hidden="1" customHeight="1">
      <c r="A171" s="3"/>
      <c r="B171" s="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ht="21.0" hidden="1" customHeight="1">
      <c r="A172" s="3"/>
      <c r="B172" s="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ht="21.0" hidden="1" customHeight="1">
      <c r="A173" s="3"/>
      <c r="B173" s="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ht="21.0" hidden="1" customHeight="1">
      <c r="A174" s="3"/>
      <c r="B174" s="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ht="21.0" hidden="1" customHeight="1">
      <c r="A175" s="3"/>
      <c r="B175" s="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ht="21.0" hidden="1" customHeight="1">
      <c r="A176" s="3"/>
      <c r="B176" s="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ht="21.0" hidden="1" customHeight="1">
      <c r="A177" s="3"/>
      <c r="B177" s="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ht="21.0" hidden="1" customHeight="1">
      <c r="A178" s="3"/>
      <c r="B178" s="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ht="21.0" hidden="1" customHeight="1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ht="21.0" hidden="1" customHeight="1">
      <c r="A180" s="3"/>
      <c r="B180" s="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ht="21.0" hidden="1" customHeight="1">
      <c r="A181" s="3"/>
      <c r="B181" s="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ht="21.0" hidden="1" customHeight="1">
      <c r="A182" s="3"/>
      <c r="B182" s="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ht="21.0" hidden="1" customHeight="1">
      <c r="A183" s="3"/>
      <c r="B183" s="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ht="21.0" hidden="1" customHeight="1">
      <c r="A184" s="3"/>
      <c r="B184" s="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ht="21.0" hidden="1" customHeight="1">
      <c r="A185" s="3"/>
      <c r="B185" s="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ht="21.0" hidden="1" customHeight="1">
      <c r="A186" s="3"/>
      <c r="B186" s="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ht="21.0" hidden="1" customHeight="1">
      <c r="A187" s="3"/>
      <c r="B187" s="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ht="21.0" hidden="1" customHeight="1">
      <c r="A188" s="3"/>
      <c r="B188" s="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ht="21.0" hidden="1" customHeight="1">
      <c r="A189" s="3"/>
      <c r="B189" s="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ht="21.0" hidden="1" customHeight="1">
      <c r="A190" s="3"/>
      <c r="B190" s="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ht="21.0" hidden="1" customHeight="1">
      <c r="A191" s="3"/>
      <c r="B191" s="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ht="21.0" hidden="1" customHeight="1">
      <c r="A192" s="3"/>
      <c r="B192" s="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ht="21.0" hidden="1" customHeight="1">
      <c r="A193" s="3"/>
      <c r="B193" s="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ht="21.0" hidden="1" customHeight="1">
      <c r="A194" s="3"/>
      <c r="B194" s="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ht="21.0" hidden="1" customHeight="1">
      <c r="A195" s="3"/>
      <c r="B195" s="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ht="21.0" hidden="1" customHeight="1">
      <c r="A196" s="3"/>
      <c r="B196" s="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ht="21.0" hidden="1" customHeight="1">
      <c r="A197" s="3"/>
      <c r="B197" s="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ht="21.0" hidden="1" customHeight="1">
      <c r="A198" s="3"/>
      <c r="B198" s="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ht="21.0" hidden="1" customHeight="1">
      <c r="A199" s="3"/>
      <c r="B199" s="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ht="21.0" hidden="1" customHeight="1">
      <c r="A200" s="3"/>
      <c r="B200" s="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ht="21.0" hidden="1" customHeight="1">
      <c r="A201" s="3"/>
      <c r="B201" s="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ht="21.0" hidden="1" customHeight="1">
      <c r="A202" s="3"/>
      <c r="B202" s="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ht="21.0" hidden="1" customHeight="1">
      <c r="A203" s="3"/>
      <c r="B203" s="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ht="21.0" hidden="1" customHeight="1">
      <c r="A204" s="3"/>
      <c r="B204" s="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ht="21.0" hidden="1" customHeight="1">
      <c r="A205" s="3"/>
      <c r="B205" s="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ht="21.0" hidden="1" customHeight="1">
      <c r="A206" s="3"/>
      <c r="B206" s="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ht="21.0" hidden="1" customHeight="1">
      <c r="A207" s="3"/>
      <c r="B207" s="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ht="21.0" hidden="1" customHeight="1">
      <c r="A208" s="3"/>
      <c r="B208" s="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ht="21.0" hidden="1" customHeight="1">
      <c r="A209" s="3"/>
      <c r="B209" s="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ht="21.0" hidden="1" customHeight="1">
      <c r="A210" s="3"/>
      <c r="B210" s="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ht="21.0" hidden="1" customHeight="1">
      <c r="A211" s="3"/>
      <c r="B211" s="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ht="21.0" hidden="1" customHeight="1">
      <c r="A212" s="3"/>
      <c r="B212" s="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ht="21.0" hidden="1" customHeight="1">
      <c r="A213" s="3"/>
      <c r="B213" s="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ht="21.0" hidden="1" customHeight="1">
      <c r="A214" s="3"/>
      <c r="B214" s="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ht="21.0" hidden="1" customHeight="1">
      <c r="A215" s="3"/>
      <c r="B215" s="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ht="21.0" hidden="1" customHeight="1">
      <c r="A216" s="3"/>
      <c r="B216" s="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ht="21.0" hidden="1" customHeight="1">
      <c r="A217" s="3"/>
      <c r="B217" s="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ht="21.0" hidden="1" customHeight="1">
      <c r="A218" s="3"/>
      <c r="B218" s="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ht="21.0" hidden="1" customHeight="1">
      <c r="A219" s="3"/>
      <c r="B219" s="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ht="21.0" hidden="1" customHeight="1">
      <c r="A220" s="3"/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ht="21.0" hidden="1" customHeight="1">
      <c r="A221" s="3"/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ht="21.0" hidden="1" customHeight="1">
      <c r="A222" s="3"/>
      <c r="B222" s="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ht="21.0" hidden="1" customHeight="1">
      <c r="A223" s="3"/>
      <c r="B223" s="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ht="21.0" hidden="1" customHeight="1">
      <c r="A224" s="3"/>
      <c r="B224" s="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ht="21.0" hidden="1" customHeight="1">
      <c r="A225" s="3"/>
      <c r="B225" s="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ht="21.0" hidden="1" customHeight="1">
      <c r="A226" s="3"/>
      <c r="B226" s="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ht="21.0" hidden="1" customHeight="1">
      <c r="A227" s="3"/>
      <c r="B227" s="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ht="21.0" hidden="1" customHeight="1">
      <c r="A228" s="3"/>
      <c r="B228" s="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ht="21.0" hidden="1" customHeight="1">
      <c r="A229" s="3"/>
      <c r="B229" s="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ht="21.0" hidden="1" customHeight="1">
      <c r="A230" s="3"/>
      <c r="B230" s="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ht="21.0" hidden="1" customHeight="1">
      <c r="A231" s="3"/>
      <c r="B231" s="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ht="21.0" hidden="1" customHeight="1">
      <c r="A232" s="3"/>
      <c r="B232" s="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ht="21.0" hidden="1" customHeight="1">
      <c r="A233" s="3"/>
      <c r="B233" s="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ht="21.0" hidden="1" customHeight="1">
      <c r="A234" s="3"/>
      <c r="B234" s="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ht="21.0" hidden="1" customHeight="1">
      <c r="A235" s="3"/>
      <c r="B235" s="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ht="21.0" hidden="1" customHeight="1">
      <c r="A236" s="3"/>
      <c r="B236" s="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ht="21.0" hidden="1" customHeight="1">
      <c r="A237" s="3"/>
      <c r="B237" s="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ht="21.0" hidden="1" customHeight="1">
      <c r="A238" s="3"/>
      <c r="B238" s="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ht="21.0" hidden="1" customHeight="1">
      <c r="A239" s="3"/>
      <c r="B239" s="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ht="21.0" hidden="1" customHeight="1">
      <c r="A240" s="3"/>
      <c r="B240" s="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ht="21.0" hidden="1" customHeight="1">
      <c r="A241" s="3"/>
      <c r="B241" s="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ht="21.0" hidden="1" customHeight="1">
      <c r="A242" s="3"/>
      <c r="B242" s="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ht="21.0" hidden="1" customHeight="1">
      <c r="A243" s="3"/>
      <c r="B243" s="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ht="21.0" hidden="1" customHeight="1">
      <c r="A244" s="3"/>
      <c r="B244" s="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ht="21.0" hidden="1" customHeight="1">
      <c r="A245" s="3"/>
      <c r="B245" s="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ht="21.0" hidden="1" customHeight="1">
      <c r="A246" s="3"/>
      <c r="B246" s="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ht="21.0" hidden="1" customHeight="1">
      <c r="A247" s="3"/>
      <c r="B247" s="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ht="21.0" hidden="1" customHeight="1">
      <c r="A248" s="3"/>
      <c r="B248" s="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ht="21.0" hidden="1" customHeight="1">
      <c r="A249" s="3"/>
      <c r="B249" s="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ht="21.0" hidden="1" customHeight="1">
      <c r="A250" s="3"/>
      <c r="B250" s="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ht="21.0" hidden="1" customHeight="1">
      <c r="A251" s="3"/>
      <c r="B251" s="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ht="21.0" hidden="1" customHeight="1">
      <c r="A252" s="3"/>
      <c r="B252" s="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ht="21.0" hidden="1" customHeight="1">
      <c r="A253" s="3"/>
      <c r="B253" s="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ht="21.0" hidden="1" customHeight="1">
      <c r="A254" s="3"/>
      <c r="B254" s="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ht="21.0" hidden="1" customHeight="1">
      <c r="A255" s="3"/>
      <c r="B255" s="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ht="21.0" hidden="1" customHeight="1">
      <c r="A256" s="3"/>
      <c r="B256" s="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ht="21.0" hidden="1" customHeight="1">
      <c r="A257" s="3"/>
      <c r="B257" s="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ht="21.0" hidden="1" customHeight="1">
      <c r="A258" s="3"/>
      <c r="B258" s="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ht="21.0" hidden="1" customHeight="1">
      <c r="A259" s="3"/>
      <c r="B259" s="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ht="21.0" hidden="1" customHeight="1">
      <c r="A260" s="3"/>
      <c r="B260" s="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ht="21.0" hidden="1" customHeight="1">
      <c r="A261" s="3"/>
      <c r="B261" s="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ht="21.0" hidden="1" customHeight="1">
      <c r="A262" s="3"/>
      <c r="B262" s="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ht="21.0" hidden="1" customHeight="1">
      <c r="A263" s="3"/>
      <c r="B263" s="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ht="21.0" hidden="1" customHeight="1">
      <c r="A264" s="3"/>
      <c r="B264" s="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ht="21.0" hidden="1" customHeight="1">
      <c r="A265" s="3"/>
      <c r="B265" s="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ht="21.0" hidden="1" customHeight="1">
      <c r="A266" s="3"/>
      <c r="B266" s="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ht="21.0" hidden="1" customHeight="1">
      <c r="A267" s="3"/>
      <c r="B267" s="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ht="21.0" hidden="1" customHeight="1">
      <c r="A268" s="3"/>
      <c r="B268" s="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ht="21.0" hidden="1" customHeight="1">
      <c r="A269" s="3"/>
      <c r="B269" s="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ht="21.0" hidden="1" customHeight="1">
      <c r="A270" s="3"/>
      <c r="B270" s="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ht="21.0" hidden="1" customHeight="1">
      <c r="A271" s="3"/>
      <c r="B271" s="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ht="21.0" hidden="1" customHeight="1">
      <c r="A272" s="3"/>
      <c r="B272" s="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ht="21.0" hidden="1" customHeight="1">
      <c r="A273" s="3"/>
      <c r="B273" s="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ht="21.0" hidden="1" customHeight="1">
      <c r="A274" s="3"/>
      <c r="B274" s="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ht="21.0" hidden="1" customHeight="1">
      <c r="A275" s="3"/>
      <c r="B275" s="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ht="21.0" hidden="1" customHeight="1">
      <c r="A276" s="3"/>
      <c r="B276" s="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ht="21.0" hidden="1" customHeight="1">
      <c r="A277" s="3"/>
      <c r="B277" s="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ht="21.0" hidden="1" customHeight="1">
      <c r="A278" s="3"/>
      <c r="B278" s="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ht="21.0" hidden="1" customHeight="1">
      <c r="A279" s="3"/>
      <c r="B279" s="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ht="21.0" hidden="1" customHeight="1">
      <c r="A280" s="3"/>
      <c r="B280" s="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ht="21.0" hidden="1" customHeight="1">
      <c r="A281" s="3"/>
      <c r="B281" s="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ht="21.0" hidden="1" customHeight="1">
      <c r="A282" s="3"/>
      <c r="B282" s="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ht="21.0" hidden="1" customHeight="1">
      <c r="A283" s="3"/>
      <c r="B283" s="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ht="21.0" hidden="1" customHeight="1">
      <c r="A284" s="3"/>
      <c r="B284" s="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ht="21.0" hidden="1" customHeight="1">
      <c r="A285" s="3"/>
      <c r="B285" s="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ht="21.0" hidden="1" customHeight="1">
      <c r="A286" s="3"/>
      <c r="B286" s="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ht="21.0" hidden="1" customHeight="1">
      <c r="A287" s="3"/>
      <c r="B287" s="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ht="21.0" hidden="1" customHeight="1">
      <c r="A288" s="3"/>
      <c r="B288" s="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ht="21.0" hidden="1" customHeight="1">
      <c r="A289" s="3"/>
      <c r="B289" s="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ht="21.0" hidden="1" customHeight="1">
      <c r="A290" s="3"/>
      <c r="B290" s="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ht="21.0" hidden="1" customHeight="1">
      <c r="A291" s="3"/>
      <c r="B291" s="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ht="21.0" hidden="1" customHeight="1">
      <c r="A292" s="3"/>
      <c r="B292" s="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ht="21.0" hidden="1" customHeight="1">
      <c r="A293" s="3"/>
      <c r="B293" s="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ht="21.0" hidden="1" customHeight="1">
      <c r="A294" s="3"/>
      <c r="B294" s="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ht="21.0" hidden="1" customHeight="1">
      <c r="A295" s="3"/>
      <c r="B295" s="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ht="21.0" hidden="1" customHeight="1">
      <c r="A296" s="3"/>
      <c r="B296" s="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ht="21.0" hidden="1" customHeight="1">
      <c r="A297" s="3"/>
      <c r="B297" s="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ht="21.0" hidden="1" customHeight="1">
      <c r="A298" s="3"/>
      <c r="B298" s="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ht="21.0" hidden="1" customHeight="1">
      <c r="A299" s="3"/>
      <c r="B299" s="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ht="21.0" hidden="1" customHeight="1">
      <c r="A300" s="3"/>
      <c r="B300" s="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ht="21.0" hidden="1" customHeight="1">
      <c r="A301" s="3"/>
      <c r="B301" s="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ht="21.0" hidden="1" customHeight="1">
      <c r="A302" s="3"/>
      <c r="B302" s="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ht="21.0" hidden="1" customHeight="1">
      <c r="A303" s="3"/>
      <c r="B303" s="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ht="21.0" hidden="1" customHeight="1">
      <c r="A304" s="3"/>
      <c r="B304" s="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ht="21.0" hidden="1" customHeight="1">
      <c r="A305" s="3"/>
      <c r="B305" s="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ht="21.0" hidden="1" customHeight="1">
      <c r="A306" s="3"/>
      <c r="B306" s="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ht="21.0" hidden="1" customHeight="1">
      <c r="A307" s="3"/>
      <c r="B307" s="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ht="21.0" hidden="1" customHeight="1">
      <c r="A308" s="3"/>
      <c r="B308" s="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ht="21.0" hidden="1" customHeight="1">
      <c r="A309" s="3"/>
      <c r="B309" s="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ht="21.0" hidden="1" customHeight="1">
      <c r="A310" s="3"/>
      <c r="B310" s="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ht="21.0" hidden="1" customHeight="1">
      <c r="A311" s="3"/>
      <c r="B311" s="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ht="21.0" hidden="1" customHeight="1">
      <c r="A312" s="3"/>
      <c r="B312" s="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ht="21.0" hidden="1" customHeight="1">
      <c r="A313" s="3"/>
      <c r="B313" s="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ht="21.0" hidden="1" customHeight="1">
      <c r="A314" s="3"/>
      <c r="B314" s="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ht="21.0" hidden="1" customHeight="1">
      <c r="A315" s="3"/>
      <c r="B315" s="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ht="21.0" hidden="1" customHeight="1">
      <c r="A316" s="3"/>
      <c r="B316" s="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printOptions/>
  <pageMargins bottom="0.75" footer="0.0" header="0.0" left="0.7" right="0.7" top="0.75"/>
  <pageSetup paperSize="9" orientation="portrait"/>
  <drawing r:id="rId1"/>
</worksheet>
</file>