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ecasting chart" sheetId="1" r:id="rId4"/>
  </sheets>
  <definedNames/>
  <calcPr/>
</workbook>
</file>

<file path=xl/sharedStrings.xml><?xml version="1.0" encoding="utf-8"?>
<sst xmlns="http://schemas.openxmlformats.org/spreadsheetml/2006/main" count="98" uniqueCount="47">
  <si>
    <t>Use case short descriptions &amp; target</t>
  </si>
  <si>
    <t xml:space="preserve">Build mid &amp; long long term projections of emissions </t>
  </si>
  <si>
    <t>Changes to data injection &amp; structures</t>
  </si>
  <si>
    <t>"production data" will be expended with one column "Scenario" . This column will take one of three values - "basic", "pessimistic," "optimistic ". New field is required field. This field will detemine which lines are used for certain calculations</t>
  </si>
  <si>
    <t>Changes to UX/UI</t>
  </si>
  <si>
    <r>
      <rPr>
        <rFont val="Aptos Narrow"/>
        <color theme="1"/>
        <sz val="12.0"/>
      </rPr>
      <t xml:space="preserve"> First chart to be transformed
1. Now this chart can plot future values
2. Now this chart can plot </t>
    </r>
    <r>
      <rPr>
        <rFont val="Aptos Narrow"/>
        <b/>
        <color theme="1"/>
        <sz val="12.0"/>
      </rPr>
      <t>any up to</t>
    </r>
    <r>
      <rPr>
        <rFont val="Aptos Narrow"/>
        <color theme="1"/>
        <sz val="12.0"/>
      </rPr>
      <t xml:space="preserve"> 12 months based on selection
3. Chart can be switched to yearly mode. This is chart specific switcher. By click the switch, chart plots annual values rather then monthly. This chart plots years 2024 to 2035 inclusive.
4. For forecasted (future) periods chart is capable of plotting three lines - "Base scenario", "Optimistic scenario", "Pessimistic scenario". "Base scenario" is always continuation of histroic figures if data is available. For each scenario intensity is calculated
5. Chart can be switched from volumes to intensity. Only either intensity or volumes can be calcualted.
6. Optimistic/Pessimistic scenarios display values on hover</t>
    </r>
  </si>
  <si>
    <t>Changes to logics</t>
  </si>
  <si>
    <r>
      <rPr>
        <rFont val="Aptos Narrow"/>
        <color theme="1"/>
        <sz val="12.0"/>
      </rPr>
      <t xml:space="preserve">Logic change 1: System will allow calculation of L1-L2 values for future periods. System will allow &amp; store results of calculation for L1 &amp; L2 for all assets, even for those marked L3+.
Logic change 2: System will calculate L1-L2 values for three scenarios based on new columns 
[WIP] Plottable values:
System takes last  available year of emissions as starting point. 
System will calculate upcoming year in the following manner:
1. For given forecasted month, system will pull same month from last full available year, multiply it by L2 values for forecasted month and divide by by L2 values for source month. Example: 
We forecast value for december 2027. System looks into december actual emissions (best available) for december 2024 (last full year) multiply it by forecasted L2 values for december 2027 and divide it by december 2027 L2 values. Product of this operation is core trend
2. System will look into "emission register". System will look into projects deadlines. For given follow up with deadline in future, system will pply same adjustment operation as for base value from P1 . Result is expected volume of emissions covered by follow up in future. This volume is deducted from P1 value.
3. System will look into plotted abatement initiatiatives on the AC that were calculated automatically.  System will takes </t>
    </r>
    <r>
      <rPr>
        <rFont val="Aptos Narrow"/>
        <b/>
        <color theme="1"/>
        <sz val="12.0"/>
      </rPr>
      <t>volumes</t>
    </r>
    <r>
      <rPr>
        <rFont val="Aptos Narrow"/>
        <color theme="1"/>
        <sz val="12.0"/>
      </rPr>
      <t xml:space="preserve"> for those initatives that hava "abatement cost" below the one specified by the user in settings (new filed).For given initiative with deadline in future, system will apply same adjustment operation as for base value from P1.Result is expected volume of emissions covered by initative in future. This volume is deducted from P1 value. Deduction happens separatly for each follow-up/initiatve and becomes effective on month of deadline or on "Lunch year" (for automatic calulcation). 
4. System adds all values proposed by "External" Multimodal Model outputs in case if equipments mentioned in that data set is not covered in points 2-4. Elaboration on this will come later.
5. The result is forecasted value for given asset. This operation is executed for all three scenarios.
</t>
    </r>
  </si>
  <si>
    <t>Additional changes</t>
  </si>
  <si>
    <t>Forecasted values will be used in waterfall chart as final value if future period is selected.</t>
  </si>
  <si>
    <t>Changes to user journey</t>
  </si>
  <si>
    <t xml:space="preserve">None
</t>
  </si>
  <si>
    <t>Example - volumes</t>
  </si>
  <si>
    <t>Target abatement cost (user input)</t>
  </si>
  <si>
    <t>Follow-on 1</t>
  </si>
  <si>
    <t xml:space="preserve">Deadline </t>
  </si>
  <si>
    <t>Follow-on 2</t>
  </si>
  <si>
    <t>Automated initiative</t>
  </si>
  <si>
    <t xml:space="preserve">Launch date </t>
  </si>
  <si>
    <t>Gas factor master</t>
  </si>
  <si>
    <t>Reductions</t>
  </si>
  <si>
    <t>Abatement cost</t>
  </si>
  <si>
    <t>Gas density</t>
  </si>
  <si>
    <t>Methane conent</t>
  </si>
  <si>
    <t>Existing volume</t>
  </si>
  <si>
    <t>Projected month</t>
  </si>
  <si>
    <t>Month</t>
  </si>
  <si>
    <t>Period</t>
  </si>
  <si>
    <t>Plottable value (historic)</t>
  </si>
  <si>
    <t>Factual methane volumes (best estimation)</t>
  </si>
  <si>
    <t>Exsiting methane volumes (L2)</t>
  </si>
  <si>
    <t>Exsiting methane volumes (L2 - basic Optimistic)</t>
  </si>
  <si>
    <t>Future methane volumes (L2 - basic senario)</t>
  </si>
  <si>
    <t>Exsiting methane volumes (L2 - basic pessimistic)</t>
  </si>
  <si>
    <t>Follow-on number1</t>
  </si>
  <si>
    <t>Follow-on number 2</t>
  </si>
  <si>
    <t>Initiative 1</t>
  </si>
  <si>
    <t>Initiative 2</t>
  </si>
  <si>
    <t>Plottable value</t>
  </si>
  <si>
    <t>Plotted - optimistic scenario</t>
  </si>
  <si>
    <t>Plotted - base scenario</t>
  </si>
  <si>
    <t>Plotted - pessimistic scenario</t>
  </si>
  <si>
    <t>Example - intensity</t>
  </si>
  <si>
    <t>Injested from intensity upload</t>
  </si>
  <si>
    <t>Gas throughput -  optimistic scenario</t>
  </si>
  <si>
    <t>Gas throughput - basic scenario</t>
  </si>
  <si>
    <t>Gas throughput -pessimistic scenario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</si>
</sst>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9">
    <font>
      <sz val="10.0"/>
      <color rgb="FF000000"/>
      <name val="Arial"/>
      <scheme val="minor"/>
    </font>
    <font>
      <b/>
      <sz val="12.0"/>
      <color theme="1"/>
      <name val="Aptos Narrow"/>
    </font>
    <font/>
    <font>
      <sz val="12.0"/>
      <color theme="1"/>
      <name val="Aptos Narrow"/>
    </font>
    <font>
      <sz val="12.0"/>
      <color rgb="FFFF0000"/>
      <name val="Aptos Narrow"/>
    </font>
    <font>
      <b/>
      <sz val="11.0"/>
      <color theme="1"/>
      <name val="Aptos Narrow"/>
    </font>
    <font>
      <u/>
      <sz val="11.0"/>
      <color theme="1"/>
      <name val="Aptos Narrow"/>
    </font>
    <font>
      <sz val="11.0"/>
      <color theme="1"/>
      <name val="Aptos Narrow"/>
    </font>
    <font>
      <color theme="1"/>
      <name val="Arial"/>
      <scheme val="minor"/>
    </font>
  </fonts>
  <fills count="4">
    <fill>
      <patternFill patternType="none"/>
    </fill>
    <fill>
      <patternFill patternType="lightGray"/>
    </fill>
    <fill>
      <patternFill patternType="solid">
        <fgColor theme="0"/>
        <bgColor theme="0"/>
      </patternFill>
    </fill>
    <fill>
      <patternFill patternType="solid">
        <fgColor rgb="FFD9F2D0"/>
        <bgColor rgb="FFD9F2D0"/>
      </patternFill>
    </fill>
  </fills>
  <borders count="17">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right/>
      <top/>
      <bottom/>
    </border>
    <border>
      <right/>
      <top style="medium">
        <color rgb="FF000000"/>
      </top>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1" fillId="2" fontId="3" numFmtId="0" xfId="0" applyAlignment="1" applyBorder="1" applyFont="1">
      <alignment horizontal="left" shrinkToFit="0" wrapText="1"/>
    </xf>
    <xf borderId="3" fillId="0" fontId="2" numFmtId="0" xfId="0" applyBorder="1" applyFont="1"/>
    <xf borderId="4" fillId="2" fontId="3" numFmtId="0" xfId="0" applyAlignment="1" applyBorder="1" applyFont="1">
      <alignment shrinkToFit="0" wrapText="1"/>
    </xf>
    <xf borderId="1" fillId="2" fontId="1" numFmtId="0" xfId="0" applyAlignment="1" applyBorder="1" applyFont="1">
      <alignment horizontal="center" shrinkToFit="0" vertical="center" wrapText="1"/>
    </xf>
    <xf borderId="1" fillId="2" fontId="4" numFmtId="0" xfId="0" applyAlignment="1" applyBorder="1" applyFont="1">
      <alignment horizontal="left" shrinkToFit="0" vertical="center" wrapText="1"/>
    </xf>
    <xf borderId="1" fillId="2" fontId="3" numFmtId="0" xfId="0" applyAlignment="1" applyBorder="1" applyFont="1">
      <alignment horizontal="left" shrinkToFit="0" vertical="center" wrapText="1"/>
    </xf>
    <xf borderId="5" fillId="0" fontId="2" numFmtId="0" xfId="0" applyBorder="1" applyFont="1"/>
    <xf borderId="1" fillId="0" fontId="1" numFmtId="0" xfId="0" applyAlignment="1" applyBorder="1" applyFont="1">
      <alignment horizontal="center" shrinkToFit="0" vertical="center" wrapText="1"/>
    </xf>
    <xf borderId="6" fillId="0" fontId="3" numFmtId="0" xfId="0" applyAlignment="1" applyBorder="1" applyFont="1">
      <alignment horizontal="left" shrinkToFit="0" vertical="center" wrapText="1"/>
    </xf>
    <xf borderId="7" fillId="0" fontId="2" numFmtId="0" xfId="0" applyBorder="1" applyFont="1"/>
    <xf borderId="8" fillId="0" fontId="2" numFmtId="0" xfId="0" applyBorder="1" applyFont="1"/>
    <xf borderId="9" fillId="3" fontId="5" numFmtId="0" xfId="0" applyBorder="1" applyFill="1" applyFont="1"/>
    <xf borderId="0" fillId="0" fontId="6" numFmtId="0" xfId="0" applyFont="1"/>
    <xf borderId="1" fillId="0" fontId="7" numFmtId="0" xfId="0" applyBorder="1" applyFont="1"/>
    <xf borderId="2" fillId="0" fontId="7" numFmtId="0" xfId="0" applyBorder="1" applyFont="1"/>
    <xf borderId="10" fillId="0" fontId="7" numFmtId="0" xfId="0" applyBorder="1" applyFont="1"/>
    <xf borderId="11" fillId="0" fontId="7" numFmtId="0" xfId="0" applyBorder="1" applyFont="1"/>
    <xf borderId="12" fillId="0" fontId="7" numFmtId="14" xfId="0" applyBorder="1" applyFont="1" applyNumberFormat="1"/>
    <xf borderId="12" fillId="0" fontId="7" numFmtId="0" xfId="0" applyBorder="1" applyFont="1"/>
    <xf borderId="6" fillId="0" fontId="7" numFmtId="0" xfId="0" applyBorder="1" applyFont="1"/>
    <xf borderId="7" fillId="0" fontId="7" numFmtId="0" xfId="0" applyBorder="1" applyFont="1"/>
    <xf borderId="8" fillId="0" fontId="7" numFmtId="0" xfId="0" applyBorder="1" applyFont="1"/>
    <xf borderId="13" fillId="0" fontId="7" numFmtId="0" xfId="0" applyBorder="1" applyFont="1"/>
    <xf borderId="0" fillId="0" fontId="8" numFmtId="0" xfId="0" applyFont="1"/>
    <xf borderId="14" fillId="0" fontId="7" numFmtId="0" xfId="0" applyBorder="1" applyFont="1"/>
    <xf borderId="7" fillId="0" fontId="7" numFmtId="9" xfId="0" applyBorder="1" applyFont="1" applyNumberFormat="1"/>
    <xf borderId="0" fillId="0" fontId="7" numFmtId="14" xfId="0" applyFont="1" applyNumberFormat="1"/>
    <xf borderId="0" fillId="0" fontId="7" numFmtId="2" xfId="0" applyFont="1" applyNumberFormat="1"/>
    <xf borderId="15" fillId="0" fontId="7" numFmtId="0" xfId="0" applyBorder="1" applyFont="1"/>
    <xf borderId="16" fillId="0" fontId="5" numFmtId="0" xfId="0" applyBorder="1" applyFont="1"/>
    <xf borderId="16" fillId="0" fontId="7" numFmtId="0" xfId="0" applyBorder="1" applyFont="1"/>
    <xf borderId="11" fillId="0" fontId="5" numFmtId="0" xfId="0" applyBorder="1" applyFont="1"/>
    <xf borderId="11" fillId="0" fontId="5" numFmtId="164" xfId="0" applyBorder="1" applyFont="1" applyNumberFormat="1"/>
    <xf borderId="13" fillId="0" fontId="5" numFmtId="0" xfId="0" applyBorder="1" applyFont="1"/>
    <xf borderId="0" fillId="0" fontId="5" numFmtId="0" xfId="0" applyFont="1"/>
    <xf borderId="0" fillId="0" fontId="5" numFmtId="164" xfId="0" applyFont="1" applyNumberFormat="1"/>
    <xf borderId="7" fillId="0" fontId="5" numFmtId="0" xfId="0" applyBorder="1" applyFont="1"/>
    <xf borderId="7" fillId="0" fontId="5" numFmtId="164" xfId="0" applyBorder="1" applyFont="1" applyNumberFormat="1"/>
    <xf borderId="0" fillId="0" fontId="5"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3E5A1"/>
    <pageSetUpPr/>
  </sheetPr>
  <sheetViews>
    <sheetView workbookViewId="0"/>
  </sheetViews>
  <sheetFormatPr customHeight="1" defaultColWidth="12.63" defaultRowHeight="15.75"/>
  <cols>
    <col customWidth="1" min="1" max="1" width="8.63"/>
    <col customWidth="1" min="2" max="2" width="52.0"/>
    <col customWidth="1" min="3" max="3" width="20.63"/>
    <col customWidth="1" min="4" max="4" width="28.38"/>
    <col customWidth="1" min="5" max="5" width="23.63"/>
    <col customWidth="1" min="6" max="6" width="26.88"/>
    <col customWidth="1" min="7" max="7" width="39.13"/>
    <col customWidth="1" min="8" max="8" width="16.63"/>
    <col customWidth="1" min="9" max="9" width="17.38"/>
    <col customWidth="1" min="10" max="10" width="11.38"/>
    <col customWidth="1" min="11" max="11" width="21.13"/>
    <col customWidth="1" min="12" max="12" width="22.13"/>
    <col customWidth="1" min="13" max="13" width="20.88"/>
    <col customWidth="1" min="14" max="14" width="11.38"/>
    <col customWidth="1" min="15" max="15" width="17.63"/>
    <col customWidth="1" min="16" max="16" width="13.88"/>
    <col customWidth="1" min="17" max="17" width="12.13"/>
    <col customWidth="1" min="18" max="19" width="10.38"/>
    <col customWidth="1" min="20" max="20" width="14.63"/>
    <col customWidth="1" min="21" max="24" width="10.38"/>
    <col customWidth="1" min="25" max="26" width="14.63"/>
    <col customWidth="1" min="27" max="27" width="10.38"/>
    <col customWidth="1" min="28" max="29" width="14.63"/>
    <col customWidth="1" min="30" max="40" width="10.38"/>
  </cols>
  <sheetData>
    <row r="1" ht="14.25" customHeight="1"/>
    <row r="2" ht="14.25" customHeight="1"/>
    <row r="3" ht="14.25" customHeight="1"/>
    <row r="4" ht="14.25" customHeight="1">
      <c r="C4" s="1" t="s">
        <v>0</v>
      </c>
      <c r="D4" s="2"/>
      <c r="E4" s="3" t="s">
        <v>1</v>
      </c>
      <c r="F4" s="4"/>
      <c r="G4" s="2"/>
    </row>
    <row r="5" ht="14.25" customHeight="1">
      <c r="C5" s="5"/>
      <c r="D5" s="5"/>
      <c r="E5" s="5"/>
      <c r="F5" s="5"/>
      <c r="G5" s="5"/>
    </row>
    <row r="6" ht="81.0" customHeight="1">
      <c r="C6" s="6" t="s">
        <v>2</v>
      </c>
      <c r="D6" s="2"/>
      <c r="E6" s="7" t="s">
        <v>3</v>
      </c>
      <c r="F6" s="4"/>
      <c r="G6" s="2"/>
    </row>
    <row r="7" ht="157.5" customHeight="1">
      <c r="C7" s="6" t="s">
        <v>4</v>
      </c>
      <c r="D7" s="2"/>
      <c r="E7" s="8" t="s">
        <v>5</v>
      </c>
      <c r="F7" s="4"/>
      <c r="G7" s="2"/>
    </row>
    <row r="8" ht="369.75" customHeight="1">
      <c r="C8" s="6" t="s">
        <v>6</v>
      </c>
      <c r="D8" s="2"/>
      <c r="E8" s="8" t="s">
        <v>7</v>
      </c>
      <c r="F8" s="4"/>
      <c r="G8" s="2"/>
    </row>
    <row r="9" ht="48.75" customHeight="1">
      <c r="C9" s="6" t="s">
        <v>8</v>
      </c>
      <c r="D9" s="9"/>
      <c r="E9" s="8" t="s">
        <v>9</v>
      </c>
      <c r="F9" s="4"/>
      <c r="G9" s="2"/>
    </row>
    <row r="10" ht="48.0" customHeight="1">
      <c r="C10" s="10" t="s">
        <v>10</v>
      </c>
      <c r="D10" s="4"/>
      <c r="E10" s="11" t="s">
        <v>11</v>
      </c>
      <c r="F10" s="12"/>
      <c r="G10" s="13"/>
    </row>
    <row r="11" ht="14.25" customHeight="1"/>
    <row r="12" ht="14.25" customHeight="1">
      <c r="A12" s="14"/>
      <c r="B12" s="14" t="s">
        <v>12</v>
      </c>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row>
    <row r="13" ht="14.25" customHeight="1">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row>
    <row r="14" ht="14.25" customHeight="1">
      <c r="F14" s="16" t="s">
        <v>13</v>
      </c>
      <c r="G14" s="17">
        <v>10.0</v>
      </c>
    </row>
    <row r="15" ht="14.25" customHeight="1"/>
    <row r="16" ht="14.25" customHeight="1">
      <c r="C16" s="18" t="s">
        <v>14</v>
      </c>
      <c r="D16" s="19" t="s">
        <v>15</v>
      </c>
      <c r="E16" s="20">
        <v>45778.0</v>
      </c>
      <c r="G16" s="18" t="s">
        <v>16</v>
      </c>
      <c r="H16" s="19" t="s">
        <v>15</v>
      </c>
      <c r="I16" s="20">
        <v>45717.0</v>
      </c>
      <c r="K16" s="18" t="s">
        <v>17</v>
      </c>
      <c r="L16" s="19" t="s">
        <v>18</v>
      </c>
      <c r="M16" s="20">
        <v>46023.0</v>
      </c>
      <c r="O16" s="18" t="s">
        <v>17</v>
      </c>
      <c r="P16" s="19" t="s">
        <v>18</v>
      </c>
      <c r="Q16" s="20">
        <v>46023.0</v>
      </c>
      <c r="S16" s="18" t="s">
        <v>19</v>
      </c>
      <c r="T16" s="19"/>
      <c r="U16" s="19"/>
      <c r="V16" s="21"/>
    </row>
    <row r="17" ht="14.25" customHeight="1">
      <c r="C17" s="22"/>
      <c r="D17" s="23" t="s">
        <v>20</v>
      </c>
      <c r="E17" s="24">
        <v>10.0</v>
      </c>
      <c r="G17" s="22"/>
      <c r="H17" s="23" t="s">
        <v>20</v>
      </c>
      <c r="I17" s="24">
        <v>5.0</v>
      </c>
      <c r="K17" s="25"/>
      <c r="L17" s="26" t="s">
        <v>21</v>
      </c>
      <c r="M17" s="27">
        <v>15.0</v>
      </c>
      <c r="O17" s="25"/>
      <c r="P17" s="26" t="s">
        <v>21</v>
      </c>
      <c r="Q17" s="27">
        <v>5.0</v>
      </c>
      <c r="S17" s="25"/>
      <c r="T17" s="26" t="s">
        <v>22</v>
      </c>
      <c r="U17" s="26">
        <v>0.74</v>
      </c>
      <c r="V17" s="27"/>
    </row>
    <row r="18" ht="14.25" customHeight="1">
      <c r="K18" s="22"/>
      <c r="L18" s="23" t="s">
        <v>20</v>
      </c>
      <c r="M18" s="24">
        <v>5.0</v>
      </c>
      <c r="O18" s="22"/>
      <c r="P18" s="23" t="s">
        <v>20</v>
      </c>
      <c r="Q18" s="24">
        <v>5.0</v>
      </c>
      <c r="S18" s="22"/>
      <c r="T18" s="23" t="s">
        <v>23</v>
      </c>
      <c r="U18" s="28">
        <v>0.95</v>
      </c>
      <c r="V18" s="24"/>
    </row>
    <row r="19" ht="14.25" customHeight="1"/>
    <row r="20" ht="14.25" customHeight="1">
      <c r="E20" s="26" t="s">
        <v>24</v>
      </c>
      <c r="F20" s="26" t="s">
        <v>24</v>
      </c>
      <c r="G20" s="26" t="s">
        <v>24</v>
      </c>
      <c r="H20" s="26" t="s">
        <v>24</v>
      </c>
      <c r="I20" s="26" t="s">
        <v>24</v>
      </c>
      <c r="J20" s="26" t="s">
        <v>24</v>
      </c>
      <c r="K20" s="26" t="s">
        <v>24</v>
      </c>
      <c r="L20" s="26" t="s">
        <v>24</v>
      </c>
      <c r="M20" s="26" t="s">
        <v>24</v>
      </c>
      <c r="N20" s="26" t="s">
        <v>24</v>
      </c>
      <c r="O20" s="26" t="s">
        <v>24</v>
      </c>
      <c r="P20" s="26" t="s">
        <v>24</v>
      </c>
      <c r="Q20" s="26" t="s">
        <v>25</v>
      </c>
      <c r="R20" s="26" t="s">
        <v>25</v>
      </c>
      <c r="S20" s="26" t="s">
        <v>25</v>
      </c>
      <c r="T20" s="26" t="s">
        <v>25</v>
      </c>
      <c r="U20" s="26" t="s">
        <v>25</v>
      </c>
      <c r="V20" s="26" t="s">
        <v>25</v>
      </c>
      <c r="W20" s="26" t="s">
        <v>25</v>
      </c>
      <c r="X20" s="26" t="s">
        <v>25</v>
      </c>
      <c r="Y20" s="26" t="s">
        <v>25</v>
      </c>
      <c r="Z20" s="26" t="s">
        <v>25</v>
      </c>
      <c r="AA20" s="26" t="s">
        <v>25</v>
      </c>
      <c r="AB20" s="26" t="s">
        <v>25</v>
      </c>
      <c r="AC20" s="26" t="s">
        <v>25</v>
      </c>
      <c r="AD20" s="26" t="s">
        <v>25</v>
      </c>
      <c r="AE20" s="26" t="s">
        <v>25</v>
      </c>
      <c r="AF20" s="26" t="s">
        <v>25</v>
      </c>
      <c r="AG20" s="26" t="s">
        <v>25</v>
      </c>
      <c r="AH20" s="26" t="s">
        <v>25</v>
      </c>
      <c r="AI20" s="26" t="s">
        <v>25</v>
      </c>
      <c r="AJ20" s="26" t="s">
        <v>25</v>
      </c>
      <c r="AK20" s="26" t="s">
        <v>25</v>
      </c>
      <c r="AL20" s="26" t="s">
        <v>25</v>
      </c>
      <c r="AM20" s="26" t="s">
        <v>25</v>
      </c>
      <c r="AN20" s="26" t="s">
        <v>25</v>
      </c>
    </row>
    <row r="21" ht="14.25" customHeight="1">
      <c r="C21" s="26" t="s">
        <v>26</v>
      </c>
      <c r="D21" s="29"/>
      <c r="E21" s="29">
        <f t="shared" ref="E21:F21" si="1">Q21-366</f>
        <v>45292</v>
      </c>
      <c r="F21" s="29">
        <f t="shared" si="1"/>
        <v>45323</v>
      </c>
      <c r="G21" s="29">
        <f t="shared" ref="G21:O21" si="2">S21-365</f>
        <v>45352</v>
      </c>
      <c r="H21" s="29">
        <f t="shared" si="2"/>
        <v>45383</v>
      </c>
      <c r="I21" s="29">
        <f t="shared" si="2"/>
        <v>45413</v>
      </c>
      <c r="J21" s="29">
        <f t="shared" si="2"/>
        <v>45444</v>
      </c>
      <c r="K21" s="29">
        <f t="shared" si="2"/>
        <v>45474</v>
      </c>
      <c r="L21" s="29">
        <f t="shared" si="2"/>
        <v>45505</v>
      </c>
      <c r="M21" s="29">
        <f t="shared" si="2"/>
        <v>45536</v>
      </c>
      <c r="N21" s="29">
        <f t="shared" si="2"/>
        <v>45566</v>
      </c>
      <c r="O21" s="29">
        <f t="shared" si="2"/>
        <v>45597</v>
      </c>
      <c r="P21" s="29">
        <v>45627.0</v>
      </c>
      <c r="Q21" s="29">
        <f t="shared" ref="Q21:R21" si="3">P21+31</f>
        <v>45658</v>
      </c>
      <c r="R21" s="29">
        <f t="shared" si="3"/>
        <v>45689</v>
      </c>
      <c r="S21" s="29">
        <f>R21+28</f>
        <v>45717</v>
      </c>
      <c r="T21" s="29">
        <f>S21+31</f>
        <v>45748</v>
      </c>
      <c r="U21" s="29">
        <f>T21+30</f>
        <v>45778</v>
      </c>
      <c r="V21" s="29">
        <f>U21+31</f>
        <v>45809</v>
      </c>
      <c r="W21" s="29">
        <f>V21+30</f>
        <v>45839</v>
      </c>
      <c r="X21" s="29">
        <f t="shared" ref="X21:Y21" si="4">W21+31</f>
        <v>45870</v>
      </c>
      <c r="Y21" s="29">
        <f t="shared" si="4"/>
        <v>45901</v>
      </c>
      <c r="Z21" s="29">
        <f>Y21+30</f>
        <v>45931</v>
      </c>
      <c r="AA21" s="29">
        <f>Z21+31</f>
        <v>45962</v>
      </c>
      <c r="AB21" s="29">
        <f>AA21+30</f>
        <v>45992</v>
      </c>
      <c r="AC21" s="29">
        <f t="shared" ref="AC21:AN21" si="5">Q21+365</f>
        <v>46023</v>
      </c>
      <c r="AD21" s="29">
        <f t="shared" si="5"/>
        <v>46054</v>
      </c>
      <c r="AE21" s="29">
        <f t="shared" si="5"/>
        <v>46082</v>
      </c>
      <c r="AF21" s="29">
        <f t="shared" si="5"/>
        <v>46113</v>
      </c>
      <c r="AG21" s="29">
        <f t="shared" si="5"/>
        <v>46143</v>
      </c>
      <c r="AH21" s="29">
        <f t="shared" si="5"/>
        <v>46174</v>
      </c>
      <c r="AI21" s="29">
        <f t="shared" si="5"/>
        <v>46204</v>
      </c>
      <c r="AJ21" s="29">
        <f t="shared" si="5"/>
        <v>46235</v>
      </c>
      <c r="AK21" s="29">
        <f t="shared" si="5"/>
        <v>46266</v>
      </c>
      <c r="AL21" s="29">
        <f t="shared" si="5"/>
        <v>46296</v>
      </c>
      <c r="AM21" s="29">
        <f t="shared" si="5"/>
        <v>46327</v>
      </c>
      <c r="AN21" s="29">
        <f t="shared" si="5"/>
        <v>46357</v>
      </c>
    </row>
    <row r="22" ht="14.25" customHeight="1">
      <c r="C22" s="26" t="s">
        <v>27</v>
      </c>
      <c r="P22" s="30">
        <v>0.0</v>
      </c>
      <c r="Q22" s="30">
        <v>1.0</v>
      </c>
      <c r="R22" s="30">
        <v>2.0</v>
      </c>
      <c r="S22" s="30">
        <v>3.0</v>
      </c>
      <c r="T22" s="30">
        <v>4.0</v>
      </c>
      <c r="U22" s="30">
        <v>5.0</v>
      </c>
      <c r="V22" s="30">
        <v>6.0</v>
      </c>
      <c r="W22" s="30">
        <v>7.0</v>
      </c>
      <c r="X22" s="30">
        <v>8.0</v>
      </c>
      <c r="Y22" s="30">
        <v>9.0</v>
      </c>
      <c r="Z22" s="30">
        <v>10.0</v>
      </c>
      <c r="AA22" s="30">
        <v>11.0</v>
      </c>
      <c r="AB22" s="30">
        <v>12.0</v>
      </c>
      <c r="AC22" s="30">
        <v>13.0</v>
      </c>
      <c r="AD22" s="30">
        <v>14.0</v>
      </c>
      <c r="AE22" s="30">
        <v>15.0</v>
      </c>
      <c r="AF22" s="30">
        <v>16.0</v>
      </c>
      <c r="AG22" s="30">
        <v>17.0</v>
      </c>
      <c r="AH22" s="30">
        <v>18.0</v>
      </c>
      <c r="AI22" s="30">
        <v>19.0</v>
      </c>
      <c r="AJ22" s="30">
        <v>20.0</v>
      </c>
      <c r="AK22" s="30">
        <v>21.0</v>
      </c>
      <c r="AL22" s="30">
        <v>22.0</v>
      </c>
      <c r="AM22" s="30">
        <v>23.0</v>
      </c>
      <c r="AN22" s="30">
        <v>24.0</v>
      </c>
    </row>
    <row r="23" ht="14.25" customHeight="1">
      <c r="A23" s="31"/>
      <c r="B23" s="32" t="s">
        <v>28</v>
      </c>
      <c r="C23" s="33" t="s">
        <v>29</v>
      </c>
      <c r="D23" s="33"/>
      <c r="E23" s="33">
        <v>546.0</v>
      </c>
      <c r="F23" s="33">
        <v>580.0</v>
      </c>
      <c r="G23" s="33">
        <v>571.0</v>
      </c>
      <c r="H23" s="33">
        <v>559.0</v>
      </c>
      <c r="I23" s="33">
        <v>550.0</v>
      </c>
      <c r="J23" s="33">
        <v>548.0</v>
      </c>
      <c r="K23" s="33">
        <v>580.0</v>
      </c>
      <c r="L23" s="33">
        <v>541.0</v>
      </c>
      <c r="M23" s="33">
        <v>532.0</v>
      </c>
      <c r="N23" s="33">
        <v>595.0</v>
      </c>
      <c r="O23" s="33">
        <v>505.0</v>
      </c>
      <c r="P23" s="33">
        <v>503.0</v>
      </c>
      <c r="Q23" s="33"/>
      <c r="R23" s="33"/>
      <c r="S23" s="33"/>
      <c r="T23" s="33"/>
      <c r="U23" s="33"/>
      <c r="V23" s="33"/>
      <c r="W23" s="33"/>
      <c r="X23" s="33"/>
      <c r="Y23" s="33"/>
      <c r="Z23" s="33"/>
      <c r="AA23" s="33"/>
      <c r="AB23" s="33"/>
      <c r="AC23" s="33"/>
      <c r="AD23" s="33"/>
      <c r="AE23" s="33"/>
      <c r="AF23" s="33"/>
      <c r="AG23" s="33"/>
      <c r="AH23" s="33"/>
      <c r="AI23" s="33"/>
      <c r="AJ23" s="33"/>
      <c r="AK23" s="33"/>
      <c r="AL23" s="33"/>
      <c r="AM23" s="33"/>
      <c r="AN23" s="33"/>
    </row>
    <row r="24" ht="14.25" customHeight="1">
      <c r="C24" s="26" t="s">
        <v>30</v>
      </c>
      <c r="E24" s="26">
        <v>551.46</v>
      </c>
      <c r="F24" s="26">
        <v>580.0</v>
      </c>
      <c r="G24" s="26">
        <v>576.71</v>
      </c>
      <c r="H24" s="26">
        <v>553.41</v>
      </c>
      <c r="I24" s="26">
        <v>544.5</v>
      </c>
      <c r="J24" s="26">
        <v>537.04</v>
      </c>
      <c r="K24" s="26">
        <v>585.8</v>
      </c>
      <c r="L24" s="26">
        <v>546.41</v>
      </c>
      <c r="M24" s="26">
        <v>537.32</v>
      </c>
      <c r="N24" s="26">
        <v>583.1</v>
      </c>
      <c r="O24" s="26">
        <v>510.05</v>
      </c>
      <c r="P24" s="26">
        <v>513.06</v>
      </c>
    </row>
    <row r="25" ht="14.25" customHeight="1">
      <c r="C25" s="26" t="s">
        <v>31</v>
      </c>
      <c r="Q25" s="26">
        <f>P23*1.02</f>
        <v>513.06</v>
      </c>
      <c r="R25" s="26">
        <f t="shared" ref="R25:AN25" si="6">Q25*1.02</f>
        <v>523.3212</v>
      </c>
      <c r="S25" s="26">
        <f t="shared" si="6"/>
        <v>533.787624</v>
      </c>
      <c r="T25" s="26">
        <f t="shared" si="6"/>
        <v>544.4633765</v>
      </c>
      <c r="U25" s="26">
        <f t="shared" si="6"/>
        <v>555.352644</v>
      </c>
      <c r="V25" s="26">
        <f t="shared" si="6"/>
        <v>566.4596969</v>
      </c>
      <c r="W25" s="26">
        <f t="shared" si="6"/>
        <v>577.7888908</v>
      </c>
      <c r="X25" s="26">
        <f t="shared" si="6"/>
        <v>589.3446686</v>
      </c>
      <c r="Y25" s="26">
        <f t="shared" si="6"/>
        <v>601.131562</v>
      </c>
      <c r="Z25" s="26">
        <f t="shared" si="6"/>
        <v>613.1541933</v>
      </c>
      <c r="AA25" s="26">
        <f t="shared" si="6"/>
        <v>625.4172771</v>
      </c>
      <c r="AB25" s="26">
        <f t="shared" si="6"/>
        <v>637.9256227</v>
      </c>
      <c r="AC25" s="26">
        <f t="shared" si="6"/>
        <v>650.6841351</v>
      </c>
      <c r="AD25" s="26">
        <f t="shared" si="6"/>
        <v>663.6978178</v>
      </c>
      <c r="AE25" s="26">
        <f t="shared" si="6"/>
        <v>676.9717742</v>
      </c>
      <c r="AF25" s="26">
        <f t="shared" si="6"/>
        <v>690.5112097</v>
      </c>
      <c r="AG25" s="26">
        <f t="shared" si="6"/>
        <v>704.3214339</v>
      </c>
      <c r="AH25" s="26">
        <f t="shared" si="6"/>
        <v>718.4078625</v>
      </c>
      <c r="AI25" s="26">
        <f t="shared" si="6"/>
        <v>732.7760198</v>
      </c>
      <c r="AJ25" s="26">
        <f t="shared" si="6"/>
        <v>747.4315402</v>
      </c>
      <c r="AK25" s="26">
        <f t="shared" si="6"/>
        <v>762.380171</v>
      </c>
      <c r="AL25" s="26">
        <f t="shared" si="6"/>
        <v>777.6277744</v>
      </c>
      <c r="AM25" s="26">
        <f t="shared" si="6"/>
        <v>793.1803299</v>
      </c>
      <c r="AN25" s="26">
        <f t="shared" si="6"/>
        <v>809.0439365</v>
      </c>
    </row>
    <row r="26" ht="14.25" customHeight="1">
      <c r="C26" s="26" t="s">
        <v>32</v>
      </c>
      <c r="P26" s="26">
        <f>P23</f>
        <v>503</v>
      </c>
      <c r="Q26" s="26">
        <f>P23*1.01</f>
        <v>508.03</v>
      </c>
      <c r="R26" s="26">
        <f t="shared" ref="R26:AN26" si="7">Q26*1.01</f>
        <v>513.1103</v>
      </c>
      <c r="S26" s="26">
        <f t="shared" si="7"/>
        <v>518.241403</v>
      </c>
      <c r="T26" s="26">
        <f t="shared" si="7"/>
        <v>523.423817</v>
      </c>
      <c r="U26" s="26">
        <f t="shared" si="7"/>
        <v>528.6580552</v>
      </c>
      <c r="V26" s="26">
        <f t="shared" si="7"/>
        <v>533.9446358</v>
      </c>
      <c r="W26" s="26">
        <f t="shared" si="7"/>
        <v>539.2840821</v>
      </c>
      <c r="X26" s="26">
        <f t="shared" si="7"/>
        <v>544.6769229</v>
      </c>
      <c r="Y26" s="26">
        <f t="shared" si="7"/>
        <v>550.1236922</v>
      </c>
      <c r="Z26" s="26">
        <f t="shared" si="7"/>
        <v>555.6249291</v>
      </c>
      <c r="AA26" s="26">
        <f t="shared" si="7"/>
        <v>561.1811784</v>
      </c>
      <c r="AB26" s="26">
        <f t="shared" si="7"/>
        <v>566.7929902</v>
      </c>
      <c r="AC26" s="26">
        <f t="shared" si="7"/>
        <v>572.4609201</v>
      </c>
      <c r="AD26" s="26">
        <f t="shared" si="7"/>
        <v>578.1855293</v>
      </c>
      <c r="AE26" s="26">
        <f t="shared" si="7"/>
        <v>583.9673846</v>
      </c>
      <c r="AF26" s="26">
        <f t="shared" si="7"/>
        <v>589.8070584</v>
      </c>
      <c r="AG26" s="26">
        <f t="shared" si="7"/>
        <v>595.705129</v>
      </c>
      <c r="AH26" s="26">
        <f t="shared" si="7"/>
        <v>601.6621803</v>
      </c>
      <c r="AI26" s="26">
        <f t="shared" si="7"/>
        <v>607.6788021</v>
      </c>
      <c r="AJ26" s="26">
        <f t="shared" si="7"/>
        <v>613.7555901</v>
      </c>
      <c r="AK26" s="26">
        <f t="shared" si="7"/>
        <v>619.893146</v>
      </c>
      <c r="AL26" s="26">
        <f t="shared" si="7"/>
        <v>626.0920775</v>
      </c>
      <c r="AM26" s="26">
        <f t="shared" si="7"/>
        <v>632.3529982</v>
      </c>
      <c r="AN26" s="26">
        <f t="shared" si="7"/>
        <v>638.6765282</v>
      </c>
    </row>
    <row r="27" ht="14.25" customHeight="1">
      <c r="C27" s="26" t="s">
        <v>33</v>
      </c>
      <c r="Q27" s="26">
        <f>P23*0.99</f>
        <v>497.97</v>
      </c>
      <c r="R27" s="26">
        <f>Q27*0.99</f>
        <v>492.9903</v>
      </c>
      <c r="S27" s="26">
        <v>584.0</v>
      </c>
      <c r="T27" s="26">
        <v>616.0</v>
      </c>
      <c r="U27" s="26">
        <v>591.0</v>
      </c>
      <c r="V27" s="26">
        <v>574.0</v>
      </c>
      <c r="W27" s="26">
        <v>553.0</v>
      </c>
      <c r="X27" s="26">
        <v>550.0</v>
      </c>
      <c r="Y27" s="26">
        <v>592.0</v>
      </c>
      <c r="Z27" s="26">
        <v>552.0</v>
      </c>
      <c r="AA27" s="26">
        <v>546.0</v>
      </c>
      <c r="AB27" s="26">
        <v>550.0</v>
      </c>
      <c r="AC27" s="26">
        <v>613.0</v>
      </c>
      <c r="AD27" s="26">
        <v>620.0</v>
      </c>
      <c r="AE27" s="26">
        <v>600.0</v>
      </c>
      <c r="AF27" s="26">
        <v>614.0</v>
      </c>
      <c r="AG27" s="26">
        <v>562.0</v>
      </c>
      <c r="AH27" s="26">
        <v>595.0</v>
      </c>
      <c r="AI27" s="26">
        <v>591.0</v>
      </c>
      <c r="AJ27" s="26">
        <v>540.0</v>
      </c>
      <c r="AK27" s="26">
        <v>555.0</v>
      </c>
      <c r="AL27" s="26">
        <v>565.0</v>
      </c>
      <c r="AM27" s="26">
        <v>565.0</v>
      </c>
      <c r="AN27" s="26">
        <v>616.0</v>
      </c>
    </row>
    <row r="28" ht="14.25" customHeight="1">
      <c r="C28" s="26" t="s">
        <v>34</v>
      </c>
      <c r="P28" s="26">
        <f t="shared" ref="P28:AN28" si="8">IF(P21&gt;=$E$16,$E$17,0)</f>
        <v>0</v>
      </c>
      <c r="Q28" s="26">
        <f t="shared" si="8"/>
        <v>0</v>
      </c>
      <c r="R28" s="26">
        <f t="shared" si="8"/>
        <v>0</v>
      </c>
      <c r="S28" s="26">
        <f t="shared" si="8"/>
        <v>0</v>
      </c>
      <c r="T28" s="26">
        <f t="shared" si="8"/>
        <v>0</v>
      </c>
      <c r="U28" s="26">
        <f t="shared" si="8"/>
        <v>10</v>
      </c>
      <c r="V28" s="26">
        <f t="shared" si="8"/>
        <v>10</v>
      </c>
      <c r="W28" s="26">
        <f t="shared" si="8"/>
        <v>10</v>
      </c>
      <c r="X28" s="26">
        <f t="shared" si="8"/>
        <v>10</v>
      </c>
      <c r="Y28" s="26">
        <f t="shared" si="8"/>
        <v>10</v>
      </c>
      <c r="Z28" s="26">
        <f t="shared" si="8"/>
        <v>10</v>
      </c>
      <c r="AA28" s="26">
        <f t="shared" si="8"/>
        <v>10</v>
      </c>
      <c r="AB28" s="26">
        <f t="shared" si="8"/>
        <v>10</v>
      </c>
      <c r="AC28" s="26">
        <f t="shared" si="8"/>
        <v>10</v>
      </c>
      <c r="AD28" s="26">
        <f t="shared" si="8"/>
        <v>10</v>
      </c>
      <c r="AE28" s="26">
        <f t="shared" si="8"/>
        <v>10</v>
      </c>
      <c r="AF28" s="26">
        <f t="shared" si="8"/>
        <v>10</v>
      </c>
      <c r="AG28" s="26">
        <f t="shared" si="8"/>
        <v>10</v>
      </c>
      <c r="AH28" s="26">
        <f t="shared" si="8"/>
        <v>10</v>
      </c>
      <c r="AI28" s="26">
        <f t="shared" si="8"/>
        <v>10</v>
      </c>
      <c r="AJ28" s="26">
        <f t="shared" si="8"/>
        <v>10</v>
      </c>
      <c r="AK28" s="26">
        <f t="shared" si="8"/>
        <v>10</v>
      </c>
      <c r="AL28" s="26">
        <f t="shared" si="8"/>
        <v>10</v>
      </c>
      <c r="AM28" s="26">
        <f t="shared" si="8"/>
        <v>10</v>
      </c>
      <c r="AN28" s="26">
        <f t="shared" si="8"/>
        <v>10</v>
      </c>
    </row>
    <row r="29" ht="14.25" customHeight="1">
      <c r="C29" s="26" t="s">
        <v>35</v>
      </c>
      <c r="P29" s="26">
        <f t="shared" ref="P29:AN29" si="9">IF(P21&gt;=$I$16,$I$17,0)</f>
        <v>0</v>
      </c>
      <c r="Q29" s="26">
        <f t="shared" si="9"/>
        <v>0</v>
      </c>
      <c r="R29" s="26">
        <f t="shared" si="9"/>
        <v>0</v>
      </c>
      <c r="S29" s="26">
        <f t="shared" si="9"/>
        <v>5</v>
      </c>
      <c r="T29" s="26">
        <f t="shared" si="9"/>
        <v>5</v>
      </c>
      <c r="U29" s="26">
        <f t="shared" si="9"/>
        <v>5</v>
      </c>
      <c r="V29" s="26">
        <f t="shared" si="9"/>
        <v>5</v>
      </c>
      <c r="W29" s="26">
        <f t="shared" si="9"/>
        <v>5</v>
      </c>
      <c r="X29" s="26">
        <f t="shared" si="9"/>
        <v>5</v>
      </c>
      <c r="Y29" s="26">
        <f t="shared" si="9"/>
        <v>5</v>
      </c>
      <c r="Z29" s="26">
        <f t="shared" si="9"/>
        <v>5</v>
      </c>
      <c r="AA29" s="26">
        <f t="shared" si="9"/>
        <v>5</v>
      </c>
      <c r="AB29" s="26">
        <f t="shared" si="9"/>
        <v>5</v>
      </c>
      <c r="AC29" s="26">
        <f t="shared" si="9"/>
        <v>5</v>
      </c>
      <c r="AD29" s="26">
        <f t="shared" si="9"/>
        <v>5</v>
      </c>
      <c r="AE29" s="26">
        <f t="shared" si="9"/>
        <v>5</v>
      </c>
      <c r="AF29" s="26">
        <f t="shared" si="9"/>
        <v>5</v>
      </c>
      <c r="AG29" s="26">
        <f t="shared" si="9"/>
        <v>5</v>
      </c>
      <c r="AH29" s="26">
        <f t="shared" si="9"/>
        <v>5</v>
      </c>
      <c r="AI29" s="26">
        <f t="shared" si="9"/>
        <v>5</v>
      </c>
      <c r="AJ29" s="26">
        <f t="shared" si="9"/>
        <v>5</v>
      </c>
      <c r="AK29" s="26">
        <f t="shared" si="9"/>
        <v>5</v>
      </c>
      <c r="AL29" s="26">
        <f t="shared" si="9"/>
        <v>5</v>
      </c>
      <c r="AM29" s="26">
        <f t="shared" si="9"/>
        <v>5</v>
      </c>
      <c r="AN29" s="26">
        <f t="shared" si="9"/>
        <v>5</v>
      </c>
    </row>
    <row r="30" ht="14.25" customHeight="1">
      <c r="C30" s="26" t="s">
        <v>36</v>
      </c>
      <c r="P30" s="26">
        <f t="shared" ref="P30:AN30" si="10">IF(AND(P21&gt;=$M$16,$G$14&lt;=$M$17),$M$18,0)</f>
        <v>0</v>
      </c>
      <c r="Q30" s="26">
        <f t="shared" si="10"/>
        <v>0</v>
      </c>
      <c r="R30" s="26">
        <f t="shared" si="10"/>
        <v>0</v>
      </c>
      <c r="S30" s="26">
        <f t="shared" si="10"/>
        <v>0</v>
      </c>
      <c r="T30" s="26">
        <f t="shared" si="10"/>
        <v>0</v>
      </c>
      <c r="U30" s="26">
        <f t="shared" si="10"/>
        <v>0</v>
      </c>
      <c r="V30" s="26">
        <f t="shared" si="10"/>
        <v>0</v>
      </c>
      <c r="W30" s="26">
        <f t="shared" si="10"/>
        <v>0</v>
      </c>
      <c r="X30" s="26">
        <f t="shared" si="10"/>
        <v>0</v>
      </c>
      <c r="Y30" s="26">
        <f t="shared" si="10"/>
        <v>0</v>
      </c>
      <c r="Z30" s="26">
        <f t="shared" si="10"/>
        <v>0</v>
      </c>
      <c r="AA30" s="26">
        <f t="shared" si="10"/>
        <v>0</v>
      </c>
      <c r="AB30" s="26">
        <f t="shared" si="10"/>
        <v>0</v>
      </c>
      <c r="AC30" s="26">
        <f t="shared" si="10"/>
        <v>5</v>
      </c>
      <c r="AD30" s="26">
        <f t="shared" si="10"/>
        <v>5</v>
      </c>
      <c r="AE30" s="26">
        <f t="shared" si="10"/>
        <v>5</v>
      </c>
      <c r="AF30" s="26">
        <f t="shared" si="10"/>
        <v>5</v>
      </c>
      <c r="AG30" s="26">
        <f t="shared" si="10"/>
        <v>5</v>
      </c>
      <c r="AH30" s="26">
        <f t="shared" si="10"/>
        <v>5</v>
      </c>
      <c r="AI30" s="26">
        <f t="shared" si="10"/>
        <v>5</v>
      </c>
      <c r="AJ30" s="26">
        <f t="shared" si="10"/>
        <v>5</v>
      </c>
      <c r="AK30" s="26">
        <f t="shared" si="10"/>
        <v>5</v>
      </c>
      <c r="AL30" s="26">
        <f t="shared" si="10"/>
        <v>5</v>
      </c>
      <c r="AM30" s="26">
        <f t="shared" si="10"/>
        <v>5</v>
      </c>
      <c r="AN30" s="26">
        <f t="shared" si="10"/>
        <v>5</v>
      </c>
    </row>
    <row r="31" ht="14.25" customHeight="1">
      <c r="C31" s="26" t="s">
        <v>37</v>
      </c>
      <c r="P31" s="26">
        <f t="shared" ref="P31:AN31" si="11">-IF(AND(P21&gt;=$Q$16,$G$14&lt;=$Q$17),$Q$18,0)</f>
        <v>0</v>
      </c>
      <c r="Q31" s="26">
        <f t="shared" si="11"/>
        <v>0</v>
      </c>
      <c r="R31" s="26">
        <f t="shared" si="11"/>
        <v>0</v>
      </c>
      <c r="S31" s="26">
        <f t="shared" si="11"/>
        <v>0</v>
      </c>
      <c r="T31" s="26">
        <f t="shared" si="11"/>
        <v>0</v>
      </c>
      <c r="U31" s="26">
        <f t="shared" si="11"/>
        <v>0</v>
      </c>
      <c r="V31" s="26">
        <f t="shared" si="11"/>
        <v>0</v>
      </c>
      <c r="W31" s="26">
        <f t="shared" si="11"/>
        <v>0</v>
      </c>
      <c r="X31" s="26">
        <f t="shared" si="11"/>
        <v>0</v>
      </c>
      <c r="Y31" s="26">
        <f t="shared" si="11"/>
        <v>0</v>
      </c>
      <c r="Z31" s="26">
        <f t="shared" si="11"/>
        <v>0</v>
      </c>
      <c r="AA31" s="26">
        <f t="shared" si="11"/>
        <v>0</v>
      </c>
      <c r="AB31" s="26">
        <f t="shared" si="11"/>
        <v>0</v>
      </c>
      <c r="AC31" s="26">
        <f t="shared" si="11"/>
        <v>0</v>
      </c>
      <c r="AD31" s="26">
        <f t="shared" si="11"/>
        <v>0</v>
      </c>
      <c r="AE31" s="26">
        <f t="shared" si="11"/>
        <v>0</v>
      </c>
      <c r="AF31" s="26">
        <f t="shared" si="11"/>
        <v>0</v>
      </c>
      <c r="AG31" s="26">
        <f t="shared" si="11"/>
        <v>0</v>
      </c>
      <c r="AH31" s="26">
        <f t="shared" si="11"/>
        <v>0</v>
      </c>
      <c r="AI31" s="26">
        <f t="shared" si="11"/>
        <v>0</v>
      </c>
      <c r="AJ31" s="26">
        <f t="shared" si="11"/>
        <v>0</v>
      </c>
      <c r="AK31" s="26">
        <f t="shared" si="11"/>
        <v>0</v>
      </c>
      <c r="AL31" s="26">
        <f t="shared" si="11"/>
        <v>0</v>
      </c>
      <c r="AM31" s="26">
        <f t="shared" si="11"/>
        <v>0</v>
      </c>
      <c r="AN31" s="26">
        <f t="shared" si="11"/>
        <v>0</v>
      </c>
    </row>
    <row r="32" ht="14.25" customHeight="1"/>
    <row r="33" ht="14.25" customHeight="1">
      <c r="A33" s="18"/>
      <c r="B33" s="34" t="s">
        <v>38</v>
      </c>
      <c r="C33" s="19" t="s">
        <v>39</v>
      </c>
      <c r="D33" s="19"/>
      <c r="E33" s="19"/>
      <c r="F33" s="19"/>
      <c r="G33" s="19"/>
      <c r="H33" s="19"/>
      <c r="I33" s="19"/>
      <c r="J33" s="19"/>
      <c r="K33" s="19"/>
      <c r="L33" s="19"/>
      <c r="M33" s="19"/>
      <c r="N33" s="19"/>
      <c r="O33" s="19"/>
      <c r="P33" s="19"/>
      <c r="Q33" s="35">
        <f t="shared" ref="Q33:AB33" si="12">(E$23-SUM(Q$28:Q$31))*Q25/E$24</f>
        <v>507.980198</v>
      </c>
      <c r="R33" s="35">
        <f t="shared" si="12"/>
        <v>523.3212</v>
      </c>
      <c r="S33" s="35">
        <f t="shared" si="12"/>
        <v>523.8747294</v>
      </c>
      <c r="T33" s="35">
        <f t="shared" si="12"/>
        <v>545.0438383</v>
      </c>
      <c r="U33" s="35">
        <f t="shared" si="12"/>
        <v>545.6632958</v>
      </c>
      <c r="V33" s="35">
        <f t="shared" si="12"/>
        <v>562.1983808</v>
      </c>
      <c r="W33" s="35">
        <f t="shared" si="12"/>
        <v>557.2733413</v>
      </c>
      <c r="X33" s="35">
        <f t="shared" si="12"/>
        <v>567.3309341</v>
      </c>
      <c r="Y33" s="35">
        <f t="shared" si="12"/>
        <v>578.39838</v>
      </c>
      <c r="Z33" s="35">
        <f t="shared" si="12"/>
        <v>609.8944128</v>
      </c>
      <c r="AA33" s="35">
        <f t="shared" si="12"/>
        <v>600.8322043</v>
      </c>
      <c r="AB33" s="35">
        <f t="shared" si="12"/>
        <v>606.7666625</v>
      </c>
      <c r="AC33" s="35">
        <f t="shared" ref="AC33:AN33" si="13">(E$23-SUM(AC$28:AC$31))*AC25/E$24</f>
        <v>620.6431202</v>
      </c>
      <c r="AD33" s="35">
        <f t="shared" si="13"/>
        <v>640.8116862</v>
      </c>
      <c r="AE33" s="35">
        <f t="shared" si="13"/>
        <v>646.7920577</v>
      </c>
      <c r="AF33" s="35">
        <f t="shared" si="13"/>
        <v>672.5312915</v>
      </c>
      <c r="AG33" s="35">
        <f t="shared" si="13"/>
        <v>685.5653993</v>
      </c>
      <c r="AH33" s="35">
        <f t="shared" si="13"/>
        <v>706.3148954</v>
      </c>
      <c r="AI33" s="35">
        <f t="shared" si="13"/>
        <v>700.5028526</v>
      </c>
      <c r="AJ33" s="35">
        <f t="shared" si="13"/>
        <v>712.6733267</v>
      </c>
      <c r="AK33" s="35">
        <f t="shared" si="13"/>
        <v>726.4547151</v>
      </c>
      <c r="AL33" s="35">
        <f t="shared" si="13"/>
        <v>766.8255364</v>
      </c>
      <c r="AM33" s="35">
        <f t="shared" si="13"/>
        <v>754.2249975</v>
      </c>
      <c r="AN33" s="35">
        <f t="shared" si="13"/>
        <v>761.6423446</v>
      </c>
    </row>
    <row r="34" ht="14.25" customHeight="1">
      <c r="A34" s="36"/>
      <c r="B34" s="37" t="s">
        <v>38</v>
      </c>
      <c r="C34" s="26" t="s">
        <v>40</v>
      </c>
      <c r="D34" s="37"/>
      <c r="E34" s="37"/>
      <c r="F34" s="37"/>
      <c r="G34" s="37"/>
      <c r="H34" s="37"/>
      <c r="I34" s="37"/>
      <c r="J34" s="37"/>
      <c r="K34" s="37"/>
      <c r="L34" s="37"/>
      <c r="M34" s="37"/>
      <c r="N34" s="37"/>
      <c r="O34" s="37"/>
      <c r="P34" s="37"/>
      <c r="Q34" s="38">
        <f t="shared" ref="Q34:AB34" si="14">(E$23-SUM(Q$28:Q$31))*Q26/E$24</f>
        <v>503</v>
      </c>
      <c r="R34" s="38">
        <f t="shared" si="14"/>
        <v>513.1103</v>
      </c>
      <c r="S34" s="38">
        <f t="shared" si="14"/>
        <v>508.6172151</v>
      </c>
      <c r="T34" s="38">
        <f t="shared" si="14"/>
        <v>523.9818482</v>
      </c>
      <c r="U34" s="38">
        <f t="shared" si="14"/>
        <v>519.4344528</v>
      </c>
      <c r="V34" s="38">
        <f t="shared" si="14"/>
        <v>529.9279213</v>
      </c>
      <c r="W34" s="38">
        <f t="shared" si="14"/>
        <v>520.1357228</v>
      </c>
      <c r="X34" s="38">
        <f t="shared" si="14"/>
        <v>524.3316584</v>
      </c>
      <c r="Y34" s="38">
        <f t="shared" si="14"/>
        <v>529.3194909</v>
      </c>
      <c r="Z34" s="38">
        <f t="shared" si="14"/>
        <v>552.6709979</v>
      </c>
      <c r="AA34" s="38">
        <f t="shared" si="14"/>
        <v>539.1212183</v>
      </c>
      <c r="AB34" s="38">
        <f t="shared" si="14"/>
        <v>539.1084458</v>
      </c>
      <c r="AC34" s="38">
        <f t="shared" ref="AC34:AN34" si="15">(E$23-SUM(AC$28:AC$31))*AC26/E$24</f>
        <v>546.0313422</v>
      </c>
      <c r="AD34" s="38">
        <f t="shared" si="15"/>
        <v>558.2480972</v>
      </c>
      <c r="AE34" s="38">
        <f t="shared" si="15"/>
        <v>557.933847</v>
      </c>
      <c r="AF34" s="38">
        <f t="shared" si="15"/>
        <v>574.4493314</v>
      </c>
      <c r="AG34" s="38">
        <f t="shared" si="15"/>
        <v>579.8415397</v>
      </c>
      <c r="AH34" s="38">
        <f t="shared" si="15"/>
        <v>591.5343944</v>
      </c>
      <c r="AI34" s="38">
        <f t="shared" si="15"/>
        <v>580.9152085</v>
      </c>
      <c r="AJ34" s="38">
        <f t="shared" si="15"/>
        <v>585.2137817</v>
      </c>
      <c r="AK34" s="38">
        <f t="shared" si="15"/>
        <v>590.6820717</v>
      </c>
      <c r="AL34" s="38">
        <f t="shared" si="15"/>
        <v>617.3948629</v>
      </c>
      <c r="AM34" s="38">
        <f t="shared" si="15"/>
        <v>601.2963516</v>
      </c>
      <c r="AN34" s="38">
        <f t="shared" si="15"/>
        <v>601.2567012</v>
      </c>
    </row>
    <row r="35" ht="14.25" customHeight="1">
      <c r="A35" s="22"/>
      <c r="B35" s="39" t="s">
        <v>38</v>
      </c>
      <c r="C35" s="23" t="s">
        <v>41</v>
      </c>
      <c r="D35" s="23"/>
      <c r="E35" s="23"/>
      <c r="F35" s="23"/>
      <c r="G35" s="23"/>
      <c r="H35" s="23"/>
      <c r="I35" s="23"/>
      <c r="J35" s="23"/>
      <c r="K35" s="23"/>
      <c r="L35" s="23"/>
      <c r="M35" s="23"/>
      <c r="N35" s="23"/>
      <c r="O35" s="23"/>
      <c r="P35" s="23"/>
      <c r="Q35" s="40">
        <f t="shared" ref="Q35:AB35" si="16">(E$23-SUM(Q$28:Q$31))*Q27/E$24</f>
        <v>493.039604</v>
      </c>
      <c r="R35" s="40">
        <f t="shared" si="16"/>
        <v>492.9903</v>
      </c>
      <c r="S35" s="40">
        <f t="shared" si="16"/>
        <v>573.1546184</v>
      </c>
      <c r="T35" s="40">
        <f t="shared" si="16"/>
        <v>616.6567283</v>
      </c>
      <c r="U35" s="40">
        <f t="shared" si="16"/>
        <v>580.6887052</v>
      </c>
      <c r="V35" s="40">
        <f t="shared" si="16"/>
        <v>569.6819604</v>
      </c>
      <c r="W35" s="40">
        <f t="shared" si="16"/>
        <v>533.3646296</v>
      </c>
      <c r="X35" s="40">
        <f t="shared" si="16"/>
        <v>529.4559031</v>
      </c>
      <c r="Y35" s="40">
        <f t="shared" si="16"/>
        <v>569.6121492</v>
      </c>
      <c r="Z35" s="40">
        <f t="shared" si="16"/>
        <v>549.0653404</v>
      </c>
      <c r="AA35" s="40">
        <f t="shared" si="16"/>
        <v>524.5368101</v>
      </c>
      <c r="AB35" s="40">
        <f t="shared" si="16"/>
        <v>523.1356956</v>
      </c>
      <c r="AC35" s="40">
        <f t="shared" ref="AC35:AN35" si="17">(E$23-SUM(AC$28:AC$31))*AC27/E$24</f>
        <v>584.6987996</v>
      </c>
      <c r="AD35" s="40">
        <f t="shared" si="17"/>
        <v>598.6206897</v>
      </c>
      <c r="AE35" s="40">
        <f t="shared" si="17"/>
        <v>573.251721</v>
      </c>
      <c r="AF35" s="40">
        <f t="shared" si="17"/>
        <v>598.0123236</v>
      </c>
      <c r="AG35" s="40">
        <f t="shared" si="17"/>
        <v>547.0339761</v>
      </c>
      <c r="AH35" s="40">
        <f t="shared" si="17"/>
        <v>584.9843587</v>
      </c>
      <c r="AI35" s="40">
        <f t="shared" si="17"/>
        <v>564.9709799</v>
      </c>
      <c r="AJ35" s="40">
        <f t="shared" si="17"/>
        <v>514.8880877</v>
      </c>
      <c r="AK35" s="40">
        <f t="shared" si="17"/>
        <v>528.8468696</v>
      </c>
      <c r="AL35" s="40">
        <f t="shared" si="17"/>
        <v>557.151432</v>
      </c>
      <c r="AM35" s="40">
        <f t="shared" si="17"/>
        <v>537.2512499</v>
      </c>
      <c r="AN35" s="40">
        <f t="shared" si="17"/>
        <v>579.9087826</v>
      </c>
    </row>
    <row r="36" ht="14.25" customHeight="1"/>
    <row r="37" ht="14.25" customHeight="1"/>
    <row r="38" ht="14.25" customHeight="1">
      <c r="A38" s="14"/>
      <c r="B38" s="14" t="s">
        <v>42</v>
      </c>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row>
    <row r="39" ht="14.25" customHeight="1"/>
    <row r="40" ht="14.25" customHeight="1">
      <c r="B40" s="26" t="s">
        <v>43</v>
      </c>
      <c r="C40" s="26" t="s">
        <v>44</v>
      </c>
      <c r="Q40" s="26">
        <f t="shared" ref="Q40:AN40" si="18">Q25/Q26*Q41*RANDBETWEEN(110,115)/100</f>
        <v>555390000</v>
      </c>
      <c r="R40" s="26">
        <f t="shared" si="18"/>
        <v>570308785.2</v>
      </c>
      <c r="S40" s="26">
        <f t="shared" si="18"/>
        <v>559990738.5</v>
      </c>
      <c r="T40" s="26">
        <f t="shared" si="18"/>
        <v>569852629.4</v>
      </c>
      <c r="U40" s="26">
        <f t="shared" si="18"/>
        <v>571476457.3</v>
      </c>
      <c r="V40" s="26">
        <f t="shared" si="18"/>
        <v>577076926.5</v>
      </c>
      <c r="W40" s="26">
        <f t="shared" si="18"/>
        <v>594504649.7</v>
      </c>
      <c r="X40" s="26">
        <f t="shared" si="18"/>
        <v>624145570.6</v>
      </c>
      <c r="Y40" s="26">
        <f t="shared" si="18"/>
        <v>648787512.5</v>
      </c>
      <c r="Z40" s="26">
        <f t="shared" si="18"/>
        <v>680316268.5</v>
      </c>
      <c r="AA40" s="26">
        <f t="shared" si="18"/>
        <v>714009826.9</v>
      </c>
      <c r="AB40" s="26">
        <f t="shared" si="18"/>
        <v>717017360.5</v>
      </c>
      <c r="AC40" s="26">
        <f t="shared" si="18"/>
        <v>751124132.2</v>
      </c>
      <c r="AD40" s="26">
        <f t="shared" si="18"/>
        <v>738525013.2</v>
      </c>
      <c r="AE40" s="26">
        <f t="shared" si="18"/>
        <v>753974158.1</v>
      </c>
      <c r="AF40" s="26">
        <f t="shared" si="18"/>
        <v>812050731.2</v>
      </c>
      <c r="AG40" s="26">
        <f t="shared" si="18"/>
        <v>814750976.4</v>
      </c>
      <c r="AH40" s="26">
        <f t="shared" si="18"/>
        <v>839356455.9</v>
      </c>
      <c r="AI40" s="26">
        <f t="shared" si="18"/>
        <v>824038200.6</v>
      </c>
      <c r="AJ40" s="26">
        <f t="shared" si="18"/>
        <v>865123247</v>
      </c>
      <c r="AK40" s="26">
        <f t="shared" si="18"/>
        <v>872567983.3</v>
      </c>
      <c r="AL40" s="26">
        <f t="shared" si="18"/>
        <v>873252014.2</v>
      </c>
      <c r="AM40" s="26">
        <f t="shared" si="18"/>
        <v>904358667.1</v>
      </c>
      <c r="AN40" s="26">
        <f t="shared" si="18"/>
        <v>880414395.1</v>
      </c>
    </row>
    <row r="41" ht="14.25" customHeight="1">
      <c r="B41" s="26" t="s">
        <v>43</v>
      </c>
      <c r="C41" s="26" t="s">
        <v>45</v>
      </c>
      <c r="E41" s="26">
        <v>5.0E8</v>
      </c>
      <c r="F41" s="26">
        <v>5.0E8</v>
      </c>
      <c r="G41" s="26">
        <v>5.0E8</v>
      </c>
      <c r="H41" s="26">
        <v>5.0E8</v>
      </c>
      <c r="I41" s="26">
        <v>5.0E8</v>
      </c>
      <c r="J41" s="26">
        <v>5.0E8</v>
      </c>
      <c r="K41" s="26">
        <v>5.0E8</v>
      </c>
      <c r="L41" s="26">
        <v>5.0E8</v>
      </c>
      <c r="M41" s="26">
        <v>5.0E8</v>
      </c>
      <c r="N41" s="26">
        <v>5.0E8</v>
      </c>
      <c r="O41" s="26">
        <v>5.0E8</v>
      </c>
      <c r="P41" s="26">
        <v>5.0E8</v>
      </c>
      <c r="Q41" s="26">
        <f t="shared" ref="Q41:AN41" si="19">Q26/P26*P41*RANDBETWEEN(98,102)/100</f>
        <v>499950000</v>
      </c>
      <c r="R41" s="26">
        <f t="shared" si="19"/>
        <v>494850510</v>
      </c>
      <c r="S41" s="26">
        <f t="shared" si="19"/>
        <v>489803034.8</v>
      </c>
      <c r="T41" s="26">
        <f t="shared" si="19"/>
        <v>484807043.8</v>
      </c>
      <c r="U41" s="26">
        <f t="shared" si="19"/>
        <v>494551665.4</v>
      </c>
      <c r="V41" s="26">
        <f t="shared" si="19"/>
        <v>494502210.3</v>
      </c>
      <c r="W41" s="26">
        <f t="shared" si="19"/>
        <v>504441704.7</v>
      </c>
      <c r="X41" s="26">
        <f t="shared" si="19"/>
        <v>519675844.2</v>
      </c>
      <c r="Y41" s="26">
        <f t="shared" si="19"/>
        <v>530121328.6</v>
      </c>
      <c r="Z41" s="26">
        <f t="shared" si="19"/>
        <v>540776767.3</v>
      </c>
      <c r="AA41" s="26">
        <f t="shared" si="19"/>
        <v>557108225.7</v>
      </c>
      <c r="AB41" s="26">
        <f t="shared" si="19"/>
        <v>573932894.1</v>
      </c>
      <c r="AC41" s="26">
        <f t="shared" si="19"/>
        <v>579672223.1</v>
      </c>
      <c r="AD41" s="26">
        <f t="shared" si="19"/>
        <v>579614255.8</v>
      </c>
      <c r="AE41" s="26">
        <f t="shared" si="19"/>
        <v>591264502.4</v>
      </c>
      <c r="AF41" s="26">
        <f t="shared" si="19"/>
        <v>603148918.9</v>
      </c>
      <c r="AG41" s="26">
        <f t="shared" si="19"/>
        <v>615272212.2</v>
      </c>
      <c r="AH41" s="26">
        <f t="shared" si="19"/>
        <v>627639183.6</v>
      </c>
      <c r="AI41" s="26">
        <f t="shared" si="19"/>
        <v>621237263.9</v>
      </c>
      <c r="AJ41" s="26">
        <f t="shared" si="19"/>
        <v>639998629.3</v>
      </c>
      <c r="AK41" s="26">
        <f t="shared" si="19"/>
        <v>633470643.3</v>
      </c>
      <c r="AL41" s="26">
        <f t="shared" si="19"/>
        <v>633407296.2</v>
      </c>
      <c r="AM41" s="26">
        <f t="shared" si="19"/>
        <v>626946541.8</v>
      </c>
      <c r="AN41" s="26">
        <f t="shared" si="19"/>
        <v>620551687.1</v>
      </c>
    </row>
    <row r="42" ht="14.25" customHeight="1">
      <c r="B42" s="26" t="s">
        <v>43</v>
      </c>
      <c r="C42" s="26" t="s">
        <v>46</v>
      </c>
      <c r="Q42" s="26">
        <f t="shared" ref="Q42:AN42" si="20">Q27/Q26*Q41*RANDBETWEEN(90,98)/100</f>
        <v>455746500</v>
      </c>
      <c r="R42" s="26">
        <f t="shared" si="20"/>
        <v>461183114.7</v>
      </c>
      <c r="S42" s="26">
        <f t="shared" si="20"/>
        <v>502277362.1</v>
      </c>
      <c r="T42" s="26">
        <f t="shared" si="20"/>
        <v>559142145.8</v>
      </c>
      <c r="U42" s="26">
        <f t="shared" si="20"/>
        <v>508641888.4</v>
      </c>
      <c r="V42" s="26">
        <f t="shared" si="20"/>
        <v>515650728.9</v>
      </c>
      <c r="W42" s="26">
        <f t="shared" si="20"/>
        <v>486235169.2</v>
      </c>
      <c r="X42" s="26">
        <f t="shared" si="20"/>
        <v>498516858.6</v>
      </c>
      <c r="Y42" s="26">
        <f t="shared" si="20"/>
        <v>530541772.4</v>
      </c>
      <c r="Z42" s="26">
        <f t="shared" si="20"/>
        <v>515758760.2</v>
      </c>
      <c r="AA42" s="26">
        <f t="shared" si="20"/>
        <v>525776112.7</v>
      </c>
      <c r="AB42" s="26">
        <f t="shared" si="20"/>
        <v>534651227.8</v>
      </c>
      <c r="AC42" s="26">
        <f t="shared" si="20"/>
        <v>595893095.7</v>
      </c>
      <c r="AD42" s="26">
        <f t="shared" si="20"/>
        <v>609101411.3</v>
      </c>
      <c r="AE42" s="26">
        <f t="shared" si="20"/>
        <v>546747711.8</v>
      </c>
      <c r="AF42" s="26">
        <f t="shared" si="20"/>
        <v>596494666.1</v>
      </c>
      <c r="AG42" s="26">
        <f t="shared" si="20"/>
        <v>528218575.7</v>
      </c>
      <c r="AH42" s="26">
        <f t="shared" si="20"/>
        <v>602068680.2</v>
      </c>
      <c r="AI42" s="26">
        <f t="shared" si="20"/>
        <v>567935146.7</v>
      </c>
      <c r="AJ42" s="26">
        <f t="shared" si="20"/>
        <v>540565812.8</v>
      </c>
      <c r="AK42" s="26">
        <f t="shared" si="20"/>
        <v>516112092</v>
      </c>
      <c r="AL42" s="26">
        <f t="shared" si="20"/>
        <v>560169394.5</v>
      </c>
      <c r="AM42" s="26">
        <f t="shared" si="20"/>
        <v>509754149</v>
      </c>
      <c r="AN42" s="26">
        <f t="shared" si="20"/>
        <v>586548316.6</v>
      </c>
    </row>
    <row r="43" ht="14.25" customHeight="1"/>
    <row r="44" ht="14.25" customHeight="1">
      <c r="A44" s="18"/>
      <c r="B44" s="34" t="s">
        <v>38</v>
      </c>
      <c r="C44" s="19" t="s">
        <v>39</v>
      </c>
      <c r="D44" s="19"/>
      <c r="E44" s="19"/>
      <c r="F44" s="19"/>
      <c r="G44" s="19"/>
      <c r="H44" s="19"/>
      <c r="I44" s="19"/>
      <c r="J44" s="19"/>
      <c r="K44" s="19"/>
      <c r="L44" s="19"/>
      <c r="M44" s="19"/>
      <c r="N44" s="19"/>
      <c r="O44" s="19"/>
      <c r="P44" s="19"/>
      <c r="Q44" s="41">
        <f t="shared" ref="Q44:AN44" si="21">Q33/(Q40*($U$17*$U$18)/1000)</f>
        <v>0.001301048248</v>
      </c>
      <c r="R44" s="41">
        <f t="shared" si="21"/>
        <v>0.001305277771</v>
      </c>
      <c r="S44" s="41">
        <f t="shared" si="21"/>
        <v>0.001330734083</v>
      </c>
      <c r="T44" s="41">
        <f t="shared" si="21"/>
        <v>0.001360547012</v>
      </c>
      <c r="U44" s="41">
        <f t="shared" si="21"/>
        <v>0.001358222977</v>
      </c>
      <c r="V44" s="41">
        <f t="shared" si="21"/>
        <v>0.001385799995</v>
      </c>
      <c r="W44" s="41">
        <f t="shared" si="21"/>
        <v>0.001333391515</v>
      </c>
      <c r="X44" s="41">
        <f t="shared" si="21"/>
        <v>0.00129299024</v>
      </c>
      <c r="Y44" s="41">
        <f t="shared" si="21"/>
        <v>0.001268146013</v>
      </c>
      <c r="Z44" s="41">
        <f t="shared" si="21"/>
        <v>0.00127522986</v>
      </c>
      <c r="AA44" s="41">
        <f t="shared" si="21"/>
        <v>0.001196998727</v>
      </c>
      <c r="AB44" s="41">
        <f t="shared" si="21"/>
        <v>0.001203751151</v>
      </c>
      <c r="AC44" s="41">
        <f t="shared" si="21"/>
        <v>0.001175370822</v>
      </c>
      <c r="AD44" s="41">
        <f t="shared" si="21"/>
        <v>0.001234269192</v>
      </c>
      <c r="AE44" s="41">
        <f t="shared" si="21"/>
        <v>0.001220261452</v>
      </c>
      <c r="AF44" s="41">
        <f t="shared" si="21"/>
        <v>0.001178077901</v>
      </c>
      <c r="AG44" s="41">
        <f t="shared" si="21"/>
        <v>0.001196929789</v>
      </c>
      <c r="AH44" s="41">
        <f t="shared" si="21"/>
        <v>0.001197006765</v>
      </c>
      <c r="AI44" s="41">
        <f t="shared" si="21"/>
        <v>0.001209225336</v>
      </c>
      <c r="AJ44" s="41">
        <f t="shared" si="21"/>
        <v>0.001171809993</v>
      </c>
      <c r="AK44" s="41">
        <f t="shared" si="21"/>
        <v>0.001184278782</v>
      </c>
      <c r="AL44" s="41">
        <f t="shared" si="21"/>
        <v>0.001249112763</v>
      </c>
      <c r="AM44" s="41">
        <f t="shared" si="21"/>
        <v>0.001186328304</v>
      </c>
      <c r="AN44" s="41">
        <f t="shared" si="21"/>
        <v>0.001230576512</v>
      </c>
    </row>
    <row r="45" ht="14.25" customHeight="1">
      <c r="A45" s="36"/>
      <c r="B45" s="37" t="s">
        <v>38</v>
      </c>
      <c r="C45" s="26" t="s">
        <v>40</v>
      </c>
      <c r="D45" s="37"/>
      <c r="E45" s="37"/>
      <c r="F45" s="37"/>
      <c r="G45" s="37"/>
      <c r="H45" s="37"/>
      <c r="I45" s="37"/>
      <c r="J45" s="37"/>
      <c r="K45" s="37"/>
      <c r="L45" s="37"/>
      <c r="M45" s="37"/>
      <c r="N45" s="37"/>
      <c r="O45" s="37"/>
      <c r="P45" s="37"/>
      <c r="Q45" s="41">
        <f t="shared" ref="Q45:AN45" si="22">Q34/(Q41*($U$17*$U$18)/1000)</f>
        <v>0.001431153073</v>
      </c>
      <c r="R45" s="41">
        <f t="shared" si="22"/>
        <v>0.001474963881</v>
      </c>
      <c r="S45" s="41">
        <f t="shared" si="22"/>
        <v>0.001477114832</v>
      </c>
      <c r="T45" s="41">
        <f t="shared" si="22"/>
        <v>0.001537418123</v>
      </c>
      <c r="U45" s="41">
        <f t="shared" si="22"/>
        <v>0.001494045274</v>
      </c>
      <c r="V45" s="41">
        <f t="shared" si="22"/>
        <v>0.001524379994</v>
      </c>
      <c r="W45" s="41">
        <f t="shared" si="22"/>
        <v>0.001466730667</v>
      </c>
      <c r="X45" s="41">
        <f t="shared" si="22"/>
        <v>0.001435219166</v>
      </c>
      <c r="Y45" s="41">
        <f t="shared" si="22"/>
        <v>0.001420323535</v>
      </c>
      <c r="Z45" s="41">
        <f t="shared" si="22"/>
        <v>0.00145376204</v>
      </c>
      <c r="AA45" s="41">
        <f t="shared" si="22"/>
        <v>0.001376548536</v>
      </c>
      <c r="AB45" s="41">
        <f t="shared" si="22"/>
        <v>0.001336163778</v>
      </c>
      <c r="AC45" s="41">
        <f t="shared" si="22"/>
        <v>0.001339922737</v>
      </c>
      <c r="AD45" s="41">
        <f t="shared" si="22"/>
        <v>0.001370038804</v>
      </c>
      <c r="AE45" s="41">
        <f t="shared" si="22"/>
        <v>0.001342287598</v>
      </c>
      <c r="AF45" s="41">
        <f t="shared" si="22"/>
        <v>0.001354789586</v>
      </c>
      <c r="AG45" s="41">
        <f t="shared" si="22"/>
        <v>0.001340561364</v>
      </c>
      <c r="AH45" s="41">
        <f t="shared" si="22"/>
        <v>0.001340647577</v>
      </c>
      <c r="AI45" s="41">
        <f t="shared" si="22"/>
        <v>0.00133014787</v>
      </c>
      <c r="AJ45" s="41">
        <f t="shared" si="22"/>
        <v>0.001300709093</v>
      </c>
      <c r="AK45" s="41">
        <f t="shared" si="22"/>
        <v>0.001326392236</v>
      </c>
      <c r="AL45" s="41">
        <f t="shared" si="22"/>
        <v>0.001386515167</v>
      </c>
      <c r="AM45" s="41">
        <f t="shared" si="22"/>
        <v>0.00136427755</v>
      </c>
      <c r="AN45" s="41">
        <f t="shared" si="22"/>
        <v>0.001378245693</v>
      </c>
    </row>
    <row r="46" ht="14.25" customHeight="1">
      <c r="A46" s="22"/>
      <c r="B46" s="39" t="s">
        <v>38</v>
      </c>
      <c r="C46" s="23" t="s">
        <v>41</v>
      </c>
      <c r="D46" s="23"/>
      <c r="E46" s="23"/>
      <c r="F46" s="23"/>
      <c r="G46" s="23"/>
      <c r="H46" s="23"/>
      <c r="I46" s="23"/>
      <c r="J46" s="23"/>
      <c r="K46" s="23"/>
      <c r="L46" s="23"/>
      <c r="M46" s="23"/>
      <c r="N46" s="23"/>
      <c r="O46" s="23"/>
      <c r="P46" s="23"/>
      <c r="Q46" s="41">
        <f t="shared" ref="Q46:AN46" si="23">Q35/(Q42*($U$17*$U$18)/1000)</f>
        <v>0.001538874272</v>
      </c>
      <c r="R46" s="41">
        <f t="shared" si="23"/>
        <v>0.001520581321</v>
      </c>
      <c r="S46" s="41">
        <f t="shared" si="23"/>
        <v>0.001623203112</v>
      </c>
      <c r="T46" s="41">
        <f t="shared" si="23"/>
        <v>0.001568794003</v>
      </c>
      <c r="U46" s="41">
        <f t="shared" si="23"/>
        <v>0.001623962255</v>
      </c>
      <c r="V46" s="41">
        <f t="shared" si="23"/>
        <v>0.001571525767</v>
      </c>
      <c r="W46" s="41">
        <f t="shared" si="23"/>
        <v>0.001560351773</v>
      </c>
      <c r="X46" s="41">
        <f t="shared" si="23"/>
        <v>0.001510757017</v>
      </c>
      <c r="Y46" s="41">
        <f t="shared" si="23"/>
        <v>0.001527229607</v>
      </c>
      <c r="Z46" s="41">
        <f t="shared" si="23"/>
        <v>0.001514335459</v>
      </c>
      <c r="AA46" s="41">
        <f t="shared" si="23"/>
        <v>0.001419122202</v>
      </c>
      <c r="AB46" s="41">
        <f t="shared" si="23"/>
        <v>0.001391837268</v>
      </c>
      <c r="AC46" s="41">
        <f t="shared" si="23"/>
        <v>0.001395752851</v>
      </c>
      <c r="AD46" s="41">
        <f t="shared" si="23"/>
        <v>0.001397998779</v>
      </c>
      <c r="AE46" s="41">
        <f t="shared" si="23"/>
        <v>0.001491430664</v>
      </c>
      <c r="AF46" s="41">
        <f t="shared" si="23"/>
        <v>0.001426094301</v>
      </c>
      <c r="AG46" s="41">
        <f t="shared" si="23"/>
        <v>0.001473144356</v>
      </c>
      <c r="AH46" s="41">
        <f t="shared" si="23"/>
        <v>0.001382110904</v>
      </c>
      <c r="AI46" s="41">
        <f t="shared" si="23"/>
        <v>0.001415050925</v>
      </c>
      <c r="AJ46" s="41">
        <f t="shared" si="23"/>
        <v>0.001354905305</v>
      </c>
      <c r="AK46" s="41">
        <f t="shared" si="23"/>
        <v>0.001457573886</v>
      </c>
      <c r="AL46" s="41">
        <f t="shared" si="23"/>
        <v>0.001414811395</v>
      </c>
      <c r="AM46" s="41">
        <f t="shared" si="23"/>
        <v>0.001499206099</v>
      </c>
      <c r="AN46" s="41">
        <f t="shared" si="23"/>
        <v>0.001406373156</v>
      </c>
    </row>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2">
    <mergeCell ref="C8:D8"/>
    <mergeCell ref="C9:D9"/>
    <mergeCell ref="C10:D10"/>
    <mergeCell ref="E9:G9"/>
    <mergeCell ref="E10:G10"/>
    <mergeCell ref="C4:D4"/>
    <mergeCell ref="E4:G4"/>
    <mergeCell ref="C6:D6"/>
    <mergeCell ref="E6:G6"/>
    <mergeCell ref="C7:D7"/>
    <mergeCell ref="E7:G7"/>
    <mergeCell ref="E8:G8"/>
  </mergeCells>
  <printOptions/>
  <pageMargins bottom="0.75" footer="0.0" header="0.0" left="0.7" right="0.7" top="0.75"/>
  <pageSetup orientation="landscape"/>
  <drawing r:id="rId1"/>
</worksheet>
</file>