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en\Desktop\"/>
    </mc:Choice>
  </mc:AlternateContent>
  <xr:revisionPtr revIDLastSave="0" documentId="13_ncr:1_{E3DEA2A3-9CEB-478A-A411-FFC370E3915F}" xr6:coauthVersionLast="31" xr6:coauthVersionMax="31" xr10:uidLastSave="{00000000-0000-0000-0000-000000000000}"/>
  <bookViews>
    <workbookView xWindow="0" yWindow="0" windowWidth="23040" windowHeight="8952" activeTab="6" xr2:uid="{BD63BC43-7323-41C0-9226-9A4FF67CA08D}"/>
  </bookViews>
  <sheets>
    <sheet name="Calculus" sheetId="3" r:id="rId1"/>
    <sheet name="Hydrogen Economics" sheetId="6" r:id="rId2"/>
    <sheet name="Thorcon B&amp;A" sheetId="5" r:id="rId3"/>
    <sheet name="HES OC" sheetId="7" r:id="rId4"/>
    <sheet name="HES LCOE" sheetId="8" r:id="rId5"/>
    <sheet name="Sheet4" sheetId="4" r:id="rId6"/>
    <sheet name="Sheet9" sheetId="9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1" i="8" l="1"/>
  <c r="C60" i="8"/>
  <c r="D62" i="8" l="1"/>
  <c r="D61" i="8"/>
  <c r="C62" i="8"/>
  <c r="D54" i="8" l="1"/>
  <c r="D53" i="8"/>
  <c r="E97" i="5"/>
  <c r="E98" i="5" s="1"/>
  <c r="D97" i="5"/>
  <c r="D98" i="5" s="1"/>
  <c r="C97" i="5"/>
  <c r="C98" i="5" s="1"/>
  <c r="E90" i="5"/>
  <c r="E91" i="5" s="1"/>
  <c r="D90" i="5"/>
  <c r="D91" i="5" s="1"/>
  <c r="C90" i="5"/>
  <c r="C91" i="5" s="1"/>
  <c r="C27" i="7"/>
  <c r="E26" i="7"/>
  <c r="E28" i="7" s="1"/>
  <c r="D26" i="7"/>
  <c r="D27" i="7" s="1"/>
  <c r="C26" i="7"/>
  <c r="C28" i="7" s="1"/>
  <c r="N67" i="3"/>
  <c r="N66" i="3" s="1"/>
  <c r="Q68" i="3"/>
  <c r="Q70" i="3" s="1"/>
  <c r="N32" i="3"/>
  <c r="AC79" i="3"/>
  <c r="AC81" i="3" s="1"/>
  <c r="AB79" i="3"/>
  <c r="AB80" i="3" s="1"/>
  <c r="AA79" i="3"/>
  <c r="AA80" i="3" s="1"/>
  <c r="N68" i="3"/>
  <c r="R96" i="3"/>
  <c r="R98" i="3" s="1"/>
  <c r="Q96" i="3"/>
  <c r="Q98" i="3" s="1"/>
  <c r="V82" i="3"/>
  <c r="V84" i="3" s="1"/>
  <c r="S82" i="3"/>
  <c r="S84" i="3" s="1"/>
  <c r="X68" i="3"/>
  <c r="X70" i="3" s="1"/>
  <c r="W68" i="3"/>
  <c r="W70" i="3" s="1"/>
  <c r="V68" i="3"/>
  <c r="V70" i="3" s="1"/>
  <c r="S68" i="3"/>
  <c r="S70" i="3" s="1"/>
  <c r="E7" i="7"/>
  <c r="D7" i="7"/>
  <c r="C7" i="7"/>
  <c r="I60" i="3"/>
  <c r="I62" i="3" s="1"/>
  <c r="E12" i="6"/>
  <c r="F12" i="6" s="1"/>
  <c r="G12" i="6" s="1"/>
  <c r="H12" i="6" s="1"/>
  <c r="E11" i="6"/>
  <c r="F11" i="6" s="1"/>
  <c r="G11" i="6" s="1"/>
  <c r="H11" i="6" s="1"/>
  <c r="E10" i="6"/>
  <c r="F10" i="6" s="1"/>
  <c r="G10" i="6" s="1"/>
  <c r="H10" i="6" s="1"/>
  <c r="E9" i="6"/>
  <c r="F9" i="6" s="1"/>
  <c r="G9" i="6" s="1"/>
  <c r="H9" i="6" s="1"/>
  <c r="E8" i="6"/>
  <c r="F8" i="6" s="1"/>
  <c r="G8" i="6" s="1"/>
  <c r="H8" i="6" s="1"/>
  <c r="E7" i="6"/>
  <c r="F7" i="6" s="1"/>
  <c r="G7" i="6" s="1"/>
  <c r="H7" i="6" s="1"/>
  <c r="E27" i="5"/>
  <c r="E28" i="5" s="1"/>
  <c r="D27" i="5"/>
  <c r="D28" i="5" s="1"/>
  <c r="C27" i="5"/>
  <c r="C28" i="5" s="1"/>
  <c r="K49" i="3"/>
  <c r="K51" i="3" s="1"/>
  <c r="J49" i="3"/>
  <c r="J50" i="3" s="1"/>
  <c r="I49" i="3"/>
  <c r="I50" i="3" s="1"/>
  <c r="S54" i="3"/>
  <c r="S55" i="3" s="1"/>
  <c r="R54" i="3"/>
  <c r="R55" i="3" s="1"/>
  <c r="Q54" i="3"/>
  <c r="Q55" i="3" s="1"/>
  <c r="M82" i="3"/>
  <c r="M84" i="3" s="1"/>
  <c r="L82" i="3"/>
  <c r="L84" i="3" s="1"/>
  <c r="K82" i="3"/>
  <c r="K84" i="3" s="1"/>
  <c r="H82" i="3"/>
  <c r="H84" i="3" s="1"/>
  <c r="G82" i="3"/>
  <c r="G84" i="3" s="1"/>
  <c r="E27" i="7" l="1"/>
  <c r="D28" i="7"/>
  <c r="AC80" i="3"/>
  <c r="AA81" i="3"/>
  <c r="AB81" i="3"/>
  <c r="I61" i="3"/>
  <c r="I51" i="3"/>
  <c r="K50" i="3"/>
  <c r="J51" i="3"/>
  <c r="AY42" i="3"/>
  <c r="AZ42" i="3" s="1"/>
  <c r="BA43" i="3" s="1"/>
  <c r="BB43" i="3" s="1"/>
  <c r="AY41" i="3"/>
  <c r="AZ41" i="3" s="1"/>
  <c r="BA42" i="3" s="1"/>
  <c r="BB42" i="3" s="1"/>
  <c r="AH16" i="3" l="1"/>
  <c r="AI16" i="3" s="1"/>
  <c r="AJ16" i="3" s="1"/>
  <c r="AK16" i="3" s="1"/>
  <c r="AH14" i="3"/>
  <c r="AI14" i="3" s="1"/>
  <c r="AJ14" i="3" s="1"/>
  <c r="AK14" i="3" s="1"/>
  <c r="AH13" i="3"/>
  <c r="AI13" i="3" s="1"/>
  <c r="AJ13" i="3" s="1"/>
  <c r="AK13" i="3" s="1"/>
  <c r="AH15" i="3"/>
  <c r="AI15" i="3" s="1"/>
  <c r="AJ15" i="3" s="1"/>
  <c r="AK15" i="3" s="1"/>
  <c r="AH12" i="3"/>
  <c r="AI12" i="3" s="1"/>
  <c r="AJ12" i="3" s="1"/>
  <c r="AK12" i="3" s="1"/>
  <c r="AH11" i="3"/>
  <c r="AI11" i="3" s="1"/>
  <c r="AJ11" i="3" s="1"/>
  <c r="AK11" i="3" s="1"/>
  <c r="AP12" i="3"/>
  <c r="AO12" i="3"/>
  <c r="AN12" i="3"/>
  <c r="X11" i="3"/>
  <c r="X13" i="3" s="1"/>
  <c r="W11" i="3"/>
  <c r="W13" i="3" s="1"/>
  <c r="V11" i="3"/>
  <c r="V13" i="3" s="1"/>
  <c r="X24" i="3"/>
  <c r="X26" i="3" s="1"/>
  <c r="W24" i="3"/>
  <c r="W26" i="3" s="1"/>
  <c r="V24" i="3"/>
  <c r="V26" i="3" s="1"/>
  <c r="N33" i="3"/>
  <c r="S24" i="3"/>
  <c r="S26" i="3" s="1"/>
  <c r="R24" i="3"/>
  <c r="R26" i="3" s="1"/>
  <c r="Q24" i="3"/>
  <c r="Q26" i="3" s="1"/>
  <c r="S11" i="3"/>
  <c r="S13" i="3" s="1"/>
  <c r="R11" i="3"/>
  <c r="R13" i="3" s="1"/>
  <c r="J42" i="3"/>
  <c r="J43" i="3" s="1"/>
  <c r="K42" i="3"/>
  <c r="K43" i="3" s="1"/>
  <c r="J33" i="3"/>
  <c r="J34" i="3" s="1"/>
  <c r="K33" i="3"/>
  <c r="K34" i="3" s="1"/>
  <c r="I42" i="3"/>
  <c r="I43" i="3" s="1"/>
  <c r="K40" i="3"/>
  <c r="J40" i="3"/>
  <c r="I40" i="3"/>
  <c r="I33" i="3"/>
  <c r="I34" i="3" s="1"/>
  <c r="J31" i="3"/>
  <c r="K31" i="3"/>
  <c r="I31" i="3"/>
  <c r="J25" i="3"/>
  <c r="K25" i="3" s="1"/>
  <c r="J24" i="3"/>
  <c r="J23" i="3"/>
  <c r="K23" i="3" s="1"/>
  <c r="J18" i="3"/>
  <c r="K18" i="3" s="1"/>
  <c r="L18" i="3" s="1"/>
  <c r="M18" i="3" s="1"/>
  <c r="J19" i="3"/>
  <c r="K19" i="3" s="1"/>
  <c r="L19" i="3" s="1"/>
  <c r="M19" i="3" s="1"/>
  <c r="J17" i="3"/>
  <c r="K17" i="3" s="1"/>
  <c r="L17" i="3" s="1"/>
  <c r="M17" i="3" s="1"/>
  <c r="M10" i="3"/>
  <c r="M12" i="3" s="1"/>
  <c r="K10" i="3"/>
  <c r="K12" i="3" s="1"/>
  <c r="H10" i="3"/>
  <c r="H12" i="3" s="1"/>
  <c r="G10" i="3"/>
  <c r="G12" i="3" s="1"/>
  <c r="F10" i="3"/>
  <c r="F12" i="3" s="1"/>
  <c r="AO13" i="3" l="1"/>
  <c r="AO14" i="3"/>
  <c r="AP13" i="3"/>
  <c r="AP14" i="3"/>
  <c r="AN13" i="3"/>
  <c r="AN14" i="3"/>
  <c r="L23" i="3"/>
  <c r="M23" i="3" s="1"/>
  <c r="L25" i="3"/>
  <c r="M25" i="3" s="1"/>
  <c r="K24" i="3"/>
  <c r="L24" i="3" s="1"/>
  <c r="M24" i="3" s="1"/>
  <c r="L10" i="3" l="1"/>
  <c r="L12" i="3" s="1"/>
  <c r="Q11" i="3"/>
  <c r="Q13" i="3" s="1"/>
  <c r="F82" i="3"/>
  <c r="F84" i="3" s="1"/>
  <c r="N31" i="3"/>
  <c r="V96" i="3"/>
  <c r="V98" i="3" s="1"/>
  <c r="W82" i="3"/>
  <c r="W84" i="3" s="1"/>
  <c r="W96" i="3"/>
  <c r="W98" i="3" s="1"/>
  <c r="X82" i="3"/>
  <c r="X84" i="3" s="1"/>
  <c r="X96" i="3"/>
  <c r="X98" i="3" s="1"/>
  <c r="Q82" i="3"/>
  <c r="Q84" i="3" s="1"/>
  <c r="R68" i="3"/>
  <c r="R70" i="3" s="1"/>
  <c r="R82" i="3"/>
  <c r="R84" i="3" s="1"/>
  <c r="S96" i="3"/>
  <c r="S98" i="3" s="1"/>
</calcChain>
</file>

<file path=xl/sharedStrings.xml><?xml version="1.0" encoding="utf-8"?>
<sst xmlns="http://schemas.openxmlformats.org/spreadsheetml/2006/main" count="688" uniqueCount="187">
  <si>
    <t>Best</t>
  </si>
  <si>
    <t>Worst</t>
  </si>
  <si>
    <t>Nuclear</t>
  </si>
  <si>
    <t>Hydrogen</t>
  </si>
  <si>
    <t>Mid</t>
  </si>
  <si>
    <t>$/kWh</t>
  </si>
  <si>
    <t>Cost</t>
  </si>
  <si>
    <t>kg/day</t>
  </si>
  <si>
    <t>kg/year</t>
  </si>
  <si>
    <t>LCOE</t>
  </si>
  <si>
    <t>Mwe</t>
  </si>
  <si>
    <t>CF</t>
  </si>
  <si>
    <t>Unit CAPEX</t>
  </si>
  <si>
    <t>LCOE Can</t>
  </si>
  <si>
    <t>LCOE Fuel</t>
  </si>
  <si>
    <t>LCOE Salt</t>
  </si>
  <si>
    <t>LCOE Staff</t>
  </si>
  <si>
    <t>LCOE Waste</t>
  </si>
  <si>
    <t>LCOE Unit</t>
  </si>
  <si>
    <t>Overnight cost</t>
  </si>
  <si>
    <t>$/kWh*</t>
  </si>
  <si>
    <t>Difference</t>
  </si>
  <si>
    <t>Capacity</t>
  </si>
  <si>
    <t>Overnight Cost ($)</t>
  </si>
  <si>
    <t>Operating Cost ($/year)</t>
  </si>
  <si>
    <t>Rate 5%</t>
  </si>
  <si>
    <t>Rate 10%</t>
  </si>
  <si>
    <t>Scenario</t>
  </si>
  <si>
    <t>Operarting Cost</t>
  </si>
  <si>
    <t>Cost $/kg</t>
  </si>
  <si>
    <t>Selling at 10$/kg</t>
  </si>
  <si>
    <t>Profit</t>
  </si>
  <si>
    <t>Profit - Op. Cost</t>
  </si>
  <si>
    <t>Selling at 16$/kg</t>
  </si>
  <si>
    <t>Total</t>
  </si>
  <si>
    <t>Monthly Paym.</t>
  </si>
  <si>
    <t>Yearly Paym.</t>
  </si>
  <si>
    <t>Rate 10% - Selling at 16</t>
  </si>
  <si>
    <t>Rate 5% - Selling at 16</t>
  </si>
  <si>
    <t>Rate 10% - Selling at 10</t>
  </si>
  <si>
    <t>Rate 5% - Selling at 10</t>
  </si>
  <si>
    <t>Hydrogen Yearly Operating Costs and Profits</t>
  </si>
  <si>
    <t>Net Profit</t>
  </si>
  <si>
    <t xml:space="preserve">MSR </t>
  </si>
  <si>
    <t>MSR + Hydrogen at 10 $/kg</t>
  </si>
  <si>
    <t>MSR + Hydrogen at 16 $/kg</t>
  </si>
  <si>
    <t>Bullish</t>
  </si>
  <si>
    <t>Base</t>
  </si>
  <si>
    <t>Bearish</t>
  </si>
  <si>
    <t>Int. Rate</t>
  </si>
  <si>
    <t>Profit/kg</t>
  </si>
  <si>
    <t>Nuclear (MSR)</t>
  </si>
  <si>
    <t>Total + int. rate</t>
  </si>
  <si>
    <t>Reactor</t>
  </si>
  <si>
    <t>Fuel</t>
  </si>
  <si>
    <t>Salt</t>
  </si>
  <si>
    <t>Staff</t>
  </si>
  <si>
    <t>Waste</t>
  </si>
  <si>
    <t>Facilities</t>
  </si>
  <si>
    <t>LCOE ($/kWh)</t>
  </si>
  <si>
    <t xml:space="preserve">Rate 10% </t>
  </si>
  <si>
    <t>Overnight Cost</t>
  </si>
  <si>
    <t>$800M</t>
  </si>
  <si>
    <t>$1000M</t>
  </si>
  <si>
    <t>$1200M</t>
  </si>
  <si>
    <t>4 years</t>
  </si>
  <si>
    <t>Plant life</t>
  </si>
  <si>
    <t>Construction period</t>
  </si>
  <si>
    <t>Capacity factor</t>
  </si>
  <si>
    <t>Cost of capital</t>
  </si>
  <si>
    <t>32 years</t>
  </si>
  <si>
    <t>Plant capacity (MWe)</t>
  </si>
  <si>
    <t>MSR + Hydrogen at 10 $/kg (5%)</t>
  </si>
  <si>
    <t>Base (10$/kg)</t>
  </si>
  <si>
    <t>Base (16$/kg)</t>
  </si>
  <si>
    <t>Optimistic</t>
  </si>
  <si>
    <t>Pesimistic</t>
  </si>
  <si>
    <t>5% int. rate</t>
  </si>
  <si>
    <t>10% int. rate</t>
  </si>
  <si>
    <t>MSR</t>
  </si>
  <si>
    <t>HES</t>
  </si>
  <si>
    <t>Otono</t>
  </si>
  <si>
    <t>Primavera</t>
  </si>
  <si>
    <t>Semestre</t>
  </si>
  <si>
    <t>Pessimistic</t>
  </si>
  <si>
    <t>HYDROGEN ECONOMICS</t>
  </si>
  <si>
    <t>OVERNIGHT CAPITAL COST OF THE FACILITY</t>
  </si>
  <si>
    <t>New LCOE</t>
  </si>
  <si>
    <t>Impact</t>
  </si>
  <si>
    <t>Total + 10%</t>
  </si>
  <si>
    <t>Total + 50%</t>
  </si>
  <si>
    <t>Total + 5%</t>
  </si>
  <si>
    <t>Total + 10% + 5% (int)</t>
  </si>
  <si>
    <t>Total + 50% + 5% (int)</t>
  </si>
  <si>
    <t>Total + 5% (int)</t>
  </si>
  <si>
    <t>Optimistic (10$/kg)</t>
  </si>
  <si>
    <t>Optimistic (16$/kg)</t>
  </si>
  <si>
    <t>Pessimistic (10$/kg)</t>
  </si>
  <si>
    <t>Pessimistic (16$/kg)</t>
  </si>
  <si>
    <t>Thorcon Overnight Cost</t>
  </si>
  <si>
    <t>10 $/kg</t>
  </si>
  <si>
    <t>16 $/kg</t>
  </si>
  <si>
    <t>Sale Price</t>
  </si>
  <si>
    <t>HES LCOE ($/kWh)</t>
  </si>
  <si>
    <t>MSR LCOE ($/kWh)</t>
  </si>
  <si>
    <t>Total + 10% + 5%</t>
  </si>
  <si>
    <t>Total + 50% + 5%</t>
  </si>
  <si>
    <t xml:space="preserve"> </t>
  </si>
  <si>
    <t>MSR (10%)</t>
  </si>
  <si>
    <t>MSR + HES *(10%)</t>
  </si>
  <si>
    <t>Total + 10%* + 5% (int)</t>
  </si>
  <si>
    <t>Total + 50%* + 5% (int)</t>
  </si>
  <si>
    <t>N/A</t>
  </si>
  <si>
    <t>System</t>
  </si>
  <si>
    <t>Total + 10% + 5% (int.)</t>
  </si>
  <si>
    <t>Total + 50% + 5% (int.)</t>
  </si>
  <si>
    <t>Total + 5% (int.)</t>
  </si>
  <si>
    <t>MSR + HES</t>
  </si>
  <si>
    <t>Corrosion</t>
  </si>
  <si>
    <t>200M/100</t>
  </si>
  <si>
    <t>201M/101</t>
  </si>
  <si>
    <t>intro</t>
  </si>
  <si>
    <t>nuc. Rea.</t>
  </si>
  <si>
    <t>risk</t>
  </si>
  <si>
    <t>nuclear sec.</t>
  </si>
  <si>
    <t>285C</t>
  </si>
  <si>
    <t>corrosion</t>
  </si>
  <si>
    <t>Second Minor</t>
  </si>
  <si>
    <t>2 courses (one graduate)</t>
  </si>
  <si>
    <t>6 unit minimum</t>
  </si>
  <si>
    <t>Outside Minor</t>
  </si>
  <si>
    <t>Major</t>
  </si>
  <si>
    <t>Risk</t>
  </si>
  <si>
    <t>intro. Nuc. Eng.</t>
  </si>
  <si>
    <t>nuc. Reac.</t>
  </si>
  <si>
    <t xml:space="preserve">nuclear sec. </t>
  </si>
  <si>
    <t>3.5 GPA</t>
  </si>
  <si>
    <t>3.0 GPA</t>
  </si>
  <si>
    <t>6 Units</t>
  </si>
  <si>
    <t>2 MAS</t>
  </si>
  <si>
    <t>3 MAS</t>
  </si>
  <si>
    <t>1 MAS</t>
  </si>
  <si>
    <t>Radiation detection</t>
  </si>
  <si>
    <t>nuclear materials</t>
  </si>
  <si>
    <t>heat transfer and fluid mechanics</t>
  </si>
  <si>
    <t>nuclear physics</t>
  </si>
  <si>
    <t>neutronics</t>
  </si>
  <si>
    <t>radioactive waste management</t>
  </si>
  <si>
    <t>fusion theory</t>
  </si>
  <si>
    <t>Select 4</t>
  </si>
  <si>
    <t>NE204</t>
  </si>
  <si>
    <t>NE211M</t>
  </si>
  <si>
    <t>NE215M</t>
  </si>
  <si>
    <t>NE220</t>
  </si>
  <si>
    <t>NE224</t>
  </si>
  <si>
    <t>NE260</t>
  </si>
  <si>
    <t>NE225</t>
  </si>
  <si>
    <t>advanced concepts in radiation detection and measurments</t>
  </si>
  <si>
    <t>NE255</t>
  </si>
  <si>
    <t>numerical simulation in radiation transport</t>
  </si>
  <si>
    <t>NE120</t>
  </si>
  <si>
    <t>NUCLEAR MATERIALS</t>
  </si>
  <si>
    <t>NE155</t>
  </si>
  <si>
    <t>Introduciton tonumerical simulations in radiation transport</t>
  </si>
  <si>
    <t>NE104</t>
  </si>
  <si>
    <t>Radiation detection and nuclear instrumentation laboratory</t>
  </si>
  <si>
    <t>NE130</t>
  </si>
  <si>
    <t>Analytical Methods for Non proliferation</t>
  </si>
  <si>
    <t>NE204 -advanced concepts in radiation detection and measurments</t>
  </si>
  <si>
    <t>NE120 - Nuclear Materials</t>
  </si>
  <si>
    <t>NE255 - numerical simulation in radiation transport</t>
  </si>
  <si>
    <t>MECENG 260B - Advanced Fluid Mechanics</t>
  </si>
  <si>
    <t>MECENG 109 - Heat Transfer</t>
  </si>
  <si>
    <t>NE299 - Individual Research</t>
  </si>
  <si>
    <t>Cursos</t>
  </si>
  <si>
    <r>
      <t xml:space="preserve">NE255 - </t>
    </r>
    <r>
      <rPr>
        <i/>
        <sz val="11"/>
        <color theme="1"/>
        <rFont val="Calibri"/>
        <family val="2"/>
        <scheme val="minor"/>
      </rPr>
      <t>Simulacion numerica en transporte de radiacion</t>
    </r>
  </si>
  <si>
    <r>
      <t xml:space="preserve">NE120 - </t>
    </r>
    <r>
      <rPr>
        <i/>
        <sz val="11"/>
        <color theme="1"/>
        <rFont val="Calibri"/>
        <family val="2"/>
        <scheme val="minor"/>
      </rPr>
      <t>Matariales Nucleares</t>
    </r>
  </si>
  <si>
    <r>
      <t xml:space="preserve">NE204 - </t>
    </r>
    <r>
      <rPr>
        <i/>
        <sz val="11"/>
        <color theme="1"/>
        <rFont val="Calibri"/>
        <family val="2"/>
        <scheme val="minor"/>
      </rPr>
      <t>Conceptos avanzados en detecion de radiacion y mediciones</t>
    </r>
  </si>
  <si>
    <r>
      <t xml:space="preserve">MECENG 260B - </t>
    </r>
    <r>
      <rPr>
        <i/>
        <sz val="11"/>
        <color theme="1"/>
        <rFont val="Calibri"/>
        <family val="2"/>
        <scheme val="minor"/>
      </rPr>
      <t>Mecanica de fluidos avanzados</t>
    </r>
  </si>
  <si>
    <r>
      <t xml:space="preserve">MECENG 109 - </t>
    </r>
    <r>
      <rPr>
        <i/>
        <sz val="11"/>
        <color theme="1"/>
        <rFont val="Calibri"/>
        <family val="2"/>
        <scheme val="minor"/>
      </rPr>
      <t>Transferencia de calor</t>
    </r>
  </si>
  <si>
    <r>
      <t xml:space="preserve">NE299 - </t>
    </r>
    <r>
      <rPr>
        <i/>
        <sz val="11"/>
        <color theme="1"/>
        <rFont val="Calibri"/>
        <family val="2"/>
        <scheme val="minor"/>
      </rPr>
      <t>Investigacion Individual</t>
    </r>
  </si>
  <si>
    <t>MSR + Wind + Solar</t>
  </si>
  <si>
    <t>HES (50%)</t>
  </si>
  <si>
    <t>HES (10%)</t>
  </si>
  <si>
    <r>
      <t xml:space="preserve">NE150 – </t>
    </r>
    <r>
      <rPr>
        <i/>
        <sz val="11"/>
        <color theme="1"/>
        <rFont val="Calibri"/>
        <family val="2"/>
        <scheme val="minor"/>
      </rPr>
      <t>Introducción a teoría de reactores nucleares</t>
    </r>
  </si>
  <si>
    <r>
      <t xml:space="preserve">NE220 – </t>
    </r>
    <r>
      <rPr>
        <i/>
        <sz val="11"/>
        <color theme="1"/>
        <rFont val="Calibri"/>
        <family val="2"/>
        <scheme val="minor"/>
      </rPr>
      <t>Efectos de irradiación en materiales nucleares</t>
    </r>
  </si>
  <si>
    <r>
      <t xml:space="preserve">NE265 – </t>
    </r>
    <r>
      <rPr>
        <i/>
        <sz val="11"/>
        <color theme="1"/>
        <rFont val="Calibri"/>
        <family val="2"/>
        <scheme val="minor"/>
      </rPr>
      <t>Análisis de diseño de reactores nucleares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</si>
</sst>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164" formatCode="&quot;$&quot;#,##0.00"/>
    <numFmt numFmtId="165" formatCode="&quot;$&quot;#,##0.0000"/>
    <numFmt numFmtId="166" formatCode="&quot;$&quot;#,##0.00000"/>
    <numFmt numFmtId="167" formatCode="0.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2" fillId="0" borderId="1" xfId="0" applyFont="1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2" fillId="2" borderId="1" xfId="0" applyFont="1" applyFill="1" applyBorder="1"/>
    <xf numFmtId="0" fontId="0" fillId="2" borderId="1" xfId="0" applyFill="1" applyBorder="1"/>
    <xf numFmtId="0" fontId="1" fillId="2" borderId="1" xfId="0" applyFont="1" applyFill="1" applyBorder="1"/>
    <xf numFmtId="0" fontId="0" fillId="3" borderId="0" xfId="0" applyFill="1"/>
    <xf numFmtId="0" fontId="2" fillId="3" borderId="1" xfId="0" applyFont="1" applyFill="1" applyBorder="1"/>
    <xf numFmtId="0" fontId="0" fillId="3" borderId="1" xfId="0" applyFill="1" applyBorder="1"/>
    <xf numFmtId="0" fontId="1" fillId="3" borderId="1" xfId="0" applyFont="1" applyFill="1" applyBorder="1"/>
    <xf numFmtId="164" fontId="1" fillId="0" borderId="1" xfId="0" applyNumberFormat="1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64" fontId="0" fillId="2" borderId="0" xfId="0" applyNumberFormat="1" applyFill="1"/>
    <xf numFmtId="0" fontId="1" fillId="2" borderId="0" xfId="0" applyFont="1" applyFill="1"/>
    <xf numFmtId="164" fontId="0" fillId="2" borderId="1" xfId="0" applyNumberFormat="1" applyFill="1" applyBorder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1" fillId="0" borderId="6" xfId="0" applyFont="1" applyBorder="1"/>
    <xf numFmtId="0" fontId="1" fillId="0" borderId="6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1" fillId="0" borderId="0" xfId="0" applyFont="1" applyBorder="1"/>
    <xf numFmtId="166" fontId="0" fillId="0" borderId="1" xfId="0" applyNumberForma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8" fontId="0" fillId="2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8" fontId="0" fillId="2" borderId="0" xfId="0" applyNumberFormat="1" applyFill="1" applyAlignment="1">
      <alignment horizontal="center"/>
    </xf>
    <xf numFmtId="0" fontId="1" fillId="0" borderId="2" xfId="0" applyFont="1" applyFill="1" applyBorder="1"/>
    <xf numFmtId="0" fontId="0" fillId="0" borderId="0" xfId="0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67" fontId="0" fillId="2" borderId="0" xfId="0" applyNumberFormat="1" applyFill="1"/>
    <xf numFmtId="164" fontId="0" fillId="2" borderId="6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8" fontId="0" fillId="2" borderId="0" xfId="0" applyNumberFormat="1" applyFill="1"/>
    <xf numFmtId="166" fontId="0" fillId="0" borderId="0" xfId="0" applyNumberFormat="1"/>
    <xf numFmtId="166" fontId="0" fillId="0" borderId="1" xfId="0" applyNumberFormat="1" applyFont="1" applyBorder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7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Levelized</a:t>
            </a:r>
            <a:r>
              <a:rPr lang="en-US" baseline="0"/>
              <a:t> Cost of Electricity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Calculus!$AB$16</c:f>
              <c:strCache>
                <c:ptCount val="1"/>
                <c:pt idx="0">
                  <c:v>Bullish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Calculus!$Z$17:$Z$21</c:f>
              <c:strCache>
                <c:ptCount val="5"/>
                <c:pt idx="0">
                  <c:v>MSR </c:v>
                </c:pt>
                <c:pt idx="1">
                  <c:v>MSR + Hydrogen at 10 $/kg</c:v>
                </c:pt>
                <c:pt idx="2">
                  <c:v>MSR + Hydrogen at 10 $/kg</c:v>
                </c:pt>
                <c:pt idx="3">
                  <c:v>MSR + Hydrogen at 16 $/kg</c:v>
                </c:pt>
                <c:pt idx="4">
                  <c:v>MSR + Hydrogen at 16 $/kg</c:v>
                </c:pt>
              </c:strCache>
            </c:strRef>
          </c:cat>
          <c:val>
            <c:numRef>
              <c:f>Calculus!$AB$17:$AB$21</c:f>
              <c:numCache>
                <c:formatCode>"$"#,##0.0000</c:formatCode>
                <c:ptCount val="5"/>
                <c:pt idx="0">
                  <c:v>2.699E-2</c:v>
                </c:pt>
                <c:pt idx="1">
                  <c:v>7.4502259999999999E-3</c:v>
                </c:pt>
                <c:pt idx="2">
                  <c:v>1.7013959000000002E-2</c:v>
                </c:pt>
                <c:pt idx="3">
                  <c:v>-1.1049239432660937E-2</c:v>
                </c:pt>
                <c:pt idx="4">
                  <c:v>-1.4855064166846878E-3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7-48FC-8493-2EEED4B2203C}"/>
            </c:ext>
          </c:extLst>
        </c:ser>
        <c:ser>
          <c:idx val="1"/>
          <c:order val="1"/>
          <c:tx>
            <c:strRef>
              <c:f>Calculus!$AC$16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Calculus!$Z$17:$Z$21</c:f>
              <c:strCache>
                <c:ptCount val="5"/>
                <c:pt idx="0">
                  <c:v>MSR </c:v>
                </c:pt>
                <c:pt idx="1">
                  <c:v>MSR + Hydrogen at 10 $/kg</c:v>
                </c:pt>
                <c:pt idx="2">
                  <c:v>MSR + Hydrogen at 10 $/kg</c:v>
                </c:pt>
                <c:pt idx="3">
                  <c:v>MSR + Hydrogen at 16 $/kg</c:v>
                </c:pt>
                <c:pt idx="4">
                  <c:v>MSR + Hydrogen at 16 $/kg</c:v>
                </c:pt>
              </c:strCache>
            </c:strRef>
          </c:cat>
          <c:val>
            <c:numRef>
              <c:f>Calculus!$AC$17:$AC$21</c:f>
              <c:numCache>
                <c:formatCode>"$"#,##0.0000</c:formatCode>
                <c:ptCount val="5"/>
                <c:pt idx="0">
                  <c:v>3.0079999999999999E-2</c:v>
                </c:pt>
                <c:pt idx="1">
                  <c:v>1.1130482000000001E-2</c:v>
                </c:pt>
                <c:pt idx="2">
                  <c:v>2.280405306669267E-2</c:v>
                </c:pt>
                <c:pt idx="3">
                  <c:v>-7.3689841464251865E-3</c:v>
                </c:pt>
                <c:pt idx="4">
                  <c:v>4.304587254726858E-3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7-48FC-8493-2EEED4B2203C}"/>
            </c:ext>
          </c:extLst>
        </c:ser>
        <c:ser>
          <c:idx val="2"/>
          <c:order val="2"/>
          <c:tx>
            <c:strRef>
              <c:f>Calculus!$AD$16</c:f>
              <c:strCache>
                <c:ptCount val="1"/>
                <c:pt idx="0">
                  <c:v>Bearish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Calculus!$Z$17:$Z$21</c:f>
              <c:strCache>
                <c:ptCount val="5"/>
                <c:pt idx="0">
                  <c:v>MSR </c:v>
                </c:pt>
                <c:pt idx="1">
                  <c:v>MSR + Hydrogen at 10 $/kg</c:v>
                </c:pt>
                <c:pt idx="2">
                  <c:v>MSR + Hydrogen at 10 $/kg</c:v>
                </c:pt>
                <c:pt idx="3">
                  <c:v>MSR + Hydrogen at 16 $/kg</c:v>
                </c:pt>
                <c:pt idx="4">
                  <c:v>MSR + Hydrogen at 16 $/kg</c:v>
                </c:pt>
              </c:strCache>
            </c:strRef>
          </c:cat>
          <c:val>
            <c:numRef>
              <c:f>Calculus!$AD$17:$AD$21</c:f>
              <c:numCache>
                <c:formatCode>"$"#,##0.0000</c:formatCode>
                <c:ptCount val="5"/>
                <c:pt idx="0">
                  <c:v>3.3169999999999998E-2</c:v>
                </c:pt>
                <c:pt idx="1">
                  <c:v>1.4810737000000001E-2</c:v>
                </c:pt>
                <c:pt idx="2">
                  <c:v>2.8594147E-2</c:v>
                </c:pt>
                <c:pt idx="3">
                  <c:v>-3.6887288602656561E-3</c:v>
                </c:pt>
                <c:pt idx="4">
                  <c:v>1.00946809261384E-2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17-48FC-8493-2EEED4B22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514607"/>
        <c:axId val="771642927"/>
      </c:barChart>
      <c:catAx>
        <c:axId val="20751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42927"/>
        <c:crosses val="autoZero"/>
        <c:auto val="1"/>
        <c:lblAlgn val="ctr"/>
        <c:lblOffset val="100"/>
        <c:noMultiLvlLbl val="0"/>
      </c:catAx>
      <c:valAx>
        <c:axId val="77164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$/kWe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146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baseline="0"/>
              <a:t>Thorcon's LCOE Base Case</a:t>
            </a:r>
          </a:p>
        </c:rich>
      </c:tx>
      <c:layout>
        <c:manualLayout>
          <c:xMode val="edge"/>
          <c:yMode val="edge"/>
          <c:x val="0.42816804321722474"/>
          <c:y val="2.1268995856971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'Thorcon B&amp;A'!$B$26:$B$28</c:f>
              <c:strCache>
                <c:ptCount val="3"/>
                <c:pt idx="0">
                  <c:v>MSR LCOE ($/kWh)</c:v>
                </c:pt>
                <c:pt idx="1">
                  <c:v>HES LCOE ($/kWh)</c:v>
                </c:pt>
                <c:pt idx="2">
                  <c:v>Impact</c:v>
                </c:pt>
              </c:strCache>
            </c:strRef>
          </c:cat>
          <c:val>
            <c:numRef>
              <c:f>'Thorcon B&amp;A'!$D$26:$D$28</c:f>
              <c:numCache>
                <c:formatCode>"$"#,##0.00000</c:formatCode>
                <c:ptCount val="3"/>
                <c:pt idx="0">
                  <c:v>3.0079999999999999E-2</c:v>
                </c:pt>
                <c:pt idx="1">
                  <c:v>4.3905411384089738E-2</c:v>
                </c:pt>
                <c:pt idx="2">
                  <c:v>1.3825411384089738E-2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7-4412-8826-C10954D795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5014559"/>
        <c:axId val="219206559"/>
      </c:barChart>
      <c:catAx>
        <c:axId val="22501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06559"/>
        <c:crosses val="autoZero"/>
        <c:auto val="1"/>
        <c:lblAlgn val="ctr"/>
        <c:lblOffset val="100"/>
        <c:noMultiLvlLbl val="0"/>
      </c:catAx>
      <c:valAx>
        <c:axId val="21920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01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Overnight</a:t>
            </a:r>
            <a:r>
              <a:rPr lang="en-US" b="1" baseline="0"/>
              <a:t> Capital Cost Scenarios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'HES OC'!$I$4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'HES OC'!$H$5:$H$8</c:f>
              <c:strCache>
                <c:ptCount val="4"/>
                <c:pt idx="0">
                  <c:v>Total</c:v>
                </c:pt>
                <c:pt idx="1">
                  <c:v>Total + 5% (int)</c:v>
                </c:pt>
                <c:pt idx="2">
                  <c:v>Total + 10% + 5% (int)</c:v>
                </c:pt>
                <c:pt idx="3">
                  <c:v>Total + 50% + 5% (int)</c:v>
                </c:pt>
              </c:strCache>
            </c:strRef>
          </c:cat>
          <c:val>
            <c:numRef>
              <c:f>'HES OC'!$I$5:$I$8</c:f>
              <c:numCache>
                <c:formatCode>"$"#,##0.00</c:formatCode>
                <c:ptCount val="4"/>
                <c:pt idx="0">
                  <c:v>1150229407</c:v>
                </c:pt>
                <c:pt idx="1">
                  <c:v>2307869265.3200002</c:v>
                </c:pt>
                <c:pt idx="2" formatCode="&quot;$&quot;#,##0.00_);[Red]\(&quot;$&quot;#,##0.00\)">
                  <c:v>2538656191.8499999</c:v>
                </c:pt>
                <c:pt idx="3" formatCode="&quot;$&quot;#,##0.00_);[Red]\(&quot;$&quot;#,##0.00\)">
                  <c:v>3461803897.9699998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E-4858-AEF4-84ADF1F93A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86679887"/>
        <c:axId val="397936303"/>
      </c:barChart>
      <c:catAx>
        <c:axId val="158667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36303"/>
        <c:crosses val="autoZero"/>
        <c:auto val="1"/>
        <c:lblAlgn val="ctr"/>
        <c:lblOffset val="100"/>
        <c:noMultiLvlLbl val="0"/>
      </c:catAx>
      <c:valAx>
        <c:axId val="39793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679887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'HES LCOE'!$D$2</c:f>
              <c:strCache>
                <c:ptCount val="1"/>
                <c:pt idx="0">
                  <c:v>Optimistic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'HES LCOE'!$B$3:$C$10</c15:sqref>
                  </c15:fullRef>
                  <c15:levelRef>
                    <c15:sqref>'HES LCOE'!$B$3:$B$10</c15:sqref>
                  </c15:levelRef>
                </c:ext>
              </c:extLst>
              <c:f>'HES LCOE'!$B$3:$B$10</c:f>
              <c:strCache>
                <c:ptCount val="8"/>
                <c:pt idx="0">
                  <c:v>MSR (10%)</c:v>
                </c:pt>
                <c:pt idx="1">
                  <c:v>MSR + HES</c:v>
                </c:pt>
                <c:pt idx="2">
                  <c:v>Total + 5% (int.)</c:v>
                </c:pt>
                <c:pt idx="3">
                  <c:v>Total + 10% + 5% (int.)</c:v>
                </c:pt>
                <c:pt idx="4">
                  <c:v>Total + 50% + 5% (int.)</c:v>
                </c:pt>
                <c:pt idx="5">
                  <c:v>Total + 5% (int.)</c:v>
                </c:pt>
                <c:pt idx="6">
                  <c:v>Total + 10% + 5% (int.)</c:v>
                </c:pt>
                <c:pt idx="7">
                  <c:v>Total + 50% + 5% (int.)</c:v>
                </c:pt>
              </c:strCache>
            </c:strRef>
          </c:cat>
          <c:val>
            <c:numRef>
              <c:f>'HES LCOE'!$D$3:$D$10</c:f>
              <c:numCache>
                <c:formatCode>"$"#,##0.00000</c:formatCode>
                <c:ptCount val="8"/>
                <c:pt idx="0">
                  <c:v>2.699E-2</c:v>
                </c:pt>
                <c:pt idx="1">
                  <c:v>3.8616088504544871E-2</c:v>
                </c:pt>
                <c:pt idx="2">
                  <c:v>7.4502259999999999E-3</c:v>
                </c:pt>
                <c:pt idx="3">
                  <c:v>8.8914619281769761E-3</c:v>
                </c:pt>
                <c:pt idx="4">
                  <c:v>1.4656404123665404E-2</c:v>
                </c:pt>
                <c:pt idx="5">
                  <c:v>-1.1049239432660937E-2</c:v>
                </c:pt>
                <c:pt idx="6">
                  <c:v>-9.6080038837888272E-3</c:v>
                </c:pt>
                <c:pt idx="7">
                  <c:v>-3.8430616883004011E-3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1-47B3-899F-DBE2B3DF50BC}"/>
            </c:ext>
          </c:extLst>
        </c:ser>
        <c:ser>
          <c:idx val="1"/>
          <c:order val="1"/>
          <c:tx>
            <c:strRef>
              <c:f>'HES LCOE'!$E$2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'HES LCOE'!$B$3:$C$10</c15:sqref>
                  </c15:fullRef>
                  <c15:levelRef>
                    <c15:sqref>'HES LCOE'!$B$3:$B$10</c15:sqref>
                  </c15:levelRef>
                </c:ext>
              </c:extLst>
              <c:f>'HES LCOE'!$B$3:$B$10</c:f>
              <c:strCache>
                <c:ptCount val="8"/>
                <c:pt idx="0">
                  <c:v>MSR (10%)</c:v>
                </c:pt>
                <c:pt idx="1">
                  <c:v>MSR + HES</c:v>
                </c:pt>
                <c:pt idx="2">
                  <c:v>Total + 5% (int.)</c:v>
                </c:pt>
                <c:pt idx="3">
                  <c:v>Total + 10% + 5% (int.)</c:v>
                </c:pt>
                <c:pt idx="4">
                  <c:v>Total + 50% + 5% (int.)</c:v>
                </c:pt>
                <c:pt idx="5">
                  <c:v>Total + 5% (int.)</c:v>
                </c:pt>
                <c:pt idx="6">
                  <c:v>Total + 10% + 5% (int.)</c:v>
                </c:pt>
                <c:pt idx="7">
                  <c:v>Total + 50% + 5% (int.)</c:v>
                </c:pt>
              </c:strCache>
            </c:strRef>
          </c:cat>
          <c:val>
            <c:numRef>
              <c:f>'HES LCOE'!$E$3:$E$10</c:f>
              <c:numCache>
                <c:formatCode>"$"#,##0.00000</c:formatCode>
                <c:ptCount val="8"/>
                <c:pt idx="0">
                  <c:v>3.0079999999999999E-2</c:v>
                </c:pt>
                <c:pt idx="1">
                  <c:v>4.3905411384089738E-2</c:v>
                </c:pt>
                <c:pt idx="2">
                  <c:v>1.1130482000000001E-2</c:v>
                </c:pt>
                <c:pt idx="3">
                  <c:v>1.2889665663819147E-2</c:v>
                </c:pt>
                <c:pt idx="4">
                  <c:v>1.992640165693324E-2</c:v>
                </c:pt>
                <c:pt idx="5">
                  <c:v>-7.3689841464251865E-3</c:v>
                </c:pt>
                <c:pt idx="6">
                  <c:v>-5.6098001481466667E-3</c:v>
                </c:pt>
                <c:pt idx="7">
                  <c:v>1.4269358449674266E-3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B1-47B3-899F-DBE2B3DF50BC}"/>
            </c:ext>
          </c:extLst>
        </c:ser>
        <c:ser>
          <c:idx val="2"/>
          <c:order val="2"/>
          <c:tx>
            <c:strRef>
              <c:f>'HES LCOE'!$F$2</c:f>
              <c:strCache>
                <c:ptCount val="1"/>
                <c:pt idx="0">
                  <c:v>Pessimistic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'HES LCOE'!$B$3:$C$10</c15:sqref>
                  </c15:fullRef>
                  <c15:levelRef>
                    <c15:sqref>'HES LCOE'!$B$3:$B$10</c15:sqref>
                  </c15:levelRef>
                </c:ext>
              </c:extLst>
              <c:f>'HES LCOE'!$B$3:$B$10</c:f>
              <c:strCache>
                <c:ptCount val="8"/>
                <c:pt idx="0">
                  <c:v>MSR (10%)</c:v>
                </c:pt>
                <c:pt idx="1">
                  <c:v>MSR + HES</c:v>
                </c:pt>
                <c:pt idx="2">
                  <c:v>Total + 5% (int.)</c:v>
                </c:pt>
                <c:pt idx="3">
                  <c:v>Total + 10% + 5% (int.)</c:v>
                </c:pt>
                <c:pt idx="4">
                  <c:v>Total + 50% + 5% (int.)</c:v>
                </c:pt>
                <c:pt idx="5">
                  <c:v>Total + 5% (int.)</c:v>
                </c:pt>
                <c:pt idx="6">
                  <c:v>Total + 10% + 5% (int.)</c:v>
                </c:pt>
                <c:pt idx="7">
                  <c:v>Total + 50% + 5% (int.)</c:v>
                </c:pt>
              </c:strCache>
            </c:strRef>
          </c:cat>
          <c:val>
            <c:numRef>
              <c:f>'HES LCOE'!$F$3:$F$10</c:f>
              <c:numCache>
                <c:formatCode>"$"#,##0.00000</c:formatCode>
                <c:ptCount val="8"/>
                <c:pt idx="0">
                  <c:v>3.3169999999999998E-2</c:v>
                </c:pt>
                <c:pt idx="1">
                  <c:v>4.9194734263634597E-2</c:v>
                </c:pt>
                <c:pt idx="2">
                  <c:v>1.4810737000000001E-2</c:v>
                </c:pt>
                <c:pt idx="3">
                  <c:v>1.6887869399385094E-2</c:v>
                </c:pt>
                <c:pt idx="4">
                  <c:v>2.5196399190277309E-2</c:v>
                </c:pt>
                <c:pt idx="5">
                  <c:v>-3.6887288602656561E-3</c:v>
                </c:pt>
                <c:pt idx="6">
                  <c:v>-1.6115964125807195E-3</c:v>
                </c:pt>
                <c:pt idx="7">
                  <c:v>6.6969333783114954E-3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B1-47B3-899F-DBE2B3DF50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3579983"/>
        <c:axId val="414504815"/>
      </c:barChart>
      <c:catAx>
        <c:axId val="129357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04815"/>
        <c:crosses val="autoZero"/>
        <c:auto val="1"/>
        <c:lblAlgn val="ctr"/>
        <c:lblOffset val="100"/>
        <c:noMultiLvlLbl val="0"/>
      </c:catAx>
      <c:valAx>
        <c:axId val="41450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57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NR-HES</a:t>
            </a:r>
            <a:r>
              <a:rPr lang="en-US" baseline="0"/>
              <a:t> LCOE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'HES LCOE'!$C$42</c:f>
              <c:strCache>
                <c:ptCount val="1"/>
                <c:pt idx="0">
                  <c:v>Optimistic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8.289810739051641E-3"/>
                  <c:y val="-3.15955694733875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A87-423A-9174-DFBC417F0942}"/>
                </c:ext>
              </c:extLst>
            </c:dLbl>
            <c:dLbl>
              <c:idx val="1"/>
              <c:layout>
                <c:manualLayout>
                  <c:x val="-2.3211470069344653E-2"/>
                  <c:y val="-1.72339469854841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A87-423A-9174-DFBC417F0942}"/>
                </c:ext>
              </c:extLst>
            </c:dLbl>
            <c:dLbl>
              <c:idx val="2"/>
              <c:layout>
                <c:manualLayout>
                  <c:x val="-4.144905369525826E-2"/>
                  <c:y val="-2.29785959806455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A87-423A-9174-DFBC417F0942}"/>
                </c:ext>
              </c:extLst>
            </c:dLbl>
            <c:dLbl>
              <c:idx val="3"/>
              <c:layout>
                <c:manualLayout>
                  <c:x val="-8.6924692638203002E-2"/>
                  <c:y val="-3.75120709369258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A87-423A-9174-DFBC417F09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'HES LCOE'!$B$43:$B$46</c:f>
              <c:strCache>
                <c:ptCount val="4"/>
                <c:pt idx="0">
                  <c:v>MSR (10%)</c:v>
                </c:pt>
                <c:pt idx="1">
                  <c:v>MSR + HES</c:v>
                </c:pt>
                <c:pt idx="2">
                  <c:v>Total + 50% + 5% (int.)</c:v>
                </c:pt>
                <c:pt idx="3">
                  <c:v>Total + 10% + 5% (int.)</c:v>
                </c:pt>
              </c:strCache>
            </c:strRef>
          </c:cat>
          <c:val>
            <c:numRef>
              <c:f>'HES LCOE'!$C$43:$C$46</c:f>
              <c:numCache>
                <c:formatCode>"$"#,##0.00000</c:formatCode>
                <c:ptCount val="4"/>
                <c:pt idx="0">
                  <c:v>2.699E-2</c:v>
                </c:pt>
                <c:pt idx="1">
                  <c:v>3.8616088504544871E-2</c:v>
                </c:pt>
                <c:pt idx="2">
                  <c:v>1.4656404123665404E-2</c:v>
                </c:pt>
                <c:pt idx="3">
                  <c:v>-9.6080038837888272E-3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87-423A-9174-DFBC417F0942}"/>
            </c:ext>
          </c:extLst>
        </c:ser>
        <c:ser>
          <c:idx val="1"/>
          <c:order val="1"/>
          <c:tx>
            <c:strRef>
              <c:f>'HES LCOE'!$D$42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315924295620656E-3"/>
                  <c:y val="-0.114892979903227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87-423A-9174-DFBC417F0942}"/>
                </c:ext>
              </c:extLst>
            </c:dLbl>
            <c:dLbl>
              <c:idx val="1"/>
              <c:layout>
                <c:manualLayout>
                  <c:x val="-2.9843318660585906E-2"/>
                  <c:y val="-3.734021846854895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A87-423A-9174-DFBC417F0942}"/>
                </c:ext>
              </c:extLst>
            </c:dLbl>
            <c:dLbl>
              <c:idx val="2"/>
              <c:layout>
                <c:manualLayout>
                  <c:x val="-3.6475167251827215E-2"/>
                  <c:y val="-5.744648995161382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A87-423A-9174-DFBC417F0942}"/>
                </c:ext>
              </c:extLst>
            </c:dLbl>
            <c:dLbl>
              <c:idx val="3"/>
              <c:layout>
                <c:manualLayout>
                  <c:x val="-2.7844944394349959E-2"/>
                  <c:y val="-8.91046692148692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A87-423A-9174-DFBC417F09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'HES LCOE'!$B$43:$B$46</c:f>
              <c:strCache>
                <c:ptCount val="4"/>
                <c:pt idx="0">
                  <c:v>MSR (10%)</c:v>
                </c:pt>
                <c:pt idx="1">
                  <c:v>MSR + HES</c:v>
                </c:pt>
                <c:pt idx="2">
                  <c:v>Total + 50% + 5% (int.)</c:v>
                </c:pt>
                <c:pt idx="3">
                  <c:v>Total + 10% + 5% (int.)</c:v>
                </c:pt>
              </c:strCache>
            </c:strRef>
          </c:cat>
          <c:val>
            <c:numRef>
              <c:f>'HES LCOE'!$D$43:$D$46</c:f>
              <c:numCache>
                <c:formatCode>"$"#,##0.00000</c:formatCode>
                <c:ptCount val="4"/>
                <c:pt idx="0">
                  <c:v>3.0079999999999999E-2</c:v>
                </c:pt>
                <c:pt idx="1">
                  <c:v>4.3905411384089738E-2</c:v>
                </c:pt>
                <c:pt idx="2">
                  <c:v>1.992640165693324E-2</c:v>
                </c:pt>
                <c:pt idx="3">
                  <c:v>-5.6098001481466667E-3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87-423A-9174-DFBC417F0942}"/>
            </c:ext>
          </c:extLst>
        </c:ser>
        <c:ser>
          <c:idx val="2"/>
          <c:order val="2"/>
          <c:tx>
            <c:strRef>
              <c:f>'HES LCOE'!$E$42</c:f>
              <c:strCache>
                <c:ptCount val="1"/>
                <c:pt idx="0">
                  <c:v>Pessimistic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6527394364965221E-2"/>
                  <c:y val="-1.436162248790344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A87-423A-9174-DFBC417F0942}"/>
                </c:ext>
              </c:extLst>
            </c:dLbl>
            <c:dLbl>
              <c:idx val="1"/>
              <c:layout>
                <c:manualLayout>
                  <c:x val="2.3211470069344532E-2"/>
                  <c:y val="-2.872324497580688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A87-423A-9174-DFBC417F0942}"/>
                </c:ext>
              </c:extLst>
            </c:dLbl>
            <c:dLbl>
              <c:idx val="2"/>
              <c:layout>
                <c:manualLayout>
                  <c:x val="2.9843318660585785E-2"/>
                  <c:y val="-6.89357879419365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A87-423A-9174-DFBC417F0942}"/>
                </c:ext>
              </c:extLst>
            </c:dLbl>
            <c:dLbl>
              <c:idx val="3"/>
              <c:layout>
                <c:manualLayout>
                  <c:x val="1.3189710502586821E-2"/>
                  <c:y val="-9.720490040706314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A87-423A-9174-DFBC417F09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'HES LCOE'!$B$43:$B$46</c:f>
              <c:strCache>
                <c:ptCount val="4"/>
                <c:pt idx="0">
                  <c:v>MSR (10%)</c:v>
                </c:pt>
                <c:pt idx="1">
                  <c:v>MSR + HES</c:v>
                </c:pt>
                <c:pt idx="2">
                  <c:v>Total + 50% + 5% (int.)</c:v>
                </c:pt>
                <c:pt idx="3">
                  <c:v>Total + 10% + 5% (int.)</c:v>
                </c:pt>
              </c:strCache>
            </c:strRef>
          </c:cat>
          <c:val>
            <c:numRef>
              <c:f>'HES LCOE'!$E$43:$E$46</c:f>
              <c:numCache>
                <c:formatCode>"$"#,##0.00000</c:formatCode>
                <c:ptCount val="4"/>
                <c:pt idx="0">
                  <c:v>3.3169999999999998E-2</c:v>
                </c:pt>
                <c:pt idx="1">
                  <c:v>4.9194734263634597E-2</c:v>
                </c:pt>
                <c:pt idx="2">
                  <c:v>2.5196399190277309E-2</c:v>
                </c:pt>
                <c:pt idx="3">
                  <c:v>-1.6115964125807195E-3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87-423A-9174-DFBC417F09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2582719"/>
        <c:axId val="223967199"/>
      </c:barChart>
      <c:catAx>
        <c:axId val="22258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67199"/>
        <c:crosses val="autoZero"/>
        <c:auto val="1"/>
        <c:lblAlgn val="ctr"/>
        <c:lblOffset val="100"/>
        <c:noMultiLvlLbl val="0"/>
      </c:catAx>
      <c:valAx>
        <c:axId val="22396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$/kg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58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LCOE for Base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'HES LCOE'!$C$50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2.4286581663630845E-3"/>
                  <c:y val="0.3546445329433524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C7-4590-B3C3-9F14EBBB34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'HES LCOE'!$B$51:$B$54</c:f>
              <c:strCache>
                <c:ptCount val="4"/>
                <c:pt idx="0">
                  <c:v>MSR (10%)</c:v>
                </c:pt>
                <c:pt idx="1">
                  <c:v>MSR + HES</c:v>
                </c:pt>
                <c:pt idx="2">
                  <c:v>Total + 50% + 5% (int.)</c:v>
                </c:pt>
                <c:pt idx="3">
                  <c:v>Total + 10% + 5% (int.)</c:v>
                </c:pt>
              </c:strCache>
            </c:strRef>
          </c:cat>
          <c:val>
            <c:numRef>
              <c:f>'HES LCOE'!$C$51:$C$54</c:f>
              <c:numCache>
                <c:formatCode>"$"#,##0.00000</c:formatCode>
                <c:ptCount val="4"/>
                <c:pt idx="0">
                  <c:v>3.0079999999999999E-2</c:v>
                </c:pt>
                <c:pt idx="1">
                  <c:v>4.3905411384089738E-2</c:v>
                </c:pt>
                <c:pt idx="2">
                  <c:v>1.992640165693324E-2</c:v>
                </c:pt>
                <c:pt idx="3">
                  <c:v>-5.6098001481466667E-3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7-4590-B3C3-9F14EBBB34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6315391"/>
        <c:axId val="414508271"/>
      </c:barChart>
      <c:catAx>
        <c:axId val="21631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08271"/>
        <c:crosses val="autoZero"/>
        <c:auto val="1"/>
        <c:lblAlgn val="ctr"/>
        <c:lblOffset val="100"/>
        <c:noMultiLvlLbl val="0"/>
      </c:catAx>
      <c:valAx>
        <c:axId val="41450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$/kWh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1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LCOE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'HES LCOE'!$C$58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'HES LCOE'!$B$59:$B$62</c:f>
              <c:strCache>
                <c:ptCount val="4"/>
                <c:pt idx="0">
                  <c:v>MSR (10%)</c:v>
                </c:pt>
                <c:pt idx="1">
                  <c:v>MSR + Wind + Solar</c:v>
                </c:pt>
                <c:pt idx="2">
                  <c:v>HES (50%)</c:v>
                </c:pt>
                <c:pt idx="3">
                  <c:v>HES (10%)</c:v>
                </c:pt>
              </c:strCache>
            </c:strRef>
          </c:cat>
          <c:val>
            <c:numRef>
              <c:f>'HES LCOE'!$C$59:$C$62</c:f>
              <c:numCache>
                <c:formatCode>"$"#,##0.00000</c:formatCode>
                <c:ptCount val="4"/>
                <c:pt idx="0">
                  <c:v>3.0079999999999999E-2</c:v>
                </c:pt>
                <c:pt idx="1">
                  <c:v>0.18078</c:v>
                </c:pt>
                <c:pt idx="2">
                  <c:v>0.16862640165693327</c:v>
                </c:pt>
                <c:pt idx="3">
                  <c:v>0.14239019985185333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4-4C76-9EDD-F0DC9C7110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5305392"/>
        <c:axId val="702736176"/>
      </c:barChart>
      <c:catAx>
        <c:axId val="7053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736176"/>
        <c:crosses val="autoZero"/>
        <c:auto val="1"/>
        <c:lblAlgn val="ctr"/>
        <c:lblOffset val="100"/>
        <c:noMultiLvlLbl val="0"/>
      </c:catAx>
      <c:valAx>
        <c:axId val="70273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$/kWh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0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Hybrid Energy System Overnight</a:t>
            </a:r>
            <a:r>
              <a:rPr lang="en-US" baseline="0"/>
              <a:t> Costs Scenarios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Calculus!$AN$9</c:f>
              <c:strCache>
                <c:ptCount val="1"/>
                <c:pt idx="0">
                  <c:v>Optimistic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Calculus!$AM$10:$AM$14</c:f>
              <c:strCache>
                <c:ptCount val="5"/>
                <c:pt idx="0">
                  <c:v>Nuclear (MSR)</c:v>
                </c:pt>
                <c:pt idx="1">
                  <c:v>Hydrogen</c:v>
                </c:pt>
                <c:pt idx="2">
                  <c:v>Total</c:v>
                </c:pt>
                <c:pt idx="3">
                  <c:v>Total + 10%</c:v>
                </c:pt>
                <c:pt idx="4">
                  <c:v>Total + 50%</c:v>
                </c:pt>
              </c:strCache>
            </c:strRef>
          </c:cat>
          <c:val>
            <c:numRef>
              <c:f>Calculus!$AN$10:$AN$14</c:f>
              <c:numCache>
                <c:formatCode>"$"#,##0.00</c:formatCode>
                <c:ptCount val="5"/>
                <c:pt idx="0">
                  <c:v>800000000</c:v>
                </c:pt>
                <c:pt idx="1">
                  <c:v>142341172</c:v>
                </c:pt>
                <c:pt idx="2">
                  <c:v>942341172</c:v>
                </c:pt>
                <c:pt idx="3">
                  <c:v>1036575289.2</c:v>
                </c:pt>
                <c:pt idx="4">
                  <c:v>1413511758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C-4CE8-AD21-91E6A2AD8C0A}"/>
            </c:ext>
          </c:extLst>
        </c:ser>
        <c:ser>
          <c:idx val="1"/>
          <c:order val="1"/>
          <c:tx>
            <c:strRef>
              <c:f>Calculus!$AO$9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Calculus!$AM$10:$AM$14</c:f>
              <c:strCache>
                <c:ptCount val="5"/>
                <c:pt idx="0">
                  <c:v>Nuclear (MSR)</c:v>
                </c:pt>
                <c:pt idx="1">
                  <c:v>Hydrogen</c:v>
                </c:pt>
                <c:pt idx="2">
                  <c:v>Total</c:v>
                </c:pt>
                <c:pt idx="3">
                  <c:v>Total + 10%</c:v>
                </c:pt>
                <c:pt idx="4">
                  <c:v>Total + 50%</c:v>
                </c:pt>
              </c:strCache>
            </c:strRef>
          </c:cat>
          <c:val>
            <c:numRef>
              <c:f>Calculus!$AO$10:$AO$14</c:f>
              <c:numCache>
                <c:formatCode>"$"#,##0.00</c:formatCode>
                <c:ptCount val="5"/>
                <c:pt idx="0">
                  <c:v>1000000000</c:v>
                </c:pt>
                <c:pt idx="1">
                  <c:v>150229407</c:v>
                </c:pt>
                <c:pt idx="2">
                  <c:v>1150229407</c:v>
                </c:pt>
                <c:pt idx="3">
                  <c:v>1265252347.7</c:v>
                </c:pt>
                <c:pt idx="4">
                  <c:v>1725344110.5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CC-4CE8-AD21-91E6A2AD8C0A}"/>
            </c:ext>
          </c:extLst>
        </c:ser>
        <c:ser>
          <c:idx val="2"/>
          <c:order val="2"/>
          <c:tx>
            <c:strRef>
              <c:f>Calculus!$AP$9</c:f>
              <c:strCache>
                <c:ptCount val="1"/>
                <c:pt idx="0">
                  <c:v>Pessimistic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Calculus!$AM$10:$AM$14</c:f>
              <c:strCache>
                <c:ptCount val="5"/>
                <c:pt idx="0">
                  <c:v>Nuclear (MSR)</c:v>
                </c:pt>
                <c:pt idx="1">
                  <c:v>Hydrogen</c:v>
                </c:pt>
                <c:pt idx="2">
                  <c:v>Total</c:v>
                </c:pt>
                <c:pt idx="3">
                  <c:v>Total + 10%</c:v>
                </c:pt>
                <c:pt idx="4">
                  <c:v>Total + 50%</c:v>
                </c:pt>
              </c:strCache>
            </c:strRef>
          </c:cat>
          <c:val>
            <c:numRef>
              <c:f>Calculus!$AP$10:$AP$14</c:f>
              <c:numCache>
                <c:formatCode>"$"#,##0.00</c:formatCode>
                <c:ptCount val="5"/>
                <c:pt idx="0">
                  <c:v>1200000000</c:v>
                </c:pt>
                <c:pt idx="1">
                  <c:v>158117642</c:v>
                </c:pt>
                <c:pt idx="2">
                  <c:v>1358117642</c:v>
                </c:pt>
                <c:pt idx="3">
                  <c:v>1493929406.2</c:v>
                </c:pt>
                <c:pt idx="4">
                  <c:v>2037176463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CC-4CE8-AD21-91E6A2AD8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6075775"/>
        <c:axId val="256482031"/>
      </c:barChart>
      <c:catAx>
        <c:axId val="94607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482031"/>
        <c:crosses val="autoZero"/>
        <c:auto val="1"/>
        <c:lblAlgn val="ctr"/>
        <c:lblOffset val="100"/>
        <c:noMultiLvlLbl val="0"/>
      </c:catAx>
      <c:valAx>
        <c:axId val="25648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07577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Hydrogen Plant Yearly Operating Costs and Revenues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Calculus!$AG$10</c:f>
              <c:strCache>
                <c:ptCount val="1"/>
                <c:pt idx="0">
                  <c:v>Operarting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Calculus!$AF$11:$AF$16</c:f>
              <c:strCache>
                <c:ptCount val="6"/>
                <c:pt idx="0">
                  <c:v>Optimistic (10$/kg)</c:v>
                </c:pt>
                <c:pt idx="1">
                  <c:v>Optimistic (16$/kg)</c:v>
                </c:pt>
                <c:pt idx="2">
                  <c:v>Base (10$/kg)</c:v>
                </c:pt>
                <c:pt idx="3">
                  <c:v>Base (16$/kg)</c:v>
                </c:pt>
                <c:pt idx="4">
                  <c:v>Pessimistic (10$/kg)</c:v>
                </c:pt>
                <c:pt idx="5">
                  <c:v>Pessimistic (16$/kg)</c:v>
                </c:pt>
              </c:strCache>
            </c:strRef>
          </c:cat>
          <c:val>
            <c:numRef>
              <c:f>Calculus!$AG$11:$AG$16</c:f>
              <c:numCache>
                <c:formatCode>"$"#,##0.00</c:formatCode>
                <c:ptCount val="6"/>
                <c:pt idx="0">
                  <c:v>18920666.666666798</c:v>
                </c:pt>
                <c:pt idx="1">
                  <c:v>18920666.666666798</c:v>
                </c:pt>
                <c:pt idx="2">
                  <c:v>19947166.666666798</c:v>
                </c:pt>
                <c:pt idx="3">
                  <c:v>19947166.666666798</c:v>
                </c:pt>
                <c:pt idx="4">
                  <c:v>20973666.666666798</c:v>
                </c:pt>
                <c:pt idx="5">
                  <c:v>20973666.666666798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8F-4626-B5CA-34E064A8A303}"/>
            </c:ext>
          </c:extLst>
        </c:ser>
        <c:ser>
          <c:idx val="1"/>
          <c:order val="1"/>
          <c:tx>
            <c:strRef>
              <c:f>Calculus!$AJ$10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Calculus!$AF$11:$AF$16</c:f>
              <c:strCache>
                <c:ptCount val="6"/>
                <c:pt idx="0">
                  <c:v>Optimistic (10$/kg)</c:v>
                </c:pt>
                <c:pt idx="1">
                  <c:v>Optimistic (16$/kg)</c:v>
                </c:pt>
                <c:pt idx="2">
                  <c:v>Base (10$/kg)</c:v>
                </c:pt>
                <c:pt idx="3">
                  <c:v>Base (16$/kg)</c:v>
                </c:pt>
                <c:pt idx="4">
                  <c:v>Pessimistic (10$/kg)</c:v>
                </c:pt>
                <c:pt idx="5">
                  <c:v>Pessimistic (16$/kg)</c:v>
                </c:pt>
              </c:strCache>
            </c:strRef>
          </c:cat>
          <c:val>
            <c:numRef>
              <c:f>Calculus!$AJ$11:$AJ$16</c:f>
              <c:numCache>
                <c:formatCode>"$"#,##0.00</c:formatCode>
                <c:ptCount val="6"/>
                <c:pt idx="0">
                  <c:v>107482483.33333321</c:v>
                </c:pt>
                <c:pt idx="1">
                  <c:v>183324373.33333319</c:v>
                </c:pt>
                <c:pt idx="2">
                  <c:v>106455983.33333321</c:v>
                </c:pt>
                <c:pt idx="3">
                  <c:v>182297873.33333322</c:v>
                </c:pt>
                <c:pt idx="4">
                  <c:v>105429483.33333321</c:v>
                </c:pt>
                <c:pt idx="5">
                  <c:v>181271373.33333322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8F-4626-B5CA-34E064A8A303}"/>
            </c:ext>
          </c:extLst>
        </c:ser>
        <c:ser>
          <c:idx val="2"/>
          <c:order val="2"/>
          <c:tx>
            <c:strRef>
              <c:f>Calculus!$AK$10</c:f>
              <c:strCache>
                <c:ptCount val="1"/>
                <c:pt idx="0">
                  <c:v>Net 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Calculus!$AF$11:$AF$16</c:f>
              <c:strCache>
                <c:ptCount val="6"/>
                <c:pt idx="0">
                  <c:v>Optimistic (10$/kg)</c:v>
                </c:pt>
                <c:pt idx="1">
                  <c:v>Optimistic (16$/kg)</c:v>
                </c:pt>
                <c:pt idx="2">
                  <c:v>Base (10$/kg)</c:v>
                </c:pt>
                <c:pt idx="3">
                  <c:v>Base (16$/kg)</c:v>
                </c:pt>
                <c:pt idx="4">
                  <c:v>Pessimistic (10$/kg)</c:v>
                </c:pt>
                <c:pt idx="5">
                  <c:v>Pessimistic (16$/kg)</c:v>
                </c:pt>
              </c:strCache>
            </c:strRef>
          </c:cat>
          <c:val>
            <c:numRef>
              <c:f>Calculus!$AK$11:$AK$16</c:f>
              <c:numCache>
                <c:formatCode>"$"#,##0.00</c:formatCode>
                <c:ptCount val="6"/>
                <c:pt idx="0">
                  <c:v>88561816.666666418</c:v>
                </c:pt>
                <c:pt idx="1">
                  <c:v>164403706.66666639</c:v>
                </c:pt>
                <c:pt idx="2">
                  <c:v>86508816.666666418</c:v>
                </c:pt>
                <c:pt idx="3">
                  <c:v>162350706.66666642</c:v>
                </c:pt>
                <c:pt idx="4">
                  <c:v>84455816.666666418</c:v>
                </c:pt>
                <c:pt idx="5">
                  <c:v>160297706.66666642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8F-4626-B5CA-34E064A8A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758943"/>
        <c:axId val="176383167"/>
      </c:barChart>
      <c:catAx>
        <c:axId val="12975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83167"/>
        <c:crosses val="autoZero"/>
        <c:auto val="1"/>
        <c:lblAlgn val="ctr"/>
        <c:lblOffset val="100"/>
        <c:noMultiLvlLbl val="0"/>
      </c:catAx>
      <c:valAx>
        <c:axId val="17638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5894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/>
              <a:t>Overnight Capital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Calculus!$AY$7</c:f>
              <c:strCache>
                <c:ptCount val="1"/>
                <c:pt idx="0">
                  <c:v>Optimistic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Calculus!$AX$8:$AX$11</c:f>
              <c:strCache>
                <c:ptCount val="4"/>
                <c:pt idx="0">
                  <c:v>Nuclear (MSR)</c:v>
                </c:pt>
                <c:pt idx="1">
                  <c:v>Hydrogen</c:v>
                </c:pt>
                <c:pt idx="2">
                  <c:v>5% int. rate</c:v>
                </c:pt>
                <c:pt idx="3">
                  <c:v>10% int. rate</c:v>
                </c:pt>
              </c:strCache>
            </c:strRef>
          </c:cat>
          <c:val>
            <c:numRef>
              <c:f>Calculus!$AY$8:$AY$11</c:f>
              <c:numCache>
                <c:formatCode>"$"#,##0.00</c:formatCode>
                <c:ptCount val="4"/>
                <c:pt idx="0">
                  <c:v>800000000</c:v>
                </c:pt>
                <c:pt idx="1">
                  <c:v>142341172</c:v>
                </c:pt>
                <c:pt idx="2">
                  <c:v>1890753457.5799999</c:v>
                </c:pt>
                <c:pt idx="3">
                  <c:v>3145417296.6500001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2-43D5-89FF-7C9A22786FDE}"/>
            </c:ext>
          </c:extLst>
        </c:ser>
        <c:ser>
          <c:idx val="1"/>
          <c:order val="1"/>
          <c:tx>
            <c:strRef>
              <c:f>Calculus!$AZ$7</c:f>
              <c:strCache>
                <c:ptCount val="1"/>
                <c:pt idx="0">
                  <c:v>Pesimistic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Calculus!$AX$8:$AX$11</c:f>
              <c:strCache>
                <c:ptCount val="4"/>
                <c:pt idx="0">
                  <c:v>Nuclear (MSR)</c:v>
                </c:pt>
                <c:pt idx="1">
                  <c:v>Hydrogen</c:v>
                </c:pt>
                <c:pt idx="2">
                  <c:v>5% int. rate</c:v>
                </c:pt>
                <c:pt idx="3">
                  <c:v>10% int. rate</c:v>
                </c:pt>
              </c:strCache>
            </c:strRef>
          </c:cat>
          <c:val>
            <c:numRef>
              <c:f>Calculus!$AZ$8:$AZ$11</c:f>
              <c:numCache>
                <c:formatCode>"$"#,##0.00</c:formatCode>
                <c:ptCount val="4"/>
                <c:pt idx="0">
                  <c:v>1200000000</c:v>
                </c:pt>
                <c:pt idx="1">
                  <c:v>158117642</c:v>
                </c:pt>
                <c:pt idx="2">
                  <c:v>2724985073.0500002</c:v>
                </c:pt>
                <c:pt idx="3">
                  <c:v>4533227294.9099998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A2-43D5-89FF-7C9A22786F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9011088"/>
        <c:axId val="154499440"/>
      </c:barChart>
      <c:catAx>
        <c:axId val="149011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99440"/>
        <c:crosses val="autoZero"/>
        <c:auto val="1"/>
        <c:lblAlgn val="ctr"/>
        <c:lblOffset val="100"/>
        <c:noMultiLvlLbl val="0"/>
      </c:catAx>
      <c:valAx>
        <c:axId val="15449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11088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Levelized</a:t>
            </a:r>
            <a:r>
              <a:rPr lang="en-US" b="1" baseline="0"/>
              <a:t> Cost of Electricity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56669816832222"/>
          <c:y val="0.14488281250000001"/>
          <c:w val="0.8501189158127066"/>
          <c:h val="0.722792507381889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Calculus!$BC$4</c:f>
              <c:strCache>
                <c:ptCount val="1"/>
                <c:pt idx="0">
                  <c:v>Optimistic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Calculus!$BD$3:$BE$3</c:f>
              <c:strCache>
                <c:ptCount val="2"/>
                <c:pt idx="0">
                  <c:v>MSR</c:v>
                </c:pt>
                <c:pt idx="1">
                  <c:v>HES</c:v>
                </c:pt>
              </c:strCache>
            </c:strRef>
          </c:cat>
          <c:val>
            <c:numRef>
              <c:f>Calculus!$BD$4:$BE$4</c:f>
              <c:numCache>
                <c:formatCode>General</c:formatCode>
                <c:ptCount val="2"/>
                <c:pt idx="0">
                  <c:v>2.699E-2</c:v>
                </c:pt>
                <c:pt idx="1">
                  <c:v>-1.1049239432660937E-2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E-4EEB-8B30-45644E9B0E51}"/>
            </c:ext>
          </c:extLst>
        </c:ser>
        <c:ser>
          <c:idx val="1"/>
          <c:order val="1"/>
          <c:tx>
            <c:strRef>
              <c:f>Calculus!$BC$5</c:f>
              <c:strCache>
                <c:ptCount val="1"/>
                <c:pt idx="0">
                  <c:v>Pessimistic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&quot;$&quot;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Calculus!$BD$3:$BE$3</c:f>
              <c:strCache>
                <c:ptCount val="2"/>
                <c:pt idx="0">
                  <c:v>MSR</c:v>
                </c:pt>
                <c:pt idx="1">
                  <c:v>HES</c:v>
                </c:pt>
              </c:strCache>
            </c:strRef>
          </c:cat>
          <c:val>
            <c:numRef>
              <c:f>Calculus!$BD$5:$BE$5</c:f>
              <c:numCache>
                <c:formatCode>General</c:formatCode>
                <c:ptCount val="2"/>
                <c:pt idx="0">
                  <c:v>3.3169999999999998E-2</c:v>
                </c:pt>
                <c:pt idx="1">
                  <c:v>1.4810737000000001E-2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CE-4EEB-8B30-45644E9B0E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7337920"/>
        <c:axId val="288364992"/>
      </c:barChart>
      <c:catAx>
        <c:axId val="14733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600000" spcFirstLastPara="1" vertOverflow="ellipsis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64992"/>
        <c:crosses val="autoZero"/>
        <c:auto val="1"/>
        <c:lblAlgn val="ctr"/>
        <c:lblOffset val="100"/>
        <c:noMultiLvlLbl val="0"/>
      </c:catAx>
      <c:valAx>
        <c:axId val="28836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baseline="0"/>
                  <a:t>$/kWh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3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Hydrogen</a:t>
            </a:r>
            <a:r>
              <a:rPr lang="en-US" b="1" baseline="0"/>
              <a:t> Production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Calculus!$AY$40</c:f>
              <c:strCache>
                <c:ptCount val="1"/>
                <c:pt idx="0">
                  <c:v>Cost $/kg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CD-4E74-BB1B-E8376942DA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Calculus!$AW$42:$AW$43</c:f>
              <c:strCache>
                <c:ptCount val="2"/>
                <c:pt idx="0">
                  <c:v>Optimistic</c:v>
                </c:pt>
                <c:pt idx="1">
                  <c:v>Pessimistic</c:v>
                </c:pt>
              </c:strCache>
            </c:strRef>
          </c:cat>
          <c:val>
            <c:numRef>
              <c:f>Calculus!$AY$41:$AY$42</c:f>
              <c:numCache>
                <c:formatCode>"$"#,##0.00</c:formatCode>
                <c:ptCount val="2"/>
                <c:pt idx="0">
                  <c:v>1.4968508828036957</c:v>
                </c:pt>
                <c:pt idx="1">
                  <c:v>1.659267721308116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CD-4E74-BB1B-E8376942DA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17168"/>
        <c:axId val="287050064"/>
      </c:barChart>
      <c:catAx>
        <c:axId val="5531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050064"/>
        <c:crosses val="autoZero"/>
        <c:auto val="1"/>
        <c:lblAlgn val="ctr"/>
        <c:lblOffset val="100"/>
        <c:noMultiLvlLbl val="0"/>
      </c:catAx>
      <c:valAx>
        <c:axId val="2870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baseline="0"/>
                  <a:t>$/kg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LCOE</a:t>
            </a:r>
            <a:r>
              <a:rPr lang="en-US" b="1" baseline="0"/>
              <a:t> before and after integrating the hydrogen production facility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'Thorcon B&amp;A'!$B$26</c:f>
              <c:strCache>
                <c:ptCount val="1"/>
                <c:pt idx="0">
                  <c:v>MSR LCOE ($/kWh)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'Thorcon B&amp;A'!$C$26:$E$26</c:f>
              <c:numCache>
                <c:formatCode>"$"#,##0.00000</c:formatCode>
                <c:ptCount val="3"/>
                <c:pt idx="0">
                  <c:v>2.699E-2</c:v>
                </c:pt>
                <c:pt idx="1">
                  <c:v>3.0079999999999999E-2</c:v>
                </c:pt>
                <c:pt idx="2">
                  <c:v>3.3169999999999998E-2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A-478D-BEC8-E3E7ACDE3EE0}"/>
            </c:ext>
          </c:extLst>
        </c:ser>
        <c:ser>
          <c:idx val="1"/>
          <c:order val="1"/>
          <c:tx>
            <c:strRef>
              <c:f>'Thorcon B&amp;A'!$B$27</c:f>
              <c:strCache>
                <c:ptCount val="1"/>
                <c:pt idx="0">
                  <c:v>HES LCOE ($/kWh)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'Thorcon B&amp;A'!$C$27:$E$27</c:f>
              <c:numCache>
                <c:formatCode>"$"#,##0.00000</c:formatCode>
                <c:ptCount val="3"/>
                <c:pt idx="0">
                  <c:v>3.8616088504544871E-2</c:v>
                </c:pt>
                <c:pt idx="1">
                  <c:v>4.3905411384089738E-2</c:v>
                </c:pt>
                <c:pt idx="2">
                  <c:v>4.9194734263634597E-2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2A-478D-BEC8-E3E7ACDE3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54047"/>
        <c:axId val="224707647"/>
      </c:barChart>
      <c:catAx>
        <c:axId val="4875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707647"/>
        <c:crosses val="autoZero"/>
        <c:auto val="1"/>
        <c:lblAlgn val="ctr"/>
        <c:lblOffset val="100"/>
        <c:noMultiLvlLbl val="0"/>
      </c:catAx>
      <c:valAx>
        <c:axId val="22470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900" b="1" baseline="0"/>
              <a:t>Thorcon's LCOE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C9-49E4-9A66-E2D3CDE4B7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C9-49E4-9A66-E2D3CDE4B7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4C9-49E4-9A66-E2D3CDE4B76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C9-49E4-9A66-E2D3CDE4B76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C9-49E4-9A66-E2D3CDE4B76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4C9-49E4-9A66-E2D3CDE4B7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'Thorcon B&amp;A'!$B$20:$B$25</c:f>
              <c:strCache>
                <c:ptCount val="6"/>
                <c:pt idx="0">
                  <c:v>Reactor</c:v>
                </c:pt>
                <c:pt idx="1">
                  <c:v>Fuel</c:v>
                </c:pt>
                <c:pt idx="2">
                  <c:v>Salt</c:v>
                </c:pt>
                <c:pt idx="3">
                  <c:v>Staff</c:v>
                </c:pt>
                <c:pt idx="4">
                  <c:v>Waste</c:v>
                </c:pt>
                <c:pt idx="5">
                  <c:v>Facilities</c:v>
                </c:pt>
              </c:strCache>
            </c:strRef>
          </c:cat>
          <c:val>
            <c:numRef>
              <c:f>'Thorcon B&amp;A'!$C$20:$C$25</c:f>
              <c:numCache>
                <c:formatCode>"$"#,##0.00000</c:formatCode>
                <c:ptCount val="6"/>
                <c:pt idx="0">
                  <c:v>3.3999999999999998E-3</c:v>
                </c:pt>
                <c:pt idx="1">
                  <c:v>5.11E-3</c:v>
                </c:pt>
                <c:pt idx="2">
                  <c:v>2.0000000000000001E-4</c:v>
                </c:pt>
                <c:pt idx="3">
                  <c:v>4.9300000000000004E-3</c:v>
                </c:pt>
                <c:pt idx="4">
                  <c:v>1E-3</c:v>
                </c:pt>
                <c:pt idx="5">
                  <c:v>2.3976088504544867E-2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11-49BD-B90B-D563E3B0755C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4C9-49E4-9A66-E2D3CDE4B7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4C9-49E4-9A66-E2D3CDE4B7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4C9-49E4-9A66-E2D3CDE4B76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4C9-49E4-9A66-E2D3CDE4B76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4C9-49E4-9A66-E2D3CDE4B76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4C9-49E4-9A66-E2D3CDE4B7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'Thorcon B&amp;A'!$B$20:$B$25</c:f>
              <c:strCache>
                <c:ptCount val="6"/>
                <c:pt idx="0">
                  <c:v>Reactor</c:v>
                </c:pt>
                <c:pt idx="1">
                  <c:v>Fuel</c:v>
                </c:pt>
                <c:pt idx="2">
                  <c:v>Salt</c:v>
                </c:pt>
                <c:pt idx="3">
                  <c:v>Staff</c:v>
                </c:pt>
                <c:pt idx="4">
                  <c:v>Waste</c:v>
                </c:pt>
                <c:pt idx="5">
                  <c:v>Facilities</c:v>
                </c:pt>
              </c:strCache>
            </c:strRef>
          </c:cat>
          <c:val>
            <c:numRef>
              <c:f>'Thorcon B&amp;A'!$D$20:$D$25</c:f>
              <c:numCache>
                <c:formatCode>"$"#,##0.00000</c:formatCode>
                <c:ptCount val="6"/>
                <c:pt idx="0">
                  <c:v>3.3999999999999998E-3</c:v>
                </c:pt>
                <c:pt idx="1">
                  <c:v>5.11E-3</c:v>
                </c:pt>
                <c:pt idx="2">
                  <c:v>2.0000000000000001E-4</c:v>
                </c:pt>
                <c:pt idx="3">
                  <c:v>4.9300000000000004E-3</c:v>
                </c:pt>
                <c:pt idx="4">
                  <c:v>1E-3</c:v>
                </c:pt>
                <c:pt idx="5">
                  <c:v>2.9265411384089741E-2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11-49BD-B90B-D563E3B0755C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4C9-49E4-9A66-E2D3CDE4B7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4C9-49E4-9A66-E2D3CDE4B7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4C9-49E4-9A66-E2D3CDE4B76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4C9-49E4-9A66-E2D3CDE4B76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4C9-49E4-9A66-E2D3CDE4B76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4C9-49E4-9A66-E2D3CDE4B7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'Thorcon B&amp;A'!$B$20:$B$25</c:f>
              <c:strCache>
                <c:ptCount val="6"/>
                <c:pt idx="0">
                  <c:v>Reactor</c:v>
                </c:pt>
                <c:pt idx="1">
                  <c:v>Fuel</c:v>
                </c:pt>
                <c:pt idx="2">
                  <c:v>Salt</c:v>
                </c:pt>
                <c:pt idx="3">
                  <c:v>Staff</c:v>
                </c:pt>
                <c:pt idx="4">
                  <c:v>Waste</c:v>
                </c:pt>
                <c:pt idx="5">
                  <c:v>Facilities</c:v>
                </c:pt>
              </c:strCache>
            </c:strRef>
          </c:cat>
          <c:val>
            <c:numRef>
              <c:f>'Thorcon B&amp;A'!$E$20:$E$25</c:f>
              <c:numCache>
                <c:formatCode>"$"#,##0.00000</c:formatCode>
                <c:ptCount val="6"/>
                <c:pt idx="0">
                  <c:v>3.3999999999999998E-3</c:v>
                </c:pt>
                <c:pt idx="1">
                  <c:v>5.11E-3</c:v>
                </c:pt>
                <c:pt idx="2">
                  <c:v>2.0000000000000001E-4</c:v>
                </c:pt>
                <c:pt idx="3">
                  <c:v>4.9300000000000004E-3</c:v>
                </c:pt>
                <c:pt idx="4">
                  <c:v>1E-3</c:v>
                </c:pt>
                <c:pt idx="5">
                  <c:v>3.4554734263634597E-2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11-49BD-B90B-D563E3B075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/>
              <a:t>Thorcon's LCOE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F2-4EAC-B42F-900012AA16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F2-4EAC-B42F-900012AA16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8F2-4EAC-B42F-900012AA166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8F2-4EAC-B42F-900012AA166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8F2-4EAC-B42F-900012AA166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8F2-4EAC-B42F-900012AA16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'Thorcon B&amp;A'!$B$10:$B$15</c:f>
              <c:strCache>
                <c:ptCount val="6"/>
                <c:pt idx="0">
                  <c:v>Reactor</c:v>
                </c:pt>
                <c:pt idx="1">
                  <c:v>Fuel</c:v>
                </c:pt>
                <c:pt idx="2">
                  <c:v>Salt</c:v>
                </c:pt>
                <c:pt idx="3">
                  <c:v>Staff</c:v>
                </c:pt>
                <c:pt idx="4">
                  <c:v>Waste</c:v>
                </c:pt>
                <c:pt idx="5">
                  <c:v>Facilities</c:v>
                </c:pt>
              </c:strCache>
            </c:strRef>
          </c:cat>
          <c:val>
            <c:numRef>
              <c:f>'Thorcon B&amp;A'!$C$10:$C$15</c:f>
              <c:numCache>
                <c:formatCode>"$"#,##0.00000</c:formatCode>
                <c:ptCount val="6"/>
                <c:pt idx="0">
                  <c:v>3.3999999999999998E-3</c:v>
                </c:pt>
                <c:pt idx="1">
                  <c:v>5.11E-3</c:v>
                </c:pt>
                <c:pt idx="2">
                  <c:v>2.0000000000000001E-4</c:v>
                </c:pt>
                <c:pt idx="3">
                  <c:v>4.9300000000000004E-3</c:v>
                </c:pt>
                <c:pt idx="4">
                  <c:v>1E-3</c:v>
                </c:pt>
                <c:pt idx="5">
                  <c:v>1.2359999999999999E-2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C-4D3A-8993-94064D0700F5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8F2-4EAC-B42F-900012AA16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8F2-4EAC-B42F-900012AA16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8F2-4EAC-B42F-900012AA166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8F2-4EAC-B42F-900012AA166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8F2-4EAC-B42F-900012AA166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8F2-4EAC-B42F-900012AA16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'Thorcon B&amp;A'!$B$10:$B$15</c:f>
              <c:strCache>
                <c:ptCount val="6"/>
                <c:pt idx="0">
                  <c:v>Reactor</c:v>
                </c:pt>
                <c:pt idx="1">
                  <c:v>Fuel</c:v>
                </c:pt>
                <c:pt idx="2">
                  <c:v>Salt</c:v>
                </c:pt>
                <c:pt idx="3">
                  <c:v>Staff</c:v>
                </c:pt>
                <c:pt idx="4">
                  <c:v>Waste</c:v>
                </c:pt>
                <c:pt idx="5">
                  <c:v>Facilities</c:v>
                </c:pt>
              </c:strCache>
            </c:strRef>
          </c:cat>
          <c:val>
            <c:numRef>
              <c:f>'Thorcon B&amp;A'!$D$10:$D$15</c:f>
              <c:numCache>
                <c:formatCode>"$"#,##0.00000</c:formatCode>
                <c:ptCount val="6"/>
                <c:pt idx="0">
                  <c:v>3.3999999999999998E-3</c:v>
                </c:pt>
                <c:pt idx="1">
                  <c:v>5.11E-3</c:v>
                </c:pt>
                <c:pt idx="2">
                  <c:v>2.0000000000000001E-4</c:v>
                </c:pt>
                <c:pt idx="3">
                  <c:v>4.9300000000000004E-3</c:v>
                </c:pt>
                <c:pt idx="4">
                  <c:v>1E-3</c:v>
                </c:pt>
                <c:pt idx="5">
                  <c:v>1.545E-2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0C-4D3A-8993-94064D0700F5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8F2-4EAC-B42F-900012AA16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8F2-4EAC-B42F-900012AA16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8F2-4EAC-B42F-900012AA166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8F2-4EAC-B42F-900012AA166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8F2-4EAC-B42F-900012AA166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8F2-4EAC-B42F-900012AA16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'Thorcon B&amp;A'!$B$10:$B$15</c:f>
              <c:strCache>
                <c:ptCount val="6"/>
                <c:pt idx="0">
                  <c:v>Reactor</c:v>
                </c:pt>
                <c:pt idx="1">
                  <c:v>Fuel</c:v>
                </c:pt>
                <c:pt idx="2">
                  <c:v>Salt</c:v>
                </c:pt>
                <c:pt idx="3">
                  <c:v>Staff</c:v>
                </c:pt>
                <c:pt idx="4">
                  <c:v>Waste</c:v>
                </c:pt>
                <c:pt idx="5">
                  <c:v>Facilities</c:v>
                </c:pt>
              </c:strCache>
            </c:strRef>
          </c:cat>
          <c:val>
            <c:numRef>
              <c:f>'Thorcon B&amp;A'!$E$10:$E$15</c:f>
              <c:numCache>
                <c:formatCode>"$"#,##0.00000</c:formatCode>
                <c:ptCount val="6"/>
                <c:pt idx="0">
                  <c:v>3.3999999999999998E-3</c:v>
                </c:pt>
                <c:pt idx="1">
                  <c:v>5.11E-3</c:v>
                </c:pt>
                <c:pt idx="2">
                  <c:v>2.0000000000000001E-4</c:v>
                </c:pt>
                <c:pt idx="3">
                  <c:v>4.9300000000000004E-3</c:v>
                </c:pt>
                <c:pt idx="4">
                  <c:v>1E-3</c:v>
                </c:pt>
                <c:pt idx="5">
                  <c:v>1.8540000000000001E-2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0C-4D3A-8993-94064D0700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187322</xdr:colOff>
      <xdr:row>38</xdr:row>
      <xdr:rowOff>164481</xdr:rowOff>
    </xdr:from>
    <xdr:to>
      <xdr:col>34</xdr:col>
      <xdr:colOff>283204</xdr:colOff>
      <xdr:row>61</xdr:row>
      <xdr:rowOff>124333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8E51DC5-22FC-4EDF-81BE-190F1F0F6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982868</xdr:colOff>
      <xdr:row>18</xdr:row>
      <xdr:rowOff>163719</xdr:rowOff>
    </xdr:from>
    <xdr:to>
      <xdr:col>42</xdr:col>
      <xdr:colOff>299085</xdr:colOff>
      <xdr:row>40</xdr:row>
      <xdr:rowOff>45609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204BBF-DA9D-4F42-A948-9B216BD05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860386</xdr:colOff>
      <xdr:row>47</xdr:row>
      <xdr:rowOff>128755</xdr:rowOff>
    </xdr:from>
    <xdr:to>
      <xdr:col>40</xdr:col>
      <xdr:colOff>32161</xdr:colOff>
      <xdr:row>66</xdr:row>
      <xdr:rowOff>9750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D6D4584-E4A8-4DCA-9A39-79CC440F5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7146</xdr:colOff>
      <xdr:row>50</xdr:row>
      <xdr:rowOff>178060</xdr:rowOff>
    </xdr:from>
    <xdr:to>
      <xdr:col>59</xdr:col>
      <xdr:colOff>344261</xdr:colOff>
      <xdr:row>81</xdr:row>
      <xdr:rowOff>77560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B46C64-66CC-4358-8348-A0B328B7C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322729</xdr:colOff>
      <xdr:row>22</xdr:row>
      <xdr:rowOff>49306</xdr:rowOff>
    </xdr:from>
    <xdr:to>
      <xdr:col>30</xdr:col>
      <xdr:colOff>156882</xdr:colOff>
      <xdr:row>39</xdr:row>
      <xdr:rowOff>22412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9DCBF45-6CA8-4953-B4C0-EAF0F1F24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625288</xdr:colOff>
      <xdr:row>13</xdr:row>
      <xdr:rowOff>80235</xdr:rowOff>
    </xdr:from>
    <xdr:to>
      <xdr:col>8</xdr:col>
      <xdr:colOff>273424</xdr:colOff>
      <xdr:row>33</xdr:row>
      <xdr:rowOff>152884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849D6-516B-44FF-A2B3-93946970B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553570</xdr:colOff>
      <xdr:row>53</xdr:row>
      <xdr:rowOff>105336</xdr:rowOff>
    </xdr:from>
    <xdr:to>
      <xdr:col>15</xdr:col>
      <xdr:colOff>31377</xdr:colOff>
      <xdr:row>76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572441-F9FB-4247-BE87-AD9515F92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517712</xdr:colOff>
      <xdr:row>28</xdr:row>
      <xdr:rowOff>56029</xdr:rowOff>
    </xdr:from>
    <xdr:to>
      <xdr:col>14</xdr:col>
      <xdr:colOff>452718</xdr:colOff>
      <xdr:row>49</xdr:row>
      <xdr:rowOff>138954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3221F6-6DD6-47C9-8EC3-C0263BB05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105336</xdr:colOff>
      <xdr:row>28</xdr:row>
      <xdr:rowOff>42583</xdr:rowOff>
    </xdr:from>
    <xdr:to>
      <xdr:col>24</xdr:col>
      <xdr:colOff>546846</xdr:colOff>
      <xdr:row>49</xdr:row>
      <xdr:rowOff>103094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DF95D2-F34D-4EBB-A584-A73A4640E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537880</xdr:colOff>
      <xdr:row>1</xdr:row>
      <xdr:rowOff>150159</xdr:rowOff>
    </xdr:from>
    <xdr:to>
      <xdr:col>20</xdr:col>
      <xdr:colOff>17928</xdr:colOff>
      <xdr:row>26</xdr:row>
      <xdr:rowOff>62753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EAC032-E0B4-4194-9B8C-092A89623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0</xdr:row>
      <xdr:rowOff>135254</xdr:rowOff>
    </xdr:from>
    <xdr:to>
      <xdr:col>15</xdr:col>
      <xdr:colOff>110490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3E8D53-E513-4B04-BEBB-686DF1358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550544</xdr:colOff>
      <xdr:row>12</xdr:row>
      <xdr:rowOff>17144</xdr:rowOff>
    </xdr:from>
    <xdr:to>
      <xdr:col>14</xdr:col>
      <xdr:colOff>502919</xdr:colOff>
      <xdr:row>32</xdr:row>
      <xdr:rowOff>72389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FF6D21-C209-496F-8855-81A0399AC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20954</xdr:colOff>
      <xdr:row>35</xdr:row>
      <xdr:rowOff>36194</xdr:rowOff>
    </xdr:from>
    <xdr:to>
      <xdr:col>19</xdr:col>
      <xdr:colOff>365760</xdr:colOff>
      <xdr:row>60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38B10C-6D5A-4F01-A905-F333F5196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346982</xdr:colOff>
      <xdr:row>10</xdr:row>
      <xdr:rowOff>156481</xdr:rowOff>
    </xdr:from>
    <xdr:to>
      <xdr:col>40</xdr:col>
      <xdr:colOff>431346</xdr:colOff>
      <xdr:row>47</xdr:row>
      <xdr:rowOff>81643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9B9995-D2D6-4BBF-BF06-2B4EDFC9B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719668</xdr:colOff>
      <xdr:row>49</xdr:row>
      <xdr:rowOff>71967</xdr:rowOff>
    </xdr:from>
    <xdr:to>
      <xdr:col>16</xdr:col>
      <xdr:colOff>330201</xdr:colOff>
      <xdr:row>78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47A79C-DD81-49FD-A607-2E52441DC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4FF45-2F4E-4CEC-8DFE-E9EB3249DC59}">
  <dimension ref="A2:BE114"/>
  <sheetViews>
    <sheetView zoomScale="130" zoomScaleNormal="130" workbookViewId="0">
      <selection activeCell="C9" sqref="A9:C12"/>
    </sheetView>
  </sheetViews>
  <sheetFormatPr defaultRowHeight="14.4" x14ac:dyDescent="0.55000000000000004"/>
  <cols>
    <col min="2" max="2" width="8.68359375" bestFit="1" customWidth="1"/>
    <col min="3" max="3" width="15.1015625" customWidth="1"/>
    <col min="4" max="4" width="13.15625" bestFit="1" customWidth="1"/>
    <col min="5" max="5" width="12.83984375" bestFit="1" customWidth="1"/>
    <col min="6" max="6" width="15" bestFit="1" customWidth="1"/>
    <col min="7" max="7" width="11.68359375" bestFit="1" customWidth="1"/>
    <col min="8" max="8" width="19.26171875" customWidth="1"/>
    <col min="9" max="9" width="17.20703125" customWidth="1"/>
    <col min="10" max="10" width="17.68359375" customWidth="1"/>
    <col min="11" max="11" width="18.578125" customWidth="1"/>
    <col min="12" max="12" width="15.68359375" customWidth="1"/>
    <col min="13" max="13" width="14.15625" bestFit="1" customWidth="1"/>
    <col min="14" max="14" width="16.20703125" bestFit="1" customWidth="1"/>
    <col min="16" max="16" width="12.83984375" bestFit="1" customWidth="1"/>
    <col min="17" max="18" width="12.26171875" bestFit="1" customWidth="1"/>
    <col min="19" max="19" width="11.68359375" bestFit="1" customWidth="1"/>
    <col min="20" max="20" width="14.05078125" bestFit="1" customWidth="1"/>
    <col min="21" max="21" width="12.83984375" bestFit="1" customWidth="1"/>
    <col min="22" max="23" width="12.26171875" bestFit="1" customWidth="1"/>
    <col min="24" max="24" width="11.68359375" bestFit="1" customWidth="1"/>
    <col min="26" max="26" width="22.62890625" bestFit="1" customWidth="1"/>
    <col min="27" max="29" width="16.20703125" bestFit="1" customWidth="1"/>
    <col min="32" max="32" width="17.9453125" customWidth="1"/>
    <col min="33" max="33" width="13.15625" bestFit="1" customWidth="1"/>
    <col min="34" max="34" width="8.1015625" bestFit="1" customWidth="1"/>
    <col min="35" max="35" width="7.578125" bestFit="1" customWidth="1"/>
    <col min="36" max="37" width="14.15625" bestFit="1" customWidth="1"/>
    <col min="39" max="39" width="19.3125" customWidth="1"/>
    <col min="40" max="40" width="17.26171875" bestFit="1" customWidth="1"/>
    <col min="41" max="42" width="16.20703125" bestFit="1" customWidth="1"/>
    <col min="44" max="44" width="12.15625" bestFit="1" customWidth="1"/>
    <col min="45" max="45" width="12.26171875" bestFit="1" customWidth="1"/>
    <col min="49" max="49" width="13.83984375" bestFit="1" customWidth="1"/>
    <col min="50" max="50" width="17.26171875" bestFit="1" customWidth="1"/>
    <col min="51" max="53" width="15.62890625" bestFit="1" customWidth="1"/>
    <col min="54" max="54" width="14.15625" bestFit="1" customWidth="1"/>
    <col min="55" max="55" width="26.20703125" customWidth="1"/>
  </cols>
  <sheetData>
    <row r="2" spans="1:57" x14ac:dyDescent="0.55000000000000004">
      <c r="E2" s="104" t="s">
        <v>25</v>
      </c>
      <c r="F2" s="104"/>
      <c r="G2" s="104"/>
      <c r="H2" s="104"/>
      <c r="I2" s="32"/>
      <c r="J2" s="104" t="s">
        <v>26</v>
      </c>
      <c r="K2" s="104"/>
      <c r="L2" s="104"/>
      <c r="M2" s="104"/>
      <c r="N2" s="32"/>
      <c r="P2" s="100" t="s">
        <v>91</v>
      </c>
      <c r="Q2" s="100"/>
      <c r="R2" s="100"/>
      <c r="S2" s="100"/>
      <c r="T2" s="100"/>
      <c r="U2" s="100"/>
      <c r="V2" s="100"/>
      <c r="W2" s="100"/>
      <c r="X2" s="100"/>
    </row>
    <row r="3" spans="1:57" x14ac:dyDescent="0.55000000000000004">
      <c r="B3" s="95"/>
      <c r="C3" s="95"/>
      <c r="E3" s="33" t="s">
        <v>19</v>
      </c>
      <c r="F3" s="34">
        <v>800</v>
      </c>
      <c r="G3" s="34">
        <v>1000</v>
      </c>
      <c r="H3" s="34">
        <v>1200</v>
      </c>
      <c r="I3" s="32"/>
      <c r="J3" s="33" t="s">
        <v>19</v>
      </c>
      <c r="K3" s="34">
        <v>800</v>
      </c>
      <c r="L3" s="34">
        <v>1000</v>
      </c>
      <c r="M3" s="34">
        <v>1200</v>
      </c>
      <c r="N3" s="32"/>
      <c r="P3" s="93" t="s">
        <v>38</v>
      </c>
      <c r="Q3" s="93"/>
      <c r="R3" s="93"/>
      <c r="S3" s="93"/>
      <c r="T3" s="28"/>
      <c r="U3" s="93" t="s">
        <v>40</v>
      </c>
      <c r="V3" s="93"/>
      <c r="W3" s="93"/>
      <c r="X3" s="93"/>
      <c r="BD3" t="s">
        <v>79</v>
      </c>
      <c r="BE3" t="s">
        <v>80</v>
      </c>
    </row>
    <row r="4" spans="1:57" x14ac:dyDescent="0.55000000000000004">
      <c r="B4" s="1"/>
      <c r="E4" s="33" t="s">
        <v>13</v>
      </c>
      <c r="F4" s="34">
        <v>3.3999999999999998E-3</v>
      </c>
      <c r="G4" s="34">
        <v>3.3999999999999998E-3</v>
      </c>
      <c r="H4" s="34">
        <v>3.3999999999999998E-3</v>
      </c>
      <c r="I4" s="32"/>
      <c r="J4" s="33" t="s">
        <v>13</v>
      </c>
      <c r="K4" s="34">
        <v>3.3999999999999998E-3</v>
      </c>
      <c r="L4" s="34">
        <v>3.3999999999999998E-3</v>
      </c>
      <c r="M4" s="34">
        <v>3.3999999999999998E-3</v>
      </c>
      <c r="N4" s="32"/>
      <c r="P4" s="29"/>
      <c r="Q4" s="30" t="s">
        <v>46</v>
      </c>
      <c r="R4" s="30" t="s">
        <v>47</v>
      </c>
      <c r="S4" s="30" t="s">
        <v>48</v>
      </c>
      <c r="T4" s="28"/>
      <c r="U4" s="29"/>
      <c r="V4" s="30" t="s">
        <v>46</v>
      </c>
      <c r="W4" s="30" t="s">
        <v>47</v>
      </c>
      <c r="X4" s="30" t="s">
        <v>48</v>
      </c>
      <c r="BC4" t="s">
        <v>75</v>
      </c>
      <c r="BD4">
        <v>2.699E-2</v>
      </c>
      <c r="BE4">
        <v>-1.1049239432660937E-2</v>
      </c>
    </row>
    <row r="5" spans="1:57" x14ac:dyDescent="0.55000000000000004">
      <c r="E5" s="33" t="s">
        <v>14</v>
      </c>
      <c r="F5" s="34">
        <v>5.11E-3</v>
      </c>
      <c r="G5" s="34">
        <v>5.11E-3</v>
      </c>
      <c r="H5" s="34">
        <v>5.11E-3</v>
      </c>
      <c r="I5" s="32"/>
      <c r="J5" s="33" t="s">
        <v>14</v>
      </c>
      <c r="K5" s="34">
        <v>5.11E-3</v>
      </c>
      <c r="L5" s="34">
        <v>5.11E-3</v>
      </c>
      <c r="M5" s="34">
        <v>5.11E-3</v>
      </c>
      <c r="N5" s="32"/>
      <c r="P5" s="29" t="s">
        <v>13</v>
      </c>
      <c r="Q5" s="30">
        <v>3.3999999999999998E-3</v>
      </c>
      <c r="R5" s="30">
        <v>3.3999999999999998E-3</v>
      </c>
      <c r="S5" s="30">
        <v>3.3999999999999998E-3</v>
      </c>
      <c r="T5" s="28"/>
      <c r="U5" s="29" t="s">
        <v>13</v>
      </c>
      <c r="V5" s="30">
        <v>3.3999999999999998E-3</v>
      </c>
      <c r="W5" s="30">
        <v>3.3999999999999998E-3</v>
      </c>
      <c r="X5" s="30">
        <v>3.3999999999999998E-3</v>
      </c>
      <c r="BC5" t="s">
        <v>84</v>
      </c>
      <c r="BD5">
        <v>3.3169999999999998E-2</v>
      </c>
      <c r="BE5">
        <v>1.4810737000000001E-2</v>
      </c>
    </row>
    <row r="6" spans="1:57" x14ac:dyDescent="0.55000000000000004">
      <c r="E6" s="33" t="s">
        <v>15</v>
      </c>
      <c r="F6" s="34">
        <v>2.0000000000000001E-4</v>
      </c>
      <c r="G6" s="34">
        <v>2.0000000000000001E-4</v>
      </c>
      <c r="H6" s="34">
        <v>2.0000000000000001E-4</v>
      </c>
      <c r="I6" s="32"/>
      <c r="J6" s="33" t="s">
        <v>15</v>
      </c>
      <c r="K6" s="34">
        <v>2.0000000000000001E-4</v>
      </c>
      <c r="L6" s="34">
        <v>2.0000000000000001E-4</v>
      </c>
      <c r="M6" s="34">
        <v>2.0000000000000001E-4</v>
      </c>
      <c r="N6" s="32"/>
      <c r="P6" s="29" t="s">
        <v>14</v>
      </c>
      <c r="Q6" s="30">
        <v>5.11E-3</v>
      </c>
      <c r="R6" s="30">
        <v>5.11E-3</v>
      </c>
      <c r="S6" s="30">
        <v>5.11E-3</v>
      </c>
      <c r="T6" s="28"/>
      <c r="U6" s="29" t="s">
        <v>14</v>
      </c>
      <c r="V6" s="30">
        <v>5.11E-3</v>
      </c>
      <c r="W6" s="30">
        <v>5.11E-3</v>
      </c>
      <c r="X6" s="30">
        <v>5.11E-3</v>
      </c>
      <c r="AF6" s="28"/>
      <c r="AG6" s="28"/>
      <c r="AH6" s="28"/>
      <c r="AI6" s="28"/>
      <c r="AJ6" s="28"/>
      <c r="AK6" s="28"/>
    </row>
    <row r="7" spans="1:57" x14ac:dyDescent="0.55000000000000004">
      <c r="E7" s="33" t="s">
        <v>16</v>
      </c>
      <c r="F7" s="34">
        <v>4.9300000000000004E-3</v>
      </c>
      <c r="G7" s="34">
        <v>4.9300000000000004E-3</v>
      </c>
      <c r="H7" s="34">
        <v>4.9300000000000004E-3</v>
      </c>
      <c r="I7" s="32"/>
      <c r="J7" s="33" t="s">
        <v>16</v>
      </c>
      <c r="K7" s="34">
        <v>4.9300000000000004E-3</v>
      </c>
      <c r="L7" s="34">
        <v>4.9300000000000004E-3</v>
      </c>
      <c r="M7" s="34">
        <v>4.9300000000000004E-3</v>
      </c>
      <c r="N7" s="32"/>
      <c r="P7" s="29" t="s">
        <v>15</v>
      </c>
      <c r="Q7" s="30">
        <v>2.0000000000000001E-4</v>
      </c>
      <c r="R7" s="30">
        <v>2.0000000000000001E-4</v>
      </c>
      <c r="S7" s="30">
        <v>2.0000000000000001E-4</v>
      </c>
      <c r="T7" s="28"/>
      <c r="U7" s="29" t="s">
        <v>15</v>
      </c>
      <c r="V7" s="30">
        <v>2.0000000000000001E-4</v>
      </c>
      <c r="W7" s="30">
        <v>2.0000000000000001E-4</v>
      </c>
      <c r="X7" s="30">
        <v>2.0000000000000001E-4</v>
      </c>
      <c r="Z7" s="7"/>
      <c r="AA7" s="7" t="s">
        <v>49</v>
      </c>
      <c r="AB7" s="7" t="s">
        <v>46</v>
      </c>
      <c r="AC7" s="7" t="s">
        <v>47</v>
      </c>
      <c r="AD7" s="7" t="s">
        <v>48</v>
      </c>
      <c r="AF7" s="39" t="s">
        <v>85</v>
      </c>
      <c r="AG7" s="28"/>
      <c r="AH7" s="28"/>
      <c r="AI7" s="28"/>
      <c r="AJ7" s="28"/>
      <c r="AK7" s="28"/>
      <c r="AM7" s="39" t="s">
        <v>86</v>
      </c>
      <c r="AN7" s="28"/>
      <c r="AO7" s="28"/>
      <c r="AP7" s="28"/>
      <c r="AR7" s="93" t="s">
        <v>60</v>
      </c>
      <c r="AS7" s="93"/>
      <c r="AT7" s="93"/>
      <c r="AU7" s="93"/>
      <c r="AX7" s="17"/>
      <c r="AY7" s="15" t="s">
        <v>75</v>
      </c>
      <c r="AZ7" s="15" t="s">
        <v>76</v>
      </c>
    </row>
    <row r="8" spans="1:57" x14ac:dyDescent="0.55000000000000004">
      <c r="E8" s="33" t="s">
        <v>17</v>
      </c>
      <c r="F8" s="34">
        <v>1E-3</v>
      </c>
      <c r="G8" s="34">
        <v>1E-3</v>
      </c>
      <c r="H8" s="34">
        <v>1E-3</v>
      </c>
      <c r="I8" s="32"/>
      <c r="J8" s="33" t="s">
        <v>17</v>
      </c>
      <c r="K8" s="34">
        <v>1E-3</v>
      </c>
      <c r="L8" s="34">
        <v>1E-3</v>
      </c>
      <c r="M8" s="34">
        <v>1E-3</v>
      </c>
      <c r="N8" s="32"/>
      <c r="P8" s="29" t="s">
        <v>16</v>
      </c>
      <c r="Q8" s="30">
        <v>4.9300000000000004E-3</v>
      </c>
      <c r="R8" s="30">
        <v>4.9300000000000004E-3</v>
      </c>
      <c r="S8" s="30">
        <v>4.9300000000000004E-3</v>
      </c>
      <c r="T8" s="28"/>
      <c r="U8" s="29" t="s">
        <v>16</v>
      </c>
      <c r="V8" s="30">
        <v>4.9300000000000004E-3</v>
      </c>
      <c r="W8" s="30">
        <v>4.9300000000000004E-3</v>
      </c>
      <c r="X8" s="30">
        <v>4.9300000000000004E-3</v>
      </c>
      <c r="Z8" s="7" t="s">
        <v>43</v>
      </c>
      <c r="AA8" s="12">
        <v>0.1</v>
      </c>
      <c r="AB8" s="7">
        <v>2.699E-2</v>
      </c>
      <c r="AC8" s="7">
        <v>3.0079999999999999E-2</v>
      </c>
      <c r="AD8" s="7">
        <v>3.3169999999999998E-2</v>
      </c>
      <c r="AF8" s="28"/>
      <c r="AG8" s="28"/>
      <c r="AH8" s="28"/>
      <c r="AI8" s="28"/>
      <c r="AJ8" s="28"/>
      <c r="AK8" s="28"/>
      <c r="AM8" s="28"/>
      <c r="AN8" s="28"/>
      <c r="AO8" s="28"/>
      <c r="AP8" s="28"/>
      <c r="AR8" s="61"/>
      <c r="AS8" s="60" t="s">
        <v>46</v>
      </c>
      <c r="AT8" s="60" t="s">
        <v>47</v>
      </c>
      <c r="AU8" s="60" t="s">
        <v>48</v>
      </c>
      <c r="AX8" s="15" t="s">
        <v>51</v>
      </c>
      <c r="AY8" s="18">
        <v>800000000</v>
      </c>
      <c r="AZ8" s="13">
        <v>1200000000</v>
      </c>
    </row>
    <row r="9" spans="1:57" x14ac:dyDescent="0.55000000000000004">
      <c r="E9" s="33" t="s">
        <v>18</v>
      </c>
      <c r="F9" s="34">
        <v>-7.1897740000000003E-3</v>
      </c>
      <c r="G9" s="34">
        <v>-3.5095180000000001E-3</v>
      </c>
      <c r="H9" s="34">
        <v>1.7073699999999999E-4</v>
      </c>
      <c r="I9" s="32"/>
      <c r="J9" s="33" t="s">
        <v>18</v>
      </c>
      <c r="K9" s="34">
        <v>2.3739590000000001E-3</v>
      </c>
      <c r="L9" s="34">
        <v>8.1640530666926697E-3</v>
      </c>
      <c r="M9" s="34">
        <v>1.3954147E-2</v>
      </c>
      <c r="N9" s="32"/>
      <c r="P9" s="29" t="s">
        <v>17</v>
      </c>
      <c r="Q9" s="30">
        <v>1E-3</v>
      </c>
      <c r="R9" s="30">
        <v>1E-3</v>
      </c>
      <c r="S9" s="30">
        <v>1E-3</v>
      </c>
      <c r="T9" s="28"/>
      <c r="U9" s="29" t="s">
        <v>17</v>
      </c>
      <c r="V9" s="30">
        <v>1E-3</v>
      </c>
      <c r="W9" s="30">
        <v>1E-3</v>
      </c>
      <c r="X9" s="30">
        <v>1E-3</v>
      </c>
      <c r="Z9" s="101" t="s">
        <v>44</v>
      </c>
      <c r="AA9" s="12">
        <v>0.05</v>
      </c>
      <c r="AB9" s="7">
        <v>7.4502259999999999E-3</v>
      </c>
      <c r="AC9" s="7">
        <v>1.1130482000000001E-2</v>
      </c>
      <c r="AD9" s="7">
        <v>1.4810737000000001E-2</v>
      </c>
      <c r="AF9" s="103" t="s">
        <v>41</v>
      </c>
      <c r="AG9" s="103"/>
      <c r="AH9" s="103"/>
      <c r="AI9" s="103"/>
      <c r="AJ9" s="103"/>
      <c r="AK9" s="103"/>
      <c r="AM9" s="64"/>
      <c r="AN9" s="41" t="s">
        <v>75</v>
      </c>
      <c r="AO9" s="41" t="s">
        <v>47</v>
      </c>
      <c r="AP9" s="41" t="s">
        <v>84</v>
      </c>
      <c r="AR9" s="61" t="s">
        <v>53</v>
      </c>
      <c r="AS9" s="60">
        <v>3.3999999999999998E-3</v>
      </c>
      <c r="AT9" s="60">
        <v>3.3999999999999998E-3</v>
      </c>
      <c r="AU9" s="60">
        <v>3.3999999999999998E-3</v>
      </c>
      <c r="AX9" s="16" t="s">
        <v>3</v>
      </c>
      <c r="AY9" s="13">
        <v>142341172</v>
      </c>
      <c r="AZ9" s="13">
        <v>158117642</v>
      </c>
    </row>
    <row r="10" spans="1:57" x14ac:dyDescent="0.55000000000000004">
      <c r="B10">
        <v>34631</v>
      </c>
      <c r="C10" t="s">
        <v>7</v>
      </c>
      <c r="E10" s="35" t="s">
        <v>5</v>
      </c>
      <c r="F10" s="35">
        <f>SUM(F4:F9)</f>
        <v>7.4502259999999999E-3</v>
      </c>
      <c r="G10" s="35">
        <f>SUM(G4:G9)</f>
        <v>1.1130482000000001E-2</v>
      </c>
      <c r="H10" s="35">
        <f>SUM(H4:H9)</f>
        <v>1.4810737000000001E-2</v>
      </c>
      <c r="I10" s="32"/>
      <c r="J10" s="35" t="s">
        <v>5</v>
      </c>
      <c r="K10" s="35">
        <f>SUM(K4:K9)</f>
        <v>1.7013959000000002E-2</v>
      </c>
      <c r="L10" s="35">
        <f>SUM(L4:L9)</f>
        <v>2.280405306669267E-2</v>
      </c>
      <c r="M10" s="35">
        <f>SUM(M4:M9)</f>
        <v>2.8594147E-2</v>
      </c>
      <c r="N10" s="32"/>
      <c r="P10" s="29" t="s">
        <v>18</v>
      </c>
      <c r="Q10" s="28">
        <v>-2.5689239432660937E-2</v>
      </c>
      <c r="R10" s="30">
        <v>-2.2008984146425187E-2</v>
      </c>
      <c r="S10" s="30">
        <v>-1.8328728860265656E-2</v>
      </c>
      <c r="T10" s="28"/>
      <c r="U10" s="29" t="s">
        <v>18</v>
      </c>
      <c r="V10" s="30">
        <v>-7.1897740000000003E-3</v>
      </c>
      <c r="W10" s="30">
        <v>-3.5095180000000001E-3</v>
      </c>
      <c r="X10" s="30">
        <v>1.7073699999999999E-4</v>
      </c>
      <c r="Z10" s="101"/>
      <c r="AA10" s="12">
        <v>0.1</v>
      </c>
      <c r="AB10" s="7">
        <v>1.7013959000000002E-2</v>
      </c>
      <c r="AC10" s="7">
        <v>2.280405306669267E-2</v>
      </c>
      <c r="AD10" s="7">
        <v>2.8594147E-2</v>
      </c>
      <c r="AF10" s="41" t="s">
        <v>27</v>
      </c>
      <c r="AG10" s="41" t="s">
        <v>28</v>
      </c>
      <c r="AH10" s="41" t="s">
        <v>29</v>
      </c>
      <c r="AI10" s="41" t="s">
        <v>50</v>
      </c>
      <c r="AJ10" s="41" t="s">
        <v>31</v>
      </c>
      <c r="AK10" s="41" t="s">
        <v>42</v>
      </c>
      <c r="AM10" s="41" t="s">
        <v>51</v>
      </c>
      <c r="AN10" s="65">
        <v>800000000</v>
      </c>
      <c r="AO10" s="43">
        <v>1000000000</v>
      </c>
      <c r="AP10" s="43">
        <v>1200000000</v>
      </c>
      <c r="AR10" s="61" t="s">
        <v>54</v>
      </c>
      <c r="AS10" s="60">
        <v>5.11E-3</v>
      </c>
      <c r="AT10" s="60">
        <v>5.11E-3</v>
      </c>
      <c r="AU10" s="60">
        <v>5.11E-3</v>
      </c>
      <c r="AX10" s="15" t="s">
        <v>77</v>
      </c>
      <c r="AY10" s="13">
        <v>1890753457.5799999</v>
      </c>
      <c r="AZ10" s="13">
        <v>2724985073.0500002</v>
      </c>
      <c r="BD10" t="s">
        <v>75</v>
      </c>
      <c r="BE10" t="s">
        <v>76</v>
      </c>
    </row>
    <row r="11" spans="1:57" ht="14.4" customHeight="1" x14ac:dyDescent="0.55000000000000004">
      <c r="B11">
        <v>12640315</v>
      </c>
      <c r="C11" t="s">
        <v>8</v>
      </c>
      <c r="E11" s="35" t="s">
        <v>20</v>
      </c>
      <c r="F11" s="35">
        <v>2.699E-2</v>
      </c>
      <c r="G11" s="35">
        <v>3.0079999999999999E-2</v>
      </c>
      <c r="H11" s="35">
        <v>3.3169999999999998E-2</v>
      </c>
      <c r="I11" s="32"/>
      <c r="J11" s="35" t="s">
        <v>20</v>
      </c>
      <c r="K11" s="35">
        <v>2.699E-2</v>
      </c>
      <c r="L11" s="35">
        <v>3.0079999999999999E-2</v>
      </c>
      <c r="M11" s="35">
        <v>3.3169999999999998E-2</v>
      </c>
      <c r="N11" s="32"/>
      <c r="P11" s="31" t="s">
        <v>5</v>
      </c>
      <c r="Q11" s="31">
        <f>SUM(Q5:Q10)</f>
        <v>-1.1049239432660937E-2</v>
      </c>
      <c r="R11" s="31">
        <f>SUM(R5:R10)</f>
        <v>-7.3689841464251865E-3</v>
      </c>
      <c r="S11" s="31">
        <f>SUM(S5:S10)</f>
        <v>-3.6887288602656561E-3</v>
      </c>
      <c r="T11" s="28"/>
      <c r="U11" s="31" t="s">
        <v>5</v>
      </c>
      <c r="V11" s="31">
        <f>SUM(V5:V10)</f>
        <v>7.4502259999999999E-3</v>
      </c>
      <c r="W11" s="31">
        <f>SUM(W5:W10)</f>
        <v>1.1130482000000001E-2</v>
      </c>
      <c r="X11" s="31">
        <f>SUM(X5:X10)</f>
        <v>1.4810737000000001E-2</v>
      </c>
      <c r="Z11" s="101" t="s">
        <v>45</v>
      </c>
      <c r="AA11" s="12">
        <v>0.05</v>
      </c>
      <c r="AB11" s="7">
        <v>-1.1049239432660937E-2</v>
      </c>
      <c r="AC11" s="7">
        <v>-7.3689841464251865E-3</v>
      </c>
      <c r="AD11" s="7">
        <v>-3.6887288602656561E-3</v>
      </c>
      <c r="AF11" s="42" t="s">
        <v>95</v>
      </c>
      <c r="AG11" s="43">
        <v>18920666.666666798</v>
      </c>
      <c r="AH11" s="43">
        <f>AG11/12640315</f>
        <v>1.4968508828036957</v>
      </c>
      <c r="AI11" s="43">
        <f>10-AH11</f>
        <v>8.5031491171963047</v>
      </c>
      <c r="AJ11" s="43">
        <f>AI11*12640315</f>
        <v>107482483.33333321</v>
      </c>
      <c r="AK11" s="43">
        <f>AJ11-AG11</f>
        <v>88561816.666666418</v>
      </c>
      <c r="AM11" s="66" t="s">
        <v>3</v>
      </c>
      <c r="AN11" s="43">
        <v>142341172</v>
      </c>
      <c r="AO11" s="43">
        <v>150229407</v>
      </c>
      <c r="AP11" s="43">
        <v>158117642</v>
      </c>
      <c r="AR11" s="61" t="s">
        <v>55</v>
      </c>
      <c r="AS11" s="60">
        <v>2.0000000000000001E-4</v>
      </c>
      <c r="AT11" s="60">
        <v>2.0000000000000001E-4</v>
      </c>
      <c r="AU11" s="60">
        <v>2.0000000000000001E-4</v>
      </c>
      <c r="AX11" s="15" t="s">
        <v>78</v>
      </c>
      <c r="AY11" s="13">
        <v>3145417296.6500001</v>
      </c>
      <c r="AZ11" s="13">
        <v>4533227294.9099998</v>
      </c>
      <c r="BC11" t="s">
        <v>43</v>
      </c>
      <c r="BD11">
        <v>2.699E-2</v>
      </c>
      <c r="BE11">
        <v>3.3169999999999998E-2</v>
      </c>
    </row>
    <row r="12" spans="1:57" x14ac:dyDescent="0.55000000000000004">
      <c r="E12" s="33" t="s">
        <v>21</v>
      </c>
      <c r="F12" s="34">
        <f>F11-F10</f>
        <v>1.9539773999999999E-2</v>
      </c>
      <c r="G12" s="34">
        <f t="shared" ref="G12:H12" si="0">G11-G10</f>
        <v>1.8949517999999999E-2</v>
      </c>
      <c r="H12" s="34">
        <f t="shared" si="0"/>
        <v>1.8359262999999997E-2</v>
      </c>
      <c r="I12" s="32"/>
      <c r="J12" s="33" t="s">
        <v>21</v>
      </c>
      <c r="K12" s="34">
        <f>K11-K10</f>
        <v>9.976040999999998E-3</v>
      </c>
      <c r="L12" s="34">
        <f t="shared" ref="L12" si="1">L11-L10</f>
        <v>7.2759469333073291E-3</v>
      </c>
      <c r="M12" s="34">
        <f>M11-M10</f>
        <v>4.5758529999999978E-3</v>
      </c>
      <c r="N12" s="32"/>
      <c r="P12" s="31" t="s">
        <v>20</v>
      </c>
      <c r="Q12" s="31">
        <v>2.699E-2</v>
      </c>
      <c r="R12" s="31">
        <v>3.0079999999999999E-2</v>
      </c>
      <c r="S12" s="31">
        <v>3.3169999999999998E-2</v>
      </c>
      <c r="T12" s="28"/>
      <c r="U12" s="31" t="s">
        <v>20</v>
      </c>
      <c r="V12" s="31">
        <v>2.699E-2</v>
      </c>
      <c r="W12" s="31">
        <v>3.0079999999999999E-2</v>
      </c>
      <c r="X12" s="31">
        <v>3.3169999999999998E-2</v>
      </c>
      <c r="Z12" s="101"/>
      <c r="AA12" s="12">
        <v>0.1</v>
      </c>
      <c r="AB12" s="7">
        <v>-1.4855064166846878E-3</v>
      </c>
      <c r="AC12" s="7">
        <v>4.304587254726858E-3</v>
      </c>
      <c r="AD12" s="7">
        <v>1.00946809261384E-2</v>
      </c>
      <c r="AF12" s="42" t="s">
        <v>96</v>
      </c>
      <c r="AG12" s="43">
        <v>18920666.666666798</v>
      </c>
      <c r="AH12" s="43">
        <f>AG12/12640315</f>
        <v>1.4968508828036957</v>
      </c>
      <c r="AI12" s="43">
        <f>16-AH12</f>
        <v>14.503149117196305</v>
      </c>
      <c r="AJ12" s="43">
        <f>AI12*12640315</f>
        <v>183324373.33333319</v>
      </c>
      <c r="AK12" s="43">
        <f>AJ12-AG12</f>
        <v>164403706.66666639</v>
      </c>
      <c r="AM12" s="41" t="s">
        <v>34</v>
      </c>
      <c r="AN12" s="43">
        <f>SUM(AN10:AN11)</f>
        <v>942341172</v>
      </c>
      <c r="AO12" s="43">
        <f t="shared" ref="AO12" si="2">SUM(AO10:AO11)</f>
        <v>1150229407</v>
      </c>
      <c r="AP12" s="43">
        <f t="shared" ref="AP12" si="3">SUM(AP10:AP11)</f>
        <v>1358117642</v>
      </c>
      <c r="AR12" s="61" t="s">
        <v>56</v>
      </c>
      <c r="AS12" s="60">
        <v>4.9300000000000004E-3</v>
      </c>
      <c r="AT12" s="60">
        <v>4.9300000000000004E-3</v>
      </c>
      <c r="AU12" s="60">
        <v>4.9300000000000004E-3</v>
      </c>
      <c r="BC12" t="s">
        <v>72</v>
      </c>
      <c r="BD12">
        <v>-1.1049239432660937E-2</v>
      </c>
      <c r="BE12">
        <v>1.4810737000000001E-2</v>
      </c>
    </row>
    <row r="13" spans="1:57" ht="14.4" customHeight="1" x14ac:dyDescent="0.55000000000000004">
      <c r="P13" s="29" t="s">
        <v>21</v>
      </c>
      <c r="Q13" s="30">
        <f>Q12-Q11</f>
        <v>3.8039239432660937E-2</v>
      </c>
      <c r="R13" s="30">
        <f t="shared" ref="R13" si="4">R12-R11</f>
        <v>3.7448984146425182E-2</v>
      </c>
      <c r="S13" s="30">
        <f t="shared" ref="S13" si="5">S12-S11</f>
        <v>3.6858728860265658E-2</v>
      </c>
      <c r="T13" s="28"/>
      <c r="U13" s="29" t="s">
        <v>21</v>
      </c>
      <c r="V13" s="30">
        <f>V12-V11</f>
        <v>1.9539773999999999E-2</v>
      </c>
      <c r="W13" s="30">
        <f t="shared" ref="W13" si="6">W12-W11</f>
        <v>1.8949517999999999E-2</v>
      </c>
      <c r="X13" s="30">
        <f t="shared" ref="X13" si="7">X12-X11</f>
        <v>1.8359262999999997E-2</v>
      </c>
      <c r="Z13" s="102"/>
      <c r="AF13" s="42" t="s">
        <v>73</v>
      </c>
      <c r="AG13" s="43">
        <v>19947166.666666798</v>
      </c>
      <c r="AH13" s="43">
        <f t="shared" ref="AH13:AH16" si="8">AG13/12640315</f>
        <v>1.5780593020559059</v>
      </c>
      <c r="AI13" s="43">
        <f t="shared" ref="AI13:AI15" si="9">10-AH13</f>
        <v>8.4219406979440947</v>
      </c>
      <c r="AJ13" s="43">
        <f t="shared" ref="AJ13:AJ16" si="10">AI13*12640315</f>
        <v>106455983.33333321</v>
      </c>
      <c r="AK13" s="43">
        <f t="shared" ref="AK13:AK14" si="11">AJ13-AG13</f>
        <v>86508816.666666418</v>
      </c>
      <c r="AM13" s="41" t="s">
        <v>89</v>
      </c>
      <c r="AN13" s="43">
        <f>(AN12*0.1)+AN12</f>
        <v>1036575289.2</v>
      </c>
      <c r="AO13" s="43">
        <f t="shared" ref="AO13:AP13" si="12">(AO12*0.1)+AO12</f>
        <v>1265252347.7</v>
      </c>
      <c r="AP13" s="43">
        <f t="shared" si="12"/>
        <v>1493929406.2</v>
      </c>
      <c r="AR13" s="61" t="s">
        <v>57</v>
      </c>
      <c r="AS13" s="60">
        <v>1E-3</v>
      </c>
      <c r="AT13" s="60">
        <v>1E-3</v>
      </c>
      <c r="AU13" s="60">
        <v>1E-3</v>
      </c>
    </row>
    <row r="14" spans="1:57" x14ac:dyDescent="0.55000000000000004">
      <c r="A14" s="28"/>
      <c r="B14" s="105" t="s">
        <v>22</v>
      </c>
      <c r="C14" s="105" t="s">
        <v>24</v>
      </c>
      <c r="D14" s="28"/>
      <c r="E14" s="105" t="s">
        <v>22</v>
      </c>
      <c r="F14" s="105" t="s">
        <v>23</v>
      </c>
      <c r="P14" s="28"/>
      <c r="Q14" s="28"/>
      <c r="R14" s="28"/>
      <c r="S14" s="28"/>
      <c r="T14" s="28"/>
      <c r="U14" s="28"/>
      <c r="V14" s="28"/>
      <c r="W14" s="28"/>
      <c r="X14" s="28"/>
      <c r="Z14" s="102"/>
      <c r="AF14" s="42" t="s">
        <v>74</v>
      </c>
      <c r="AG14" s="43">
        <v>19947166.666666798</v>
      </c>
      <c r="AH14" s="43">
        <f t="shared" si="8"/>
        <v>1.5780593020559059</v>
      </c>
      <c r="AI14" s="43">
        <f t="shared" ref="AI14" si="13">16-AH14</f>
        <v>14.421940697944095</v>
      </c>
      <c r="AJ14" s="43">
        <f t="shared" si="10"/>
        <v>182297873.33333322</v>
      </c>
      <c r="AK14" s="43">
        <f t="shared" si="11"/>
        <v>162350706.66666642</v>
      </c>
      <c r="AM14" s="41" t="s">
        <v>90</v>
      </c>
      <c r="AN14" s="43">
        <f>(AN12*0.5)+AN12</f>
        <v>1413511758</v>
      </c>
      <c r="AO14" s="43">
        <f t="shared" ref="AO14:AP14" si="14">(AO12*0.5)+AO12</f>
        <v>1725344110.5</v>
      </c>
      <c r="AP14" s="43">
        <f t="shared" si="14"/>
        <v>2037176463</v>
      </c>
      <c r="AR14" s="61" t="s">
        <v>58</v>
      </c>
      <c r="AS14" s="60">
        <v>1.2359999999999999E-2</v>
      </c>
      <c r="AT14" s="60">
        <v>1.545E-2</v>
      </c>
      <c r="AU14" s="60">
        <v>1.8540000000000001E-2</v>
      </c>
    </row>
    <row r="15" spans="1:57" x14ac:dyDescent="0.55000000000000004">
      <c r="A15" s="28"/>
      <c r="B15" s="105"/>
      <c r="C15" s="105"/>
      <c r="D15" s="28"/>
      <c r="E15" s="105"/>
      <c r="F15" s="105"/>
      <c r="H15" s="96" t="s">
        <v>41</v>
      </c>
      <c r="I15" s="96"/>
      <c r="J15" s="96"/>
      <c r="K15" s="96"/>
      <c r="L15" s="96"/>
      <c r="M15" s="96"/>
      <c r="P15" s="28"/>
      <c r="Q15" s="28"/>
      <c r="R15" s="28"/>
      <c r="S15" s="28"/>
      <c r="T15" s="28"/>
      <c r="U15" s="28"/>
      <c r="V15" s="28"/>
      <c r="W15" s="28"/>
      <c r="X15" s="28"/>
      <c r="AF15" s="42" t="s">
        <v>97</v>
      </c>
      <c r="AG15" s="43">
        <v>20973666.666666798</v>
      </c>
      <c r="AH15" s="43">
        <f t="shared" si="8"/>
        <v>1.659267721308116</v>
      </c>
      <c r="AI15" s="43">
        <f t="shared" si="9"/>
        <v>8.3407322786918847</v>
      </c>
      <c r="AJ15" s="43">
        <f t="shared" si="10"/>
        <v>105429483.33333321</v>
      </c>
      <c r="AK15" s="43">
        <f t="shared" ref="AK15:AK16" si="15">AJ15-AG15</f>
        <v>84455816.666666418</v>
      </c>
      <c r="AM15" s="41" t="s">
        <v>94</v>
      </c>
      <c r="AN15" s="43">
        <v>1890753457.5799999</v>
      </c>
      <c r="AO15" s="43">
        <v>2307869265.3200002</v>
      </c>
      <c r="AP15" s="43">
        <v>2724985073.0500002</v>
      </c>
      <c r="AR15" s="41" t="s">
        <v>59</v>
      </c>
      <c r="AS15" s="41">
        <v>2.699E-2</v>
      </c>
      <c r="AT15" s="41">
        <v>3.0079999999999999E-2</v>
      </c>
      <c r="AU15" s="41">
        <v>3.3169999999999998E-2</v>
      </c>
    </row>
    <row r="16" spans="1:57" x14ac:dyDescent="0.55000000000000004">
      <c r="A16" s="28"/>
      <c r="B16" s="28">
        <v>3</v>
      </c>
      <c r="C16" s="38">
        <v>3495000</v>
      </c>
      <c r="D16" s="38"/>
      <c r="E16" s="28">
        <v>3</v>
      </c>
      <c r="F16" s="38">
        <v>23800000</v>
      </c>
      <c r="H16" s="30" t="s">
        <v>27</v>
      </c>
      <c r="I16" s="30" t="s">
        <v>28</v>
      </c>
      <c r="J16" s="30" t="s">
        <v>29</v>
      </c>
      <c r="K16" s="30" t="s">
        <v>30</v>
      </c>
      <c r="L16" s="30" t="s">
        <v>31</v>
      </c>
      <c r="M16" s="30" t="s">
        <v>42</v>
      </c>
      <c r="P16" s="93" t="s">
        <v>37</v>
      </c>
      <c r="Q16" s="93"/>
      <c r="R16" s="93"/>
      <c r="S16" s="93"/>
      <c r="T16" s="28"/>
      <c r="U16" s="93" t="s">
        <v>39</v>
      </c>
      <c r="V16" s="93"/>
      <c r="W16" s="93"/>
      <c r="X16" s="93"/>
      <c r="Z16" s="7"/>
      <c r="AA16" s="7" t="s">
        <v>49</v>
      </c>
      <c r="AB16" s="7" t="s">
        <v>46</v>
      </c>
      <c r="AC16" s="7" t="s">
        <v>47</v>
      </c>
      <c r="AD16" s="7" t="s">
        <v>48</v>
      </c>
      <c r="AF16" s="42" t="s">
        <v>98</v>
      </c>
      <c r="AG16" s="43">
        <v>20973666.666666798</v>
      </c>
      <c r="AH16" s="43">
        <f t="shared" si="8"/>
        <v>1.659267721308116</v>
      </c>
      <c r="AI16" s="43">
        <f t="shared" ref="AI16" si="16">16-AH16</f>
        <v>14.340732278691885</v>
      </c>
      <c r="AJ16" s="43">
        <f t="shared" si="10"/>
        <v>181271373.33333322</v>
      </c>
      <c r="AK16" s="43">
        <f t="shared" si="15"/>
        <v>160297706.66666642</v>
      </c>
      <c r="AM16" s="68" t="s">
        <v>92</v>
      </c>
      <c r="AN16" s="79">
        <v>2079828803.3399999</v>
      </c>
      <c r="AO16" s="79">
        <v>2538656191.8499999</v>
      </c>
      <c r="AP16" s="79">
        <v>2997483580.3499999</v>
      </c>
      <c r="AR16" s="28"/>
      <c r="AS16" s="28"/>
      <c r="AT16" s="28"/>
      <c r="AU16" s="28"/>
    </row>
    <row r="17" spans="1:47" x14ac:dyDescent="0.55000000000000004">
      <c r="A17" s="28"/>
      <c r="B17" s="28">
        <v>5</v>
      </c>
      <c r="C17" s="38">
        <v>4606000</v>
      </c>
      <c r="D17" s="38"/>
      <c r="E17" s="28">
        <v>5</v>
      </c>
      <c r="F17" s="38">
        <v>32341176</v>
      </c>
      <c r="H17" s="40" t="s">
        <v>46</v>
      </c>
      <c r="I17" s="40">
        <v>18920666.666666798</v>
      </c>
      <c r="J17" s="40">
        <f>I17/12640315</f>
        <v>1.4968508828036957</v>
      </c>
      <c r="K17" s="40">
        <f>10-J17</f>
        <v>8.5031491171963047</v>
      </c>
      <c r="L17" s="40">
        <f>K17*12640315</f>
        <v>107482483.33333321</v>
      </c>
      <c r="M17" s="40">
        <f>L17-I17</f>
        <v>88561816.666666418</v>
      </c>
      <c r="P17" s="29"/>
      <c r="Q17" s="30" t="s">
        <v>46</v>
      </c>
      <c r="R17" s="30" t="s">
        <v>47</v>
      </c>
      <c r="S17" s="30" t="s">
        <v>48</v>
      </c>
      <c r="T17" s="28"/>
      <c r="U17" s="29"/>
      <c r="V17" s="30" t="s">
        <v>46</v>
      </c>
      <c r="W17" s="30" t="s">
        <v>47</v>
      </c>
      <c r="X17" s="30" t="s">
        <v>48</v>
      </c>
      <c r="Z17" s="7" t="s">
        <v>43</v>
      </c>
      <c r="AA17" s="12">
        <v>0.1</v>
      </c>
      <c r="AB17" s="26">
        <v>2.699E-2</v>
      </c>
      <c r="AC17" s="26">
        <v>3.0079999999999999E-2</v>
      </c>
      <c r="AD17" s="26">
        <v>3.3169999999999998E-2</v>
      </c>
      <c r="AM17" s="68" t="s">
        <v>93</v>
      </c>
      <c r="AN17" s="79">
        <v>2836130186.3800001</v>
      </c>
      <c r="AO17" s="79">
        <v>3461803897.9699998</v>
      </c>
      <c r="AP17" s="79">
        <v>4087477609.5700002</v>
      </c>
      <c r="AR17" s="28"/>
      <c r="AS17" s="28"/>
      <c r="AT17" s="28"/>
      <c r="AU17" s="28"/>
    </row>
    <row r="18" spans="1:47" ht="14.4" customHeight="1" x14ac:dyDescent="0.55000000000000004">
      <c r="A18" s="28"/>
      <c r="B18" s="28">
        <v>7</v>
      </c>
      <c r="C18" s="38">
        <v>5548000</v>
      </c>
      <c r="D18" s="28"/>
      <c r="E18" s="28">
        <v>7</v>
      </c>
      <c r="F18" s="38">
        <v>39576470</v>
      </c>
      <c r="H18" s="40" t="s">
        <v>4</v>
      </c>
      <c r="I18" s="40">
        <v>19947166.666666798</v>
      </c>
      <c r="J18" s="40">
        <f t="shared" ref="J18:J19" si="17">I18/12640315</f>
        <v>1.5780593020559059</v>
      </c>
      <c r="K18" s="40">
        <f t="shared" ref="K18:K19" si="18">10-J18</f>
        <v>8.4219406979440947</v>
      </c>
      <c r="L18" s="40">
        <f t="shared" ref="L18:L19" si="19">K18*12640315</f>
        <v>106455983.33333321</v>
      </c>
      <c r="M18" s="40">
        <f t="shared" ref="M18:M19" si="20">L18-I18</f>
        <v>86508816.666666418</v>
      </c>
      <c r="P18" s="29" t="s">
        <v>13</v>
      </c>
      <c r="Q18" s="30">
        <v>3.3999999999999998E-3</v>
      </c>
      <c r="R18" s="30">
        <v>3.3999999999999998E-3</v>
      </c>
      <c r="S18" s="30">
        <v>3.3999999999999998E-3</v>
      </c>
      <c r="T18" s="28"/>
      <c r="U18" s="29" t="s">
        <v>13</v>
      </c>
      <c r="V18" s="30">
        <v>3.3999999999999998E-3</v>
      </c>
      <c r="W18" s="30">
        <v>3.3999999999999998E-3</v>
      </c>
      <c r="X18" s="30">
        <v>3.3999999999999998E-3</v>
      </c>
      <c r="Z18" s="19" t="s">
        <v>44</v>
      </c>
      <c r="AA18" s="12">
        <v>0.05</v>
      </c>
      <c r="AB18" s="26">
        <v>7.4502259999999999E-3</v>
      </c>
      <c r="AC18" s="26">
        <v>1.1130482000000001E-2</v>
      </c>
      <c r="AD18" s="26">
        <v>1.4810737000000001E-2</v>
      </c>
      <c r="AM18" s="68"/>
      <c r="AN18" s="28"/>
      <c r="AO18" s="28"/>
      <c r="AP18" s="28"/>
      <c r="AR18" s="99" t="s">
        <v>71</v>
      </c>
      <c r="AS18" s="99"/>
      <c r="AT18" s="96">
        <v>1000</v>
      </c>
      <c r="AU18" s="96"/>
    </row>
    <row r="19" spans="1:47" x14ac:dyDescent="0.55000000000000004">
      <c r="A19" s="28"/>
      <c r="B19" s="28">
        <v>9</v>
      </c>
      <c r="C19" s="38">
        <v>6602666.6666666698</v>
      </c>
      <c r="D19" s="28"/>
      <c r="E19" s="28">
        <v>9</v>
      </c>
      <c r="F19" s="38">
        <v>47682352</v>
      </c>
      <c r="H19" s="40" t="s">
        <v>1</v>
      </c>
      <c r="I19" s="40">
        <v>20973666.666666798</v>
      </c>
      <c r="J19" s="40">
        <f t="shared" si="17"/>
        <v>1.659267721308116</v>
      </c>
      <c r="K19" s="40">
        <f t="shared" si="18"/>
        <v>8.3407322786918847</v>
      </c>
      <c r="L19" s="40">
        <f t="shared" si="19"/>
        <v>105429483.33333321</v>
      </c>
      <c r="M19" s="40">
        <f t="shared" si="20"/>
        <v>84455816.666666418</v>
      </c>
      <c r="P19" s="29" t="s">
        <v>14</v>
      </c>
      <c r="Q19" s="30">
        <v>5.11E-3</v>
      </c>
      <c r="R19" s="30">
        <v>5.11E-3</v>
      </c>
      <c r="S19" s="30">
        <v>5.11E-3</v>
      </c>
      <c r="T19" s="28"/>
      <c r="U19" s="29" t="s">
        <v>14</v>
      </c>
      <c r="V19" s="30">
        <v>5.11E-3</v>
      </c>
      <c r="W19" s="30">
        <v>5.11E-3</v>
      </c>
      <c r="X19" s="30">
        <v>5.11E-3</v>
      </c>
      <c r="Z19" s="20" t="s">
        <v>44</v>
      </c>
      <c r="AA19" s="12">
        <v>0.1</v>
      </c>
      <c r="AB19" s="26">
        <v>1.7013959000000002E-2</v>
      </c>
      <c r="AC19" s="26">
        <v>2.280405306669267E-2</v>
      </c>
      <c r="AD19" s="26">
        <v>2.8594147E-2</v>
      </c>
      <c r="AM19" s="37"/>
      <c r="AR19" s="96" t="s">
        <v>66</v>
      </c>
      <c r="AS19" s="96"/>
      <c r="AT19" s="96" t="s">
        <v>70</v>
      </c>
      <c r="AU19" s="96"/>
    </row>
    <row r="20" spans="1:47" ht="14.4" customHeight="1" x14ac:dyDescent="0.55000000000000004">
      <c r="A20" s="28"/>
      <c r="B20" s="28">
        <v>11</v>
      </c>
      <c r="C20" s="38">
        <v>7629166.6666666698</v>
      </c>
      <c r="D20" s="28"/>
      <c r="E20" s="28">
        <v>11</v>
      </c>
      <c r="F20" s="38">
        <v>55570587</v>
      </c>
      <c r="H20" s="28"/>
      <c r="I20" s="28"/>
      <c r="J20" s="28"/>
      <c r="K20" s="28"/>
      <c r="L20" s="28"/>
      <c r="M20" s="28"/>
      <c r="P20" s="29" t="s">
        <v>15</v>
      </c>
      <c r="Q20" s="30">
        <v>2.0000000000000001E-4</v>
      </c>
      <c r="R20" s="30">
        <v>2.0000000000000001E-4</v>
      </c>
      <c r="S20" s="30">
        <v>2.0000000000000001E-4</v>
      </c>
      <c r="T20" s="28"/>
      <c r="U20" s="29" t="s">
        <v>15</v>
      </c>
      <c r="V20" s="30">
        <v>2.0000000000000001E-4</v>
      </c>
      <c r="W20" s="30">
        <v>2.0000000000000001E-4</v>
      </c>
      <c r="X20" s="30">
        <v>2.0000000000000001E-4</v>
      </c>
      <c r="Z20" s="19" t="s">
        <v>45</v>
      </c>
      <c r="AA20" s="12">
        <v>0.05</v>
      </c>
      <c r="AB20" s="26">
        <v>-1.1049239432660937E-2</v>
      </c>
      <c r="AC20" s="26">
        <v>-7.3689841464251865E-3</v>
      </c>
      <c r="AD20" s="26">
        <v>-3.6887288602656561E-3</v>
      </c>
      <c r="AR20" s="96" t="s">
        <v>67</v>
      </c>
      <c r="AS20" s="96"/>
      <c r="AT20" s="96" t="s">
        <v>65</v>
      </c>
      <c r="AU20" s="96"/>
    </row>
    <row r="21" spans="1:47" x14ac:dyDescent="0.55000000000000004">
      <c r="A21" s="28"/>
      <c r="B21" s="28">
        <v>13</v>
      </c>
      <c r="C21" s="38">
        <v>8655666.6666666698</v>
      </c>
      <c r="D21" s="28"/>
      <c r="E21" s="28">
        <v>13</v>
      </c>
      <c r="F21" s="38">
        <v>63458822</v>
      </c>
      <c r="H21" s="96" t="s">
        <v>41</v>
      </c>
      <c r="I21" s="96"/>
      <c r="J21" s="96"/>
      <c r="K21" s="96"/>
      <c r="L21" s="96"/>
      <c r="M21" s="96"/>
      <c r="P21" s="29" t="s">
        <v>16</v>
      </c>
      <c r="Q21" s="30">
        <v>4.9300000000000004E-3</v>
      </c>
      <c r="R21" s="30">
        <v>4.9300000000000004E-3</v>
      </c>
      <c r="S21" s="30">
        <v>4.9300000000000004E-3</v>
      </c>
      <c r="T21" s="28"/>
      <c r="U21" s="29" t="s">
        <v>16</v>
      </c>
      <c r="V21" s="30">
        <v>4.9300000000000004E-3</v>
      </c>
      <c r="W21" s="30">
        <v>4.9300000000000004E-3</v>
      </c>
      <c r="X21" s="30">
        <v>4.9300000000000004E-3</v>
      </c>
      <c r="Z21" s="20" t="s">
        <v>45</v>
      </c>
      <c r="AA21" s="12">
        <v>0.1</v>
      </c>
      <c r="AB21" s="26">
        <v>-1.4855064166846878E-3</v>
      </c>
      <c r="AC21" s="26">
        <v>4.304587254726858E-3</v>
      </c>
      <c r="AD21" s="26">
        <v>1.00946809261384E-2</v>
      </c>
      <c r="AR21" s="96" t="s">
        <v>68</v>
      </c>
      <c r="AS21" s="96"/>
      <c r="AT21" s="97">
        <v>0.9</v>
      </c>
      <c r="AU21" s="97"/>
    </row>
    <row r="22" spans="1:47" x14ac:dyDescent="0.55000000000000004">
      <c r="A22" s="28"/>
      <c r="B22" s="28">
        <v>15</v>
      </c>
      <c r="C22" s="38">
        <v>9682166.6666666698</v>
      </c>
      <c r="D22" s="28"/>
      <c r="E22" s="28">
        <v>15</v>
      </c>
      <c r="F22" s="38">
        <v>71347057</v>
      </c>
      <c r="H22" s="30" t="s">
        <v>27</v>
      </c>
      <c r="I22" s="30" t="s">
        <v>28</v>
      </c>
      <c r="J22" s="30" t="s">
        <v>29</v>
      </c>
      <c r="K22" s="30" t="s">
        <v>33</v>
      </c>
      <c r="L22" s="30" t="s">
        <v>31</v>
      </c>
      <c r="M22" s="30" t="s">
        <v>32</v>
      </c>
      <c r="P22" s="29" t="s">
        <v>17</v>
      </c>
      <c r="Q22" s="30">
        <v>1E-3</v>
      </c>
      <c r="R22" s="30">
        <v>1E-3</v>
      </c>
      <c r="S22" s="30">
        <v>1E-3</v>
      </c>
      <c r="T22" s="28"/>
      <c r="U22" s="29" t="s">
        <v>17</v>
      </c>
      <c r="V22" s="30">
        <v>1E-3</v>
      </c>
      <c r="W22" s="30">
        <v>1E-3</v>
      </c>
      <c r="X22" s="30">
        <v>1E-3</v>
      </c>
      <c r="AR22" s="98" t="s">
        <v>69</v>
      </c>
      <c r="AS22" s="98"/>
      <c r="AT22" s="97">
        <v>0.1</v>
      </c>
      <c r="AU22" s="97"/>
    </row>
    <row r="23" spans="1:47" x14ac:dyDescent="0.55000000000000004">
      <c r="A23" s="28"/>
      <c r="B23" s="28">
        <v>17</v>
      </c>
      <c r="C23" s="38">
        <v>10708666.6666667</v>
      </c>
      <c r="D23" s="28"/>
      <c r="E23" s="28">
        <v>17</v>
      </c>
      <c r="F23" s="38">
        <v>79235292</v>
      </c>
      <c r="H23" s="40" t="s">
        <v>46</v>
      </c>
      <c r="I23" s="40">
        <v>18920666.666666798</v>
      </c>
      <c r="J23" s="40">
        <f>I23/12640315</f>
        <v>1.4968508828036957</v>
      </c>
      <c r="K23" s="40">
        <f>16-J23</f>
        <v>14.503149117196305</v>
      </c>
      <c r="L23" s="40">
        <f>K23*12640315</f>
        <v>183324373.33333319</v>
      </c>
      <c r="M23" s="40">
        <f>L23-I23</f>
        <v>164403706.66666639</v>
      </c>
      <c r="P23" s="29" t="s">
        <v>18</v>
      </c>
      <c r="Q23" s="30">
        <v>-1.6125506416684688E-2</v>
      </c>
      <c r="R23" s="30">
        <v>-1.0335412745273142E-2</v>
      </c>
      <c r="S23" s="30">
        <v>-4.5453190738615999E-3</v>
      </c>
      <c r="T23" s="28"/>
      <c r="U23" s="29" t="s">
        <v>18</v>
      </c>
      <c r="V23" s="30">
        <v>2.3739590000000001E-3</v>
      </c>
      <c r="W23" s="30">
        <v>8.1640530666926697E-3</v>
      </c>
      <c r="X23" s="30">
        <v>1.3954147E-2</v>
      </c>
      <c r="AR23" s="59" t="s">
        <v>61</v>
      </c>
      <c r="AS23" s="60" t="s">
        <v>62</v>
      </c>
      <c r="AT23" s="60" t="s">
        <v>63</v>
      </c>
      <c r="AU23" s="60" t="s">
        <v>64</v>
      </c>
    </row>
    <row r="24" spans="1:47" x14ac:dyDescent="0.55000000000000004">
      <c r="A24" s="28"/>
      <c r="B24" s="28">
        <v>19</v>
      </c>
      <c r="C24" s="38">
        <v>11735166.6666667</v>
      </c>
      <c r="D24" s="28"/>
      <c r="E24" s="28">
        <v>19</v>
      </c>
      <c r="F24" s="38">
        <v>87123527</v>
      </c>
      <c r="H24" s="40" t="s">
        <v>4</v>
      </c>
      <c r="I24" s="40">
        <v>19947166.666666798</v>
      </c>
      <c r="J24" s="40">
        <f t="shared" ref="J24:J25" si="21">I24/12640315</f>
        <v>1.5780593020559059</v>
      </c>
      <c r="K24" s="40">
        <f t="shared" ref="K24:K25" si="22">16-J24</f>
        <v>14.421940697944095</v>
      </c>
      <c r="L24" s="40">
        <f t="shared" ref="L24:L25" si="23">K24*12640315</f>
        <v>182297873.33333322</v>
      </c>
      <c r="M24" s="40">
        <f t="shared" ref="M24:M25" si="24">L24-I24</f>
        <v>162350706.66666642</v>
      </c>
      <c r="P24" s="31" t="s">
        <v>5</v>
      </c>
      <c r="Q24" s="31">
        <f>SUM(Q18:Q23)</f>
        <v>-1.4855064166846878E-3</v>
      </c>
      <c r="R24" s="31">
        <f>SUM(R18:R23)</f>
        <v>4.304587254726858E-3</v>
      </c>
      <c r="S24" s="31">
        <f>SUM(S18:S23)</f>
        <v>1.00946809261384E-2</v>
      </c>
      <c r="T24" s="28"/>
      <c r="U24" s="31" t="s">
        <v>5</v>
      </c>
      <c r="V24" s="31">
        <f>SUM(V18:V23)</f>
        <v>1.7013959000000002E-2</v>
      </c>
      <c r="W24" s="31">
        <f>SUM(W18:W23)</f>
        <v>2.280405306669267E-2</v>
      </c>
      <c r="X24" s="31">
        <f>SUM(X18:X23)</f>
        <v>2.8594147E-2</v>
      </c>
      <c r="AR24" s="61" t="s">
        <v>53</v>
      </c>
      <c r="AS24" s="60">
        <v>3.3999999999999998E-3</v>
      </c>
      <c r="AT24" s="60">
        <v>3.3999999999999998E-3</v>
      </c>
      <c r="AU24" s="60">
        <v>3.3999999999999998E-3</v>
      </c>
    </row>
    <row r="25" spans="1:47" x14ac:dyDescent="0.55000000000000004">
      <c r="A25" s="28"/>
      <c r="B25" s="28">
        <v>21</v>
      </c>
      <c r="C25" s="38">
        <v>12761666.6666667</v>
      </c>
      <c r="D25" s="28"/>
      <c r="E25" s="28">
        <v>21</v>
      </c>
      <c r="F25" s="38">
        <v>95011762</v>
      </c>
      <c r="H25" s="40" t="s">
        <v>1</v>
      </c>
      <c r="I25" s="40">
        <v>20973666.666666798</v>
      </c>
      <c r="J25" s="40">
        <f t="shared" si="21"/>
        <v>1.659267721308116</v>
      </c>
      <c r="K25" s="40">
        <f t="shared" si="22"/>
        <v>14.340732278691885</v>
      </c>
      <c r="L25" s="40">
        <f t="shared" si="23"/>
        <v>181271373.33333322</v>
      </c>
      <c r="M25" s="40">
        <f t="shared" si="24"/>
        <v>160297706.66666642</v>
      </c>
      <c r="P25" s="31" t="s">
        <v>20</v>
      </c>
      <c r="Q25" s="31">
        <v>2.699E-2</v>
      </c>
      <c r="R25" s="31">
        <v>3.0079999999999999E-2</v>
      </c>
      <c r="S25" s="31">
        <v>3.3169999999999998E-2</v>
      </c>
      <c r="T25" s="28"/>
      <c r="U25" s="31" t="s">
        <v>20</v>
      </c>
      <c r="V25" s="31">
        <v>2.699E-2</v>
      </c>
      <c r="W25" s="31">
        <v>3.0079999999999999E-2</v>
      </c>
      <c r="X25" s="31">
        <v>3.3169999999999998E-2</v>
      </c>
      <c r="AR25" s="61" t="s">
        <v>54</v>
      </c>
      <c r="AS25" s="60">
        <v>5.11E-3</v>
      </c>
      <c r="AT25" s="60">
        <v>5.11E-3</v>
      </c>
      <c r="AU25" s="60">
        <v>5.11E-3</v>
      </c>
    </row>
    <row r="26" spans="1:47" x14ac:dyDescent="0.55000000000000004">
      <c r="A26" s="28"/>
      <c r="B26" s="28">
        <v>23</v>
      </c>
      <c r="C26" s="38">
        <v>13788166.6666667</v>
      </c>
      <c r="D26" s="28"/>
      <c r="E26" s="28">
        <v>23</v>
      </c>
      <c r="F26" s="38">
        <v>102899997</v>
      </c>
      <c r="P26" s="29" t="s">
        <v>21</v>
      </c>
      <c r="Q26" s="30">
        <f>Q25-Q24</f>
        <v>2.8475506416684688E-2</v>
      </c>
      <c r="R26" s="30">
        <f t="shared" ref="R26" si="25">R25-R24</f>
        <v>2.5775412745273139E-2</v>
      </c>
      <c r="S26" s="30">
        <f>S25-S24</f>
        <v>2.3075319073861598E-2</v>
      </c>
      <c r="T26" s="28"/>
      <c r="U26" s="29" t="s">
        <v>21</v>
      </c>
      <c r="V26" s="30">
        <f>V25-V24</f>
        <v>9.976040999999998E-3</v>
      </c>
      <c r="W26" s="30">
        <f t="shared" ref="W26" si="26">W25-W24</f>
        <v>7.2759469333073291E-3</v>
      </c>
      <c r="X26" s="30">
        <f>X25-X24</f>
        <v>4.5758529999999978E-3</v>
      </c>
      <c r="AR26" s="61" t="s">
        <v>55</v>
      </c>
      <c r="AS26" s="60">
        <v>2.0000000000000001E-4</v>
      </c>
      <c r="AT26" s="60">
        <v>2.0000000000000001E-4</v>
      </c>
      <c r="AU26" s="60">
        <v>2.0000000000000001E-4</v>
      </c>
    </row>
    <row r="27" spans="1:47" x14ac:dyDescent="0.55000000000000004">
      <c r="A27" s="28"/>
      <c r="B27" s="28">
        <v>25</v>
      </c>
      <c r="C27" s="38">
        <v>14814666.6666667</v>
      </c>
      <c r="D27" s="28"/>
      <c r="E27" s="28">
        <v>25</v>
      </c>
      <c r="F27" s="38">
        <v>110788232</v>
      </c>
      <c r="H27" s="96" t="s">
        <v>25</v>
      </c>
      <c r="I27" s="96"/>
      <c r="J27" s="96"/>
      <c r="K27" s="96"/>
      <c r="P27" s="28"/>
      <c r="Q27" s="28"/>
      <c r="R27" s="28"/>
      <c r="S27" s="28"/>
      <c r="T27" s="28"/>
      <c r="U27" s="28"/>
      <c r="V27" s="28"/>
      <c r="W27" s="28"/>
      <c r="X27" s="28"/>
      <c r="AR27" s="61" t="s">
        <v>56</v>
      </c>
      <c r="AS27" s="60">
        <v>4.9300000000000004E-3</v>
      </c>
      <c r="AT27" s="60">
        <v>4.9300000000000004E-3</v>
      </c>
      <c r="AU27" s="60">
        <v>4.9300000000000004E-3</v>
      </c>
    </row>
    <row r="28" spans="1:47" x14ac:dyDescent="0.55000000000000004">
      <c r="A28" s="28"/>
      <c r="B28" s="28">
        <v>27</v>
      </c>
      <c r="C28" s="38">
        <v>15841166.6666667</v>
      </c>
      <c r="D28" s="28"/>
      <c r="E28" s="28">
        <v>27</v>
      </c>
      <c r="F28" s="38">
        <v>118676467</v>
      </c>
      <c r="H28" s="60"/>
      <c r="I28" s="60" t="s">
        <v>46</v>
      </c>
      <c r="J28" s="60" t="s">
        <v>47</v>
      </c>
      <c r="K28" s="60" t="s">
        <v>48</v>
      </c>
      <c r="P28" s="28"/>
      <c r="Q28" s="28"/>
      <c r="R28" s="28"/>
      <c r="S28" s="28"/>
      <c r="T28" s="28"/>
      <c r="U28" s="28"/>
      <c r="V28" s="28"/>
      <c r="W28" s="28"/>
      <c r="X28" s="28"/>
      <c r="AR28" s="61" t="s">
        <v>57</v>
      </c>
      <c r="AS28" s="60">
        <v>1E-3</v>
      </c>
      <c r="AT28" s="60">
        <v>1E-3</v>
      </c>
      <c r="AU28" s="60">
        <v>1E-3</v>
      </c>
    </row>
    <row r="29" spans="1:47" x14ac:dyDescent="0.55000000000000004">
      <c r="A29" s="28"/>
      <c r="B29" s="28">
        <v>29</v>
      </c>
      <c r="C29" s="38">
        <v>16867666.666666798</v>
      </c>
      <c r="D29" s="28"/>
      <c r="E29" s="28">
        <v>29</v>
      </c>
      <c r="F29" s="38">
        <v>126564702</v>
      </c>
      <c r="H29" s="60" t="s">
        <v>2</v>
      </c>
      <c r="I29" s="43">
        <v>800000000</v>
      </c>
      <c r="J29" s="43">
        <v>1000000000</v>
      </c>
      <c r="K29" s="43">
        <v>1200000000</v>
      </c>
      <c r="AR29" s="61" t="s">
        <v>58</v>
      </c>
      <c r="AS29" s="60">
        <v>1.2359999999999999E-2</v>
      </c>
      <c r="AT29" s="60">
        <v>1.545E-2</v>
      </c>
      <c r="AU29" s="60">
        <v>1.8540000000000001E-2</v>
      </c>
    </row>
    <row r="30" spans="1:47" x14ac:dyDescent="0.55000000000000004">
      <c r="A30" s="28"/>
      <c r="B30" s="28">
        <v>31</v>
      </c>
      <c r="C30" s="38">
        <v>17894166.666666798</v>
      </c>
      <c r="D30" s="28"/>
      <c r="E30" s="28">
        <v>31</v>
      </c>
      <c r="F30" s="38">
        <v>134452937</v>
      </c>
      <c r="H30" s="60" t="s">
        <v>3</v>
      </c>
      <c r="I30" s="43">
        <v>142341172</v>
      </c>
      <c r="J30" s="43">
        <v>150229407</v>
      </c>
      <c r="K30" s="43">
        <v>158117642</v>
      </c>
      <c r="M30" s="100" t="s">
        <v>12</v>
      </c>
      <c r="N30" s="100"/>
      <c r="P30" s="99" t="s">
        <v>71</v>
      </c>
      <c r="Q30" s="99"/>
      <c r="R30" s="96">
        <v>1000</v>
      </c>
      <c r="S30" s="96"/>
      <c r="AR30" s="41" t="s">
        <v>59</v>
      </c>
      <c r="AS30" s="41">
        <v>2.699E-2</v>
      </c>
      <c r="AT30" s="41">
        <v>3.0079999999999999E-2</v>
      </c>
      <c r="AU30" s="41">
        <v>3.3169999999999998E-2</v>
      </c>
    </row>
    <row r="31" spans="1:47" x14ac:dyDescent="0.55000000000000004">
      <c r="A31" s="39" t="s">
        <v>0</v>
      </c>
      <c r="B31" s="28">
        <v>33</v>
      </c>
      <c r="C31" s="38">
        <v>18920666.666666798</v>
      </c>
      <c r="D31" s="28"/>
      <c r="E31" s="28">
        <v>33</v>
      </c>
      <c r="F31" s="38">
        <v>142341172</v>
      </c>
      <c r="H31" s="60" t="s">
        <v>34</v>
      </c>
      <c r="I31" s="43">
        <f>SUM(I29:I30)</f>
        <v>942341172</v>
      </c>
      <c r="J31" s="43">
        <f t="shared" ref="J31:K31" si="27">SUM(J29:J30)</f>
        <v>1150229407</v>
      </c>
      <c r="K31" s="43">
        <f t="shared" si="27"/>
        <v>1358117642</v>
      </c>
      <c r="M31" s="39" t="s">
        <v>9</v>
      </c>
      <c r="N31" s="28" t="e">
        <f>(N32-N35)/(N33*N34*8760)</f>
        <v>#REF!</v>
      </c>
      <c r="P31" s="96" t="s">
        <v>66</v>
      </c>
      <c r="Q31" s="96"/>
      <c r="R31" s="96" t="s">
        <v>70</v>
      </c>
      <c r="S31" s="96"/>
    </row>
    <row r="32" spans="1:47" x14ac:dyDescent="0.55000000000000004">
      <c r="A32" s="39" t="s">
        <v>4</v>
      </c>
      <c r="B32" s="28">
        <v>35</v>
      </c>
      <c r="C32" s="38">
        <v>19947166.666666798</v>
      </c>
      <c r="D32" s="28"/>
      <c r="E32" s="28">
        <v>35</v>
      </c>
      <c r="F32" s="38">
        <v>150229407</v>
      </c>
      <c r="H32" s="60" t="s">
        <v>52</v>
      </c>
      <c r="I32" s="43">
        <v>1890753457.5799999</v>
      </c>
      <c r="J32" s="43">
        <v>2307869265.3200002</v>
      </c>
      <c r="K32" s="43">
        <v>2724985073.0500002</v>
      </c>
      <c r="M32" s="28" t="s">
        <v>6</v>
      </c>
      <c r="N32" s="67" t="e">
        <f>(#REF!/384)*12</f>
        <v>#REF!</v>
      </c>
      <c r="P32" s="96" t="s">
        <v>67</v>
      </c>
      <c r="Q32" s="96"/>
      <c r="R32" s="96" t="s">
        <v>65</v>
      </c>
      <c r="S32" s="96"/>
    </row>
    <row r="33" spans="1:54" x14ac:dyDescent="0.55000000000000004">
      <c r="A33" s="39" t="s">
        <v>1</v>
      </c>
      <c r="B33" s="28">
        <v>37</v>
      </c>
      <c r="C33" s="38">
        <v>20973666.666666798</v>
      </c>
      <c r="D33" s="28"/>
      <c r="E33" s="28">
        <v>37</v>
      </c>
      <c r="F33" s="38">
        <v>158117642</v>
      </c>
      <c r="H33" s="60" t="s">
        <v>35</v>
      </c>
      <c r="I33" s="43">
        <f>I32/384</f>
        <v>4923837.1291145831</v>
      </c>
      <c r="J33" s="43">
        <f t="shared" ref="J33:K33" si="28">J32/384</f>
        <v>6010076.2117708335</v>
      </c>
      <c r="K33" s="43">
        <f t="shared" si="28"/>
        <v>7096315.2944010422</v>
      </c>
      <c r="M33" s="28" t="s">
        <v>10</v>
      </c>
      <c r="N33" s="28">
        <f>1000000-(120000*4)</f>
        <v>520000</v>
      </c>
      <c r="P33" s="96" t="s">
        <v>68</v>
      </c>
      <c r="Q33" s="96"/>
      <c r="R33" s="97">
        <v>0.9</v>
      </c>
      <c r="S33" s="97"/>
    </row>
    <row r="34" spans="1:54" ht="14.4" customHeight="1" x14ac:dyDescent="0.55000000000000004">
      <c r="A34" s="28"/>
      <c r="B34" s="28">
        <v>39</v>
      </c>
      <c r="C34" s="38">
        <v>22000166.666666798</v>
      </c>
      <c r="D34" s="28"/>
      <c r="E34" s="28">
        <v>39</v>
      </c>
      <c r="F34" s="38">
        <v>166005877</v>
      </c>
      <c r="H34" s="60" t="s">
        <v>36</v>
      </c>
      <c r="I34" s="43">
        <f>I33*12</f>
        <v>59086045.549374998</v>
      </c>
      <c r="J34" s="43">
        <f t="shared" ref="J34:K34" si="29">J33*12</f>
        <v>72120914.541250005</v>
      </c>
      <c r="K34" s="43">
        <f t="shared" si="29"/>
        <v>85155783.532812506</v>
      </c>
      <c r="M34" s="28" t="s">
        <v>11</v>
      </c>
      <c r="N34" s="28">
        <v>0.9</v>
      </c>
      <c r="P34" s="98" t="s">
        <v>69</v>
      </c>
      <c r="Q34" s="98"/>
      <c r="R34" s="97">
        <v>0.1</v>
      </c>
      <c r="S34" s="97"/>
    </row>
    <row r="35" spans="1:54" x14ac:dyDescent="0.55000000000000004">
      <c r="A35" s="28"/>
      <c r="B35" s="28">
        <v>41</v>
      </c>
      <c r="C35" s="38">
        <v>23026666.666666798</v>
      </c>
      <c r="D35" s="28"/>
      <c r="E35" s="28">
        <v>41</v>
      </c>
      <c r="F35" s="38">
        <v>173894112</v>
      </c>
      <c r="H35" s="75"/>
      <c r="I35" s="75"/>
      <c r="J35" s="75"/>
      <c r="K35" s="75"/>
      <c r="M35" s="28" t="s">
        <v>3</v>
      </c>
      <c r="N35" s="75">
        <v>88561816.666666418</v>
      </c>
      <c r="P35" s="59" t="s">
        <v>61</v>
      </c>
      <c r="Q35" s="60" t="s">
        <v>62</v>
      </c>
      <c r="R35" s="60" t="s">
        <v>63</v>
      </c>
      <c r="S35" s="60" t="s">
        <v>64</v>
      </c>
    </row>
    <row r="36" spans="1:54" x14ac:dyDescent="0.55000000000000004">
      <c r="A36" s="28"/>
      <c r="B36" s="28">
        <v>43</v>
      </c>
      <c r="C36" s="38">
        <v>24053166.666666798</v>
      </c>
      <c r="D36" s="28"/>
      <c r="E36" s="28">
        <v>43</v>
      </c>
      <c r="F36" s="38">
        <v>181782347</v>
      </c>
      <c r="H36" s="96" t="s">
        <v>26</v>
      </c>
      <c r="I36" s="96"/>
      <c r="J36" s="96"/>
      <c r="K36" s="96"/>
      <c r="M36" s="28"/>
      <c r="N36" s="28"/>
      <c r="P36" s="61" t="s">
        <v>53</v>
      </c>
      <c r="Q36" s="60">
        <v>3.3999999999999998E-3</v>
      </c>
      <c r="R36" s="60">
        <v>3.3999999999999998E-3</v>
      </c>
      <c r="S36" s="60">
        <v>3.3999999999999998E-3</v>
      </c>
    </row>
    <row r="37" spans="1:54" x14ac:dyDescent="0.55000000000000004">
      <c r="A37" s="28"/>
      <c r="B37" s="28">
        <v>45</v>
      </c>
      <c r="C37" s="38">
        <v>25079666.666666798</v>
      </c>
      <c r="D37" s="28"/>
      <c r="E37" s="28">
        <v>45</v>
      </c>
      <c r="F37" s="38">
        <v>189670582</v>
      </c>
      <c r="H37" s="60"/>
      <c r="I37" s="60" t="s">
        <v>46</v>
      </c>
      <c r="J37" s="60" t="s">
        <v>47</v>
      </c>
      <c r="K37" s="60" t="s">
        <v>48</v>
      </c>
      <c r="P37" s="61" t="s">
        <v>54</v>
      </c>
      <c r="Q37" s="60">
        <v>5.11E-3</v>
      </c>
      <c r="R37" s="60">
        <v>5.11E-3</v>
      </c>
      <c r="S37" s="60">
        <v>5.11E-3</v>
      </c>
    </row>
    <row r="38" spans="1:54" x14ac:dyDescent="0.55000000000000004">
      <c r="A38" s="28"/>
      <c r="B38" s="28">
        <v>47</v>
      </c>
      <c r="C38" s="38">
        <v>26106166.666666798</v>
      </c>
      <c r="D38" s="28"/>
      <c r="E38" s="28">
        <v>47</v>
      </c>
      <c r="F38" s="38">
        <v>197558817</v>
      </c>
      <c r="H38" s="60" t="s">
        <v>51</v>
      </c>
      <c r="I38" s="43">
        <v>800000000</v>
      </c>
      <c r="J38" s="43">
        <v>1000000000</v>
      </c>
      <c r="K38" s="43">
        <v>1200000000</v>
      </c>
      <c r="P38" s="61" t="s">
        <v>55</v>
      </c>
      <c r="Q38" s="60">
        <v>2.0000000000000001E-4</v>
      </c>
      <c r="R38" s="60">
        <v>2.0000000000000001E-4</v>
      </c>
      <c r="S38" s="60">
        <v>2.0000000000000001E-4</v>
      </c>
    </row>
    <row r="39" spans="1:54" x14ac:dyDescent="0.55000000000000004">
      <c r="A39" s="28"/>
      <c r="B39" s="28">
        <v>49</v>
      </c>
      <c r="C39" s="38">
        <v>27132666.666666798</v>
      </c>
      <c r="D39" s="28"/>
      <c r="E39" s="28">
        <v>49</v>
      </c>
      <c r="F39" s="38">
        <v>205447052</v>
      </c>
      <c r="H39" s="60" t="s">
        <v>3</v>
      </c>
      <c r="I39" s="43">
        <v>142341172</v>
      </c>
      <c r="J39" s="43">
        <v>150229407</v>
      </c>
      <c r="K39" s="43">
        <v>158117642</v>
      </c>
      <c r="P39" s="61" t="s">
        <v>56</v>
      </c>
      <c r="Q39" s="60">
        <v>4.9300000000000004E-3</v>
      </c>
      <c r="R39" s="60">
        <v>4.9300000000000004E-3</v>
      </c>
      <c r="S39" s="60">
        <v>4.9300000000000004E-3</v>
      </c>
      <c r="AX39" s="9"/>
      <c r="AY39" s="9"/>
      <c r="AZ39" s="9"/>
    </row>
    <row r="40" spans="1:54" x14ac:dyDescent="0.55000000000000004">
      <c r="H40" s="60" t="s">
        <v>34</v>
      </c>
      <c r="I40" s="43">
        <f>SUM(I38:I39)</f>
        <v>942341172</v>
      </c>
      <c r="J40" s="43">
        <f t="shared" ref="J40" si="30">SUM(J38:J39)</f>
        <v>1150229407</v>
      </c>
      <c r="K40" s="43">
        <f t="shared" ref="K40" si="31">SUM(K38:K39)</f>
        <v>1358117642</v>
      </c>
      <c r="P40" s="61" t="s">
        <v>57</v>
      </c>
      <c r="Q40" s="60">
        <v>1E-3</v>
      </c>
      <c r="R40" s="60">
        <v>1E-3</v>
      </c>
      <c r="S40" s="60">
        <v>1E-3</v>
      </c>
      <c r="AW40" s="9" t="s">
        <v>41</v>
      </c>
      <c r="AX40" s="9" t="s">
        <v>28</v>
      </c>
      <c r="AY40" s="9" t="s">
        <v>29</v>
      </c>
      <c r="AZ40" s="9" t="s">
        <v>50</v>
      </c>
      <c r="BA40" s="9"/>
      <c r="BB40" s="9"/>
    </row>
    <row r="41" spans="1:54" x14ac:dyDescent="0.55000000000000004">
      <c r="H41" s="60" t="s">
        <v>52</v>
      </c>
      <c r="I41" s="43">
        <v>3145417296.6500001</v>
      </c>
      <c r="J41" s="43">
        <v>3839322295.7800002</v>
      </c>
      <c r="K41" s="43">
        <v>4533227294.9099998</v>
      </c>
      <c r="P41" s="61" t="s">
        <v>58</v>
      </c>
      <c r="Q41" s="60">
        <v>1.2359999999999999E-2</v>
      </c>
      <c r="R41" s="60">
        <v>1.545E-2</v>
      </c>
      <c r="S41" s="60">
        <v>1.8540000000000001E-2</v>
      </c>
      <c r="AW41" s="9" t="s">
        <v>27</v>
      </c>
      <c r="AX41" s="13">
        <v>18920666.666666798</v>
      </c>
      <c r="AY41" s="13">
        <f>AX41/12640315</f>
        <v>1.4968508828036957</v>
      </c>
      <c r="AZ41" s="13">
        <f>10-AY41</f>
        <v>8.5031491171963047</v>
      </c>
      <c r="BA41" s="9" t="s">
        <v>31</v>
      </c>
      <c r="BB41" s="9" t="s">
        <v>42</v>
      </c>
    </row>
    <row r="42" spans="1:54" x14ac:dyDescent="0.55000000000000004">
      <c r="H42" s="60" t="s">
        <v>35</v>
      </c>
      <c r="I42" s="43">
        <f>I41/384</f>
        <v>8191190.8766927086</v>
      </c>
      <c r="J42" s="43">
        <f t="shared" ref="J42:K42" si="32">J41/384</f>
        <v>9998235.1452604178</v>
      </c>
      <c r="K42" s="43">
        <f t="shared" si="32"/>
        <v>11805279.413828125</v>
      </c>
      <c r="P42" s="41" t="s">
        <v>59</v>
      </c>
      <c r="Q42" s="41">
        <v>2.699E-2</v>
      </c>
      <c r="R42" s="41">
        <v>3.0079999999999999E-2</v>
      </c>
      <c r="S42" s="41">
        <v>3.3169999999999998E-2</v>
      </c>
      <c r="AW42" s="13" t="s">
        <v>75</v>
      </c>
      <c r="AX42" s="13">
        <v>20973666.666666798</v>
      </c>
      <c r="AY42" s="13">
        <f t="shared" ref="AY42" si="33">AX42/12640315</f>
        <v>1.659267721308116</v>
      </c>
      <c r="AZ42" s="13">
        <f t="shared" ref="AZ42" si="34">16-AY42</f>
        <v>14.340732278691885</v>
      </c>
      <c r="BA42" s="13">
        <f>AZ41*12640315</f>
        <v>107482483.33333321</v>
      </c>
      <c r="BB42" s="13">
        <f>BA42-AX41</f>
        <v>88561816.666666418</v>
      </c>
    </row>
    <row r="43" spans="1:54" x14ac:dyDescent="0.55000000000000004">
      <c r="H43" s="60" t="s">
        <v>36</v>
      </c>
      <c r="I43" s="43">
        <f>I42*12</f>
        <v>98294290.520312503</v>
      </c>
      <c r="J43" s="43">
        <f t="shared" ref="J43:K43" si="35">J42*12</f>
        <v>119978821.74312502</v>
      </c>
      <c r="K43" s="43">
        <f t="shared" si="35"/>
        <v>141663352.9659375</v>
      </c>
      <c r="P43" s="62"/>
      <c r="Q43" s="28"/>
      <c r="R43" s="28"/>
      <c r="S43" s="28"/>
      <c r="AW43" s="13" t="s">
        <v>84</v>
      </c>
      <c r="BA43" s="13">
        <f>AZ42*12640315</f>
        <v>181271373.33333322</v>
      </c>
      <c r="BB43" s="13">
        <f>BA43-AX42</f>
        <v>160297706.66666642</v>
      </c>
    </row>
    <row r="44" spans="1:54" x14ac:dyDescent="0.55000000000000004">
      <c r="P44" s="62"/>
      <c r="Q44" s="28"/>
      <c r="R44" s="28"/>
      <c r="S44" s="28"/>
    </row>
    <row r="45" spans="1:54" x14ac:dyDescent="0.55000000000000004">
      <c r="P45" s="28"/>
      <c r="Q45" s="28"/>
      <c r="R45" s="28"/>
      <c r="S45" s="28"/>
    </row>
    <row r="46" spans="1:54" x14ac:dyDescent="0.55000000000000004">
      <c r="H46" s="64"/>
      <c r="I46" s="41" t="s">
        <v>75</v>
      </c>
      <c r="J46" s="41" t="s">
        <v>47</v>
      </c>
      <c r="K46" s="41" t="s">
        <v>84</v>
      </c>
      <c r="P46" s="59" t="s">
        <v>61</v>
      </c>
      <c r="Q46" s="60" t="s">
        <v>62</v>
      </c>
      <c r="R46" s="60" t="s">
        <v>63</v>
      </c>
      <c r="S46" s="60" t="s">
        <v>64</v>
      </c>
    </row>
    <row r="47" spans="1:54" x14ac:dyDescent="0.55000000000000004">
      <c r="H47" s="41" t="s">
        <v>51</v>
      </c>
      <c r="I47" s="65">
        <v>800000000</v>
      </c>
      <c r="J47" s="43">
        <v>1000000000</v>
      </c>
      <c r="K47" s="43">
        <v>1200000000</v>
      </c>
      <c r="P47" s="61" t="s">
        <v>53</v>
      </c>
      <c r="Q47" s="60">
        <v>3.3999999999999998E-3</v>
      </c>
      <c r="R47" s="60">
        <v>3.3999999999999998E-3</v>
      </c>
      <c r="S47" s="60">
        <v>3.3999999999999998E-3</v>
      </c>
    </row>
    <row r="48" spans="1:54" x14ac:dyDescent="0.55000000000000004">
      <c r="H48" s="66" t="s">
        <v>3</v>
      </c>
      <c r="I48" s="43">
        <v>142341172</v>
      </c>
      <c r="J48" s="43">
        <v>150229407</v>
      </c>
      <c r="K48" s="43">
        <v>158117642</v>
      </c>
      <c r="P48" s="61" t="s">
        <v>54</v>
      </c>
      <c r="Q48" s="60">
        <v>5.11E-3</v>
      </c>
      <c r="R48" s="60">
        <v>5.11E-3</v>
      </c>
      <c r="S48" s="60">
        <v>5.11E-3</v>
      </c>
    </row>
    <row r="49" spans="8:24" x14ac:dyDescent="0.55000000000000004">
      <c r="H49" s="41" t="s">
        <v>34</v>
      </c>
      <c r="I49" s="43">
        <f>SUM(I47:I48)</f>
        <v>942341172</v>
      </c>
      <c r="J49" s="43">
        <f t="shared" ref="J49:K49" si="36">SUM(J47:J48)</f>
        <v>1150229407</v>
      </c>
      <c r="K49" s="43">
        <f t="shared" si="36"/>
        <v>1358117642</v>
      </c>
      <c r="P49" s="61" t="s">
        <v>55</v>
      </c>
      <c r="Q49" s="60">
        <v>2.0000000000000001E-4</v>
      </c>
      <c r="R49" s="60">
        <v>2.0000000000000001E-4</v>
      </c>
      <c r="S49" s="60">
        <v>2.0000000000000001E-4</v>
      </c>
    </row>
    <row r="50" spans="8:24" x14ac:dyDescent="0.55000000000000004">
      <c r="H50" s="41" t="s">
        <v>89</v>
      </c>
      <c r="I50" s="43">
        <f>(I49*0.1)+I49</f>
        <v>1036575289.2</v>
      </c>
      <c r="J50" s="43">
        <f t="shared" ref="J50" si="37">(J49*0.1)+J49</f>
        <v>1265252347.7</v>
      </c>
      <c r="K50" s="43">
        <f t="shared" ref="K50" si="38">(K49*0.1)+K49</f>
        <v>1493929406.2</v>
      </c>
      <c r="P50" s="61" t="s">
        <v>56</v>
      </c>
      <c r="Q50" s="60">
        <v>4.9300000000000004E-3</v>
      </c>
      <c r="R50" s="60">
        <v>4.9300000000000004E-3</v>
      </c>
      <c r="S50" s="60">
        <v>4.9300000000000004E-3</v>
      </c>
    </row>
    <row r="51" spans="8:24" x14ac:dyDescent="0.55000000000000004">
      <c r="H51" s="41" t="s">
        <v>90</v>
      </c>
      <c r="I51" s="43">
        <f>(I49*0.5)+I49</f>
        <v>1413511758</v>
      </c>
      <c r="J51" s="43">
        <f t="shared" ref="J51:K51" si="39">(J49*0.5)+J49</f>
        <v>1725344110.5</v>
      </c>
      <c r="K51" s="43">
        <f t="shared" si="39"/>
        <v>2037176463</v>
      </c>
      <c r="P51" s="61" t="s">
        <v>57</v>
      </c>
      <c r="Q51" s="60">
        <v>1E-3</v>
      </c>
      <c r="R51" s="60">
        <v>1E-3</v>
      </c>
      <c r="S51" s="60">
        <v>1E-3</v>
      </c>
    </row>
    <row r="52" spans="8:24" x14ac:dyDescent="0.55000000000000004">
      <c r="H52" s="41" t="s">
        <v>94</v>
      </c>
      <c r="I52" s="43">
        <v>1890753457.5799999</v>
      </c>
      <c r="J52" s="43">
        <v>2307869265.3200002</v>
      </c>
      <c r="K52" s="43">
        <v>2724985073.0500002</v>
      </c>
      <c r="P52" s="61" t="s">
        <v>58</v>
      </c>
      <c r="Q52" s="60">
        <v>2.3976088504544867E-2</v>
      </c>
      <c r="R52" s="60">
        <v>2.9265411384089741E-2</v>
      </c>
      <c r="S52" s="60">
        <v>3.4554734263634597E-2</v>
      </c>
    </row>
    <row r="53" spans="8:24" x14ac:dyDescent="0.55000000000000004">
      <c r="H53" s="41" t="s">
        <v>92</v>
      </c>
      <c r="I53" s="67">
        <v>2079828803.3399999</v>
      </c>
      <c r="J53" s="67">
        <v>2538656191.8499999</v>
      </c>
      <c r="K53" s="67">
        <v>2997483580.3499999</v>
      </c>
      <c r="P53" s="41" t="s">
        <v>59</v>
      </c>
      <c r="Q53" s="41">
        <v>2.699E-2</v>
      </c>
      <c r="R53" s="41">
        <v>3.0079999999999999E-2</v>
      </c>
      <c r="S53" s="41">
        <v>3.3169999999999998E-2</v>
      </c>
    </row>
    <row r="54" spans="8:24" x14ac:dyDescent="0.55000000000000004">
      <c r="H54" s="41" t="s">
        <v>93</v>
      </c>
      <c r="I54" s="67">
        <v>2836130186.3800001</v>
      </c>
      <c r="J54" s="67">
        <v>3461803897.9699998</v>
      </c>
      <c r="K54" s="67">
        <v>4087477609.5700002</v>
      </c>
      <c r="P54" s="63" t="s">
        <v>87</v>
      </c>
      <c r="Q54" s="39">
        <f>SUM(Q47:Q52)</f>
        <v>3.8616088504544871E-2</v>
      </c>
      <c r="R54" s="39">
        <f t="shared" ref="R54:S54" si="40">SUM(R47:R52)</f>
        <v>4.3905411384089738E-2</v>
      </c>
      <c r="S54" s="39">
        <f t="shared" si="40"/>
        <v>4.9194734263634597E-2</v>
      </c>
    </row>
    <row r="55" spans="8:24" x14ac:dyDescent="0.55000000000000004">
      <c r="P55" s="63" t="s">
        <v>88</v>
      </c>
      <c r="Q55" s="39">
        <f>Q54-Q53</f>
        <v>1.1626088504544871E-2</v>
      </c>
      <c r="R55" s="39">
        <f t="shared" ref="R55:S55" si="41">R54-R53</f>
        <v>1.3825411384089738E-2</v>
      </c>
      <c r="S55" s="39">
        <f t="shared" si="41"/>
        <v>1.6024734263634599E-2</v>
      </c>
    </row>
    <row r="57" spans="8:24" x14ac:dyDescent="0.55000000000000004">
      <c r="H57" s="64"/>
      <c r="I57" s="41" t="s">
        <v>47</v>
      </c>
      <c r="J57" s="28"/>
    </row>
    <row r="58" spans="8:24" x14ac:dyDescent="0.55000000000000004">
      <c r="H58" s="41" t="s">
        <v>51</v>
      </c>
      <c r="I58" s="43">
        <v>1000000000</v>
      </c>
      <c r="J58" s="28"/>
    </row>
    <row r="59" spans="8:24" x14ac:dyDescent="0.55000000000000004">
      <c r="H59" s="66" t="s">
        <v>3</v>
      </c>
      <c r="I59" s="43">
        <v>150229407</v>
      </c>
      <c r="J59" s="28"/>
      <c r="P59" s="95" t="s">
        <v>91</v>
      </c>
      <c r="Q59" s="95"/>
      <c r="R59" s="95"/>
      <c r="S59" s="95"/>
      <c r="T59" s="95"/>
      <c r="U59" s="95"/>
      <c r="V59" s="95"/>
      <c r="W59" s="95"/>
      <c r="X59" s="95"/>
    </row>
    <row r="60" spans="8:24" x14ac:dyDescent="0.55000000000000004">
      <c r="H60" s="41" t="s">
        <v>34</v>
      </c>
      <c r="I60" s="43">
        <f>SUM(I58:I59)</f>
        <v>1150229407</v>
      </c>
      <c r="J60" s="28"/>
      <c r="P60" s="94" t="s">
        <v>38</v>
      </c>
      <c r="Q60" s="94"/>
      <c r="R60" s="94"/>
      <c r="S60" s="94"/>
      <c r="U60" s="94" t="s">
        <v>40</v>
      </c>
      <c r="V60" s="94"/>
      <c r="W60" s="94"/>
      <c r="X60" s="94"/>
    </row>
    <row r="61" spans="8:24" x14ac:dyDescent="0.55000000000000004">
      <c r="H61" s="41" t="s">
        <v>89</v>
      </c>
      <c r="I61" s="43">
        <f t="shared" ref="I61" si="42">(I60*0.1)+I60</f>
        <v>1265252347.7</v>
      </c>
      <c r="J61" s="28"/>
      <c r="P61" s="6"/>
      <c r="Q61" s="4" t="s">
        <v>46</v>
      </c>
      <c r="R61" s="4" t="s">
        <v>47</v>
      </c>
      <c r="S61" s="4" t="s">
        <v>48</v>
      </c>
      <c r="U61" s="6"/>
      <c r="V61" s="4" t="s">
        <v>46</v>
      </c>
      <c r="W61" s="4" t="s">
        <v>47</v>
      </c>
      <c r="X61" s="4" t="s">
        <v>48</v>
      </c>
    </row>
    <row r="62" spans="8:24" x14ac:dyDescent="0.55000000000000004">
      <c r="H62" s="41" t="s">
        <v>90</v>
      </c>
      <c r="I62" s="43">
        <f t="shared" ref="I62" si="43">(I60*0.5)+I60</f>
        <v>1725344110.5</v>
      </c>
      <c r="J62" s="28"/>
      <c r="P62" s="6" t="s">
        <v>13</v>
      </c>
      <c r="Q62" s="4">
        <v>3.3999999999999998E-3</v>
      </c>
      <c r="R62" s="4">
        <v>3.3999999999999998E-3</v>
      </c>
      <c r="S62" s="4">
        <v>3.3999999999999998E-3</v>
      </c>
      <c r="U62" s="6" t="s">
        <v>13</v>
      </c>
      <c r="V62" s="4">
        <v>3.3999999999999998E-3</v>
      </c>
      <c r="W62" s="4">
        <v>3.3999999999999998E-3</v>
      </c>
      <c r="X62" s="4">
        <v>3.3999999999999998E-3</v>
      </c>
    </row>
    <row r="63" spans="8:24" x14ac:dyDescent="0.55000000000000004">
      <c r="H63" s="41" t="s">
        <v>94</v>
      </c>
      <c r="I63" s="43">
        <v>2307869265.3200002</v>
      </c>
      <c r="J63" s="28"/>
      <c r="P63" s="6" t="s">
        <v>14</v>
      </c>
      <c r="Q63" s="4">
        <v>5.11E-3</v>
      </c>
      <c r="R63" s="4">
        <v>5.11E-3</v>
      </c>
      <c r="S63" s="4">
        <v>5.11E-3</v>
      </c>
      <c r="U63" s="6" t="s">
        <v>14</v>
      </c>
      <c r="V63" s="4">
        <v>5.11E-3</v>
      </c>
      <c r="W63" s="4">
        <v>5.11E-3</v>
      </c>
      <c r="X63" s="4">
        <v>5.11E-3</v>
      </c>
    </row>
    <row r="64" spans="8:24" x14ac:dyDescent="0.55000000000000004">
      <c r="H64" s="41" t="s">
        <v>92</v>
      </c>
      <c r="I64" s="67">
        <v>2538656191.8499999</v>
      </c>
      <c r="J64" s="28"/>
      <c r="P64" s="6" t="s">
        <v>15</v>
      </c>
      <c r="Q64" s="4">
        <v>2.0000000000000001E-4</v>
      </c>
      <c r="R64" s="4">
        <v>2.0000000000000001E-4</v>
      </c>
      <c r="S64" s="4">
        <v>2.0000000000000001E-4</v>
      </c>
      <c r="U64" s="6" t="s">
        <v>15</v>
      </c>
      <c r="V64" s="4">
        <v>2.0000000000000001E-4</v>
      </c>
      <c r="W64" s="4">
        <v>2.0000000000000001E-4</v>
      </c>
      <c r="X64" s="4">
        <v>2.0000000000000001E-4</v>
      </c>
    </row>
    <row r="65" spans="5:29" x14ac:dyDescent="0.55000000000000004">
      <c r="H65" s="41" t="s">
        <v>93</v>
      </c>
      <c r="I65" s="67">
        <v>3461803897.9699998</v>
      </c>
      <c r="J65" s="28"/>
      <c r="M65" s="95" t="s">
        <v>107</v>
      </c>
      <c r="N65" s="95"/>
      <c r="P65" s="6" t="s">
        <v>16</v>
      </c>
      <c r="Q65" s="4">
        <v>4.9300000000000004E-3</v>
      </c>
      <c r="R65" s="4">
        <v>4.9300000000000004E-3</v>
      </c>
      <c r="S65" s="4">
        <v>4.9300000000000004E-3</v>
      </c>
      <c r="U65" s="6" t="s">
        <v>16</v>
      </c>
      <c r="V65" s="4">
        <v>4.9300000000000004E-3</v>
      </c>
      <c r="W65" s="4">
        <v>4.9300000000000004E-3</v>
      </c>
      <c r="X65" s="4">
        <v>4.9300000000000004E-3</v>
      </c>
    </row>
    <row r="66" spans="5:29" x14ac:dyDescent="0.55000000000000004">
      <c r="H66" s="28"/>
      <c r="I66" s="28"/>
      <c r="J66" s="28"/>
      <c r="M66" s="39" t="s">
        <v>9</v>
      </c>
      <c r="N66" s="76">
        <f>(N67-N70)/(N68*N69*8760)</f>
        <v>-7.9430666216885049E-3</v>
      </c>
      <c r="P66" s="6" t="s">
        <v>17</v>
      </c>
      <c r="Q66" s="4">
        <v>1E-3</v>
      </c>
      <c r="R66" s="4">
        <v>1E-3</v>
      </c>
      <c r="S66" s="4">
        <v>1E-3</v>
      </c>
      <c r="U66" s="6" t="s">
        <v>17</v>
      </c>
      <c r="V66" s="4">
        <v>1E-3</v>
      </c>
      <c r="W66" s="4">
        <v>1E-3</v>
      </c>
      <c r="X66" s="4">
        <v>1E-3</v>
      </c>
    </row>
    <row r="67" spans="5:29" x14ac:dyDescent="0.55000000000000004">
      <c r="H67" s="28"/>
      <c r="I67" s="28"/>
      <c r="J67" s="28"/>
      <c r="M67" s="28" t="s">
        <v>6</v>
      </c>
      <c r="N67" s="67">
        <f>(AC84/384)*12</f>
        <v>127733675.29906249</v>
      </c>
      <c r="P67" s="6" t="s">
        <v>18</v>
      </c>
      <c r="Q67">
        <v>-2.5689239432660937E-2</v>
      </c>
      <c r="R67" s="4">
        <v>-2.2008984146425187E-2</v>
      </c>
      <c r="S67" s="4">
        <v>-1.8328728860265656E-2</v>
      </c>
      <c r="U67" s="6" t="s">
        <v>18</v>
      </c>
      <c r="V67" s="30">
        <v>-7.1897740000000003E-3</v>
      </c>
      <c r="W67" s="30">
        <v>-3.5095180000000001E-3</v>
      </c>
      <c r="X67" s="30">
        <v>1.7073699999999999E-4</v>
      </c>
    </row>
    <row r="68" spans="5:29" x14ac:dyDescent="0.55000000000000004">
      <c r="M68" s="28" t="s">
        <v>10</v>
      </c>
      <c r="N68" s="28">
        <f>1000000-(120000*4)</f>
        <v>520000</v>
      </c>
      <c r="P68" s="5" t="s">
        <v>5</v>
      </c>
      <c r="Q68" s="5">
        <f>SUM(Q62:Q67)</f>
        <v>-1.1049239432660937E-2</v>
      </c>
      <c r="R68" s="5">
        <f>SUM(R62:R67)</f>
        <v>-7.3689841464251865E-3</v>
      </c>
      <c r="S68" s="5">
        <f>SUM(S62:S67)</f>
        <v>-3.6887288602656561E-3</v>
      </c>
      <c r="U68" s="5" t="s">
        <v>5</v>
      </c>
      <c r="V68" s="5">
        <f>SUM(V62:V67)</f>
        <v>7.4502259999999999E-3</v>
      </c>
      <c r="W68" s="5">
        <f>SUM(W62:W67)</f>
        <v>1.1130482000000001E-2</v>
      </c>
      <c r="X68" s="5">
        <f>SUM(X62:X67)</f>
        <v>1.4810737000000001E-2</v>
      </c>
      <c r="Z68" s="75">
        <v>88561816.666666418</v>
      </c>
    </row>
    <row r="69" spans="5:29" x14ac:dyDescent="0.55000000000000004">
      <c r="M69" s="28" t="s">
        <v>11</v>
      </c>
      <c r="N69" s="28">
        <v>0.9</v>
      </c>
      <c r="P69" s="5" t="s">
        <v>20</v>
      </c>
      <c r="Q69" s="5">
        <v>2.699E-2</v>
      </c>
      <c r="R69" s="5">
        <v>3.0079999999999999E-2</v>
      </c>
      <c r="S69" s="5">
        <v>3.3169999999999998E-2</v>
      </c>
      <c r="U69" s="5" t="s">
        <v>20</v>
      </c>
      <c r="V69" s="5">
        <v>2.699E-2</v>
      </c>
      <c r="W69" s="5">
        <v>3.0079999999999999E-2</v>
      </c>
      <c r="X69" s="5">
        <v>3.3169999999999998E-2</v>
      </c>
      <c r="Z69" s="43">
        <v>86508816.666666418</v>
      </c>
      <c r="AA69" s="70">
        <v>10</v>
      </c>
    </row>
    <row r="70" spans="5:29" ht="14.7" thickBot="1" x14ac:dyDescent="0.6">
      <c r="M70" s="28" t="s">
        <v>3</v>
      </c>
      <c r="N70" s="78">
        <v>160297706.66666642</v>
      </c>
      <c r="P70" s="8" t="s">
        <v>21</v>
      </c>
      <c r="Q70" s="4">
        <f>Q69-Q68</f>
        <v>3.8039239432660937E-2</v>
      </c>
      <c r="R70" s="4">
        <f t="shared" ref="R70:S70" si="44">R69-R68</f>
        <v>3.7448984146425182E-2</v>
      </c>
      <c r="S70" s="4">
        <f t="shared" si="44"/>
        <v>3.6858728860265658E-2</v>
      </c>
      <c r="U70" s="8" t="s">
        <v>21</v>
      </c>
      <c r="V70" s="4">
        <f>V69-V68</f>
        <v>1.9539773999999999E-2</v>
      </c>
      <c r="W70" s="4">
        <f t="shared" ref="W70:X70" si="45">W69-W68</f>
        <v>1.8949517999999999E-2</v>
      </c>
      <c r="X70" s="4">
        <f t="shared" si="45"/>
        <v>1.8359262999999997E-2</v>
      </c>
      <c r="Z70" s="77">
        <v>84455816.666666418</v>
      </c>
    </row>
    <row r="71" spans="5:29" x14ac:dyDescent="0.55000000000000004">
      <c r="Z71" s="78">
        <v>164403706.66666639</v>
      </c>
    </row>
    <row r="72" spans="5:29" x14ac:dyDescent="0.55000000000000004">
      <c r="Z72" s="43">
        <v>162350706.66666642</v>
      </c>
      <c r="AA72">
        <v>16</v>
      </c>
    </row>
    <row r="73" spans="5:29" x14ac:dyDescent="0.55000000000000004">
      <c r="P73" s="95" t="s">
        <v>105</v>
      </c>
      <c r="Q73" s="95"/>
      <c r="R73" s="95"/>
      <c r="S73" s="95"/>
      <c r="T73" s="95"/>
      <c r="U73" s="95"/>
      <c r="V73" s="95"/>
      <c r="W73" s="95"/>
      <c r="X73" s="95"/>
      <c r="Z73" s="22">
        <v>160297706.66666642</v>
      </c>
    </row>
    <row r="74" spans="5:29" x14ac:dyDescent="0.55000000000000004">
      <c r="E74" s="93" t="s">
        <v>25</v>
      </c>
      <c r="F74" s="93"/>
      <c r="G74" s="93"/>
      <c r="H74" s="93"/>
      <c r="I74" s="28"/>
      <c r="J74" s="93" t="s">
        <v>26</v>
      </c>
      <c r="K74" s="93"/>
      <c r="L74" s="93"/>
      <c r="M74" s="93"/>
      <c r="P74" s="94" t="s">
        <v>38</v>
      </c>
      <c r="Q74" s="94"/>
      <c r="R74" s="94"/>
      <c r="S74" s="94"/>
      <c r="U74" s="94" t="s">
        <v>40</v>
      </c>
      <c r="V74" s="94"/>
      <c r="W74" s="94"/>
      <c r="X74" s="94"/>
    </row>
    <row r="75" spans="5:29" x14ac:dyDescent="0.55000000000000004">
      <c r="E75" s="29" t="s">
        <v>19</v>
      </c>
      <c r="F75" s="30">
        <v>800</v>
      </c>
      <c r="G75" s="30">
        <v>1000</v>
      </c>
      <c r="H75" s="30">
        <v>1200</v>
      </c>
      <c r="I75" s="28"/>
      <c r="J75" s="29" t="s">
        <v>19</v>
      </c>
      <c r="K75" s="30">
        <v>800</v>
      </c>
      <c r="L75" s="30">
        <v>1000</v>
      </c>
      <c r="M75" s="30">
        <v>1200</v>
      </c>
      <c r="P75" s="6"/>
      <c r="Q75" s="4" t="s">
        <v>46</v>
      </c>
      <c r="R75" s="4" t="s">
        <v>47</v>
      </c>
      <c r="S75" s="4" t="s">
        <v>48</v>
      </c>
      <c r="U75" s="6"/>
      <c r="V75" s="4" t="s">
        <v>46</v>
      </c>
      <c r="W75" s="4" t="s">
        <v>47</v>
      </c>
      <c r="X75" s="4" t="s">
        <v>48</v>
      </c>
    </row>
    <row r="76" spans="5:29" x14ac:dyDescent="0.55000000000000004">
      <c r="E76" s="29" t="s">
        <v>13</v>
      </c>
      <c r="F76" s="30">
        <v>3.3999999999999998E-3</v>
      </c>
      <c r="G76" s="30">
        <v>3.3999999999999998E-3</v>
      </c>
      <c r="H76" s="30">
        <v>3.3999999999999998E-3</v>
      </c>
      <c r="I76" s="28"/>
      <c r="J76" s="29" t="s">
        <v>13</v>
      </c>
      <c r="K76" s="30">
        <v>3.3999999999999998E-3</v>
      </c>
      <c r="L76" s="30">
        <v>3.3999999999999998E-3</v>
      </c>
      <c r="M76" s="30">
        <v>3.3999999999999998E-3</v>
      </c>
      <c r="P76" s="6" t="s">
        <v>13</v>
      </c>
      <c r="Q76" s="4">
        <v>3.3999999999999998E-3</v>
      </c>
      <c r="R76" s="4">
        <v>3.3999999999999998E-3</v>
      </c>
      <c r="S76" s="4">
        <v>3.3999999999999998E-3</v>
      </c>
      <c r="U76" s="6" t="s">
        <v>13</v>
      </c>
      <c r="V76" s="4">
        <v>3.3999999999999998E-3</v>
      </c>
      <c r="W76" s="4">
        <v>3.3999999999999998E-3</v>
      </c>
      <c r="X76" s="4">
        <v>3.3999999999999998E-3</v>
      </c>
      <c r="Z76" s="71"/>
      <c r="AA76" s="57" t="s">
        <v>75</v>
      </c>
      <c r="AB76" s="57" t="s">
        <v>47</v>
      </c>
      <c r="AC76" s="57" t="s">
        <v>84</v>
      </c>
    </row>
    <row r="77" spans="5:29" x14ac:dyDescent="0.55000000000000004">
      <c r="E77" s="29" t="s">
        <v>14</v>
      </c>
      <c r="F77" s="30">
        <v>5.11E-3</v>
      </c>
      <c r="G77" s="30">
        <v>5.11E-3</v>
      </c>
      <c r="H77" s="30">
        <v>5.11E-3</v>
      </c>
      <c r="I77" s="28"/>
      <c r="J77" s="29" t="s">
        <v>14</v>
      </c>
      <c r="K77" s="30">
        <v>5.11E-3</v>
      </c>
      <c r="L77" s="30">
        <v>5.11E-3</v>
      </c>
      <c r="M77" s="30">
        <v>5.11E-3</v>
      </c>
      <c r="P77" s="6" t="s">
        <v>14</v>
      </c>
      <c r="Q77" s="4">
        <v>5.11E-3</v>
      </c>
      <c r="R77" s="4">
        <v>5.11E-3</v>
      </c>
      <c r="S77" s="4">
        <v>5.11E-3</v>
      </c>
      <c r="U77" s="6" t="s">
        <v>14</v>
      </c>
      <c r="V77" s="4">
        <v>5.11E-3</v>
      </c>
      <c r="W77" s="4">
        <v>5.11E-3</v>
      </c>
      <c r="X77" s="4">
        <v>5.11E-3</v>
      </c>
      <c r="Z77" s="57" t="s">
        <v>51</v>
      </c>
      <c r="AA77" s="72">
        <v>800000000</v>
      </c>
      <c r="AB77" s="73">
        <v>1000000000</v>
      </c>
      <c r="AC77" s="73">
        <v>1200000000</v>
      </c>
    </row>
    <row r="78" spans="5:29" x14ac:dyDescent="0.55000000000000004">
      <c r="E78" s="29" t="s">
        <v>15</v>
      </c>
      <c r="F78" s="30">
        <v>2.0000000000000001E-4</v>
      </c>
      <c r="G78" s="30">
        <v>2.0000000000000001E-4</v>
      </c>
      <c r="H78" s="30">
        <v>2.0000000000000001E-4</v>
      </c>
      <c r="I78" s="28"/>
      <c r="J78" s="29" t="s">
        <v>15</v>
      </c>
      <c r="K78" s="30">
        <v>2.0000000000000001E-4</v>
      </c>
      <c r="L78" s="30">
        <v>2.0000000000000001E-4</v>
      </c>
      <c r="M78" s="30">
        <v>2.0000000000000001E-4</v>
      </c>
      <c r="P78" s="6" t="s">
        <v>15</v>
      </c>
      <c r="Q78" s="4">
        <v>2.0000000000000001E-4</v>
      </c>
      <c r="R78" s="4">
        <v>2.0000000000000001E-4</v>
      </c>
      <c r="S78" s="4">
        <v>2.0000000000000001E-4</v>
      </c>
      <c r="U78" s="6" t="s">
        <v>15</v>
      </c>
      <c r="V78" s="4">
        <v>2.0000000000000001E-4</v>
      </c>
      <c r="W78" s="4">
        <v>2.0000000000000001E-4</v>
      </c>
      <c r="X78" s="4">
        <v>2.0000000000000001E-4</v>
      </c>
      <c r="Z78" s="74" t="s">
        <v>3</v>
      </c>
      <c r="AA78" s="73">
        <v>142341172</v>
      </c>
      <c r="AB78" s="73">
        <v>150229407</v>
      </c>
      <c r="AC78" s="73">
        <v>158117642</v>
      </c>
    </row>
    <row r="79" spans="5:29" x14ac:dyDescent="0.55000000000000004">
      <c r="E79" s="29" t="s">
        <v>16</v>
      </c>
      <c r="F79" s="30">
        <v>4.9300000000000004E-3</v>
      </c>
      <c r="G79" s="30">
        <v>4.9300000000000004E-3</v>
      </c>
      <c r="H79" s="30">
        <v>4.9300000000000004E-3</v>
      </c>
      <c r="I79" s="28"/>
      <c r="J79" s="29" t="s">
        <v>16</v>
      </c>
      <c r="K79" s="30">
        <v>4.9300000000000004E-3</v>
      </c>
      <c r="L79" s="30">
        <v>4.9300000000000004E-3</v>
      </c>
      <c r="M79" s="30">
        <v>4.9300000000000004E-3</v>
      </c>
      <c r="P79" s="6" t="s">
        <v>16</v>
      </c>
      <c r="Q79" s="4">
        <v>4.9300000000000004E-3</v>
      </c>
      <c r="R79" s="4">
        <v>4.9300000000000004E-3</v>
      </c>
      <c r="S79" s="4">
        <v>4.9300000000000004E-3</v>
      </c>
      <c r="U79" s="6" t="s">
        <v>16</v>
      </c>
      <c r="V79" s="4">
        <v>4.9300000000000004E-3</v>
      </c>
      <c r="W79" s="4">
        <v>4.9300000000000004E-3</v>
      </c>
      <c r="X79" s="4">
        <v>4.9300000000000004E-3</v>
      </c>
      <c r="Z79" s="57" t="s">
        <v>34</v>
      </c>
      <c r="AA79" s="73">
        <f>SUM(AA77:AA78)</f>
        <v>942341172</v>
      </c>
      <c r="AB79" s="73">
        <f t="shared" ref="AB79:AC79" si="46">SUM(AB77:AB78)</f>
        <v>1150229407</v>
      </c>
      <c r="AC79" s="73">
        <f t="shared" si="46"/>
        <v>1358117642</v>
      </c>
    </row>
    <row r="80" spans="5:29" x14ac:dyDescent="0.55000000000000004">
      <c r="E80" s="29" t="s">
        <v>17</v>
      </c>
      <c r="F80" s="30">
        <v>1E-3</v>
      </c>
      <c r="G80" s="30">
        <v>1E-3</v>
      </c>
      <c r="H80" s="30">
        <v>1E-3</v>
      </c>
      <c r="I80" s="28"/>
      <c r="J80" s="29" t="s">
        <v>17</v>
      </c>
      <c r="K80" s="30">
        <v>1E-3</v>
      </c>
      <c r="L80" s="30">
        <v>1E-3</v>
      </c>
      <c r="M80" s="30">
        <v>1E-3</v>
      </c>
      <c r="P80" s="6" t="s">
        <v>17</v>
      </c>
      <c r="Q80" s="4">
        <v>1E-3</v>
      </c>
      <c r="R80" s="4">
        <v>1E-3</v>
      </c>
      <c r="S80" s="4">
        <v>1E-3</v>
      </c>
      <c r="U80" s="6" t="s">
        <v>17</v>
      </c>
      <c r="V80" s="4">
        <v>1E-3</v>
      </c>
      <c r="W80" s="4">
        <v>1E-3</v>
      </c>
      <c r="X80" s="4">
        <v>1E-3</v>
      </c>
      <c r="Z80" s="57" t="s">
        <v>89</v>
      </c>
      <c r="AA80" s="73">
        <f>(AA79*0.1)+AA79</f>
        <v>1036575289.2</v>
      </c>
      <c r="AB80" s="73">
        <f t="shared" ref="AB80" si="47">(AB79*0.1)+AB79</f>
        <v>1265252347.7</v>
      </c>
      <c r="AC80" s="73">
        <f t="shared" ref="AC80" si="48">(AC79*0.1)+AC79</f>
        <v>1493929406.2</v>
      </c>
    </row>
    <row r="81" spans="5:29" x14ac:dyDescent="0.55000000000000004">
      <c r="E81" s="29" t="s">
        <v>18</v>
      </c>
      <c r="F81" s="30">
        <v>2.3976088504544867E-2</v>
      </c>
      <c r="G81" s="30">
        <v>-3.5095180000000001E-3</v>
      </c>
      <c r="H81" s="30">
        <v>1.7073699999999999E-4</v>
      </c>
      <c r="I81" s="28"/>
      <c r="J81" s="29" t="s">
        <v>18</v>
      </c>
      <c r="K81" s="30">
        <v>2.3739590000000001E-3</v>
      </c>
      <c r="L81" s="30">
        <v>8.1640530666926697E-3</v>
      </c>
      <c r="M81" s="30">
        <v>1.3954147E-2</v>
      </c>
      <c r="P81" s="6" t="s">
        <v>18</v>
      </c>
      <c r="Q81">
        <v>-2.4248003883788827E-2</v>
      </c>
      <c r="R81" s="4">
        <v>-2.0249800148146667E-2</v>
      </c>
      <c r="S81" s="4">
        <v>-1.625159641258072E-2</v>
      </c>
      <c r="U81" s="6" t="s">
        <v>18</v>
      </c>
      <c r="V81" s="30">
        <v>-5.748538071823025E-3</v>
      </c>
      <c r="W81" s="30">
        <v>-1.7503343361808534E-3</v>
      </c>
      <c r="X81" s="30">
        <v>2.2478693993850931E-3</v>
      </c>
      <c r="Z81" s="57" t="s">
        <v>90</v>
      </c>
      <c r="AA81" s="73">
        <f>(AA79*0.5)+AA79</f>
        <v>1413511758</v>
      </c>
      <c r="AB81" s="73">
        <f t="shared" ref="AB81:AC81" si="49">(AB79*0.5)+AB79</f>
        <v>1725344110.5</v>
      </c>
      <c r="AC81" s="73">
        <f t="shared" si="49"/>
        <v>2037176463</v>
      </c>
    </row>
    <row r="82" spans="5:29" x14ac:dyDescent="0.55000000000000004">
      <c r="E82" s="31" t="s">
        <v>5</v>
      </c>
      <c r="F82" s="31">
        <f>SUM(F76:F81)</f>
        <v>3.8616088504544871E-2</v>
      </c>
      <c r="G82" s="31">
        <f>SUM(G76:G81)</f>
        <v>1.1130482000000001E-2</v>
      </c>
      <c r="H82" s="31">
        <f>SUM(H76:H81)</f>
        <v>1.4810737000000001E-2</v>
      </c>
      <c r="I82" s="28"/>
      <c r="J82" s="31" t="s">
        <v>5</v>
      </c>
      <c r="K82" s="31">
        <f>SUM(K76:K81)</f>
        <v>1.7013959000000002E-2</v>
      </c>
      <c r="L82" s="31">
        <f>SUM(L76:L81)</f>
        <v>2.280405306669267E-2</v>
      </c>
      <c r="M82" s="31">
        <f>SUM(M76:M81)</f>
        <v>2.8594147E-2</v>
      </c>
      <c r="P82" s="5" t="s">
        <v>5</v>
      </c>
      <c r="Q82" s="5">
        <f>SUM(Q76:Q81)</f>
        <v>-9.6080038837888272E-3</v>
      </c>
      <c r="R82" s="5">
        <f>SUM(R76:R81)</f>
        <v>-5.6098001481466667E-3</v>
      </c>
      <c r="S82" s="5">
        <f>SUM(S76:S81)</f>
        <v>-1.6115964125807195E-3</v>
      </c>
      <c r="U82" s="5" t="s">
        <v>5</v>
      </c>
      <c r="V82" s="5">
        <f>SUM(V76:V81)</f>
        <v>8.8914619281769761E-3</v>
      </c>
      <c r="W82" s="5">
        <f>SUM(W76:W81)</f>
        <v>1.2889665663819147E-2</v>
      </c>
      <c r="X82" s="5">
        <f>SUM(X76:X81)</f>
        <v>1.6887869399385094E-2</v>
      </c>
      <c r="Z82" s="57" t="s">
        <v>94</v>
      </c>
      <c r="AA82" s="43">
        <v>1890753457.5799999</v>
      </c>
      <c r="AB82" s="43">
        <v>2307869265.3200002</v>
      </c>
      <c r="AC82" s="43">
        <v>2724985073.0500002</v>
      </c>
    </row>
    <row r="83" spans="5:29" x14ac:dyDescent="0.55000000000000004">
      <c r="E83" s="31" t="s">
        <v>20</v>
      </c>
      <c r="F83" s="31">
        <v>2.699E-2</v>
      </c>
      <c r="G83" s="31">
        <v>3.0079999999999999E-2</v>
      </c>
      <c r="H83" s="31">
        <v>3.3169999999999998E-2</v>
      </c>
      <c r="I83" s="28"/>
      <c r="J83" s="31" t="s">
        <v>20</v>
      </c>
      <c r="K83" s="31">
        <v>2.699E-2</v>
      </c>
      <c r="L83" s="31">
        <v>3.0079999999999999E-2</v>
      </c>
      <c r="M83" s="31">
        <v>3.3169999999999998E-2</v>
      </c>
      <c r="P83" s="5" t="s">
        <v>20</v>
      </c>
      <c r="Q83" s="5">
        <v>2.699E-2</v>
      </c>
      <c r="R83" s="5">
        <v>3.0079999999999999E-2</v>
      </c>
      <c r="S83" s="5">
        <v>3.3169999999999998E-2</v>
      </c>
      <c r="U83" s="5" t="s">
        <v>20</v>
      </c>
      <c r="V83" s="5">
        <v>2.699E-2</v>
      </c>
      <c r="W83" s="5">
        <v>3.0079999999999999E-2</v>
      </c>
      <c r="X83" s="5">
        <v>3.3169999999999998E-2</v>
      </c>
      <c r="Z83" s="57" t="s">
        <v>92</v>
      </c>
      <c r="AA83" s="67">
        <v>2079828803.3399999</v>
      </c>
      <c r="AB83" s="67">
        <v>2538656191.8499999</v>
      </c>
      <c r="AC83" s="67">
        <v>2997483580.3499999</v>
      </c>
    </row>
    <row r="84" spans="5:29" x14ac:dyDescent="0.55000000000000004">
      <c r="E84" s="29" t="s">
        <v>21</v>
      </c>
      <c r="F84" s="30">
        <f>F83-F82</f>
        <v>-1.1626088504544871E-2</v>
      </c>
      <c r="G84" s="30">
        <f t="shared" ref="G84:H84" si="50">G83-G82</f>
        <v>1.8949517999999999E-2</v>
      </c>
      <c r="H84" s="30">
        <f t="shared" si="50"/>
        <v>1.8359262999999997E-2</v>
      </c>
      <c r="I84" s="28"/>
      <c r="J84" s="29" t="s">
        <v>21</v>
      </c>
      <c r="K84" s="30">
        <f>K83-K82</f>
        <v>9.976040999999998E-3</v>
      </c>
      <c r="L84" s="30">
        <f t="shared" ref="L84" si="51">L83-L82</f>
        <v>7.2759469333073291E-3</v>
      </c>
      <c r="M84" s="30">
        <f>M83-M82</f>
        <v>4.5758529999999978E-3</v>
      </c>
      <c r="P84" s="8" t="s">
        <v>21</v>
      </c>
      <c r="Q84" s="4">
        <f>Q83-Q82</f>
        <v>3.6598003883788824E-2</v>
      </c>
      <c r="R84" s="4">
        <f t="shared" ref="R84:S84" si="52">R83-R82</f>
        <v>3.5689800148146669E-2</v>
      </c>
      <c r="S84" s="4">
        <f t="shared" si="52"/>
        <v>3.4781596412580718E-2</v>
      </c>
      <c r="U84" s="8" t="s">
        <v>21</v>
      </c>
      <c r="V84" s="4">
        <f>V83-V82</f>
        <v>1.8098538071823024E-2</v>
      </c>
      <c r="W84" s="4">
        <f t="shared" ref="W84:X84" si="53">W83-W82</f>
        <v>1.7190334336180852E-2</v>
      </c>
      <c r="X84" s="4">
        <f t="shared" si="53"/>
        <v>1.6282130600614904E-2</v>
      </c>
      <c r="Z84" s="57" t="s">
        <v>93</v>
      </c>
      <c r="AA84" s="67">
        <v>2836130186.3800001</v>
      </c>
      <c r="AB84" s="67">
        <v>3461803897.9699998</v>
      </c>
      <c r="AC84" s="67">
        <v>4087477609.5700002</v>
      </c>
    </row>
    <row r="85" spans="5:29" x14ac:dyDescent="0.55000000000000004">
      <c r="E85" s="28"/>
      <c r="F85" s="28"/>
      <c r="G85" s="28"/>
      <c r="H85" s="28"/>
      <c r="I85" s="28"/>
      <c r="J85" s="28"/>
      <c r="K85" s="28"/>
      <c r="L85" s="28"/>
      <c r="M85" s="28"/>
    </row>
    <row r="87" spans="5:29" x14ac:dyDescent="0.55000000000000004">
      <c r="P87" s="95" t="s">
        <v>106</v>
      </c>
      <c r="Q87" s="95"/>
      <c r="R87" s="95"/>
      <c r="S87" s="95"/>
      <c r="T87" s="95"/>
      <c r="U87" s="95"/>
      <c r="V87" s="95"/>
      <c r="W87" s="95"/>
      <c r="X87" s="95"/>
    </row>
    <row r="88" spans="5:29" x14ac:dyDescent="0.55000000000000004">
      <c r="P88" s="94" t="s">
        <v>38</v>
      </c>
      <c r="Q88" s="94"/>
      <c r="R88" s="94"/>
      <c r="S88" s="94"/>
      <c r="U88" s="94" t="s">
        <v>40</v>
      </c>
      <c r="V88" s="94"/>
      <c r="W88" s="94"/>
      <c r="X88" s="94"/>
    </row>
    <row r="89" spans="5:29" x14ac:dyDescent="0.55000000000000004">
      <c r="H89" s="64"/>
      <c r="I89" s="41" t="s">
        <v>47</v>
      </c>
      <c r="P89" s="6"/>
      <c r="Q89" s="4" t="s">
        <v>46</v>
      </c>
      <c r="R89" s="4" t="s">
        <v>47</v>
      </c>
      <c r="S89" s="4" t="s">
        <v>48</v>
      </c>
      <c r="U89" s="6"/>
      <c r="V89" s="4" t="s">
        <v>46</v>
      </c>
      <c r="W89" s="4" t="s">
        <v>47</v>
      </c>
      <c r="X89" s="4" t="s">
        <v>48</v>
      </c>
    </row>
    <row r="90" spans="5:29" x14ac:dyDescent="0.55000000000000004">
      <c r="H90" s="41" t="s">
        <v>34</v>
      </c>
      <c r="I90" s="43">
        <v>1150229407</v>
      </c>
      <c r="P90" s="6" t="s">
        <v>13</v>
      </c>
      <c r="Q90" s="4">
        <v>3.3999999999999998E-3</v>
      </c>
      <c r="R90" s="4">
        <v>3.3999999999999998E-3</v>
      </c>
      <c r="S90" s="4">
        <v>3.3999999999999998E-3</v>
      </c>
      <c r="U90" s="6" t="s">
        <v>13</v>
      </c>
      <c r="V90" s="4">
        <v>3.3999999999999998E-3</v>
      </c>
      <c r="W90" s="4">
        <v>3.3999999999999998E-3</v>
      </c>
      <c r="X90" s="4">
        <v>3.3999999999999998E-3</v>
      </c>
    </row>
    <row r="91" spans="5:29" x14ac:dyDescent="0.55000000000000004">
      <c r="H91" s="41" t="s">
        <v>89</v>
      </c>
      <c r="I91" s="43">
        <v>1265252347.7</v>
      </c>
      <c r="P91" s="6" t="s">
        <v>14</v>
      </c>
      <c r="Q91" s="4">
        <v>5.11E-3</v>
      </c>
      <c r="R91" s="4">
        <v>5.11E-3</v>
      </c>
      <c r="S91" s="4">
        <v>5.11E-3</v>
      </c>
      <c r="U91" s="6" t="s">
        <v>14</v>
      </c>
      <c r="V91" s="4">
        <v>5.11E-3</v>
      </c>
      <c r="W91" s="4">
        <v>5.11E-3</v>
      </c>
      <c r="X91" s="4">
        <v>5.11E-3</v>
      </c>
    </row>
    <row r="92" spans="5:29" x14ac:dyDescent="0.55000000000000004">
      <c r="H92" s="41" t="s">
        <v>90</v>
      </c>
      <c r="I92" s="43">
        <v>1725344110.5</v>
      </c>
      <c r="P92" s="6" t="s">
        <v>15</v>
      </c>
      <c r="Q92" s="4">
        <v>2.0000000000000001E-4</v>
      </c>
      <c r="R92" s="4">
        <v>2.0000000000000001E-4</v>
      </c>
      <c r="S92" s="4">
        <v>2.0000000000000001E-4</v>
      </c>
      <c r="U92" s="6" t="s">
        <v>15</v>
      </c>
      <c r="V92" s="4">
        <v>2.0000000000000001E-4</v>
      </c>
      <c r="W92" s="4">
        <v>2.0000000000000001E-4</v>
      </c>
      <c r="X92" s="4">
        <v>2.0000000000000001E-4</v>
      </c>
    </row>
    <row r="93" spans="5:29" x14ac:dyDescent="0.55000000000000004">
      <c r="H93" s="41" t="s">
        <v>94</v>
      </c>
      <c r="I93" s="43">
        <v>2307869265.3200002</v>
      </c>
      <c r="P93" s="6" t="s">
        <v>16</v>
      </c>
      <c r="Q93" s="4">
        <v>4.9300000000000004E-3</v>
      </c>
      <c r="R93" s="4">
        <v>4.9300000000000004E-3</v>
      </c>
      <c r="S93" s="4">
        <v>4.9300000000000004E-3</v>
      </c>
      <c r="U93" s="6" t="s">
        <v>16</v>
      </c>
      <c r="V93" s="4">
        <v>4.9300000000000004E-3</v>
      </c>
      <c r="W93" s="4">
        <v>4.9300000000000004E-3</v>
      </c>
      <c r="X93" s="4">
        <v>4.9300000000000004E-3</v>
      </c>
    </row>
    <row r="94" spans="5:29" x14ac:dyDescent="0.55000000000000004">
      <c r="H94" s="68" t="s">
        <v>92</v>
      </c>
      <c r="I94" s="69">
        <v>2538656191.8499999</v>
      </c>
      <c r="P94" s="6" t="s">
        <v>17</v>
      </c>
      <c r="Q94" s="4">
        <v>1E-3</v>
      </c>
      <c r="R94" s="4">
        <v>1E-3</v>
      </c>
      <c r="S94" s="4">
        <v>1E-3</v>
      </c>
      <c r="U94" s="6" t="s">
        <v>17</v>
      </c>
      <c r="V94" s="4">
        <v>1E-3</v>
      </c>
      <c r="W94" s="4">
        <v>1E-3</v>
      </c>
      <c r="X94" s="4">
        <v>1E-3</v>
      </c>
    </row>
    <row r="95" spans="5:29" x14ac:dyDescent="0.55000000000000004">
      <c r="H95" s="68" t="s">
        <v>93</v>
      </c>
      <c r="I95" s="69">
        <v>3461803897.9699998</v>
      </c>
      <c r="P95" s="6" t="s">
        <v>18</v>
      </c>
      <c r="Q95">
        <v>-1.8483061688300401E-2</v>
      </c>
      <c r="R95" s="4">
        <v>-1.3213064155032574E-2</v>
      </c>
      <c r="S95" s="4">
        <v>-7.9430666216885049E-3</v>
      </c>
      <c r="U95" s="6" t="s">
        <v>18</v>
      </c>
      <c r="V95" s="76">
        <v>1.6404123665404435E-5</v>
      </c>
      <c r="W95" s="30">
        <v>5.2864016569332392E-3</v>
      </c>
      <c r="X95" s="30">
        <v>1.0556399190277307E-2</v>
      </c>
    </row>
    <row r="96" spans="5:29" x14ac:dyDescent="0.55000000000000004">
      <c r="P96" s="5" t="s">
        <v>5</v>
      </c>
      <c r="Q96" s="5">
        <f>SUM(Q90:Q95)</f>
        <v>-3.8430616883004011E-3</v>
      </c>
      <c r="R96" s="5">
        <f>SUM(R90:R95)</f>
        <v>1.4269358449674266E-3</v>
      </c>
      <c r="S96" s="5">
        <f>SUM(S90:S95)</f>
        <v>6.6969333783114954E-3</v>
      </c>
      <c r="U96" s="5" t="s">
        <v>5</v>
      </c>
      <c r="V96" s="5">
        <f>SUM(V90:V95)</f>
        <v>1.4656404123665404E-2</v>
      </c>
      <c r="W96" s="5">
        <f>SUM(W90:W95)</f>
        <v>1.992640165693324E-2</v>
      </c>
      <c r="X96" s="5">
        <f>SUM(X90:X95)</f>
        <v>2.5196399190277309E-2</v>
      </c>
    </row>
    <row r="97" spans="16:24" x14ac:dyDescent="0.55000000000000004">
      <c r="P97" s="5" t="s">
        <v>20</v>
      </c>
      <c r="Q97" s="5">
        <v>2.699E-2</v>
      </c>
      <c r="R97" s="5">
        <v>3.0079999999999999E-2</v>
      </c>
      <c r="S97" s="5">
        <v>3.3169999999999998E-2</v>
      </c>
      <c r="U97" s="5" t="s">
        <v>20</v>
      </c>
      <c r="V97" s="5">
        <v>2.699E-2</v>
      </c>
      <c r="W97" s="5">
        <v>3.0079999999999999E-2</v>
      </c>
      <c r="X97" s="5">
        <v>3.3169999999999998E-2</v>
      </c>
    </row>
    <row r="98" spans="16:24" x14ac:dyDescent="0.55000000000000004">
      <c r="P98" s="8" t="s">
        <v>21</v>
      </c>
      <c r="Q98" s="4">
        <f>Q97-Q96</f>
        <v>3.0833061688300401E-2</v>
      </c>
      <c r="R98" s="4">
        <f t="shared" ref="R98:S98" si="54">R97-R96</f>
        <v>2.8653064155032573E-2</v>
      </c>
      <c r="S98" s="4">
        <f t="shared" si="54"/>
        <v>2.6473066621688503E-2</v>
      </c>
      <c r="U98" s="8" t="s">
        <v>21</v>
      </c>
      <c r="V98" s="4">
        <f>V97-V96</f>
        <v>1.2333595876334596E-2</v>
      </c>
      <c r="W98" s="4">
        <f t="shared" ref="W98:X98" si="55">W97-W96</f>
        <v>1.0153598343066759E-2</v>
      </c>
      <c r="X98" s="4">
        <f t="shared" si="55"/>
        <v>7.973600809722689E-3</v>
      </c>
    </row>
    <row r="108" spans="16:24" x14ac:dyDescent="0.55000000000000004">
      <c r="V108" t="s">
        <v>75</v>
      </c>
      <c r="W108" t="s">
        <v>47</v>
      </c>
      <c r="X108" t="s">
        <v>84</v>
      </c>
    </row>
    <row r="109" spans="16:24" x14ac:dyDescent="0.55000000000000004">
      <c r="T109" t="s">
        <v>91</v>
      </c>
      <c r="U109" t="s">
        <v>5</v>
      </c>
      <c r="V109">
        <v>7.4502259999999999E-3</v>
      </c>
      <c r="W109">
        <v>1.1130482000000001E-2</v>
      </c>
      <c r="X109">
        <v>1.4810737000000001E-2</v>
      </c>
    </row>
    <row r="110" spans="16:24" x14ac:dyDescent="0.55000000000000004">
      <c r="S110" t="s">
        <v>100</v>
      </c>
      <c r="T110" t="s">
        <v>105</v>
      </c>
      <c r="U110" t="s">
        <v>5</v>
      </c>
      <c r="V110">
        <v>8.8914619281769761E-3</v>
      </c>
      <c r="W110">
        <v>1.2889665663819147E-2</v>
      </c>
      <c r="X110">
        <v>1.6887869399385094E-2</v>
      </c>
    </row>
    <row r="111" spans="16:24" x14ac:dyDescent="0.55000000000000004">
      <c r="T111" t="s">
        <v>106</v>
      </c>
      <c r="U111" t="s">
        <v>5</v>
      </c>
      <c r="V111">
        <v>1.4656404123665404E-2</v>
      </c>
      <c r="W111">
        <v>1.992640165693324E-2</v>
      </c>
      <c r="X111">
        <v>2.5196399190277309E-2</v>
      </c>
    </row>
    <row r="112" spans="16:24" x14ac:dyDescent="0.55000000000000004">
      <c r="T112" t="s">
        <v>91</v>
      </c>
      <c r="U112" t="s">
        <v>5</v>
      </c>
      <c r="V112">
        <v>-1.1049239432660937E-2</v>
      </c>
      <c r="W112">
        <v>-7.3689841464251865E-3</v>
      </c>
      <c r="X112">
        <v>-3.6887288602656561E-3</v>
      </c>
    </row>
    <row r="113" spans="19:24" x14ac:dyDescent="0.55000000000000004">
      <c r="S113" t="s">
        <v>101</v>
      </c>
      <c r="T113" t="s">
        <v>105</v>
      </c>
      <c r="U113" t="s">
        <v>5</v>
      </c>
      <c r="V113">
        <v>-9.6080038837888272E-3</v>
      </c>
      <c r="W113">
        <v>-5.6098001481466667E-3</v>
      </c>
      <c r="X113">
        <v>-1.6115964125807195E-3</v>
      </c>
    </row>
    <row r="114" spans="19:24" x14ac:dyDescent="0.55000000000000004">
      <c r="T114" t="s">
        <v>106</v>
      </c>
      <c r="U114" t="s">
        <v>5</v>
      </c>
      <c r="V114">
        <v>-3.8430616883004011E-3</v>
      </c>
      <c r="W114">
        <v>1.4269358449674266E-3</v>
      </c>
      <c r="X114">
        <v>6.6969333783114954E-3</v>
      </c>
    </row>
  </sheetData>
  <mergeCells count="54">
    <mergeCell ref="B3:C3"/>
    <mergeCell ref="C14:C15"/>
    <mergeCell ref="B14:B15"/>
    <mergeCell ref="E14:E15"/>
    <mergeCell ref="F14:F15"/>
    <mergeCell ref="J2:M2"/>
    <mergeCell ref="H36:K36"/>
    <mergeCell ref="H27:K27"/>
    <mergeCell ref="H15:M15"/>
    <mergeCell ref="H21:M21"/>
    <mergeCell ref="E2:H2"/>
    <mergeCell ref="M30:N30"/>
    <mergeCell ref="AT18:AU18"/>
    <mergeCell ref="AT19:AU19"/>
    <mergeCell ref="AT20:AU20"/>
    <mergeCell ref="AR7:AU7"/>
    <mergeCell ref="P2:X2"/>
    <mergeCell ref="U16:X16"/>
    <mergeCell ref="U3:X3"/>
    <mergeCell ref="Z11:Z12"/>
    <mergeCell ref="Z13:Z14"/>
    <mergeCell ref="Z9:Z10"/>
    <mergeCell ref="P3:S3"/>
    <mergeCell ref="P16:S16"/>
    <mergeCell ref="AF9:AK9"/>
    <mergeCell ref="AR18:AS18"/>
    <mergeCell ref="AR19:AS19"/>
    <mergeCell ref="AR20:AS20"/>
    <mergeCell ref="AR21:AS21"/>
    <mergeCell ref="P60:S60"/>
    <mergeCell ref="U60:X60"/>
    <mergeCell ref="P73:X73"/>
    <mergeCell ref="AT21:AU21"/>
    <mergeCell ref="AT22:AU22"/>
    <mergeCell ref="AR22:AS22"/>
    <mergeCell ref="P33:Q33"/>
    <mergeCell ref="R33:S33"/>
    <mergeCell ref="P34:Q34"/>
    <mergeCell ref="R34:S34"/>
    <mergeCell ref="P59:X59"/>
    <mergeCell ref="P30:Q30"/>
    <mergeCell ref="R30:S30"/>
    <mergeCell ref="P31:Q31"/>
    <mergeCell ref="R31:S31"/>
    <mergeCell ref="P32:Q32"/>
    <mergeCell ref="R32:S32"/>
    <mergeCell ref="P88:S88"/>
    <mergeCell ref="U88:X88"/>
    <mergeCell ref="M65:N65"/>
    <mergeCell ref="E74:H74"/>
    <mergeCell ref="J74:M74"/>
    <mergeCell ref="P74:S74"/>
    <mergeCell ref="U74:X74"/>
    <mergeCell ref="P87:X87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84C19-CE2C-4028-B6B6-AF85842C0D0A}">
  <dimension ref="B3:O42"/>
  <sheetViews>
    <sheetView zoomScale="110" zoomScaleNormal="110" workbookViewId="0">
      <selection activeCell="J18" sqref="J18"/>
    </sheetView>
  </sheetViews>
  <sheetFormatPr defaultRowHeight="14.4" x14ac:dyDescent="0.55000000000000004"/>
  <cols>
    <col min="2" max="2" width="9.05078125" customWidth="1"/>
    <col min="3" max="3" width="9.578125" bestFit="1" customWidth="1"/>
    <col min="4" max="4" width="13.578125" bestFit="1" customWidth="1"/>
    <col min="5" max="5" width="8.41796875" bestFit="1" customWidth="1"/>
    <col min="6" max="6" width="8" bestFit="1" customWidth="1"/>
    <col min="7" max="8" width="14.15625" bestFit="1" customWidth="1"/>
    <col min="10" max="10" width="17.1015625" bestFit="1" customWidth="1"/>
    <col min="11" max="11" width="13.578125" bestFit="1" customWidth="1"/>
    <col min="12" max="12" width="8.41796875" bestFit="1" customWidth="1"/>
    <col min="13" max="13" width="8" bestFit="1" customWidth="1"/>
    <col min="14" max="15" width="14.15625" bestFit="1" customWidth="1"/>
  </cols>
  <sheetData>
    <row r="3" spans="2:8" x14ac:dyDescent="0.55000000000000004">
      <c r="B3" s="1" t="s">
        <v>85</v>
      </c>
    </row>
    <row r="5" spans="2:8" x14ac:dyDescent="0.55000000000000004">
      <c r="B5" s="108" t="s">
        <v>41</v>
      </c>
      <c r="C5" s="108"/>
      <c r="D5" s="108"/>
      <c r="E5" s="108"/>
      <c r="F5" s="108"/>
      <c r="G5" s="108"/>
      <c r="H5" s="108"/>
    </row>
    <row r="6" spans="2:8" ht="14.7" thickBot="1" x14ac:dyDescent="0.6">
      <c r="B6" s="48" t="s">
        <v>102</v>
      </c>
      <c r="C6" s="49" t="s">
        <v>27</v>
      </c>
      <c r="D6" s="49" t="s">
        <v>28</v>
      </c>
      <c r="E6" s="49" t="s">
        <v>29</v>
      </c>
      <c r="F6" s="49" t="s">
        <v>50</v>
      </c>
      <c r="G6" s="49" t="s">
        <v>31</v>
      </c>
      <c r="H6" s="49" t="s">
        <v>42</v>
      </c>
    </row>
    <row r="7" spans="2:8" x14ac:dyDescent="0.55000000000000004">
      <c r="B7" s="109" t="s">
        <v>100</v>
      </c>
      <c r="C7" s="44" t="s">
        <v>75</v>
      </c>
      <c r="D7" s="45">
        <v>18920666.666666798</v>
      </c>
      <c r="E7" s="45">
        <f>D7/12640315</f>
        <v>1.4968508828036957</v>
      </c>
      <c r="F7" s="45">
        <f>10-E7</f>
        <v>8.5031491171963047</v>
      </c>
      <c r="G7" s="45">
        <f>F7*12640315</f>
        <v>107482483.33333321</v>
      </c>
      <c r="H7" s="45">
        <f>G7-D7</f>
        <v>88561816.666666418</v>
      </c>
    </row>
    <row r="8" spans="2:8" x14ac:dyDescent="0.55000000000000004">
      <c r="B8" s="110"/>
      <c r="C8" s="36" t="s">
        <v>47</v>
      </c>
      <c r="D8" s="13">
        <v>19947166.666666798</v>
      </c>
      <c r="E8" s="13">
        <f t="shared" ref="E8:E9" si="0">D8/12640315</f>
        <v>1.5780593020559059</v>
      </c>
      <c r="F8" s="13">
        <f t="shared" ref="F8:F9" si="1">10-E8</f>
        <v>8.4219406979440947</v>
      </c>
      <c r="G8" s="13">
        <f t="shared" ref="G8:G9" si="2">F8*12640315</f>
        <v>106455983.33333321</v>
      </c>
      <c r="H8" s="13">
        <f t="shared" ref="H8:H9" si="3">G8-D8</f>
        <v>86508816.666666418</v>
      </c>
    </row>
    <row r="9" spans="2:8" ht="14.7" thickBot="1" x14ac:dyDescent="0.6">
      <c r="B9" s="111"/>
      <c r="C9" s="46" t="s">
        <v>84</v>
      </c>
      <c r="D9" s="47">
        <v>20973666.666666798</v>
      </c>
      <c r="E9" s="47">
        <f t="shared" si="0"/>
        <v>1.659267721308116</v>
      </c>
      <c r="F9" s="47">
        <f t="shared" si="1"/>
        <v>8.3407322786918847</v>
      </c>
      <c r="G9" s="47">
        <f t="shared" si="2"/>
        <v>105429483.33333321</v>
      </c>
      <c r="H9" s="47">
        <f t="shared" si="3"/>
        <v>84455816.666666418</v>
      </c>
    </row>
    <row r="10" spans="2:8" x14ac:dyDescent="0.55000000000000004">
      <c r="B10" s="109" t="s">
        <v>101</v>
      </c>
      <c r="C10" s="44" t="s">
        <v>75</v>
      </c>
      <c r="D10" s="45">
        <v>18920666.666666798</v>
      </c>
      <c r="E10" s="45">
        <f>D10/12640315</f>
        <v>1.4968508828036957</v>
      </c>
      <c r="F10" s="45">
        <f>16-E10</f>
        <v>14.503149117196305</v>
      </c>
      <c r="G10" s="45">
        <f>F10*12640315</f>
        <v>183324373.33333319</v>
      </c>
      <c r="H10" s="45">
        <f>G10-D10</f>
        <v>164403706.66666639</v>
      </c>
    </row>
    <row r="11" spans="2:8" x14ac:dyDescent="0.55000000000000004">
      <c r="B11" s="110"/>
      <c r="C11" s="36" t="s">
        <v>47</v>
      </c>
      <c r="D11" s="13">
        <v>19947166.666666798</v>
      </c>
      <c r="E11" s="13">
        <f t="shared" ref="E11:E12" si="4">D11/12640315</f>
        <v>1.5780593020559059</v>
      </c>
      <c r="F11" s="13">
        <f t="shared" ref="F11:F12" si="5">16-E11</f>
        <v>14.421940697944095</v>
      </c>
      <c r="G11" s="13">
        <f t="shared" ref="G11:G12" si="6">F11*12640315</f>
        <v>182297873.33333322</v>
      </c>
      <c r="H11" s="13">
        <f t="shared" ref="H11:H12" si="7">G11-D11</f>
        <v>162350706.66666642</v>
      </c>
    </row>
    <row r="12" spans="2:8" x14ac:dyDescent="0.55000000000000004">
      <c r="B12" s="110"/>
      <c r="C12" s="36" t="s">
        <v>84</v>
      </c>
      <c r="D12" s="13">
        <v>20973666.666666798</v>
      </c>
      <c r="E12" s="13">
        <f t="shared" si="4"/>
        <v>1.659267721308116</v>
      </c>
      <c r="F12" s="13">
        <f t="shared" si="5"/>
        <v>14.340732278691885</v>
      </c>
      <c r="G12" s="13">
        <f t="shared" si="6"/>
        <v>181271373.33333322</v>
      </c>
      <c r="H12" s="13">
        <f t="shared" si="7"/>
        <v>160297706.66666642</v>
      </c>
    </row>
    <row r="24" spans="9:15" x14ac:dyDescent="0.55000000000000004">
      <c r="I24" s="50"/>
      <c r="J24" s="50"/>
      <c r="K24" s="50"/>
      <c r="L24" s="50"/>
      <c r="M24" s="50"/>
      <c r="N24" s="50"/>
      <c r="O24" s="50"/>
    </row>
    <row r="25" spans="9:15" x14ac:dyDescent="0.55000000000000004">
      <c r="I25" s="50"/>
      <c r="J25" s="50"/>
      <c r="K25" s="50"/>
      <c r="L25" s="50"/>
      <c r="M25" s="50"/>
      <c r="N25" s="50"/>
      <c r="O25" s="50"/>
    </row>
    <row r="26" spans="9:15" x14ac:dyDescent="0.55000000000000004">
      <c r="I26" s="50"/>
      <c r="J26" s="50"/>
      <c r="K26" s="50"/>
      <c r="L26" s="50"/>
      <c r="M26" s="50"/>
      <c r="N26" s="50"/>
      <c r="O26" s="50"/>
    </row>
    <row r="27" spans="9:15" x14ac:dyDescent="0.55000000000000004">
      <c r="I27" s="107"/>
      <c r="J27" s="107"/>
      <c r="K27" s="107"/>
      <c r="L27" s="107"/>
      <c r="M27" s="107"/>
      <c r="N27" s="107"/>
      <c r="O27" s="107"/>
    </row>
    <row r="28" spans="9:15" x14ac:dyDescent="0.55000000000000004">
      <c r="I28" s="54"/>
      <c r="J28" s="51"/>
      <c r="K28" s="51"/>
      <c r="L28" s="51"/>
      <c r="M28" s="51"/>
      <c r="N28" s="51"/>
      <c r="O28" s="51"/>
    </row>
    <row r="29" spans="9:15" x14ac:dyDescent="0.55000000000000004">
      <c r="I29" s="106"/>
      <c r="J29" s="52"/>
      <c r="K29" s="53"/>
      <c r="L29" s="53"/>
      <c r="M29" s="53"/>
      <c r="N29" s="53"/>
      <c r="O29" s="53"/>
    </row>
    <row r="30" spans="9:15" x14ac:dyDescent="0.55000000000000004">
      <c r="I30" s="106"/>
      <c r="J30" s="52"/>
      <c r="K30" s="53"/>
      <c r="L30" s="53"/>
      <c r="M30" s="53"/>
      <c r="N30" s="53"/>
      <c r="O30" s="53"/>
    </row>
    <row r="31" spans="9:15" x14ac:dyDescent="0.55000000000000004">
      <c r="I31" s="106"/>
      <c r="J31" s="52"/>
      <c r="K31" s="53"/>
      <c r="L31" s="53"/>
      <c r="M31" s="53"/>
      <c r="N31" s="53"/>
      <c r="O31" s="53"/>
    </row>
    <row r="32" spans="9:15" x14ac:dyDescent="0.55000000000000004">
      <c r="I32" s="106"/>
      <c r="J32" s="52"/>
      <c r="K32" s="53"/>
      <c r="L32" s="53"/>
      <c r="M32" s="53"/>
      <c r="N32" s="53"/>
      <c r="O32" s="53"/>
    </row>
    <row r="33" spans="9:15" x14ac:dyDescent="0.55000000000000004">
      <c r="I33" s="106"/>
      <c r="J33" s="52"/>
      <c r="K33" s="53"/>
      <c r="L33" s="53"/>
      <c r="M33" s="53"/>
      <c r="N33" s="53"/>
      <c r="O33" s="53"/>
    </row>
    <row r="34" spans="9:15" x14ac:dyDescent="0.55000000000000004">
      <c r="I34" s="106"/>
      <c r="J34" s="52"/>
      <c r="K34" s="53"/>
      <c r="L34" s="53"/>
      <c r="M34" s="53"/>
      <c r="N34" s="53"/>
      <c r="O34" s="53"/>
    </row>
    <row r="38" spans="9:15" x14ac:dyDescent="0.55000000000000004">
      <c r="I38" s="50"/>
      <c r="J38" s="50"/>
      <c r="K38" s="50"/>
      <c r="L38" s="50"/>
      <c r="M38" s="50"/>
      <c r="N38" s="50"/>
    </row>
    <row r="39" spans="9:15" x14ac:dyDescent="0.55000000000000004">
      <c r="I39" s="50"/>
      <c r="J39" s="51"/>
      <c r="K39" s="51"/>
      <c r="L39" s="51"/>
      <c r="M39" s="51"/>
      <c r="N39" s="50"/>
    </row>
    <row r="40" spans="9:15" x14ac:dyDescent="0.55000000000000004">
      <c r="I40" s="50"/>
      <c r="J40" s="52"/>
      <c r="K40" s="53"/>
      <c r="L40" s="53"/>
      <c r="M40" s="53"/>
      <c r="N40" s="50"/>
    </row>
    <row r="41" spans="9:15" x14ac:dyDescent="0.55000000000000004">
      <c r="I41" s="50"/>
      <c r="J41" s="52"/>
      <c r="K41" s="53"/>
      <c r="L41" s="53"/>
      <c r="M41" s="53"/>
      <c r="N41" s="50"/>
    </row>
    <row r="42" spans="9:15" x14ac:dyDescent="0.55000000000000004">
      <c r="I42" s="50"/>
      <c r="J42" s="50"/>
      <c r="K42" s="50"/>
      <c r="L42" s="50"/>
      <c r="M42" s="50"/>
      <c r="N42" s="50"/>
    </row>
  </sheetData>
  <mergeCells count="6">
    <mergeCell ref="I29:I31"/>
    <mergeCell ref="I32:I34"/>
    <mergeCell ref="I27:O27"/>
    <mergeCell ref="B5:H5"/>
    <mergeCell ref="B7:B9"/>
    <mergeCell ref="B10:B1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516A-C390-4327-AF7B-9A350888A347}">
  <dimension ref="B2:V98"/>
  <sheetViews>
    <sheetView topLeftCell="D25" zoomScale="70" zoomScaleNormal="70" workbookViewId="0">
      <selection activeCell="S58" sqref="S58:V61"/>
    </sheetView>
  </sheetViews>
  <sheetFormatPr defaultRowHeight="14.4" x14ac:dyDescent="0.55000000000000004"/>
  <cols>
    <col min="2" max="2" width="19.47265625" bestFit="1" customWidth="1"/>
    <col min="3" max="3" width="10.3125" customWidth="1"/>
    <col min="4" max="4" width="13.734375" customWidth="1"/>
    <col min="5" max="5" width="11.68359375" bestFit="1" customWidth="1"/>
    <col min="7" max="7" width="15.83984375" customWidth="1"/>
    <col min="18" max="18" width="8.83984375" customWidth="1"/>
    <col min="19" max="19" width="16.578125" customWidth="1"/>
    <col min="20" max="20" width="9" bestFit="1" customWidth="1"/>
    <col min="22" max="22" width="9.47265625" bestFit="1" customWidth="1"/>
  </cols>
  <sheetData>
    <row r="2" spans="2:5" x14ac:dyDescent="0.55000000000000004">
      <c r="B2" t="s">
        <v>99</v>
      </c>
    </row>
    <row r="4" spans="2:5" x14ac:dyDescent="0.55000000000000004">
      <c r="B4" s="116" t="s">
        <v>71</v>
      </c>
      <c r="C4" s="116"/>
      <c r="D4" s="113">
        <v>1000</v>
      </c>
      <c r="E4" s="113"/>
    </row>
    <row r="5" spans="2:5" x14ac:dyDescent="0.55000000000000004">
      <c r="B5" s="113" t="s">
        <v>66</v>
      </c>
      <c r="C5" s="113"/>
      <c r="D5" s="113" t="s">
        <v>70</v>
      </c>
      <c r="E5" s="113"/>
    </row>
    <row r="6" spans="2:5" x14ac:dyDescent="0.55000000000000004">
      <c r="B6" s="113" t="s">
        <v>67</v>
      </c>
      <c r="C6" s="113"/>
      <c r="D6" s="113" t="s">
        <v>65</v>
      </c>
      <c r="E6" s="113"/>
    </row>
    <row r="7" spans="2:5" x14ac:dyDescent="0.55000000000000004">
      <c r="B7" s="113" t="s">
        <v>68</v>
      </c>
      <c r="C7" s="113"/>
      <c r="D7" s="114">
        <v>0.9</v>
      </c>
      <c r="E7" s="114"/>
    </row>
    <row r="8" spans="2:5" x14ac:dyDescent="0.55000000000000004">
      <c r="B8" s="115" t="s">
        <v>69</v>
      </c>
      <c r="C8" s="115"/>
      <c r="D8" s="114">
        <v>0.1</v>
      </c>
      <c r="E8" s="114"/>
    </row>
    <row r="9" spans="2:5" x14ac:dyDescent="0.55000000000000004">
      <c r="B9" s="24" t="s">
        <v>61</v>
      </c>
      <c r="C9" s="55" t="s">
        <v>62</v>
      </c>
      <c r="D9" s="55" t="s">
        <v>63</v>
      </c>
      <c r="E9" s="55" t="s">
        <v>64</v>
      </c>
    </row>
    <row r="10" spans="2:5" x14ac:dyDescent="0.55000000000000004">
      <c r="B10" s="14" t="s">
        <v>53</v>
      </c>
      <c r="C10" s="55">
        <v>3.3999999999999998E-3</v>
      </c>
      <c r="D10" s="55">
        <v>3.3999999999999998E-3</v>
      </c>
      <c r="E10" s="55">
        <v>3.3999999999999998E-3</v>
      </c>
    </row>
    <row r="11" spans="2:5" x14ac:dyDescent="0.55000000000000004">
      <c r="B11" s="14" t="s">
        <v>54</v>
      </c>
      <c r="C11" s="55">
        <v>5.11E-3</v>
      </c>
      <c r="D11" s="55">
        <v>5.11E-3</v>
      </c>
      <c r="E11" s="55">
        <v>5.11E-3</v>
      </c>
    </row>
    <row r="12" spans="2:5" x14ac:dyDescent="0.55000000000000004">
      <c r="B12" s="14" t="s">
        <v>55</v>
      </c>
      <c r="C12" s="55">
        <v>2.0000000000000001E-4</v>
      </c>
      <c r="D12" s="55">
        <v>2.0000000000000001E-4</v>
      </c>
      <c r="E12" s="55">
        <v>2.0000000000000001E-4</v>
      </c>
    </row>
    <row r="13" spans="2:5" x14ac:dyDescent="0.55000000000000004">
      <c r="B13" s="14" t="s">
        <v>56</v>
      </c>
      <c r="C13" s="55">
        <v>4.9300000000000004E-3</v>
      </c>
      <c r="D13" s="55">
        <v>4.9300000000000004E-3</v>
      </c>
      <c r="E13" s="55">
        <v>4.9300000000000004E-3</v>
      </c>
    </row>
    <row r="14" spans="2:5" x14ac:dyDescent="0.55000000000000004">
      <c r="B14" s="14" t="s">
        <v>57</v>
      </c>
      <c r="C14" s="55">
        <v>1E-3</v>
      </c>
      <c r="D14" s="55">
        <v>1E-3</v>
      </c>
      <c r="E14" s="55">
        <v>1E-3</v>
      </c>
    </row>
    <row r="15" spans="2:5" x14ac:dyDescent="0.55000000000000004">
      <c r="B15" s="14" t="s">
        <v>58</v>
      </c>
      <c r="C15" s="55">
        <v>1.2359999999999999E-2</v>
      </c>
      <c r="D15" s="55">
        <v>1.545E-2</v>
      </c>
      <c r="E15" s="55">
        <v>1.8540000000000001E-2</v>
      </c>
    </row>
    <row r="16" spans="2:5" x14ac:dyDescent="0.55000000000000004">
      <c r="B16" s="15" t="s">
        <v>59</v>
      </c>
      <c r="C16" s="56">
        <v>2.699E-2</v>
      </c>
      <c r="D16" s="56">
        <v>3.0079999999999999E-2</v>
      </c>
      <c r="E16" s="56">
        <v>3.3169999999999998E-2</v>
      </c>
    </row>
    <row r="19" spans="2:5" x14ac:dyDescent="0.55000000000000004">
      <c r="B19" s="24" t="s">
        <v>61</v>
      </c>
      <c r="C19" s="21" t="s">
        <v>62</v>
      </c>
      <c r="D19" s="21" t="s">
        <v>63</v>
      </c>
      <c r="E19" s="21" t="s">
        <v>64</v>
      </c>
    </row>
    <row r="20" spans="2:5" x14ac:dyDescent="0.55000000000000004">
      <c r="B20" s="14" t="s">
        <v>53</v>
      </c>
      <c r="C20" s="55">
        <v>3.3999999999999998E-3</v>
      </c>
      <c r="D20" s="55">
        <v>3.3999999999999998E-3</v>
      </c>
      <c r="E20" s="55">
        <v>3.3999999999999998E-3</v>
      </c>
    </row>
    <row r="21" spans="2:5" x14ac:dyDescent="0.55000000000000004">
      <c r="B21" s="14" t="s">
        <v>54</v>
      </c>
      <c r="C21" s="55">
        <v>5.11E-3</v>
      </c>
      <c r="D21" s="55">
        <v>5.11E-3</v>
      </c>
      <c r="E21" s="55">
        <v>5.11E-3</v>
      </c>
    </row>
    <row r="22" spans="2:5" x14ac:dyDescent="0.55000000000000004">
      <c r="B22" s="14" t="s">
        <v>55</v>
      </c>
      <c r="C22" s="55">
        <v>2.0000000000000001E-4</v>
      </c>
      <c r="D22" s="55">
        <v>2.0000000000000001E-4</v>
      </c>
      <c r="E22" s="55">
        <v>2.0000000000000001E-4</v>
      </c>
    </row>
    <row r="23" spans="2:5" x14ac:dyDescent="0.55000000000000004">
      <c r="B23" s="14" t="s">
        <v>56</v>
      </c>
      <c r="C23" s="55">
        <v>4.9300000000000004E-3</v>
      </c>
      <c r="D23" s="55">
        <v>4.9300000000000004E-3</v>
      </c>
      <c r="E23" s="55">
        <v>4.9300000000000004E-3</v>
      </c>
    </row>
    <row r="24" spans="2:5" x14ac:dyDescent="0.55000000000000004">
      <c r="B24" s="14" t="s">
        <v>57</v>
      </c>
      <c r="C24" s="55">
        <v>1E-3</v>
      </c>
      <c r="D24" s="55">
        <v>1E-3</v>
      </c>
      <c r="E24" s="55">
        <v>1E-3</v>
      </c>
    </row>
    <row r="25" spans="2:5" x14ac:dyDescent="0.55000000000000004">
      <c r="B25" s="14" t="s">
        <v>58</v>
      </c>
      <c r="C25" s="55">
        <v>2.3976088504544867E-2</v>
      </c>
      <c r="D25" s="55">
        <v>2.9265411384089741E-2</v>
      </c>
      <c r="E25" s="55">
        <v>3.4554734263634597E-2</v>
      </c>
    </row>
    <row r="26" spans="2:5" x14ac:dyDescent="0.55000000000000004">
      <c r="B26" s="15" t="s">
        <v>104</v>
      </c>
      <c r="C26" s="56">
        <v>2.699E-2</v>
      </c>
      <c r="D26" s="56">
        <v>3.0079999999999999E-2</v>
      </c>
      <c r="E26" s="56">
        <v>3.3169999999999998E-2</v>
      </c>
    </row>
    <row r="27" spans="2:5" x14ac:dyDescent="0.55000000000000004">
      <c r="B27" s="57" t="s">
        <v>103</v>
      </c>
      <c r="C27" s="56">
        <f>SUM(C20:C25)</f>
        <v>3.8616088504544871E-2</v>
      </c>
      <c r="D27" s="56">
        <f t="shared" ref="D27:E27" si="0">SUM(D20:D25)</f>
        <v>4.3905411384089738E-2</v>
      </c>
      <c r="E27" s="56">
        <f t="shared" si="0"/>
        <v>4.9194734263634597E-2</v>
      </c>
    </row>
    <row r="28" spans="2:5" x14ac:dyDescent="0.55000000000000004">
      <c r="B28" s="57" t="s">
        <v>88</v>
      </c>
      <c r="C28" s="56">
        <f>C27-C26</f>
        <v>1.1626088504544871E-2</v>
      </c>
      <c r="D28" s="56">
        <f t="shared" ref="D28:E28" si="1">D27-D26</f>
        <v>1.3825411384089738E-2</v>
      </c>
      <c r="E28" s="56">
        <f t="shared" si="1"/>
        <v>1.6024734263634599E-2</v>
      </c>
    </row>
    <row r="36" spans="3:7" ht="14.4" customHeight="1" x14ac:dyDescent="0.55000000000000004">
      <c r="C36" s="112" t="s">
        <v>22</v>
      </c>
      <c r="D36" s="112" t="s">
        <v>24</v>
      </c>
      <c r="F36" s="112" t="s">
        <v>22</v>
      </c>
      <c r="G36" s="112" t="s">
        <v>23</v>
      </c>
    </row>
    <row r="37" spans="3:7" x14ac:dyDescent="0.55000000000000004">
      <c r="C37" s="112"/>
      <c r="D37" s="112"/>
      <c r="F37" s="112"/>
      <c r="G37" s="112"/>
    </row>
    <row r="38" spans="3:7" x14ac:dyDescent="0.55000000000000004">
      <c r="C38">
        <v>3</v>
      </c>
      <c r="D38" s="11">
        <v>3495000</v>
      </c>
      <c r="E38" s="11"/>
      <c r="F38">
        <v>3</v>
      </c>
      <c r="G38" s="11">
        <v>23800000</v>
      </c>
    </row>
    <row r="39" spans="3:7" x14ac:dyDescent="0.55000000000000004">
      <c r="C39">
        <v>5</v>
      </c>
      <c r="D39" s="11">
        <v>4606000</v>
      </c>
      <c r="E39" s="11"/>
      <c r="F39">
        <v>5</v>
      </c>
      <c r="G39" s="11">
        <v>32341176</v>
      </c>
    </row>
    <row r="40" spans="3:7" x14ac:dyDescent="0.55000000000000004">
      <c r="C40">
        <v>7</v>
      </c>
      <c r="D40" s="11">
        <v>5548000</v>
      </c>
      <c r="F40">
        <v>7</v>
      </c>
      <c r="G40" s="11">
        <v>39576470</v>
      </c>
    </row>
    <row r="41" spans="3:7" x14ac:dyDescent="0.55000000000000004">
      <c r="C41">
        <v>9</v>
      </c>
      <c r="D41" s="11">
        <v>6602666.6666666698</v>
      </c>
      <c r="F41">
        <v>9</v>
      </c>
      <c r="G41" s="11">
        <v>47682352</v>
      </c>
    </row>
    <row r="42" spans="3:7" x14ac:dyDescent="0.55000000000000004">
      <c r="C42">
        <v>11</v>
      </c>
      <c r="D42" s="11">
        <v>7629166.6666666698</v>
      </c>
      <c r="F42">
        <v>11</v>
      </c>
      <c r="G42" s="11">
        <v>55570587</v>
      </c>
    </row>
    <row r="43" spans="3:7" x14ac:dyDescent="0.55000000000000004">
      <c r="C43">
        <v>13</v>
      </c>
      <c r="D43" s="11">
        <v>8655666.6666666698</v>
      </c>
      <c r="F43">
        <v>13</v>
      </c>
      <c r="G43" s="11">
        <v>63458822</v>
      </c>
    </row>
    <row r="44" spans="3:7" x14ac:dyDescent="0.55000000000000004">
      <c r="C44">
        <v>15</v>
      </c>
      <c r="D44" s="11">
        <v>9682166.6666666698</v>
      </c>
      <c r="F44">
        <v>15</v>
      </c>
      <c r="G44" s="11">
        <v>71347057</v>
      </c>
    </row>
    <row r="45" spans="3:7" x14ac:dyDescent="0.55000000000000004">
      <c r="C45">
        <v>17</v>
      </c>
      <c r="D45" s="11">
        <v>10708666.6666667</v>
      </c>
      <c r="F45">
        <v>17</v>
      </c>
      <c r="G45" s="11">
        <v>79235292</v>
      </c>
    </row>
    <row r="46" spans="3:7" x14ac:dyDescent="0.55000000000000004">
      <c r="C46">
        <v>19</v>
      </c>
      <c r="D46" s="11">
        <v>11735166.6666667</v>
      </c>
      <c r="F46">
        <v>19</v>
      </c>
      <c r="G46" s="11">
        <v>87123527</v>
      </c>
    </row>
    <row r="47" spans="3:7" x14ac:dyDescent="0.55000000000000004">
      <c r="C47">
        <v>21</v>
      </c>
      <c r="D47" s="11">
        <v>12761666.6666667</v>
      </c>
      <c r="F47">
        <v>21</v>
      </c>
      <c r="G47" s="11">
        <v>95011762</v>
      </c>
    </row>
    <row r="48" spans="3:7" x14ac:dyDescent="0.55000000000000004">
      <c r="C48">
        <v>23</v>
      </c>
      <c r="D48" s="11">
        <v>13788166.6666667</v>
      </c>
      <c r="F48">
        <v>23</v>
      </c>
      <c r="G48" s="11">
        <v>102899997</v>
      </c>
    </row>
    <row r="49" spans="2:22" x14ac:dyDescent="0.55000000000000004">
      <c r="C49">
        <v>25</v>
      </c>
      <c r="D49" s="11">
        <v>14814666.6666667</v>
      </c>
      <c r="F49">
        <v>25</v>
      </c>
      <c r="G49" s="11">
        <v>110788232</v>
      </c>
    </row>
    <row r="50" spans="2:22" x14ac:dyDescent="0.55000000000000004">
      <c r="C50">
        <v>27</v>
      </c>
      <c r="D50" s="11">
        <v>15841166.6666667</v>
      </c>
      <c r="F50">
        <v>27</v>
      </c>
      <c r="G50" s="11">
        <v>118676467</v>
      </c>
    </row>
    <row r="51" spans="2:22" x14ac:dyDescent="0.55000000000000004">
      <c r="C51">
        <v>29</v>
      </c>
      <c r="D51" s="11">
        <v>16867666.666666798</v>
      </c>
      <c r="F51">
        <v>29</v>
      </c>
      <c r="G51" s="11">
        <v>126564702</v>
      </c>
    </row>
    <row r="52" spans="2:22" x14ac:dyDescent="0.55000000000000004">
      <c r="C52">
        <v>31</v>
      </c>
      <c r="D52" s="11">
        <v>17894166.666666798</v>
      </c>
      <c r="F52">
        <v>31</v>
      </c>
      <c r="G52" s="11">
        <v>134452937</v>
      </c>
    </row>
    <row r="53" spans="2:22" x14ac:dyDescent="0.55000000000000004">
      <c r="B53" s="1" t="s">
        <v>0</v>
      </c>
      <c r="C53">
        <v>33</v>
      </c>
      <c r="D53" s="11">
        <v>18920666.666666798</v>
      </c>
      <c r="F53">
        <v>33</v>
      </c>
      <c r="G53" s="11">
        <v>142341172</v>
      </c>
    </row>
    <row r="54" spans="2:22" x14ac:dyDescent="0.55000000000000004">
      <c r="B54" s="1" t="s">
        <v>4</v>
      </c>
      <c r="C54">
        <v>35</v>
      </c>
      <c r="D54" s="11">
        <v>19947166.666666798</v>
      </c>
      <c r="F54">
        <v>35</v>
      </c>
      <c r="G54" s="11">
        <v>150229407</v>
      </c>
    </row>
    <row r="55" spans="2:22" x14ac:dyDescent="0.55000000000000004">
      <c r="B55" s="1" t="s">
        <v>1</v>
      </c>
      <c r="C55">
        <v>37</v>
      </c>
      <c r="D55" s="11">
        <v>20973666.666666798</v>
      </c>
      <c r="F55">
        <v>37</v>
      </c>
      <c r="G55" s="11">
        <v>158117642</v>
      </c>
    </row>
    <row r="56" spans="2:22" x14ac:dyDescent="0.55000000000000004">
      <c r="C56">
        <v>39</v>
      </c>
      <c r="D56" s="11">
        <v>22000166.666666798</v>
      </c>
      <c r="F56">
        <v>39</v>
      </c>
      <c r="G56" s="11">
        <v>166005877</v>
      </c>
    </row>
    <row r="57" spans="2:22" x14ac:dyDescent="0.55000000000000004">
      <c r="C57">
        <v>41</v>
      </c>
      <c r="D57" s="11">
        <v>23026666.666666798</v>
      </c>
      <c r="F57">
        <v>41</v>
      </c>
      <c r="G57" s="11">
        <v>173894112</v>
      </c>
    </row>
    <row r="58" spans="2:22" x14ac:dyDescent="0.55000000000000004">
      <c r="C58">
        <v>43</v>
      </c>
      <c r="D58" s="11">
        <v>24053166.666666798</v>
      </c>
      <c r="F58">
        <v>43</v>
      </c>
      <c r="G58" s="11">
        <v>181782347</v>
      </c>
      <c r="S58" s="14" t="s">
        <v>58</v>
      </c>
      <c r="T58" s="55" t="s">
        <v>75</v>
      </c>
      <c r="U58" s="55" t="s">
        <v>47</v>
      </c>
      <c r="V58" s="55" t="s">
        <v>84</v>
      </c>
    </row>
    <row r="59" spans="2:22" x14ac:dyDescent="0.55000000000000004">
      <c r="C59">
        <v>45</v>
      </c>
      <c r="D59" s="11">
        <v>25079666.666666798</v>
      </c>
      <c r="F59">
        <v>45</v>
      </c>
      <c r="G59" s="11">
        <v>189670582</v>
      </c>
      <c r="S59" s="88" t="s">
        <v>104</v>
      </c>
      <c r="T59" s="56">
        <v>2.699E-2</v>
      </c>
      <c r="U59" s="56">
        <v>3.0079999999999999E-2</v>
      </c>
      <c r="V59" s="56">
        <v>3.3169999999999998E-2</v>
      </c>
    </row>
    <row r="60" spans="2:22" x14ac:dyDescent="0.55000000000000004">
      <c r="C60">
        <v>47</v>
      </c>
      <c r="D60" s="11">
        <v>26106166.666666798</v>
      </c>
      <c r="F60">
        <v>47</v>
      </c>
      <c r="G60" s="11">
        <v>197558817</v>
      </c>
      <c r="S60" s="57" t="s">
        <v>103</v>
      </c>
      <c r="T60" s="56">
        <v>3.8616088504544871E-2</v>
      </c>
      <c r="U60" s="56">
        <v>4.3905411384089738E-2</v>
      </c>
      <c r="V60" s="56">
        <v>4.9194734263634597E-2</v>
      </c>
    </row>
    <row r="61" spans="2:22" x14ac:dyDescent="0.55000000000000004">
      <c r="C61">
        <v>49</v>
      </c>
      <c r="D61" s="11">
        <v>27132666.666666798</v>
      </c>
      <c r="F61">
        <v>49</v>
      </c>
      <c r="G61" s="11">
        <v>205447052</v>
      </c>
      <c r="S61" s="57" t="s">
        <v>88</v>
      </c>
      <c r="T61" s="56">
        <v>1.1626088504544871E-2</v>
      </c>
      <c r="U61" s="56">
        <v>1.3825411384089738E-2</v>
      </c>
      <c r="V61" s="56">
        <v>1.6024734263634599E-2</v>
      </c>
    </row>
    <row r="82" spans="2:5" x14ac:dyDescent="0.55000000000000004">
      <c r="B82" s="24" t="s">
        <v>61</v>
      </c>
      <c r="C82" s="21" t="s">
        <v>62</v>
      </c>
      <c r="D82" s="21" t="s">
        <v>63</v>
      </c>
      <c r="E82" s="21" t="s">
        <v>64</v>
      </c>
    </row>
    <row r="83" spans="2:5" x14ac:dyDescent="0.55000000000000004">
      <c r="B83" s="14" t="s">
        <v>53</v>
      </c>
      <c r="C83" s="55">
        <v>3.3999999999999998E-3</v>
      </c>
      <c r="D83" s="55">
        <v>3.3999999999999998E-3</v>
      </c>
      <c r="E83" s="55">
        <v>3.3999999999999998E-3</v>
      </c>
    </row>
    <row r="84" spans="2:5" x14ac:dyDescent="0.55000000000000004">
      <c r="B84" s="14" t="s">
        <v>54</v>
      </c>
      <c r="C84" s="55">
        <v>5.11E-3</v>
      </c>
      <c r="D84" s="55">
        <v>5.11E-3</v>
      </c>
      <c r="E84" s="55">
        <v>5.11E-3</v>
      </c>
    </row>
    <row r="85" spans="2:5" x14ac:dyDescent="0.55000000000000004">
      <c r="B85" s="14" t="s">
        <v>55</v>
      </c>
      <c r="C85" s="55">
        <v>2.0000000000000001E-4</v>
      </c>
      <c r="D85" s="55">
        <v>2.0000000000000001E-4</v>
      </c>
      <c r="E85" s="55">
        <v>2.0000000000000001E-4</v>
      </c>
    </row>
    <row r="86" spans="2:5" x14ac:dyDescent="0.55000000000000004">
      <c r="B86" s="14" t="s">
        <v>56</v>
      </c>
      <c r="C86" s="55">
        <v>4.9300000000000004E-3</v>
      </c>
      <c r="D86" s="55">
        <v>4.9300000000000004E-3</v>
      </c>
      <c r="E86" s="55">
        <v>4.9300000000000004E-3</v>
      </c>
    </row>
    <row r="87" spans="2:5" x14ac:dyDescent="0.55000000000000004">
      <c r="B87" s="14" t="s">
        <v>57</v>
      </c>
      <c r="C87" s="55">
        <v>1E-3</v>
      </c>
      <c r="D87" s="55">
        <v>1E-3</v>
      </c>
      <c r="E87" s="55">
        <v>1E-3</v>
      </c>
    </row>
    <row r="88" spans="2:5" x14ac:dyDescent="0.55000000000000004">
      <c r="B88" s="14" t="s">
        <v>58</v>
      </c>
      <c r="C88" s="55">
        <v>2.3976088504544867E-2</v>
      </c>
      <c r="D88" s="55">
        <v>2.9265411384089741E-2</v>
      </c>
      <c r="E88" s="55">
        <v>3.4554734263634597E-2</v>
      </c>
    </row>
    <row r="89" spans="2:5" x14ac:dyDescent="0.55000000000000004">
      <c r="B89" s="15" t="s">
        <v>104</v>
      </c>
      <c r="C89" s="56">
        <v>2.699E-2</v>
      </c>
      <c r="D89" s="56">
        <v>3.0079999999999999E-2</v>
      </c>
      <c r="E89" s="56">
        <v>3.3169999999999998E-2</v>
      </c>
    </row>
    <row r="90" spans="2:5" x14ac:dyDescent="0.55000000000000004">
      <c r="B90" s="57" t="s">
        <v>103</v>
      </c>
      <c r="C90" s="56">
        <f>SUM(C83:C88)</f>
        <v>3.8616088504544871E-2</v>
      </c>
      <c r="D90" s="56">
        <f>SUM(D83:D88)</f>
        <v>4.3905411384089738E-2</v>
      </c>
      <c r="E90" s="56">
        <f>SUM(E83:E88)</f>
        <v>4.9194734263634597E-2</v>
      </c>
    </row>
    <row r="91" spans="2:5" x14ac:dyDescent="0.55000000000000004">
      <c r="B91" s="57" t="s">
        <v>88</v>
      </c>
      <c r="C91" s="56">
        <f>C90-C89</f>
        <v>1.1626088504544871E-2</v>
      </c>
      <c r="D91" s="56">
        <f t="shared" ref="D91" si="2">D90-D89</f>
        <v>1.3825411384089738E-2</v>
      </c>
      <c r="E91" s="56">
        <f t="shared" ref="E91" si="3">E90-E89</f>
        <v>1.6024734263634599E-2</v>
      </c>
    </row>
    <row r="95" spans="2:5" x14ac:dyDescent="0.55000000000000004">
      <c r="B95" s="15" t="s">
        <v>61</v>
      </c>
      <c r="C95" s="15" t="s">
        <v>62</v>
      </c>
      <c r="D95" s="15" t="s">
        <v>63</v>
      </c>
      <c r="E95" s="15" t="s">
        <v>64</v>
      </c>
    </row>
    <row r="96" spans="2:5" x14ac:dyDescent="0.55000000000000004">
      <c r="B96" s="15" t="s">
        <v>104</v>
      </c>
      <c r="C96" s="81">
        <v>2.699E-2</v>
      </c>
      <c r="D96" s="81">
        <v>3.0079999999999999E-2</v>
      </c>
      <c r="E96" s="81">
        <v>3.3169999999999998E-2</v>
      </c>
    </row>
    <row r="97" spans="2:5" x14ac:dyDescent="0.55000000000000004">
      <c r="B97" s="57" t="s">
        <v>103</v>
      </c>
      <c r="C97" s="81">
        <f>SUM(C90:C95)</f>
        <v>5.0242177009089742E-2</v>
      </c>
      <c r="D97" s="81">
        <f>SUM(D90:D95)</f>
        <v>5.7730822768179479E-2</v>
      </c>
      <c r="E97" s="81">
        <f>SUM(E90:E95)</f>
        <v>6.5219468527269203E-2</v>
      </c>
    </row>
    <row r="98" spans="2:5" x14ac:dyDescent="0.55000000000000004">
      <c r="B98" s="57" t="s">
        <v>88</v>
      </c>
      <c r="C98" s="81">
        <f>C97-C96</f>
        <v>2.3252177009089742E-2</v>
      </c>
      <c r="D98" s="81">
        <f t="shared" ref="D98" si="4">D97-D96</f>
        <v>2.765082276817948E-2</v>
      </c>
      <c r="E98" s="81">
        <f t="shared" ref="E98" si="5">E97-E96</f>
        <v>3.2049468527269205E-2</v>
      </c>
    </row>
  </sheetData>
  <mergeCells count="14">
    <mergeCell ref="B4:C4"/>
    <mergeCell ref="D4:E4"/>
    <mergeCell ref="B5:C5"/>
    <mergeCell ref="D5:E5"/>
    <mergeCell ref="B6:C6"/>
    <mergeCell ref="D6:E6"/>
    <mergeCell ref="F36:F37"/>
    <mergeCell ref="G36:G37"/>
    <mergeCell ref="B7:C7"/>
    <mergeCell ref="D7:E7"/>
    <mergeCell ref="B8:C8"/>
    <mergeCell ref="D8:E8"/>
    <mergeCell ref="C36:C37"/>
    <mergeCell ref="D36:D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BB951-02DB-43EA-8AA8-91820199BBCF}">
  <dimension ref="B4:I31"/>
  <sheetViews>
    <sheetView zoomScale="85" zoomScaleNormal="85" workbookViewId="0">
      <selection activeCell="I50" sqref="I50"/>
    </sheetView>
  </sheetViews>
  <sheetFormatPr defaultRowHeight="14.4" x14ac:dyDescent="0.55000000000000004"/>
  <cols>
    <col min="2" max="2" width="19.15625" bestFit="1" customWidth="1"/>
    <col min="3" max="5" width="16.20703125" bestFit="1" customWidth="1"/>
    <col min="8" max="8" width="18.20703125" bestFit="1" customWidth="1"/>
    <col min="9" max="9" width="16.20703125" bestFit="1" customWidth="1"/>
  </cols>
  <sheetData>
    <row r="4" spans="2:9" x14ac:dyDescent="0.55000000000000004">
      <c r="B4" s="17"/>
      <c r="C4" s="15" t="s">
        <v>75</v>
      </c>
      <c r="D4" s="15" t="s">
        <v>47</v>
      </c>
      <c r="E4" s="15" t="s">
        <v>84</v>
      </c>
      <c r="H4" s="17"/>
      <c r="I4" s="15" t="s">
        <v>47</v>
      </c>
    </row>
    <row r="5" spans="2:9" x14ac:dyDescent="0.55000000000000004">
      <c r="B5" s="15" t="s">
        <v>51</v>
      </c>
      <c r="C5" s="18">
        <v>800000000</v>
      </c>
      <c r="D5" s="13">
        <v>1000000000</v>
      </c>
      <c r="E5" s="13">
        <v>1200000000</v>
      </c>
      <c r="H5" s="15" t="s">
        <v>34</v>
      </c>
      <c r="I5" s="13">
        <v>1150229407</v>
      </c>
    </row>
    <row r="6" spans="2:9" x14ac:dyDescent="0.55000000000000004">
      <c r="B6" s="16" t="s">
        <v>3</v>
      </c>
      <c r="C6" s="13">
        <v>142341172</v>
      </c>
      <c r="D6" s="13">
        <v>150229407</v>
      </c>
      <c r="E6" s="13">
        <v>158117642</v>
      </c>
      <c r="H6" s="15" t="s">
        <v>94</v>
      </c>
      <c r="I6" s="13">
        <v>2307869265.3200002</v>
      </c>
    </row>
    <row r="7" spans="2:9" x14ac:dyDescent="0.55000000000000004">
      <c r="B7" s="15" t="s">
        <v>34</v>
      </c>
      <c r="C7" s="13">
        <f>SUM(C5:C6)</f>
        <v>942341172</v>
      </c>
      <c r="D7" s="13">
        <f t="shared" ref="D7:E7" si="0">SUM(D5:D6)</f>
        <v>1150229407</v>
      </c>
      <c r="E7" s="13">
        <f t="shared" si="0"/>
        <v>1358117642</v>
      </c>
      <c r="H7" s="57" t="s">
        <v>92</v>
      </c>
      <c r="I7" s="58">
        <v>2538656191.8499999</v>
      </c>
    </row>
    <row r="8" spans="2:9" x14ac:dyDescent="0.55000000000000004">
      <c r="B8" s="15" t="s">
        <v>94</v>
      </c>
      <c r="C8" s="13">
        <v>1890753457.5799999</v>
      </c>
      <c r="D8" s="13">
        <v>2307869265.3200002</v>
      </c>
      <c r="E8" s="13">
        <v>2724985073.0500002</v>
      </c>
      <c r="H8" s="57" t="s">
        <v>93</v>
      </c>
      <c r="I8" s="58">
        <v>3461803897.9699998</v>
      </c>
    </row>
    <row r="9" spans="2:9" x14ac:dyDescent="0.55000000000000004">
      <c r="B9" s="57" t="s">
        <v>110</v>
      </c>
      <c r="C9" s="58">
        <v>2079828803.3399999</v>
      </c>
      <c r="D9" s="58">
        <v>2538656191.8499999</v>
      </c>
      <c r="E9" s="58">
        <v>2997483580.3499999</v>
      </c>
    </row>
    <row r="10" spans="2:9" x14ac:dyDescent="0.55000000000000004">
      <c r="B10" s="57" t="s">
        <v>111</v>
      </c>
      <c r="C10" s="58">
        <v>2836130186.3800001</v>
      </c>
      <c r="D10" s="58">
        <v>3461803897.9699998</v>
      </c>
      <c r="E10" s="58">
        <v>4087477609.5700002</v>
      </c>
    </row>
    <row r="23" spans="2:5" x14ac:dyDescent="0.55000000000000004">
      <c r="B23" s="17"/>
      <c r="C23" s="15" t="s">
        <v>75</v>
      </c>
      <c r="D23" s="15" t="s">
        <v>47</v>
      </c>
      <c r="E23" s="15" t="s">
        <v>84</v>
      </c>
    </row>
    <row r="24" spans="2:5" x14ac:dyDescent="0.55000000000000004">
      <c r="B24" s="15" t="s">
        <v>51</v>
      </c>
      <c r="C24" s="18">
        <v>800000000</v>
      </c>
      <c r="D24" s="13">
        <v>1000000000</v>
      </c>
      <c r="E24" s="13">
        <v>1200000000</v>
      </c>
    </row>
    <row r="25" spans="2:5" x14ac:dyDescent="0.55000000000000004">
      <c r="B25" s="16" t="s">
        <v>3</v>
      </c>
      <c r="C25" s="13">
        <v>142341172</v>
      </c>
      <c r="D25" s="13">
        <v>150229407</v>
      </c>
      <c r="E25" s="13">
        <v>158117642</v>
      </c>
    </row>
    <row r="26" spans="2:5" x14ac:dyDescent="0.55000000000000004">
      <c r="B26" s="15" t="s">
        <v>34</v>
      </c>
      <c r="C26" s="13">
        <f>SUM(C24:C25)</f>
        <v>942341172</v>
      </c>
      <c r="D26" s="13">
        <f t="shared" ref="D26:E26" si="1">SUM(D24:D25)</f>
        <v>1150229407</v>
      </c>
      <c r="E26" s="13">
        <f t="shared" si="1"/>
        <v>1358117642</v>
      </c>
    </row>
    <row r="27" spans="2:5" x14ac:dyDescent="0.55000000000000004">
      <c r="B27" s="15" t="s">
        <v>89</v>
      </c>
      <c r="C27" s="13">
        <f>(C26*0.1)+C26</f>
        <v>1036575289.2</v>
      </c>
      <c r="D27" s="13">
        <f t="shared" ref="D27" si="2">(D26*0.1)+D26</f>
        <v>1265252347.7</v>
      </c>
      <c r="E27" s="13">
        <f t="shared" ref="E27" si="3">(E26*0.1)+E26</f>
        <v>1493929406.2</v>
      </c>
    </row>
    <row r="28" spans="2:5" x14ac:dyDescent="0.55000000000000004">
      <c r="B28" s="15" t="s">
        <v>90</v>
      </c>
      <c r="C28" s="13">
        <f>(C26*0.5)+C26</f>
        <v>1413511758</v>
      </c>
      <c r="D28" s="13">
        <f t="shared" ref="D28:E28" si="4">(D26*0.5)+D26</f>
        <v>1725344110.5</v>
      </c>
      <c r="E28" s="13">
        <f t="shared" si="4"/>
        <v>2037176463</v>
      </c>
    </row>
    <row r="29" spans="2:5" x14ac:dyDescent="0.55000000000000004">
      <c r="B29" s="15" t="s">
        <v>94</v>
      </c>
      <c r="C29" s="13">
        <v>1890753457.5799999</v>
      </c>
      <c r="D29" s="13">
        <v>2307869265.3200002</v>
      </c>
      <c r="E29" s="13">
        <v>2724985073.0500002</v>
      </c>
    </row>
    <row r="30" spans="2:5" x14ac:dyDescent="0.55000000000000004">
      <c r="B30" s="57" t="s">
        <v>92</v>
      </c>
      <c r="C30" s="58">
        <v>2079828803.3399999</v>
      </c>
      <c r="D30" s="58">
        <v>2538656191.8499999</v>
      </c>
      <c r="E30" s="58">
        <v>2997483580.3499999</v>
      </c>
    </row>
    <row r="31" spans="2:5" x14ac:dyDescent="0.55000000000000004">
      <c r="B31" s="57" t="s">
        <v>93</v>
      </c>
      <c r="C31" s="58">
        <v>2836130186.3800001</v>
      </c>
      <c r="D31" s="58">
        <v>3461803897.9699998</v>
      </c>
      <c r="E31" s="58">
        <v>4087477609.5700002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20C39-441D-4272-90B4-17AEBCEDB16E}">
  <dimension ref="B2:F62"/>
  <sheetViews>
    <sheetView topLeftCell="A34" zoomScale="70" zoomScaleNormal="70" workbookViewId="0">
      <selection activeCell="C61" sqref="C61"/>
    </sheetView>
  </sheetViews>
  <sheetFormatPr defaultRowHeight="14.4" x14ac:dyDescent="0.55000000000000004"/>
  <cols>
    <col min="2" max="2" width="19.68359375" customWidth="1"/>
    <col min="3" max="3" width="9.41796875" customWidth="1"/>
    <col min="4" max="5" width="12.47265625" customWidth="1"/>
    <col min="6" max="6" width="12.9453125" customWidth="1"/>
  </cols>
  <sheetData>
    <row r="2" spans="2:6" x14ac:dyDescent="0.55000000000000004">
      <c r="B2" s="15" t="s">
        <v>113</v>
      </c>
      <c r="C2" s="15" t="s">
        <v>102</v>
      </c>
      <c r="D2" s="15" t="s">
        <v>75</v>
      </c>
      <c r="E2" s="15" t="s">
        <v>47</v>
      </c>
      <c r="F2" s="15" t="s">
        <v>84</v>
      </c>
    </row>
    <row r="3" spans="2:6" x14ac:dyDescent="0.55000000000000004">
      <c r="B3" s="15" t="s">
        <v>108</v>
      </c>
      <c r="C3" s="21" t="s">
        <v>112</v>
      </c>
      <c r="D3" s="55">
        <v>2.699E-2</v>
      </c>
      <c r="E3" s="55">
        <v>3.0079999999999999E-2</v>
      </c>
      <c r="F3" s="55">
        <v>3.3169999999999998E-2</v>
      </c>
    </row>
    <row r="4" spans="2:6" x14ac:dyDescent="0.55000000000000004">
      <c r="B4" s="15" t="s">
        <v>117</v>
      </c>
      <c r="C4" s="21" t="s">
        <v>112</v>
      </c>
      <c r="D4" s="55">
        <v>3.8616088504544871E-2</v>
      </c>
      <c r="E4" s="55">
        <v>4.3905411384089738E-2</v>
      </c>
      <c r="F4" s="55">
        <v>4.9194734263634597E-2</v>
      </c>
    </row>
    <row r="5" spans="2:6" x14ac:dyDescent="0.55000000000000004">
      <c r="B5" s="15" t="s">
        <v>116</v>
      </c>
      <c r="C5" s="110" t="s">
        <v>100</v>
      </c>
      <c r="D5" s="55">
        <v>7.4502259999999999E-3</v>
      </c>
      <c r="E5" s="55">
        <v>1.1130482000000001E-2</v>
      </c>
      <c r="F5" s="55">
        <v>1.4810737000000001E-2</v>
      </c>
    </row>
    <row r="6" spans="2:6" x14ac:dyDescent="0.55000000000000004">
      <c r="B6" s="15" t="s">
        <v>114</v>
      </c>
      <c r="C6" s="110"/>
      <c r="D6" s="55">
        <v>8.8914619281769761E-3</v>
      </c>
      <c r="E6" s="55">
        <v>1.2889665663819147E-2</v>
      </c>
      <c r="F6" s="55">
        <v>1.6887869399385094E-2</v>
      </c>
    </row>
    <row r="7" spans="2:6" x14ac:dyDescent="0.55000000000000004">
      <c r="B7" s="15" t="s">
        <v>115</v>
      </c>
      <c r="C7" s="110"/>
      <c r="D7" s="55">
        <v>1.4656404123665404E-2</v>
      </c>
      <c r="E7" s="55">
        <v>1.992640165693324E-2</v>
      </c>
      <c r="F7" s="55">
        <v>2.5196399190277309E-2</v>
      </c>
    </row>
    <row r="8" spans="2:6" x14ac:dyDescent="0.55000000000000004">
      <c r="B8" s="15" t="s">
        <v>116</v>
      </c>
      <c r="C8" s="110" t="s">
        <v>101</v>
      </c>
      <c r="D8" s="55">
        <v>-1.1049239432660937E-2</v>
      </c>
      <c r="E8" s="55">
        <v>-7.3689841464251865E-3</v>
      </c>
      <c r="F8" s="55">
        <v>-3.6887288602656561E-3</v>
      </c>
    </row>
    <row r="9" spans="2:6" x14ac:dyDescent="0.55000000000000004">
      <c r="B9" s="15" t="s">
        <v>114</v>
      </c>
      <c r="C9" s="110"/>
      <c r="D9" s="55">
        <v>-9.6080038837888272E-3</v>
      </c>
      <c r="E9" s="55">
        <v>-5.6098001481466667E-3</v>
      </c>
      <c r="F9" s="55">
        <v>-1.6115964125807195E-3</v>
      </c>
    </row>
    <row r="10" spans="2:6" x14ac:dyDescent="0.55000000000000004">
      <c r="B10" s="15" t="s">
        <v>115</v>
      </c>
      <c r="C10" s="110"/>
      <c r="D10" s="55">
        <v>-3.8430616883004011E-3</v>
      </c>
      <c r="E10" s="55">
        <v>1.4269358449674266E-3</v>
      </c>
      <c r="F10" s="55">
        <v>6.6969333783114954E-3</v>
      </c>
    </row>
    <row r="13" spans="2:6" x14ac:dyDescent="0.55000000000000004">
      <c r="C13" s="15" t="s">
        <v>113</v>
      </c>
    </row>
    <row r="14" spans="2:6" x14ac:dyDescent="0.55000000000000004">
      <c r="C14" s="21" t="s">
        <v>108</v>
      </c>
    </row>
    <row r="15" spans="2:6" x14ac:dyDescent="0.55000000000000004">
      <c r="C15" s="21" t="s">
        <v>109</v>
      </c>
    </row>
    <row r="16" spans="2:6" x14ac:dyDescent="0.55000000000000004">
      <c r="C16" s="23" t="s">
        <v>91</v>
      </c>
    </row>
    <row r="17" spans="2:3" x14ac:dyDescent="0.55000000000000004">
      <c r="C17" s="23" t="s">
        <v>105</v>
      </c>
    </row>
    <row r="18" spans="2:3" x14ac:dyDescent="0.55000000000000004">
      <c r="C18" s="23" t="s">
        <v>106</v>
      </c>
    </row>
    <row r="19" spans="2:3" x14ac:dyDescent="0.55000000000000004">
      <c r="C19" s="21" t="s">
        <v>91</v>
      </c>
    </row>
    <row r="20" spans="2:3" x14ac:dyDescent="0.55000000000000004">
      <c r="C20" s="21" t="s">
        <v>105</v>
      </c>
    </row>
    <row r="21" spans="2:3" x14ac:dyDescent="0.55000000000000004">
      <c r="C21" s="21" t="s">
        <v>106</v>
      </c>
    </row>
    <row r="29" spans="2:3" x14ac:dyDescent="0.55000000000000004">
      <c r="B29" s="15" t="s">
        <v>113</v>
      </c>
      <c r="C29" s="15" t="s">
        <v>47</v>
      </c>
    </row>
    <row r="30" spans="2:3" x14ac:dyDescent="0.55000000000000004">
      <c r="B30" s="15" t="s">
        <v>108</v>
      </c>
      <c r="C30" s="55">
        <v>3.0079999999999999E-2</v>
      </c>
    </row>
    <row r="31" spans="2:3" x14ac:dyDescent="0.55000000000000004">
      <c r="B31" s="15" t="s">
        <v>117</v>
      </c>
      <c r="C31" s="55">
        <v>4.3905411384089738E-2</v>
      </c>
    </row>
    <row r="32" spans="2:3" x14ac:dyDescent="0.55000000000000004">
      <c r="B32" s="15" t="s">
        <v>116</v>
      </c>
      <c r="C32" s="55">
        <v>1.1130482000000001E-2</v>
      </c>
    </row>
    <row r="33" spans="2:5" x14ac:dyDescent="0.55000000000000004">
      <c r="B33" s="15" t="s">
        <v>114</v>
      </c>
      <c r="C33" s="55">
        <v>1.2889665663819147E-2</v>
      </c>
    </row>
    <row r="34" spans="2:5" x14ac:dyDescent="0.55000000000000004">
      <c r="B34" s="15" t="s">
        <v>115</v>
      </c>
      <c r="C34" s="55">
        <v>1.992640165693324E-2</v>
      </c>
    </row>
    <row r="35" spans="2:5" x14ac:dyDescent="0.55000000000000004">
      <c r="B35" s="15" t="s">
        <v>116</v>
      </c>
      <c r="C35" s="55">
        <v>-7.3689841464251865E-3</v>
      </c>
    </row>
    <row r="36" spans="2:5" x14ac:dyDescent="0.55000000000000004">
      <c r="B36" s="15" t="s">
        <v>114</v>
      </c>
      <c r="C36" s="55">
        <v>-5.6098001481466667E-3</v>
      </c>
    </row>
    <row r="37" spans="2:5" x14ac:dyDescent="0.55000000000000004">
      <c r="B37" s="15" t="s">
        <v>115</v>
      </c>
      <c r="C37" s="55">
        <v>1.4269358449674266E-3</v>
      </c>
    </row>
    <row r="42" spans="2:5" x14ac:dyDescent="0.55000000000000004">
      <c r="B42" s="15" t="s">
        <v>113</v>
      </c>
      <c r="C42" s="15" t="s">
        <v>75</v>
      </c>
      <c r="D42" s="15" t="s">
        <v>47</v>
      </c>
      <c r="E42" s="15" t="s">
        <v>84</v>
      </c>
    </row>
    <row r="43" spans="2:5" x14ac:dyDescent="0.55000000000000004">
      <c r="B43" s="15" t="s">
        <v>108</v>
      </c>
      <c r="C43" s="55">
        <v>2.699E-2</v>
      </c>
      <c r="D43" s="55">
        <v>3.0079999999999999E-2</v>
      </c>
      <c r="E43" s="55">
        <v>3.3169999999999998E-2</v>
      </c>
    </row>
    <row r="44" spans="2:5" x14ac:dyDescent="0.55000000000000004">
      <c r="B44" s="15" t="s">
        <v>117</v>
      </c>
      <c r="C44" s="55">
        <v>3.8616088504544871E-2</v>
      </c>
      <c r="D44" s="55">
        <v>4.3905411384089738E-2</v>
      </c>
      <c r="E44" s="55">
        <v>4.9194734263634597E-2</v>
      </c>
    </row>
    <row r="45" spans="2:5" x14ac:dyDescent="0.55000000000000004">
      <c r="B45" s="15" t="s">
        <v>115</v>
      </c>
      <c r="C45" s="55">
        <v>1.4656404123665404E-2</v>
      </c>
      <c r="D45" s="55">
        <v>1.992640165693324E-2</v>
      </c>
      <c r="E45" s="55">
        <v>2.5196399190277309E-2</v>
      </c>
    </row>
    <row r="46" spans="2:5" x14ac:dyDescent="0.55000000000000004">
      <c r="B46" s="15" t="s">
        <v>114</v>
      </c>
      <c r="C46" s="55">
        <v>-9.6080038837888272E-3</v>
      </c>
      <c r="D46" s="55">
        <v>-5.6098001481466667E-3</v>
      </c>
      <c r="E46" s="55">
        <v>-1.6115964125807195E-3</v>
      </c>
    </row>
    <row r="50" spans="2:4" x14ac:dyDescent="0.55000000000000004">
      <c r="B50" s="15" t="s">
        <v>113</v>
      </c>
      <c r="C50" s="15" t="s">
        <v>47</v>
      </c>
      <c r="D50" t="s">
        <v>21</v>
      </c>
    </row>
    <row r="51" spans="2:4" x14ac:dyDescent="0.55000000000000004">
      <c r="B51" s="15" t="s">
        <v>108</v>
      </c>
      <c r="C51" s="55">
        <v>3.0079999999999999E-2</v>
      </c>
    </row>
    <row r="52" spans="2:4" x14ac:dyDescent="0.55000000000000004">
      <c r="B52" s="15" t="s">
        <v>117</v>
      </c>
      <c r="C52" s="55">
        <v>4.3905411384089738E-2</v>
      </c>
    </row>
    <row r="53" spans="2:4" x14ac:dyDescent="0.55000000000000004">
      <c r="B53" s="15" t="s">
        <v>115</v>
      </c>
      <c r="C53" s="55">
        <v>1.992640165693324E-2</v>
      </c>
      <c r="D53" s="80">
        <f>C51-C53</f>
        <v>1.0153598343066759E-2</v>
      </c>
    </row>
    <row r="54" spans="2:4" x14ac:dyDescent="0.55000000000000004">
      <c r="B54" s="15" t="s">
        <v>114</v>
      </c>
      <c r="C54" s="55">
        <v>-5.6098001481466667E-3</v>
      </c>
      <c r="D54" s="80">
        <f>C51-C54</f>
        <v>3.5689800148146669E-2</v>
      </c>
    </row>
    <row r="58" spans="2:4" x14ac:dyDescent="0.55000000000000004">
      <c r="B58" s="87" t="s">
        <v>113</v>
      </c>
      <c r="C58" s="87" t="s">
        <v>47</v>
      </c>
    </row>
    <row r="59" spans="2:4" x14ac:dyDescent="0.55000000000000004">
      <c r="B59" s="87" t="s">
        <v>108</v>
      </c>
      <c r="C59" s="55">
        <v>3.0079999999999999E-2</v>
      </c>
    </row>
    <row r="60" spans="2:4" x14ac:dyDescent="0.55000000000000004">
      <c r="B60" s="86" t="s">
        <v>181</v>
      </c>
      <c r="C60" s="89">
        <f>C59+0.0657+0.085</f>
        <v>0.18078</v>
      </c>
    </row>
    <row r="61" spans="2:4" x14ac:dyDescent="0.55000000000000004">
      <c r="B61" s="86" t="s">
        <v>182</v>
      </c>
      <c r="C61" s="89">
        <f>C53+0.0637+0.085</f>
        <v>0.16862640165693327</v>
      </c>
      <c r="D61" s="80">
        <f>C60-C61</f>
        <v>1.2153598343066729E-2</v>
      </c>
    </row>
    <row r="62" spans="2:4" x14ac:dyDescent="0.55000000000000004">
      <c r="B62" s="86" t="s">
        <v>183</v>
      </c>
      <c r="C62" s="89">
        <f>C54+0.063+0.085</f>
        <v>0.14239019985185333</v>
      </c>
      <c r="D62" s="80">
        <f>C60-C62</f>
        <v>3.8389800148146663E-2</v>
      </c>
    </row>
  </sheetData>
  <mergeCells count="2">
    <mergeCell ref="C5:C7"/>
    <mergeCell ref="C8:C1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FD204-EE34-4A45-9C0E-6DB9E67C1A76}">
  <dimension ref="B2:XFD39"/>
  <sheetViews>
    <sheetView topLeftCell="A16" workbookViewId="0">
      <selection activeCell="N38" sqref="N38"/>
    </sheetView>
  </sheetViews>
  <sheetFormatPr defaultRowHeight="14.4" x14ac:dyDescent="0.55000000000000004"/>
  <cols>
    <col min="2" max="2" width="12.20703125" customWidth="1"/>
    <col min="3" max="3" width="18.41796875" customWidth="1"/>
    <col min="4" max="4" width="20.68359375" customWidth="1"/>
    <col min="14" max="14" width="12.62890625" customWidth="1"/>
  </cols>
  <sheetData>
    <row r="2" spans="2:16 16384:16384" x14ac:dyDescent="0.55000000000000004">
      <c r="B2" s="27"/>
      <c r="C2" s="10" t="s">
        <v>81</v>
      </c>
      <c r="D2" s="10" t="s">
        <v>82</v>
      </c>
      <c r="E2" s="10" t="s">
        <v>81</v>
      </c>
      <c r="F2" s="10" t="s">
        <v>82</v>
      </c>
      <c r="G2" s="10" t="s">
        <v>81</v>
      </c>
      <c r="H2" s="10" t="s">
        <v>82</v>
      </c>
      <c r="I2" s="10" t="s">
        <v>81</v>
      </c>
      <c r="J2" s="10" t="s">
        <v>82</v>
      </c>
      <c r="K2" s="10" t="s">
        <v>81</v>
      </c>
      <c r="L2" s="10" t="s">
        <v>81</v>
      </c>
    </row>
    <row r="3" spans="2:16 16384:16384" x14ac:dyDescent="0.55000000000000004">
      <c r="B3" s="27"/>
      <c r="C3" s="10">
        <v>2018</v>
      </c>
      <c r="D3" s="10">
        <v>2019</v>
      </c>
      <c r="E3" s="10">
        <v>2019</v>
      </c>
      <c r="F3" s="10">
        <v>2020</v>
      </c>
      <c r="G3" s="10">
        <v>2020</v>
      </c>
      <c r="H3" s="10">
        <v>2021</v>
      </c>
      <c r="I3" s="10">
        <v>2021</v>
      </c>
      <c r="J3" s="10">
        <v>2022</v>
      </c>
      <c r="K3" s="10">
        <v>2022</v>
      </c>
      <c r="L3" s="10">
        <v>2023</v>
      </c>
    </row>
    <row r="4" spans="2:16 16384:16384" x14ac:dyDescent="0.55000000000000004">
      <c r="B4" s="10" t="s">
        <v>83</v>
      </c>
      <c r="C4" s="10">
        <v>1</v>
      </c>
      <c r="D4" s="10">
        <v>2</v>
      </c>
      <c r="E4" s="10">
        <v>3</v>
      </c>
      <c r="F4" s="10">
        <v>4</v>
      </c>
      <c r="G4" s="10">
        <v>5</v>
      </c>
      <c r="H4" s="10">
        <v>6</v>
      </c>
      <c r="I4" s="10">
        <v>7</v>
      </c>
      <c r="J4" s="10">
        <v>8</v>
      </c>
      <c r="K4" s="10">
        <v>9</v>
      </c>
      <c r="L4" s="10">
        <v>10</v>
      </c>
    </row>
    <row r="5" spans="2:16 16384:16384" ht="60.6" customHeight="1" x14ac:dyDescent="0.55000000000000004">
      <c r="C5" s="83" t="s">
        <v>170</v>
      </c>
      <c r="D5" s="84" t="s">
        <v>171</v>
      </c>
      <c r="E5" s="83" t="s">
        <v>173</v>
      </c>
      <c r="F5" s="83" t="s">
        <v>173</v>
      </c>
      <c r="G5" s="83" t="s">
        <v>173</v>
      </c>
      <c r="H5" s="83" t="s">
        <v>173</v>
      </c>
      <c r="I5" s="83" t="s">
        <v>173</v>
      </c>
      <c r="J5" s="83" t="s">
        <v>173</v>
      </c>
      <c r="K5" s="83" t="s">
        <v>173</v>
      </c>
      <c r="L5" s="83" t="s">
        <v>173</v>
      </c>
      <c r="XFD5" s="25"/>
    </row>
    <row r="6" spans="2:16 16384:16384" ht="65.099999999999994" customHeight="1" x14ac:dyDescent="0.55000000000000004">
      <c r="C6" s="83" t="s">
        <v>169</v>
      </c>
      <c r="D6" s="84" t="s">
        <v>172</v>
      </c>
      <c r="E6" s="25"/>
      <c r="F6" s="25"/>
      <c r="G6" s="25"/>
      <c r="H6" s="25"/>
      <c r="I6" s="25"/>
      <c r="J6" s="25"/>
      <c r="K6" s="25"/>
      <c r="L6" s="25"/>
    </row>
    <row r="7" spans="2:16 16384:16384" ht="64.2" customHeight="1" x14ac:dyDescent="0.55000000000000004">
      <c r="C7" s="83" t="s">
        <v>168</v>
      </c>
      <c r="E7" s="25"/>
      <c r="F7" s="25"/>
      <c r="G7" s="25"/>
      <c r="H7" s="25"/>
      <c r="I7" s="25"/>
      <c r="J7" s="25"/>
      <c r="K7" s="25"/>
      <c r="L7" s="25"/>
    </row>
    <row r="8" spans="2:16 16384:16384" x14ac:dyDescent="0.55000000000000004">
      <c r="N8" s="28" t="s">
        <v>121</v>
      </c>
      <c r="O8" s="28" t="s">
        <v>119</v>
      </c>
      <c r="P8" s="28">
        <v>3</v>
      </c>
    </row>
    <row r="9" spans="2:16 16384:16384" x14ac:dyDescent="0.55000000000000004">
      <c r="N9" s="28" t="s">
        <v>122</v>
      </c>
      <c r="O9" s="28" t="s">
        <v>120</v>
      </c>
      <c r="P9" s="28">
        <v>4</v>
      </c>
    </row>
    <row r="10" spans="2:16 16384:16384" x14ac:dyDescent="0.55000000000000004">
      <c r="N10" s="28" t="s">
        <v>123</v>
      </c>
      <c r="O10" s="28">
        <v>267</v>
      </c>
      <c r="P10" s="28">
        <v>3</v>
      </c>
    </row>
    <row r="11" spans="2:16 16384:16384" x14ac:dyDescent="0.55000000000000004">
      <c r="N11" s="28" t="s">
        <v>124</v>
      </c>
      <c r="O11" s="28" t="s">
        <v>125</v>
      </c>
      <c r="P11" s="28">
        <v>4</v>
      </c>
    </row>
    <row r="12" spans="2:16 16384:16384" x14ac:dyDescent="0.55000000000000004">
      <c r="N12" s="28" t="s">
        <v>126</v>
      </c>
      <c r="O12" s="28">
        <v>221</v>
      </c>
      <c r="P12" s="28">
        <v>3</v>
      </c>
    </row>
    <row r="15" spans="2:16 16384:16384" x14ac:dyDescent="0.55000000000000004">
      <c r="N15" s="1" t="s">
        <v>131</v>
      </c>
      <c r="O15" t="s">
        <v>136</v>
      </c>
      <c r="P15" t="s">
        <v>139</v>
      </c>
    </row>
    <row r="16" spans="2:16 16384:16384" x14ac:dyDescent="0.55000000000000004">
      <c r="N16" s="2" t="s">
        <v>118</v>
      </c>
      <c r="O16">
        <v>3</v>
      </c>
    </row>
    <row r="17" spans="14:17" x14ac:dyDescent="0.55000000000000004">
      <c r="N17" s="2" t="s">
        <v>132</v>
      </c>
      <c r="O17">
        <v>3</v>
      </c>
    </row>
    <row r="18" spans="14:17" x14ac:dyDescent="0.55000000000000004">
      <c r="N18" s="2" t="s">
        <v>134</v>
      </c>
      <c r="O18">
        <v>4</v>
      </c>
    </row>
    <row r="19" spans="14:17" x14ac:dyDescent="0.55000000000000004">
      <c r="N19" s="2" t="s">
        <v>135</v>
      </c>
      <c r="O19">
        <v>4</v>
      </c>
    </row>
    <row r="21" spans="14:17" x14ac:dyDescent="0.55000000000000004">
      <c r="N21" s="1" t="s">
        <v>130</v>
      </c>
      <c r="O21" t="s">
        <v>137</v>
      </c>
      <c r="P21" t="s">
        <v>138</v>
      </c>
      <c r="Q21" t="s">
        <v>140</v>
      </c>
    </row>
    <row r="22" spans="14:17" x14ac:dyDescent="0.55000000000000004">
      <c r="N22" s="82"/>
    </row>
    <row r="26" spans="14:17" x14ac:dyDescent="0.55000000000000004">
      <c r="N26" s="1" t="s">
        <v>127</v>
      </c>
      <c r="O26" t="s">
        <v>137</v>
      </c>
      <c r="P26" t="s">
        <v>138</v>
      </c>
      <c r="Q26" t="s">
        <v>141</v>
      </c>
    </row>
    <row r="27" spans="14:17" x14ac:dyDescent="0.55000000000000004">
      <c r="N27" t="s">
        <v>128</v>
      </c>
      <c r="Q27" t="s">
        <v>129</v>
      </c>
    </row>
    <row r="28" spans="14:17" x14ac:dyDescent="0.55000000000000004">
      <c r="N28" s="2" t="s">
        <v>133</v>
      </c>
      <c r="O28">
        <v>3</v>
      </c>
    </row>
    <row r="32" spans="14:17" x14ac:dyDescent="0.55000000000000004">
      <c r="N32" s="1" t="s">
        <v>149</v>
      </c>
      <c r="Q32" t="s">
        <v>157</v>
      </c>
    </row>
    <row r="33" spans="9:20" x14ac:dyDescent="0.55000000000000004">
      <c r="I33" t="s">
        <v>165</v>
      </c>
      <c r="M33" s="3" t="s">
        <v>164</v>
      </c>
      <c r="N33" s="1" t="s">
        <v>142</v>
      </c>
      <c r="Q33" s="1" t="s">
        <v>150</v>
      </c>
      <c r="R33" t="s">
        <v>151</v>
      </c>
      <c r="S33" s="3" t="s">
        <v>166</v>
      </c>
      <c r="T33" t="s">
        <v>167</v>
      </c>
    </row>
    <row r="34" spans="9:20" x14ac:dyDescent="0.55000000000000004">
      <c r="N34" s="1" t="s">
        <v>143</v>
      </c>
      <c r="Q34" t="s">
        <v>153</v>
      </c>
      <c r="R34" s="1" t="s">
        <v>160</v>
      </c>
      <c r="S34" t="s">
        <v>161</v>
      </c>
    </row>
    <row r="35" spans="9:20" x14ac:dyDescent="0.55000000000000004">
      <c r="N35" s="1" t="s">
        <v>144</v>
      </c>
      <c r="Q35" t="s">
        <v>155</v>
      </c>
    </row>
    <row r="36" spans="9:20" x14ac:dyDescent="0.55000000000000004">
      <c r="N36" s="82" t="s">
        <v>145</v>
      </c>
    </row>
    <row r="37" spans="9:20" x14ac:dyDescent="0.55000000000000004">
      <c r="I37" t="s">
        <v>163</v>
      </c>
      <c r="M37" s="3" t="s">
        <v>162</v>
      </c>
      <c r="N37" s="1" t="s">
        <v>146</v>
      </c>
      <c r="Q37" t="s">
        <v>152</v>
      </c>
      <c r="R37" s="1" t="s">
        <v>158</v>
      </c>
      <c r="S37" t="s">
        <v>159</v>
      </c>
    </row>
    <row r="38" spans="9:20" x14ac:dyDescent="0.55000000000000004">
      <c r="N38" s="82" t="s">
        <v>147</v>
      </c>
      <c r="Q38" t="s">
        <v>154</v>
      </c>
      <c r="R38" t="s">
        <v>156</v>
      </c>
    </row>
    <row r="39" spans="9:20" x14ac:dyDescent="0.55000000000000004">
      <c r="N39" s="82" t="s">
        <v>148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12E6C-1D48-4D34-8CAC-6D7B5D3F74B8}">
  <dimension ref="C4:M10"/>
  <sheetViews>
    <sheetView tabSelected="1" topLeftCell="B1" workbookViewId="0">
      <selection activeCell="D4" sqref="C4:M10"/>
    </sheetView>
  </sheetViews>
  <sheetFormatPr defaultRowHeight="14.4" x14ac:dyDescent="0.55000000000000004"/>
  <cols>
    <col min="4" max="4" width="16.7890625" customWidth="1"/>
    <col min="5" max="5" width="15.3671875" customWidth="1"/>
    <col min="6" max="6" width="13.05078125" customWidth="1"/>
    <col min="7" max="7" width="12.15625" customWidth="1"/>
    <col min="8" max="8" width="12.26171875" customWidth="1"/>
    <col min="9" max="9" width="13.62890625" customWidth="1"/>
    <col min="10" max="10" width="12.26171875" customWidth="1"/>
    <col min="11" max="11" width="11.89453125" customWidth="1"/>
    <col min="12" max="12" width="12.15625" customWidth="1"/>
    <col min="13" max="13" width="12.3671875" customWidth="1"/>
  </cols>
  <sheetData>
    <row r="4" spans="3:13" x14ac:dyDescent="0.55000000000000004">
      <c r="C4" s="117" t="s">
        <v>83</v>
      </c>
      <c r="D4" s="85" t="s">
        <v>81</v>
      </c>
      <c r="E4" s="15" t="s">
        <v>82</v>
      </c>
      <c r="F4" s="15" t="s">
        <v>81</v>
      </c>
      <c r="G4" s="15" t="s">
        <v>82</v>
      </c>
      <c r="H4" s="15" t="s">
        <v>81</v>
      </c>
      <c r="I4" s="15" t="s">
        <v>82</v>
      </c>
      <c r="J4" s="15" t="s">
        <v>81</v>
      </c>
      <c r="K4" s="15" t="s">
        <v>82</v>
      </c>
      <c r="L4" s="15" t="s">
        <v>81</v>
      </c>
      <c r="M4" s="15" t="s">
        <v>81</v>
      </c>
    </row>
    <row r="5" spans="3:13" x14ac:dyDescent="0.55000000000000004">
      <c r="C5" s="117"/>
      <c r="D5" s="85">
        <v>2018</v>
      </c>
      <c r="E5" s="15">
        <v>2019</v>
      </c>
      <c r="F5" s="15">
        <v>2019</v>
      </c>
      <c r="G5" s="15">
        <v>2020</v>
      </c>
      <c r="H5" s="15">
        <v>2020</v>
      </c>
      <c r="I5" s="15">
        <v>2021</v>
      </c>
      <c r="J5" s="15">
        <v>2021</v>
      </c>
      <c r="K5" s="15">
        <v>2022</v>
      </c>
      <c r="L5" s="15">
        <v>2022</v>
      </c>
      <c r="M5" s="15">
        <v>2023</v>
      </c>
    </row>
    <row r="6" spans="3:13" x14ac:dyDescent="0.55000000000000004">
      <c r="C6" s="117"/>
      <c r="D6" s="85">
        <v>1</v>
      </c>
      <c r="E6" s="15">
        <v>2</v>
      </c>
      <c r="F6" s="15">
        <v>3</v>
      </c>
      <c r="G6" s="15">
        <v>4</v>
      </c>
      <c r="H6" s="15">
        <v>5</v>
      </c>
      <c r="I6" s="15">
        <v>6</v>
      </c>
      <c r="J6" s="15">
        <v>7</v>
      </c>
      <c r="K6" s="15">
        <v>8</v>
      </c>
      <c r="L6" s="15">
        <v>9</v>
      </c>
      <c r="M6" s="15">
        <v>10</v>
      </c>
    </row>
    <row r="7" spans="3:13" ht="86.4" customHeight="1" x14ac:dyDescent="0.55000000000000004">
      <c r="C7" s="117" t="s">
        <v>174</v>
      </c>
      <c r="D7" s="90" t="s">
        <v>175</v>
      </c>
      <c r="E7" s="90" t="s">
        <v>178</v>
      </c>
      <c r="F7" s="118" t="s">
        <v>180</v>
      </c>
      <c r="G7" s="118" t="s">
        <v>180</v>
      </c>
      <c r="H7" s="118" t="s">
        <v>180</v>
      </c>
      <c r="I7" s="118" t="s">
        <v>180</v>
      </c>
      <c r="J7" s="118" t="s">
        <v>180</v>
      </c>
      <c r="K7" s="118" t="s">
        <v>180</v>
      </c>
      <c r="L7" s="118" t="s">
        <v>180</v>
      </c>
      <c r="M7" s="118" t="s">
        <v>180</v>
      </c>
    </row>
    <row r="8" spans="3:13" ht="42.3" customHeight="1" x14ac:dyDescent="0.55000000000000004">
      <c r="C8" s="117"/>
      <c r="D8" s="91" t="s">
        <v>176</v>
      </c>
      <c r="E8" s="91" t="s">
        <v>179</v>
      </c>
      <c r="F8" s="119"/>
      <c r="G8" s="119"/>
      <c r="H8" s="119"/>
      <c r="I8" s="119"/>
      <c r="J8" s="119"/>
      <c r="K8" s="119"/>
      <c r="L8" s="119"/>
      <c r="M8" s="119"/>
    </row>
    <row r="9" spans="3:13" ht="76.5" customHeight="1" x14ac:dyDescent="0.55000000000000004">
      <c r="C9" s="117"/>
      <c r="D9" s="91" t="s">
        <v>177</v>
      </c>
      <c r="E9" s="91" t="s">
        <v>184</v>
      </c>
      <c r="F9" s="119"/>
      <c r="G9" s="119"/>
      <c r="H9" s="119"/>
      <c r="I9" s="119"/>
      <c r="J9" s="119"/>
      <c r="K9" s="119"/>
      <c r="L9" s="119"/>
      <c r="M9" s="119"/>
    </row>
    <row r="10" spans="3:13" ht="57.6" x14ac:dyDescent="0.55000000000000004">
      <c r="C10" s="117"/>
      <c r="D10" s="92" t="s">
        <v>186</v>
      </c>
      <c r="E10" s="92" t="s">
        <v>185</v>
      </c>
      <c r="F10" s="120"/>
      <c r="G10" s="120"/>
      <c r="H10" s="120"/>
      <c r="I10" s="120"/>
      <c r="J10" s="120"/>
      <c r="K10" s="120"/>
      <c r="L10" s="120"/>
      <c r="M10" s="120"/>
    </row>
  </sheetData>
  <mergeCells count="10">
    <mergeCell ref="I7:I10"/>
    <mergeCell ref="J7:J10"/>
    <mergeCell ref="K7:K10"/>
    <mergeCell ref="L7:L10"/>
    <mergeCell ref="M7:M10"/>
    <mergeCell ref="C4:C6"/>
    <mergeCell ref="C7:C10"/>
    <mergeCell ref="F7:F10"/>
    <mergeCell ref="G7:G10"/>
    <mergeCell ref="H7:H10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Calculus</vt:lpstr>
      <vt:lpstr>Hydrogen Economics</vt:lpstr>
      <vt:lpstr>Thorcon B&amp;A</vt:lpstr>
      <vt:lpstr>HES OC</vt:lpstr>
      <vt:lpstr>HES LCOE</vt:lpstr>
      <vt:lpstr>Sheet4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Vicente</dc:creator>
  <cp:lastModifiedBy>Pedro Vicente</cp:lastModifiedBy>
  <cp:lastPrinted>2018-04-30T07:44:10Z</cp:lastPrinted>
  <dcterms:created xsi:type="dcterms:W3CDTF">2018-04-16T04:16:43Z</dcterms:created>
  <dcterms:modified xsi:type="dcterms:W3CDTF">2018-04-30T08:04:42Z</dcterms:modified>
</cp:coreProperties>
</file>