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d.docs.live.net/57e9b39f3d127f48/Documents/UC Berkeley/Capstone Project/"/>
    </mc:Choice>
  </mc:AlternateContent>
  <xr:revisionPtr revIDLastSave="1027" documentId="FA3F9EB67D736C0E4F578B4B6A47442853AC6620" xr6:coauthVersionLast="24" xr6:coauthVersionMax="24" xr10:uidLastSave="{8A7ED77B-2779-4B92-9C32-543F13864E92}"/>
  <bookViews>
    <workbookView xWindow="1302" yWindow="1182" windowWidth="27498" windowHeight="16818" tabRatio="500" activeTab="2" xr2:uid="{00000000-000D-0000-FFFF-FFFF00000000}"/>
  </bookViews>
  <sheets>
    <sheet name="Pedro" sheetId="1" r:id="rId1"/>
    <sheet name="Sheet1" sheetId="4" r:id="rId2"/>
    <sheet name="Sheet2" sheetId="5" r:id="rId3"/>
    <sheet name="Joseph" sheetId="2" r:id="rId4"/>
    <sheet name="Adria" sheetId="3" r:id="rId5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5" l="1"/>
  <c r="F36" i="5"/>
  <c r="K34" i="5"/>
  <c r="E25" i="5"/>
  <c r="F20" i="5"/>
  <c r="E20" i="5"/>
  <c r="K20" i="5" s="1"/>
  <c r="J21" i="5" s="1"/>
  <c r="G24" i="5"/>
  <c r="E21" i="5"/>
  <c r="H25" i="5"/>
  <c r="I20" i="5"/>
  <c r="E31" i="5"/>
  <c r="E30" i="5"/>
  <c r="D15" i="5"/>
  <c r="H21" i="5" l="1"/>
  <c r="J24" i="5"/>
  <c r="G20" i="5"/>
  <c r="D24" i="5" s="1"/>
  <c r="K35" i="5" s="1"/>
  <c r="K10" i="5"/>
  <c r="K11" i="5" s="1"/>
  <c r="G10" i="5"/>
  <c r="G11" i="5" s="1"/>
  <c r="C10" i="5"/>
  <c r="C11" i="5" s="1"/>
  <c r="M6" i="4"/>
  <c r="I24" i="5" l="1"/>
  <c r="K24" i="5" s="1"/>
  <c r="K29" i="5" s="1"/>
  <c r="K30" i="5" s="1"/>
  <c r="K31" i="5" s="1"/>
  <c r="E24" i="5"/>
  <c r="M7" i="4"/>
  <c r="N6" i="4"/>
  <c r="C18" i="4"/>
  <c r="C19" i="4"/>
  <c r="D13" i="4"/>
  <c r="D10" i="4"/>
  <c r="C10" i="4"/>
  <c r="D9" i="4"/>
  <c r="K8" i="1"/>
  <c r="F8" i="1"/>
  <c r="D19" i="4"/>
  <c r="B19" i="4"/>
  <c r="D18" i="4"/>
  <c r="E18" i="4"/>
  <c r="B18" i="4"/>
  <c r="D14" i="4"/>
  <c r="B14" i="4"/>
  <c r="C12" i="4"/>
  <c r="C13" i="4"/>
  <c r="B13" i="4"/>
  <c r="B11" i="4"/>
  <c r="B10" i="4"/>
  <c r="J25" i="5" l="1"/>
  <c r="M8" i="4"/>
  <c r="M9" i="4" s="1"/>
  <c r="M10" i="4" s="1"/>
  <c r="N7" i="4"/>
  <c r="N8" i="4" s="1"/>
  <c r="N9" i="4" s="1"/>
  <c r="E19" i="4"/>
  <c r="F7" i="1"/>
  <c r="E20" i="4" l="1"/>
  <c r="I19" i="4"/>
  <c r="C11" i="4" s="1"/>
  <c r="J8" i="2"/>
  <c r="M8" i="2"/>
  <c r="M9" i="2"/>
  <c r="O11" i="2"/>
  <c r="O12" i="2"/>
  <c r="M11" i="2"/>
  <c r="N11" i="2"/>
  <c r="M12" i="2"/>
  <c r="G18" i="1"/>
  <c r="I21" i="1" s="1"/>
  <c r="E12" i="1"/>
  <c r="E10" i="1"/>
  <c r="J9" i="2"/>
  <c r="J10" i="2"/>
  <c r="D10" i="2"/>
  <c r="C18" i="2"/>
  <c r="D18" i="2"/>
  <c r="D11" i="2"/>
  <c r="D9" i="2"/>
  <c r="G8" i="2"/>
  <c r="D11" i="4" l="1"/>
  <c r="I22" i="4"/>
  <c r="I20" i="4"/>
  <c r="B12" i="4"/>
  <c r="D12" i="4" s="1"/>
  <c r="E11" i="1"/>
  <c r="E13" i="1" s="1"/>
  <c r="I13" i="1" s="1"/>
  <c r="E7" i="1" s="1"/>
  <c r="K7" i="1" s="1"/>
  <c r="I23" i="4" l="1"/>
  <c r="J13" i="1"/>
  <c r="K13" i="1" s="1"/>
</calcChain>
</file>

<file path=xl/sharedStrings.xml><?xml version="1.0" encoding="utf-8"?>
<sst xmlns="http://schemas.openxmlformats.org/spreadsheetml/2006/main" count="209" uniqueCount="139">
  <si>
    <t>Temperature In, K</t>
  </si>
  <si>
    <t>Temperature Out, K</t>
  </si>
  <si>
    <t>Flow Rate, v (m^3/s)</t>
  </si>
  <si>
    <t>Flow Density, p, (kg/s)</t>
  </si>
  <si>
    <t>Mass Flow Rate</t>
  </si>
  <si>
    <t>Specific Heat Capacity (m^2/s^2 K)</t>
  </si>
  <si>
    <t>Density (kg/m^3)</t>
  </si>
  <si>
    <t>Delta T</t>
  </si>
  <si>
    <t>Solar Salt</t>
  </si>
  <si>
    <t>Water</t>
  </si>
  <si>
    <t>(mCp)hot</t>
  </si>
  <si>
    <t>(mCp)cold</t>
  </si>
  <si>
    <t>From Equation</t>
  </si>
  <si>
    <t>Delta,T cold</t>
  </si>
  <si>
    <t>Delta,T hot</t>
  </si>
  <si>
    <t xml:space="preserve">HEAT LOSS. This means the molten salt is coming out at </t>
  </si>
  <si>
    <t>Firs assuming heat exchanger is perfect T,hi = T,co</t>
  </si>
  <si>
    <t>Q (A to inifity) =</t>
  </si>
  <si>
    <t>(mCp)cold * (T,hi - T,ci)</t>
  </si>
  <si>
    <t>Using Heat Exchanger Effectiveness, e</t>
  </si>
  <si>
    <t>e = Q/Q(A to infinity)</t>
  </si>
  <si>
    <t>In our case considering a heat exchanger efficiency of 94% Q =</t>
  </si>
  <si>
    <t>If we use the other formula:</t>
  </si>
  <si>
    <t>Energy Side</t>
  </si>
  <si>
    <t>Hydrogen production</t>
  </si>
  <si>
    <t>Th_Steam</t>
  </si>
  <si>
    <t>Tc_Steam</t>
  </si>
  <si>
    <t>Th_salt</t>
  </si>
  <si>
    <t>Tc_Salt</t>
  </si>
  <si>
    <t>out</t>
  </si>
  <si>
    <t>in</t>
  </si>
  <si>
    <t>q_dot=</t>
  </si>
  <si>
    <t>UA*T_lm</t>
  </si>
  <si>
    <t>UA=</t>
  </si>
  <si>
    <t>dT1=</t>
  </si>
  <si>
    <t>q (salt loss)=</t>
  </si>
  <si>
    <t>(W)</t>
  </si>
  <si>
    <t xml:space="preserve">T_lm= </t>
  </si>
  <si>
    <t>(dT1-dT2)/ln(dT1/dT2)</t>
  </si>
  <si>
    <t>MW/C</t>
  </si>
  <si>
    <t>dT2=</t>
  </si>
  <si>
    <t>(MW)</t>
  </si>
  <si>
    <t>Tin-Tout</t>
  </si>
  <si>
    <t>salt</t>
  </si>
  <si>
    <t>q(water gain)=</t>
  </si>
  <si>
    <t>q(25--&gt;100)</t>
  </si>
  <si>
    <t>.+latent heat</t>
  </si>
  <si>
    <t>.+q(100--&gt;??)</t>
  </si>
  <si>
    <t> 2.256</t>
  </si>
  <si>
    <t>Tout-Tin</t>
  </si>
  <si>
    <t>water</t>
  </si>
  <si>
    <t>C [MJ/(kg⋅K)]</t>
  </si>
  <si>
    <t>m_dot (lowest) kg/s</t>
  </si>
  <si>
    <t>m_dot (steam) kg/s</t>
  </si>
  <si>
    <t>latent heat of vap MJ/kg=</t>
  </si>
  <si>
    <t>m_dot (salt) kg/s</t>
  </si>
  <si>
    <t>m_dot*dT*C</t>
  </si>
  <si>
    <t>C (specific heat) ~ [J/kgK]</t>
  </si>
  <si>
    <t>http://www.worldresearchlibrary.org/up_proc/pdf/262-146139119013-18.pdf</t>
  </si>
  <si>
    <t>Thorcon Efficiency</t>
  </si>
  <si>
    <t>MW</t>
  </si>
  <si>
    <t>Electrical output</t>
  </si>
  <si>
    <t>Thermal output</t>
  </si>
  <si>
    <t>In Celcius</t>
  </si>
  <si>
    <t>Delta T, C</t>
  </si>
  <si>
    <t>Delta, T, C</t>
  </si>
  <si>
    <t>kg/s</t>
  </si>
  <si>
    <t>delta,T</t>
  </si>
  <si>
    <t>Flow Rate</t>
  </si>
  <si>
    <t>C,p</t>
  </si>
  <si>
    <t>IHX</t>
  </si>
  <si>
    <t>Salt</t>
  </si>
  <si>
    <t>Steam</t>
  </si>
  <si>
    <t>Density</t>
  </si>
  <si>
    <t>T,in</t>
  </si>
  <si>
    <t>T,out</t>
  </si>
  <si>
    <t>Salt(water)</t>
  </si>
  <si>
    <t>Salt(steam)</t>
  </si>
  <si>
    <t>Salt(ihx)</t>
  </si>
  <si>
    <t>Water(salt)</t>
  </si>
  <si>
    <t>Steam(salt)</t>
  </si>
  <si>
    <t>?</t>
  </si>
  <si>
    <t>Q</t>
  </si>
  <si>
    <t>Q=</t>
  </si>
  <si>
    <t>Result</t>
  </si>
  <si>
    <t>-</t>
  </si>
  <si>
    <t>mass flow (m)*</t>
  </si>
  <si>
    <t>delta,T (K) *</t>
  </si>
  <si>
    <t>cp</t>
  </si>
  <si>
    <t>Water(ihx)</t>
  </si>
  <si>
    <t>density*cp*deltaT=Qh</t>
  </si>
  <si>
    <t>T,out (salt-water)</t>
  </si>
  <si>
    <t>Kelvin</t>
  </si>
  <si>
    <t>Celcius</t>
  </si>
  <si>
    <t>delta, T (salt-water)</t>
  </si>
  <si>
    <t>Steam G.</t>
  </si>
  <si>
    <t>T,out = Q(water)/(density*cp)   +    T,in</t>
  </si>
  <si>
    <t>H</t>
  </si>
  <si>
    <t>STEAM</t>
  </si>
  <si>
    <t>delta_T salt</t>
  </si>
  <si>
    <t>t,out</t>
  </si>
  <si>
    <t>Cp</t>
  </si>
  <si>
    <t>T_out</t>
  </si>
  <si>
    <t>T_in</t>
  </si>
  <si>
    <t>m_flow</t>
  </si>
  <si>
    <t>m^2/s^2 K</t>
  </si>
  <si>
    <t>Delta_T</t>
  </si>
  <si>
    <t>C</t>
  </si>
  <si>
    <t>Secondary Loop - Solar Salt</t>
  </si>
  <si>
    <t>Solar Salt - Secondary Loop</t>
  </si>
  <si>
    <t>Hydrogen - Solar Salt Loop</t>
  </si>
  <si>
    <t>Hydrogen</t>
  </si>
  <si>
    <t>Steam. Gen.</t>
  </si>
  <si>
    <t>Q=m*c_p*delta_T</t>
  </si>
  <si>
    <t>Molten Salt Properties</t>
  </si>
  <si>
    <t>C_p</t>
  </si>
  <si>
    <t>J/kg*K</t>
  </si>
  <si>
    <t>Delta_T = Q/(m*c_p)</t>
  </si>
  <si>
    <t>T_out = Q/(m*c_p) - T_in</t>
  </si>
  <si>
    <t>Q-Percentage</t>
  </si>
  <si>
    <t>Q-Value, out</t>
  </si>
  <si>
    <t>Q-value_in</t>
  </si>
  <si>
    <t>Q_Value, out</t>
  </si>
  <si>
    <t>delta_H</t>
  </si>
  <si>
    <t>Q_release</t>
  </si>
  <si>
    <t>Q_aborb</t>
  </si>
  <si>
    <t>heat flux, q_i</t>
  </si>
  <si>
    <t>Heat transfer area</t>
  </si>
  <si>
    <t>m^2</t>
  </si>
  <si>
    <t>MW/m^2</t>
  </si>
  <si>
    <t>W/m^2*K</t>
  </si>
  <si>
    <t>Heat transfer coefficient, K</t>
  </si>
  <si>
    <t>Delta Tm</t>
  </si>
  <si>
    <t>Delta T in</t>
  </si>
  <si>
    <t>Delta T out</t>
  </si>
  <si>
    <t>delta_h</t>
  </si>
  <si>
    <t>Q=m(delta_H)</t>
  </si>
  <si>
    <t>K*delta_T*S_i = m * (delta_H)</t>
  </si>
  <si>
    <t>Delta_H = stuff/m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</si>
</sst>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B9B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2" fillId="2" borderId="2" xfId="0" applyFont="1" applyFill="1" applyBorder="1"/>
    <xf numFmtId="0" fontId="2" fillId="0" borderId="0" xfId="0" applyFont="1" applyFill="1" applyBorder="1"/>
    <xf numFmtId="0" fontId="0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9" fontId="0" fillId="0" borderId="0" xfId="0" applyNumberFormat="1"/>
    <xf numFmtId="9" fontId="0" fillId="0" borderId="0" xfId="2" applyFont="1"/>
    <xf numFmtId="0" fontId="0" fillId="0" borderId="3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ont="1"/>
    <xf numFmtId="0" fontId="4" fillId="0" borderId="0" xfId="0" applyFont="1"/>
    <xf numFmtId="0" fontId="4" fillId="8" borderId="0" xfId="0" applyFont="1" applyFill="1"/>
    <xf numFmtId="0" fontId="0" fillId="8" borderId="0" xfId="0" applyFont="1" applyFill="1"/>
    <xf numFmtId="0" fontId="2" fillId="8" borderId="0" xfId="0" applyFont="1" applyFill="1"/>
    <xf numFmtId="0" fontId="0" fillId="9" borderId="1" xfId="0" applyFill="1" applyBorder="1"/>
    <xf numFmtId="0" fontId="0" fillId="6" borderId="1" xfId="0" applyFill="1" applyBorder="1"/>
    <xf numFmtId="0" fontId="5" fillId="9" borderId="1" xfId="0" applyFont="1" applyFill="1" applyBorder="1"/>
    <xf numFmtId="0" fontId="0" fillId="9" borderId="0" xfId="0" applyFill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9" fontId="0" fillId="10" borderId="1" xfId="0" applyNumberFormat="1" applyFill="1" applyBorder="1"/>
    <xf numFmtId="9" fontId="5" fillId="10" borderId="1" xfId="0" applyNumberFormat="1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0"/>
  <sheetViews>
    <sheetView workbookViewId="0">
      <selection activeCell="I7" sqref="I7"/>
    </sheetView>
  </sheetViews>
  <sheetFormatPr defaultColWidth="11" defaultRowHeight="15.6" x14ac:dyDescent="0.6"/>
  <cols>
    <col min="4" max="4" width="17.34765625" customWidth="1"/>
    <col min="5" max="6" width="18.75" customWidth="1"/>
    <col min="7" max="7" width="20.09765625" customWidth="1"/>
    <col min="8" max="8" width="16.09765625" customWidth="1"/>
    <col min="9" max="9" width="28.75" customWidth="1"/>
    <col min="10" max="10" width="15.25" customWidth="1"/>
  </cols>
  <sheetData>
    <row r="6" spans="3:12" x14ac:dyDescent="0.6">
      <c r="C6" s="4"/>
      <c r="D6" s="3" t="s">
        <v>0</v>
      </c>
      <c r="E6" s="3" t="s">
        <v>1</v>
      </c>
      <c r="F6" s="4" t="s">
        <v>2</v>
      </c>
      <c r="G6" s="4" t="s">
        <v>3</v>
      </c>
      <c r="H6" s="3" t="s">
        <v>4</v>
      </c>
      <c r="I6" s="4" t="s">
        <v>5</v>
      </c>
      <c r="J6" s="4" t="s">
        <v>6</v>
      </c>
      <c r="K6" s="3" t="s">
        <v>7</v>
      </c>
      <c r="L6" s="19" t="s">
        <v>64</v>
      </c>
    </row>
    <row r="7" spans="3:12" x14ac:dyDescent="0.6">
      <c r="C7" s="4" t="s">
        <v>8</v>
      </c>
      <c r="D7" s="4">
        <v>871.15</v>
      </c>
      <c r="E7" s="14">
        <f>I13</f>
        <v>65.617046379170006</v>
      </c>
      <c r="F7" s="4">
        <f>G7/J7</f>
        <v>0.64684210526315788</v>
      </c>
      <c r="G7" s="4">
        <v>1229</v>
      </c>
      <c r="H7" s="4">
        <v>1229</v>
      </c>
      <c r="I7" s="4">
        <v>1500</v>
      </c>
      <c r="J7" s="4">
        <v>1900</v>
      </c>
      <c r="K7" s="4">
        <f>D7-E7</f>
        <v>805.53295362082997</v>
      </c>
    </row>
    <row r="8" spans="3:12" x14ac:dyDescent="0.6">
      <c r="C8" s="4" t="s">
        <v>9</v>
      </c>
      <c r="D8" s="4">
        <v>298.14999999999998</v>
      </c>
      <c r="E8" s="4">
        <v>793.15</v>
      </c>
      <c r="F8" s="4">
        <f>G8/J8</f>
        <v>2</v>
      </c>
      <c r="G8" s="14">
        <v>2000</v>
      </c>
      <c r="H8" s="4">
        <v>2000</v>
      </c>
      <c r="I8" s="4">
        <v>4205</v>
      </c>
      <c r="J8" s="4">
        <v>1000</v>
      </c>
      <c r="K8" s="4">
        <f>E8-D8</f>
        <v>495</v>
      </c>
    </row>
    <row r="10" spans="3:12" x14ac:dyDescent="0.6">
      <c r="D10" t="s">
        <v>10</v>
      </c>
      <c r="E10">
        <f>H7</f>
        <v>1229</v>
      </c>
    </row>
    <row r="11" spans="3:12" x14ac:dyDescent="0.6">
      <c r="D11" t="s">
        <v>11</v>
      </c>
      <c r="E11">
        <f>H8</f>
        <v>2000</v>
      </c>
      <c r="G11" s="4" t="s">
        <v>12</v>
      </c>
      <c r="H11" s="4" t="s">
        <v>10</v>
      </c>
      <c r="I11" s="4" t="s">
        <v>13</v>
      </c>
    </row>
    <row r="12" spans="3:12" x14ac:dyDescent="0.6">
      <c r="D12" t="s">
        <v>13</v>
      </c>
      <c r="E12">
        <f>K8</f>
        <v>495</v>
      </c>
      <c r="G12" s="4"/>
      <c r="H12" s="4" t="s">
        <v>11</v>
      </c>
      <c r="I12" s="4" t="s">
        <v>14</v>
      </c>
      <c r="J12" t="s">
        <v>63</v>
      </c>
      <c r="K12" t="s">
        <v>65</v>
      </c>
    </row>
    <row r="13" spans="3:12" x14ac:dyDescent="0.6">
      <c r="D13" s="1" t="s">
        <v>14</v>
      </c>
      <c r="E13">
        <f>(E12*E11)/E10</f>
        <v>805.53295362082997</v>
      </c>
      <c r="F13" t="s">
        <v>15</v>
      </c>
      <c r="I13" s="1">
        <f>D7-E13</f>
        <v>65.617046379170006</v>
      </c>
      <c r="J13" s="1">
        <f>I13-273.5</f>
        <v>-207.88295362082999</v>
      </c>
      <c r="K13">
        <f>598-J13</f>
        <v>805.88295362082999</v>
      </c>
    </row>
    <row r="17" spans="2:9" x14ac:dyDescent="0.6">
      <c r="C17">
        <v>-1</v>
      </c>
      <c r="D17" t="s">
        <v>16</v>
      </c>
    </row>
    <row r="18" spans="2:9" x14ac:dyDescent="0.6">
      <c r="D18" t="s">
        <v>17</v>
      </c>
      <c r="E18" t="s">
        <v>18</v>
      </c>
      <c r="G18">
        <f>H8*(D7-D8)</f>
        <v>1146000</v>
      </c>
    </row>
    <row r="20" spans="2:9" x14ac:dyDescent="0.6">
      <c r="C20">
        <v>2</v>
      </c>
      <c r="D20" t="s">
        <v>19</v>
      </c>
    </row>
    <row r="21" spans="2:9" x14ac:dyDescent="0.6">
      <c r="D21" t="s">
        <v>20</v>
      </c>
      <c r="F21" t="s">
        <v>21</v>
      </c>
      <c r="I21">
        <f>(0.94)/G18</f>
        <v>8.2024432809773116E-7</v>
      </c>
    </row>
    <row r="23" spans="2:9" x14ac:dyDescent="0.6">
      <c r="C23">
        <v>3</v>
      </c>
      <c r="D23" t="s">
        <v>22</v>
      </c>
    </row>
    <row r="26" spans="2:9" x14ac:dyDescent="0.6">
      <c r="B26" t="s">
        <v>59</v>
      </c>
      <c r="D26" s="17">
        <v>0.44</v>
      </c>
    </row>
    <row r="27" spans="2:9" x14ac:dyDescent="0.6">
      <c r="B27" t="s">
        <v>61</v>
      </c>
      <c r="D27">
        <v>250</v>
      </c>
      <c r="E27" t="s">
        <v>60</v>
      </c>
    </row>
    <row r="28" spans="2:9" x14ac:dyDescent="0.6">
      <c r="B28" t="s">
        <v>62</v>
      </c>
      <c r="D28">
        <v>557</v>
      </c>
      <c r="E28" t="s">
        <v>60</v>
      </c>
    </row>
    <row r="29" spans="2:9" x14ac:dyDescent="0.6">
      <c r="I29" s="17"/>
    </row>
    <row r="30" spans="2:9" x14ac:dyDescent="0.6">
      <c r="I3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DE14-6689-417A-996E-1462CC8CD3B9}">
  <dimension ref="A5:N23"/>
  <sheetViews>
    <sheetView workbookViewId="0">
      <selection activeCell="H8" sqref="H8"/>
    </sheetView>
  </sheetViews>
  <sheetFormatPr defaultRowHeight="15.6" x14ac:dyDescent="0.6"/>
  <cols>
    <col min="1" max="1" width="10.296875" customWidth="1"/>
    <col min="2" max="2" width="13.34765625" customWidth="1"/>
    <col min="3" max="3" width="14.84765625" customWidth="1"/>
    <col min="5" max="5" width="11.796875" customWidth="1"/>
    <col min="9" max="9" width="11.25" bestFit="1" customWidth="1"/>
    <col min="12" max="12" width="10.546875" customWidth="1"/>
    <col min="14" max="14" width="11.25" bestFit="1" customWidth="1"/>
  </cols>
  <sheetData>
    <row r="5" spans="1:14" x14ac:dyDescent="0.6">
      <c r="M5" t="s">
        <v>82</v>
      </c>
    </row>
    <row r="6" spans="1:14" x14ac:dyDescent="0.6">
      <c r="E6" s="4"/>
      <c r="F6" s="4" t="s">
        <v>70</v>
      </c>
      <c r="G6" s="4" t="s">
        <v>71</v>
      </c>
      <c r="H6" s="4" t="s">
        <v>9</v>
      </c>
      <c r="I6" s="4" t="s">
        <v>72</v>
      </c>
      <c r="L6" t="s">
        <v>70</v>
      </c>
      <c r="M6">
        <f>G7*D10</f>
        <v>312166</v>
      </c>
      <c r="N6">
        <f>M6*G8</f>
        <v>468249000</v>
      </c>
    </row>
    <row r="7" spans="1:14" x14ac:dyDescent="0.6">
      <c r="E7" s="4" t="s">
        <v>68</v>
      </c>
      <c r="F7" s="4">
        <v>1534</v>
      </c>
      <c r="G7" s="4">
        <v>1229</v>
      </c>
      <c r="H7" s="14">
        <v>1000</v>
      </c>
      <c r="I7" s="4"/>
      <c r="L7" t="s">
        <v>97</v>
      </c>
      <c r="M7">
        <f>H7*D13</f>
        <v>495000</v>
      </c>
      <c r="N7">
        <f>M7*H8</f>
        <v>2081475000</v>
      </c>
    </row>
    <row r="8" spans="1:14" x14ac:dyDescent="0.6">
      <c r="B8" t="s">
        <v>74</v>
      </c>
      <c r="C8" t="s">
        <v>75</v>
      </c>
      <c r="D8" t="s">
        <v>67</v>
      </c>
      <c r="E8" s="4" t="s">
        <v>69</v>
      </c>
      <c r="F8" s="4">
        <v>2200</v>
      </c>
      <c r="G8" s="4">
        <v>1500</v>
      </c>
      <c r="H8" s="4">
        <v>4205</v>
      </c>
      <c r="I8" s="4"/>
      <c r="L8" t="s">
        <v>98</v>
      </c>
      <c r="M8">
        <f>M6-M7</f>
        <v>-182834</v>
      </c>
      <c r="N8">
        <f>N6-N7</f>
        <v>-1613226000</v>
      </c>
    </row>
    <row r="9" spans="1:14" x14ac:dyDescent="0.6">
      <c r="A9" t="s">
        <v>70</v>
      </c>
      <c r="B9">
        <v>894.15</v>
      </c>
      <c r="C9">
        <v>727.15</v>
      </c>
      <c r="D9">
        <f>C9-B9</f>
        <v>-167</v>
      </c>
      <c r="E9" s="4"/>
      <c r="F9" s="4"/>
      <c r="G9" s="4"/>
      <c r="H9" s="4"/>
      <c r="I9" s="4"/>
      <c r="L9" t="s">
        <v>99</v>
      </c>
      <c r="M9">
        <f>(M7+M8)/G7</f>
        <v>254</v>
      </c>
      <c r="N9">
        <f>(N7+N8)/H7</f>
        <v>468249</v>
      </c>
    </row>
    <row r="10" spans="1:14" x14ac:dyDescent="0.6">
      <c r="A10" t="s">
        <v>78</v>
      </c>
      <c r="B10">
        <f>273.15+344</f>
        <v>617.15</v>
      </c>
      <c r="C10">
        <f>273.15+598</f>
        <v>871.15</v>
      </c>
      <c r="D10">
        <f>C10-B10</f>
        <v>254</v>
      </c>
      <c r="E10" s="4" t="s">
        <v>73</v>
      </c>
      <c r="F10" s="4">
        <v>2080</v>
      </c>
      <c r="G10" s="4">
        <v>1900</v>
      </c>
      <c r="H10" s="4">
        <v>1000</v>
      </c>
      <c r="I10" s="4"/>
      <c r="L10" t="s">
        <v>100</v>
      </c>
      <c r="M10">
        <f>B11-M9</f>
        <v>617.15</v>
      </c>
    </row>
    <row r="11" spans="1:14" x14ac:dyDescent="0.6">
      <c r="A11" t="s">
        <v>76</v>
      </c>
      <c r="B11">
        <f>273.15+598</f>
        <v>871.15</v>
      </c>
      <c r="C11" s="20">
        <f>I19</f>
        <v>487.50529131985729</v>
      </c>
      <c r="D11">
        <f t="shared" ref="D11:D14" si="0">B11-C11</f>
        <v>383.64470868014268</v>
      </c>
    </row>
    <row r="12" spans="1:14" x14ac:dyDescent="0.6">
      <c r="A12" s="21" t="s">
        <v>77</v>
      </c>
      <c r="B12" s="21">
        <f>C11</f>
        <v>487.50529131985729</v>
      </c>
      <c r="C12" s="21">
        <f>273.15+344</f>
        <v>617.15</v>
      </c>
      <c r="D12" s="21">
        <f t="shared" si="0"/>
        <v>-129.64470868014268</v>
      </c>
    </row>
    <row r="13" spans="1:14" x14ac:dyDescent="0.6">
      <c r="A13" t="s">
        <v>79</v>
      </c>
      <c r="B13">
        <f>273.15+25</f>
        <v>298.14999999999998</v>
      </c>
      <c r="C13">
        <f>273.15+520</f>
        <v>793.15</v>
      </c>
      <c r="D13">
        <f>C13-B13</f>
        <v>495</v>
      </c>
    </row>
    <row r="14" spans="1:14" x14ac:dyDescent="0.6">
      <c r="A14" s="21" t="s">
        <v>80</v>
      </c>
      <c r="B14" s="21">
        <f>32+273.15</f>
        <v>305.14999999999998</v>
      </c>
      <c r="C14" s="21" t="s">
        <v>81</v>
      </c>
      <c r="D14" s="21" t="e">
        <f t="shared" si="0"/>
        <v>#VALUE!</v>
      </c>
    </row>
    <row r="16" spans="1:14" x14ac:dyDescent="0.6">
      <c r="E16" s="1" t="s">
        <v>84</v>
      </c>
      <c r="G16" t="s">
        <v>90</v>
      </c>
    </row>
    <row r="17" spans="1:12" x14ac:dyDescent="0.6">
      <c r="A17" s="1" t="s">
        <v>83</v>
      </c>
      <c r="B17" s="1" t="s">
        <v>86</v>
      </c>
      <c r="C17" s="1" t="s">
        <v>87</v>
      </c>
      <c r="D17" s="1" t="s">
        <v>88</v>
      </c>
      <c r="E17" s="1" t="s">
        <v>85</v>
      </c>
      <c r="G17" t="s">
        <v>96</v>
      </c>
    </row>
    <row r="18" spans="1:12" x14ac:dyDescent="0.6">
      <c r="A18" t="s">
        <v>78</v>
      </c>
      <c r="B18">
        <f>G7</f>
        <v>1229</v>
      </c>
      <c r="C18">
        <f>D10</f>
        <v>254</v>
      </c>
      <c r="D18">
        <f>G8</f>
        <v>1500</v>
      </c>
      <c r="E18" s="1">
        <f>B18*C18*D18</f>
        <v>468249000</v>
      </c>
    </row>
    <row r="19" spans="1:12" x14ac:dyDescent="0.6">
      <c r="A19" t="s">
        <v>89</v>
      </c>
      <c r="B19">
        <f>H7</f>
        <v>1000</v>
      </c>
      <c r="C19">
        <f>D13</f>
        <v>495</v>
      </c>
      <c r="D19">
        <f>H8</f>
        <v>4205</v>
      </c>
      <c r="E19" s="1">
        <f>B19*C19*D19</f>
        <v>2081475000</v>
      </c>
      <c r="G19" s="1" t="s">
        <v>91</v>
      </c>
      <c r="I19" s="1">
        <f>((E18-E19)/(H8*H10))+B11</f>
        <v>487.50529131985729</v>
      </c>
      <c r="J19" s="1" t="s">
        <v>92</v>
      </c>
      <c r="K19" s="1"/>
      <c r="L19" s="1"/>
    </row>
    <row r="20" spans="1:12" x14ac:dyDescent="0.6">
      <c r="A20" t="s">
        <v>95</v>
      </c>
      <c r="E20" s="1">
        <f>E18-E19</f>
        <v>-1613226000</v>
      </c>
      <c r="I20" s="1">
        <f>I19-273.15</f>
        <v>214.35529131985732</v>
      </c>
      <c r="J20" s="1" t="s">
        <v>93</v>
      </c>
    </row>
    <row r="21" spans="1:12" x14ac:dyDescent="0.6">
      <c r="E21" s="1"/>
    </row>
    <row r="22" spans="1:12" x14ac:dyDescent="0.6">
      <c r="G22" s="1" t="s">
        <v>94</v>
      </c>
      <c r="I22" s="1">
        <f>B11-C11</f>
        <v>383.64470868014268</v>
      </c>
      <c r="J22" s="1" t="s">
        <v>92</v>
      </c>
    </row>
    <row r="23" spans="1:12" x14ac:dyDescent="0.6">
      <c r="I23" s="1">
        <f>273.15-I22</f>
        <v>-110.49470868014271</v>
      </c>
      <c r="J23" s="1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B4A0-A0EB-4256-B735-5A0F54440A82}">
  <dimension ref="A5:XFD37"/>
  <sheetViews>
    <sheetView tabSelected="1" topLeftCell="A10" workbookViewId="0">
      <selection activeCell="I37" sqref="I37"/>
    </sheetView>
  </sheetViews>
  <sheetFormatPr defaultRowHeight="15.6" x14ac:dyDescent="0.6"/>
  <cols>
    <col min="3" max="3" width="9.6484375" bestFit="1" customWidth="1"/>
    <col min="4" max="4" width="18.69921875" customWidth="1"/>
    <col min="5" max="5" width="18.8984375" customWidth="1"/>
    <col min="6" max="6" width="18" customWidth="1"/>
    <col min="7" max="7" width="18.94921875" customWidth="1"/>
    <col min="8" max="8" width="17.546875" customWidth="1"/>
    <col min="9" max="9" width="29.94921875" customWidth="1"/>
    <col min="10" max="10" width="15.796875" customWidth="1"/>
    <col min="11" max="11" width="12.19921875" customWidth="1"/>
  </cols>
  <sheetData>
    <row r="5" spans="2:12 16384:16384" x14ac:dyDescent="0.6">
      <c r="B5" s="25" t="s">
        <v>108</v>
      </c>
      <c r="C5" s="22"/>
      <c r="D5" s="22"/>
      <c r="F5" s="24" t="s">
        <v>109</v>
      </c>
      <c r="J5" s="24" t="s">
        <v>110</v>
      </c>
    </row>
    <row r="6" spans="2:12 16384:16384" x14ac:dyDescent="0.6">
      <c r="B6" s="22" t="s">
        <v>101</v>
      </c>
      <c r="C6" s="22">
        <v>2177</v>
      </c>
      <c r="D6" s="22" t="s">
        <v>105</v>
      </c>
      <c r="F6" t="s">
        <v>101</v>
      </c>
      <c r="G6">
        <v>1621</v>
      </c>
      <c r="H6" t="s">
        <v>105</v>
      </c>
      <c r="J6" t="s">
        <v>101</v>
      </c>
      <c r="L6" t="s">
        <v>105</v>
      </c>
    </row>
    <row r="7" spans="2:12 16384:16384" x14ac:dyDescent="0.6">
      <c r="B7" s="22" t="s">
        <v>104</v>
      </c>
      <c r="C7" s="22">
        <v>1544</v>
      </c>
      <c r="D7" s="22" t="s">
        <v>66</v>
      </c>
      <c r="F7" t="s">
        <v>104</v>
      </c>
      <c r="G7">
        <v>1414</v>
      </c>
      <c r="H7" t="s">
        <v>66</v>
      </c>
      <c r="J7" t="s">
        <v>104</v>
      </c>
      <c r="K7" s="20">
        <v>200</v>
      </c>
      <c r="L7" t="s">
        <v>66</v>
      </c>
    </row>
    <row r="8" spans="2:12 16384:16384" x14ac:dyDescent="0.6">
      <c r="B8" s="22" t="s">
        <v>103</v>
      </c>
      <c r="C8" s="22">
        <v>621</v>
      </c>
      <c r="D8" s="22" t="s">
        <v>107</v>
      </c>
      <c r="F8" t="s">
        <v>103</v>
      </c>
      <c r="G8">
        <v>344</v>
      </c>
      <c r="H8" t="s">
        <v>107</v>
      </c>
      <c r="J8" t="s">
        <v>103</v>
      </c>
      <c r="K8">
        <v>25</v>
      </c>
      <c r="L8" t="s">
        <v>107</v>
      </c>
    </row>
    <row r="9" spans="2:12 16384:16384" x14ac:dyDescent="0.6">
      <c r="B9" s="22" t="s">
        <v>102</v>
      </c>
      <c r="C9" s="22">
        <v>454</v>
      </c>
      <c r="D9" s="22" t="s">
        <v>107</v>
      </c>
      <c r="F9" t="s">
        <v>102</v>
      </c>
      <c r="G9">
        <v>598</v>
      </c>
      <c r="H9" t="s">
        <v>107</v>
      </c>
      <c r="J9" t="s">
        <v>102</v>
      </c>
      <c r="K9">
        <v>520</v>
      </c>
      <c r="L9" t="s">
        <v>107</v>
      </c>
    </row>
    <row r="10" spans="2:12 16384:16384" x14ac:dyDescent="0.6">
      <c r="B10" s="26" t="s">
        <v>106</v>
      </c>
      <c r="C10" s="22">
        <f>C8-C9</f>
        <v>167</v>
      </c>
      <c r="D10" s="22"/>
      <c r="F10" s="23" t="s">
        <v>106</v>
      </c>
      <c r="G10">
        <f>G9-G8</f>
        <v>254</v>
      </c>
      <c r="J10" s="23" t="s">
        <v>106</v>
      </c>
      <c r="K10">
        <f>K9-K8</f>
        <v>495</v>
      </c>
      <c r="XFD10" s="1"/>
    </row>
    <row r="11" spans="2:12 16384:16384" x14ac:dyDescent="0.6">
      <c r="B11" s="27" t="s">
        <v>82</v>
      </c>
      <c r="C11" s="27">
        <f>C7*C6*C10</f>
        <v>561335096</v>
      </c>
      <c r="D11" s="22"/>
      <c r="F11" s="1" t="s">
        <v>82</v>
      </c>
      <c r="G11" s="1">
        <f>G6*G7*G10</f>
        <v>582191876</v>
      </c>
      <c r="J11" s="1" t="s">
        <v>82</v>
      </c>
      <c r="K11" s="1">
        <f>K6*K7*K10</f>
        <v>0</v>
      </c>
    </row>
    <row r="13" spans="2:12 16384:16384" x14ac:dyDescent="0.6">
      <c r="H13" t="s">
        <v>113</v>
      </c>
    </row>
    <row r="14" spans="2:12 16384:16384" x14ac:dyDescent="0.6">
      <c r="D14" t="s">
        <v>92</v>
      </c>
      <c r="E14" t="s">
        <v>93</v>
      </c>
      <c r="H14" t="s">
        <v>117</v>
      </c>
    </row>
    <row r="15" spans="2:12 16384:16384" x14ac:dyDescent="0.6">
      <c r="D15">
        <f>E15+273.15</f>
        <v>617.15</v>
      </c>
      <c r="E15">
        <v>344</v>
      </c>
      <c r="H15" t="s">
        <v>118</v>
      </c>
    </row>
    <row r="19" spans="1:12" x14ac:dyDescent="0.6">
      <c r="C19" s="4"/>
      <c r="D19" s="3" t="s">
        <v>0</v>
      </c>
      <c r="E19" s="3" t="s">
        <v>7</v>
      </c>
      <c r="F19" s="33" t="s">
        <v>119</v>
      </c>
      <c r="G19" s="33" t="s">
        <v>1</v>
      </c>
      <c r="H19" s="3" t="s">
        <v>4</v>
      </c>
      <c r="I19" s="3" t="s">
        <v>5</v>
      </c>
      <c r="J19" s="33" t="s">
        <v>121</v>
      </c>
      <c r="K19" s="33" t="s">
        <v>120</v>
      </c>
    </row>
    <row r="20" spans="1:12" x14ac:dyDescent="0.6">
      <c r="A20" t="s">
        <v>111</v>
      </c>
      <c r="C20" s="4" t="s">
        <v>8</v>
      </c>
      <c r="D20" s="28">
        <v>871.15</v>
      </c>
      <c r="E20" s="28">
        <f>((F21*G11)/(H20*I20))</f>
        <v>66.798656875625724</v>
      </c>
      <c r="F20" s="35">
        <f>100%-F21</f>
        <v>0.8</v>
      </c>
      <c r="G20" s="28">
        <f>D20-E20</f>
        <v>804.35134312437424</v>
      </c>
      <c r="H20" s="28">
        <v>1229</v>
      </c>
      <c r="I20" s="28">
        <f>1549-(0.15*D20)</f>
        <v>1418.3275000000001</v>
      </c>
      <c r="J20" s="32">
        <v>582191876</v>
      </c>
      <c r="K20" s="32">
        <f>J20-(I20*H20*E20)</f>
        <v>465753500.79999995</v>
      </c>
    </row>
    <row r="21" spans="1:12" x14ac:dyDescent="0.6">
      <c r="C21" s="4" t="s">
        <v>9</v>
      </c>
      <c r="D21" s="30">
        <v>298.14999999999998</v>
      </c>
      <c r="E21" s="30">
        <f>G21-D21</f>
        <v>495</v>
      </c>
      <c r="F21" s="36">
        <v>0.2</v>
      </c>
      <c r="G21" s="28">
        <v>793.15</v>
      </c>
      <c r="H21" s="29" t="e">
        <f>J21/(I21*E21)</f>
        <v>#DIV/0!</v>
      </c>
      <c r="I21" s="4"/>
      <c r="J21" s="32">
        <f>J20-K20</f>
        <v>116438375.20000005</v>
      </c>
      <c r="K21" s="32"/>
    </row>
    <row r="22" spans="1:12" x14ac:dyDescent="0.6">
      <c r="F22" s="34"/>
      <c r="G22" s="34"/>
      <c r="J22" s="34"/>
      <c r="K22" s="34"/>
    </row>
    <row r="23" spans="1:12" x14ac:dyDescent="0.6">
      <c r="C23" s="4"/>
      <c r="D23" s="3" t="s">
        <v>0</v>
      </c>
      <c r="E23" s="3" t="s">
        <v>7</v>
      </c>
      <c r="F23" s="33" t="s">
        <v>119</v>
      </c>
      <c r="G23" s="33" t="s">
        <v>1</v>
      </c>
      <c r="H23" s="3" t="s">
        <v>4</v>
      </c>
      <c r="I23" s="3" t="s">
        <v>5</v>
      </c>
      <c r="J23" s="33" t="s">
        <v>121</v>
      </c>
      <c r="K23" s="33" t="s">
        <v>122</v>
      </c>
    </row>
    <row r="24" spans="1:12" x14ac:dyDescent="0.6">
      <c r="A24" t="s">
        <v>112</v>
      </c>
      <c r="C24" s="4" t="s">
        <v>8</v>
      </c>
      <c r="D24" s="30">
        <f>G20</f>
        <v>804.35134312437424</v>
      </c>
      <c r="E24" s="28">
        <f>D24-G24</f>
        <v>187.20134312437426</v>
      </c>
      <c r="F24" s="32"/>
      <c r="G24" s="28">
        <f>617.15</f>
        <v>617.15</v>
      </c>
      <c r="H24" s="28">
        <v>1229</v>
      </c>
      <c r="I24" s="31">
        <f>1549-(0.15*D24)</f>
        <v>1428.3472985313438</v>
      </c>
      <c r="J24" s="32">
        <f>K20</f>
        <v>465753500.79999995</v>
      </c>
      <c r="K24" s="32">
        <f>J24-(H24*I24*E24)</f>
        <v>137132994.07097197</v>
      </c>
    </row>
    <row r="25" spans="1:12" x14ac:dyDescent="0.6">
      <c r="C25" s="4" t="s">
        <v>9</v>
      </c>
      <c r="D25" s="28">
        <v>560.15</v>
      </c>
      <c r="E25" s="28">
        <f>D25-G25</f>
        <v>560.15</v>
      </c>
      <c r="F25" s="32"/>
      <c r="G25" s="32"/>
      <c r="H25" s="29">
        <f>F25*G25</f>
        <v>0</v>
      </c>
      <c r="I25" s="4"/>
      <c r="J25" s="32">
        <f>(J24-K24)*0.916</f>
        <v>301016384.16378963</v>
      </c>
      <c r="K25" s="32"/>
    </row>
    <row r="28" spans="1:12" x14ac:dyDescent="0.6">
      <c r="H28" t="s">
        <v>136</v>
      </c>
    </row>
    <row r="29" spans="1:12" x14ac:dyDescent="0.6">
      <c r="D29" t="s">
        <v>114</v>
      </c>
      <c r="G29" t="s">
        <v>123</v>
      </c>
      <c r="H29" s="31" t="s">
        <v>137</v>
      </c>
      <c r="J29" t="s">
        <v>124</v>
      </c>
      <c r="K29">
        <f>J24-K24</f>
        <v>328620506.72902799</v>
      </c>
      <c r="L29" t="s">
        <v>60</v>
      </c>
    </row>
    <row r="30" spans="1:12" x14ac:dyDescent="0.6">
      <c r="D30" t="s">
        <v>4</v>
      </c>
      <c r="E30">
        <f>1229</f>
        <v>1229</v>
      </c>
      <c r="F30" t="s">
        <v>66</v>
      </c>
      <c r="G30" t="s">
        <v>123</v>
      </c>
      <c r="J30" t="s">
        <v>125</v>
      </c>
      <c r="K30">
        <f>K29*0.95</f>
        <v>312189481.39257658</v>
      </c>
      <c r="L30" t="s">
        <v>60</v>
      </c>
    </row>
    <row r="31" spans="1:12" x14ac:dyDescent="0.6">
      <c r="D31" t="s">
        <v>115</v>
      </c>
      <c r="E31">
        <f>1549-(0.15*D20)</f>
        <v>1418.3275000000001</v>
      </c>
      <c r="F31" t="s">
        <v>116</v>
      </c>
      <c r="H31" t="s">
        <v>138</v>
      </c>
      <c r="J31" t="s">
        <v>126</v>
      </c>
      <c r="K31">
        <f>K30/K32</f>
        <v>31218.948139257656</v>
      </c>
      <c r="L31" t="s">
        <v>129</v>
      </c>
    </row>
    <row r="32" spans="1:12" x14ac:dyDescent="0.6">
      <c r="J32" t="s">
        <v>127</v>
      </c>
      <c r="K32">
        <v>10000</v>
      </c>
      <c r="L32" s="2" t="s">
        <v>128</v>
      </c>
    </row>
    <row r="33" spans="6:12" x14ac:dyDescent="0.6">
      <c r="J33" t="s">
        <v>131</v>
      </c>
      <c r="K33">
        <v>9000</v>
      </c>
      <c r="L33" t="s">
        <v>130</v>
      </c>
    </row>
    <row r="34" spans="6:12" x14ac:dyDescent="0.6">
      <c r="J34" t="s">
        <v>132</v>
      </c>
      <c r="K34">
        <f>K32/K33</f>
        <v>1.1111111111111112</v>
      </c>
    </row>
    <row r="35" spans="6:12" x14ac:dyDescent="0.6">
      <c r="J35" t="s">
        <v>133</v>
      </c>
      <c r="K35">
        <f>D24-D25</f>
        <v>244.20134312437426</v>
      </c>
    </row>
    <row r="36" spans="6:12" x14ac:dyDescent="0.6">
      <c r="F36">
        <f>K32*K33*K34</f>
        <v>100000000</v>
      </c>
      <c r="G36" t="s">
        <v>135</v>
      </c>
      <c r="H36">
        <f>F36/F37</f>
        <v>500000</v>
      </c>
      <c r="J36" t="s">
        <v>134</v>
      </c>
    </row>
    <row r="37" spans="6:12" x14ac:dyDescent="0.6">
      <c r="F37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L4" sqref="L4"/>
    </sheetView>
  </sheetViews>
  <sheetFormatPr defaultColWidth="11" defaultRowHeight="15.6" x14ac:dyDescent="0.6"/>
  <cols>
    <col min="1" max="1" width="22.59765625" bestFit="1" customWidth="1"/>
    <col min="2" max="2" width="17.5" customWidth="1"/>
    <col min="12" max="12" width="21" bestFit="1" customWidth="1"/>
    <col min="14" max="15" width="14.5" customWidth="1"/>
  </cols>
  <sheetData>
    <row r="1" spans="1:19" s="1" customFormat="1" x14ac:dyDescent="0.6">
      <c r="A1" s="11" t="s">
        <v>23</v>
      </c>
      <c r="B1" s="11"/>
      <c r="C1" s="11"/>
      <c r="D1" s="11"/>
      <c r="E1" s="11"/>
      <c r="I1" s="1" t="s">
        <v>24</v>
      </c>
    </row>
    <row r="2" spans="1:19" x14ac:dyDescent="0.6">
      <c r="A2" s="10" t="s">
        <v>25</v>
      </c>
      <c r="B2" s="10" t="s">
        <v>26</v>
      </c>
      <c r="C2" s="10" t="s">
        <v>27</v>
      </c>
      <c r="D2" s="10" t="s">
        <v>28</v>
      </c>
      <c r="E2" s="1"/>
      <c r="F2" s="1"/>
      <c r="G2" s="1"/>
      <c r="H2" s="1"/>
      <c r="I2" s="7" t="s">
        <v>25</v>
      </c>
      <c r="J2" s="7" t="s">
        <v>26</v>
      </c>
      <c r="K2" s="7" t="s">
        <v>27</v>
      </c>
      <c r="L2" s="7" t="s">
        <v>28</v>
      </c>
    </row>
    <row r="3" spans="1:19" x14ac:dyDescent="0.6">
      <c r="A3" s="4">
        <v>538</v>
      </c>
      <c r="B3" s="4">
        <v>32</v>
      </c>
      <c r="C3" s="4">
        <v>598</v>
      </c>
      <c r="D3" s="4">
        <v>344</v>
      </c>
      <c r="I3" s="15">
        <v>520</v>
      </c>
      <c r="J3" s="4">
        <v>25</v>
      </c>
      <c r="K3" s="4">
        <v>598</v>
      </c>
      <c r="L3" s="15">
        <v>580</v>
      </c>
    </row>
    <row r="4" spans="1:19" x14ac:dyDescent="0.6">
      <c r="A4" s="5" t="s">
        <v>29</v>
      </c>
      <c r="B4" s="6" t="s">
        <v>30</v>
      </c>
      <c r="C4" s="6" t="s">
        <v>30</v>
      </c>
      <c r="D4" s="6" t="s">
        <v>29</v>
      </c>
      <c r="I4" s="12" t="s">
        <v>29</v>
      </c>
      <c r="J4" s="13" t="s">
        <v>30</v>
      </c>
      <c r="K4" s="13" t="s">
        <v>30</v>
      </c>
      <c r="L4" s="13" t="s">
        <v>29</v>
      </c>
    </row>
    <row r="8" spans="1:19" x14ac:dyDescent="0.6">
      <c r="A8" s="9" t="s">
        <v>31</v>
      </c>
      <c r="B8" t="s">
        <v>32</v>
      </c>
      <c r="F8" s="1" t="s">
        <v>33</v>
      </c>
      <c r="G8">
        <f>D18/D9</f>
        <v>1.3258771832804679</v>
      </c>
      <c r="I8" s="1" t="s">
        <v>34</v>
      </c>
      <c r="J8">
        <f>K3-L3</f>
        <v>18</v>
      </c>
      <c r="L8" s="1" t="s">
        <v>35</v>
      </c>
      <c r="M8">
        <f>B19*B15*J8</f>
        <v>34355466</v>
      </c>
      <c r="N8" t="s">
        <v>36</v>
      </c>
    </row>
    <row r="9" spans="1:19" x14ac:dyDescent="0.6">
      <c r="A9" s="1" t="s">
        <v>37</v>
      </c>
      <c r="B9" t="s">
        <v>38</v>
      </c>
      <c r="D9">
        <f>(D10-D11)/LN(D10/D11)</f>
        <v>365.64004880190299</v>
      </c>
      <c r="F9" t="s">
        <v>39</v>
      </c>
      <c r="I9" s="1" t="s">
        <v>40</v>
      </c>
      <c r="J9">
        <f>I3-J3</f>
        <v>495</v>
      </c>
      <c r="M9">
        <f>M8/10^6</f>
        <v>34.355466</v>
      </c>
      <c r="N9" t="s">
        <v>41</v>
      </c>
      <c r="S9">
        <v>5</v>
      </c>
    </row>
    <row r="10" spans="1:19" x14ac:dyDescent="0.6">
      <c r="A10" s="1" t="s">
        <v>34</v>
      </c>
      <c r="B10" t="s">
        <v>42</v>
      </c>
      <c r="C10" t="s">
        <v>43</v>
      </c>
      <c r="D10">
        <f>C3-D3</f>
        <v>254</v>
      </c>
      <c r="I10" s="1" t="s">
        <v>37</v>
      </c>
      <c r="J10">
        <f>(J9-J8)/LN(J9/J8)</f>
        <v>143.92674379998545</v>
      </c>
      <c r="L10" s="1" t="s">
        <v>44</v>
      </c>
      <c r="M10" t="s">
        <v>45</v>
      </c>
      <c r="N10" t="s">
        <v>46</v>
      </c>
      <c r="O10" t="s">
        <v>47</v>
      </c>
      <c r="S10" t="s">
        <v>48</v>
      </c>
    </row>
    <row r="11" spans="1:19" x14ac:dyDescent="0.6">
      <c r="A11" s="1" t="s">
        <v>40</v>
      </c>
      <c r="B11" t="s">
        <v>49</v>
      </c>
      <c r="C11" t="s">
        <v>50</v>
      </c>
      <c r="D11">
        <f>A3-B3</f>
        <v>506</v>
      </c>
      <c r="M11">
        <f>75*M12*M13</f>
        <v>3.7669499999999996</v>
      </c>
      <c r="N11">
        <f>M13*M14</f>
        <v>27.071999999999996</v>
      </c>
      <c r="O11">
        <f>(M9-M11-N11)/M13/O12+100</f>
        <v>246.81513026052116</v>
      </c>
    </row>
    <row r="12" spans="1:19" x14ac:dyDescent="0.6">
      <c r="I12" s="1"/>
      <c r="L12" t="s">
        <v>51</v>
      </c>
      <c r="M12">
        <f>4185.5/10^6</f>
        <v>4.1855E-3</v>
      </c>
      <c r="O12">
        <f>1.996/10^3</f>
        <v>1.9959999999999999E-3</v>
      </c>
    </row>
    <row r="13" spans="1:19" x14ac:dyDescent="0.6">
      <c r="B13" s="1"/>
      <c r="L13" t="s">
        <v>52</v>
      </c>
      <c r="M13" s="16">
        <v>12</v>
      </c>
    </row>
    <row r="14" spans="1:19" x14ac:dyDescent="0.6">
      <c r="A14" s="1" t="s">
        <v>53</v>
      </c>
      <c r="B14">
        <v>238</v>
      </c>
      <c r="L14" t="s">
        <v>54</v>
      </c>
      <c r="M14">
        <v>2.2559999999999998</v>
      </c>
    </row>
    <row r="15" spans="1:19" x14ac:dyDescent="0.6">
      <c r="A15" s="1" t="s">
        <v>55</v>
      </c>
      <c r="B15">
        <v>1229</v>
      </c>
    </row>
    <row r="17" spans="1:4" x14ac:dyDescent="0.6">
      <c r="A17" s="1"/>
    </row>
    <row r="18" spans="1:4" x14ac:dyDescent="0.6">
      <c r="A18" s="1" t="s">
        <v>31</v>
      </c>
      <c r="B18" t="s">
        <v>56</v>
      </c>
      <c r="C18">
        <f>B19*D10*B15</f>
        <v>484793798</v>
      </c>
      <c r="D18" s="8">
        <f>C18/10^6</f>
        <v>484.79379799999998</v>
      </c>
    </row>
    <row r="19" spans="1:4" x14ac:dyDescent="0.6">
      <c r="A19" s="1" t="s">
        <v>57</v>
      </c>
      <c r="B19">
        <v>1553</v>
      </c>
      <c r="D19" s="2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" defaultRowHeight="15.6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Pedro</vt:lpstr>
      <vt:lpstr>Sheet1</vt:lpstr>
      <vt:lpstr>Sheet2</vt:lpstr>
      <vt:lpstr>Joseph</vt:lpstr>
      <vt:lpstr>Adria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 Vicente</cp:lastModifiedBy>
  <cp:revision/>
  <dcterms:created xsi:type="dcterms:W3CDTF">2017-11-17T07:02:00Z</dcterms:created>
  <dcterms:modified xsi:type="dcterms:W3CDTF">2017-12-08T19:00:50Z</dcterms:modified>
  <cp:category/>
  <cp:contentStatus/>
</cp:coreProperties>
</file>