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8"/>
  <workbookPr/>
  <mc:AlternateContent xmlns:mc="http://schemas.openxmlformats.org/markup-compatibility/2006">
    <mc:Choice Requires="x15">
      <x15ac:absPath xmlns:x15ac="http://schemas.microsoft.com/office/spreadsheetml/2010/11/ac" url="https://d.docs.live.net/57e9b39f3d127f48/Documents/"/>
    </mc:Choice>
  </mc:AlternateContent>
  <xr:revisionPtr revIDLastSave="506" documentId="FA3F9EB67D736C0E4F578B4B6A47442853AC6620" xr6:coauthVersionLast="26" xr6:coauthVersionMax="26" xr10:uidLastSave="{68B31F8A-7FD7-45AF-8941-1709DF339835}"/>
  <bookViews>
    <workbookView xWindow="1300" yWindow="1180" windowWidth="27500" windowHeight="16820" tabRatio="500" firstSheet="2" activeTab="1" xr2:uid="{00000000-000D-0000-FFFF-FFFF00000000}"/>
  </bookViews>
  <sheets>
    <sheet name="Pedro" sheetId="1" r:id="rId1"/>
    <sheet name="Joseph" sheetId="2" r:id="rId2"/>
    <sheet name="Adria" sheetId="3" r:id="rId3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2" l="1"/>
  <c r="C18" i="2"/>
  <c r="D18" i="2"/>
  <c r="E18" i="2"/>
  <c r="G10" i="3"/>
  <c r="I38" i="2"/>
  <c r="O38" i="2"/>
  <c r="P38" i="2"/>
  <c r="Q38" i="2"/>
  <c r="O34" i="2"/>
  <c r="P34" i="2"/>
  <c r="Q34" i="2"/>
  <c r="J38" i="2"/>
  <c r="J40" i="2"/>
  <c r="I34" i="2"/>
  <c r="H34" i="2"/>
  <c r="J34" i="2"/>
  <c r="H38" i="2"/>
  <c r="C10" i="3"/>
  <c r="G12" i="3"/>
  <c r="B15" i="3"/>
  <c r="B16" i="3"/>
  <c r="D10" i="3"/>
  <c r="H10" i="3"/>
  <c r="M11" i="2"/>
  <c r="J8" i="2"/>
  <c r="M8" i="2"/>
  <c r="M9" i="2"/>
  <c r="N11" i="2"/>
  <c r="M15" i="2"/>
  <c r="O12" i="2"/>
  <c r="M12" i="2"/>
  <c r="F8" i="1"/>
  <c r="H8" i="1"/>
  <c r="G18" i="1"/>
  <c r="I21" i="1"/>
  <c r="H7" i="1"/>
  <c r="K8" i="1"/>
  <c r="E12" i="1"/>
  <c r="E11" i="1"/>
  <c r="F7" i="1"/>
  <c r="E10" i="1"/>
  <c r="E13" i="1"/>
  <c r="I13" i="1"/>
  <c r="E7" i="1"/>
  <c r="K7" i="1"/>
  <c r="J9" i="2"/>
  <c r="J10" i="2"/>
  <c r="D10" i="2"/>
  <c r="D11" i="2"/>
  <c r="D9" i="2"/>
  <c r="G8" i="2"/>
</calcChain>
</file>

<file path=xl/sharedStrings.xml><?xml version="1.0" encoding="utf-8"?>
<sst xmlns="http://schemas.openxmlformats.org/spreadsheetml/2006/main" count="145" uniqueCount="100">
  <si>
    <t>By adjusting flow we can Load follow!</t>
  </si>
  <si>
    <t>Temperature In, K</t>
  </si>
  <si>
    <t>Temperature Out, K</t>
  </si>
  <si>
    <t>Flow Rate, v (m^3/s)</t>
  </si>
  <si>
    <t>Flow Density, p, (kg/s)</t>
  </si>
  <si>
    <t>Mass Flow Rate</t>
  </si>
  <si>
    <t>Specific Heat Capacity (m^2/s^2 K)</t>
  </si>
  <si>
    <t>Density (kg/m^3)</t>
  </si>
  <si>
    <t>Delta T</t>
  </si>
  <si>
    <t>Solar Salt</t>
  </si>
  <si>
    <t>Water</t>
  </si>
  <si>
    <t>(mCp)hot</t>
  </si>
  <si>
    <t>(mCp)cold</t>
  </si>
  <si>
    <t>From Equation</t>
  </si>
  <si>
    <t>Delta,T cold</t>
  </si>
  <si>
    <t>Delta,T hot</t>
  </si>
  <si>
    <t xml:space="preserve">HEAT LOSS. This means the molten salt is coming out at </t>
  </si>
  <si>
    <t>Firs assuming heat exchanger is perfect T,hi = T,co</t>
  </si>
  <si>
    <t>Q (A to inifity) =</t>
  </si>
  <si>
    <t>(mCp)cold * (T,hi - T,ci)</t>
  </si>
  <si>
    <t>Using Heat Exchanger Effectiveness, e</t>
  </si>
  <si>
    <t>e = Q/Q(A to infinity)</t>
  </si>
  <si>
    <t>In our case considering a heat exchanger efficiency of 94% Q =</t>
  </si>
  <si>
    <t>If we use the other formula:</t>
  </si>
  <si>
    <t>Energy Side</t>
  </si>
  <si>
    <t>Hydrogen production</t>
  </si>
  <si>
    <t>Th_Steam</t>
  </si>
  <si>
    <t>Tc_Steam</t>
  </si>
  <si>
    <t>Th_salt</t>
  </si>
  <si>
    <t>Tc_Salt</t>
  </si>
  <si>
    <t>out</t>
  </si>
  <si>
    <t>in</t>
  </si>
  <si>
    <t>q_dot=</t>
  </si>
  <si>
    <t>UA*T_lm</t>
  </si>
  <si>
    <t>UA=</t>
  </si>
  <si>
    <t>dT1=</t>
  </si>
  <si>
    <t>q (salt loss)=</t>
  </si>
  <si>
    <t>(W)</t>
  </si>
  <si>
    <t xml:space="preserve">T_lm= </t>
  </si>
  <si>
    <t>(dT1-dT2)/ln(dT1/dT2)</t>
  </si>
  <si>
    <t>MW/C</t>
  </si>
  <si>
    <t>dT2=</t>
  </si>
  <si>
    <t>(MW)</t>
  </si>
  <si>
    <t>Tin-Tout</t>
  </si>
  <si>
    <t>salt</t>
  </si>
  <si>
    <t>q(water gain)=</t>
  </si>
  <si>
    <t>q(25--&gt;100)</t>
  </si>
  <si>
    <t>.+latent heat</t>
  </si>
  <si>
    <t>.+q(100--&gt;??)</t>
  </si>
  <si>
    <t> 2.256</t>
  </si>
  <si>
    <t>Tout-Tin</t>
  </si>
  <si>
    <t>water</t>
  </si>
  <si>
    <t>C [MJ/(kg⋅K)]</t>
  </si>
  <si>
    <t>m_dot (lowest) kg/s</t>
  </si>
  <si>
    <t>m_dot (steam) kg/s</t>
  </si>
  <si>
    <t>latent heat of vap MJ/kg=</t>
  </si>
  <si>
    <t>m_dot (salt) kg/s</t>
  </si>
  <si>
    <t>Final Temp</t>
  </si>
  <si>
    <t>m_dot*dT*C</t>
  </si>
  <si>
    <t>C (specific heat) ~ [J/kgK]</t>
  </si>
  <si>
    <t>http://www.worldresearchlibrary.org/up_proc/pdf/262-146139119013-18.pdf</t>
  </si>
  <si>
    <t>Full Power</t>
  </si>
  <si>
    <t>deg (C)</t>
  </si>
  <si>
    <t>Enter IHX</t>
  </si>
  <si>
    <t>Leavinig IHX</t>
  </si>
  <si>
    <t>Enter H HX</t>
  </si>
  <si>
    <t>Leaving H HX</t>
  </si>
  <si>
    <t>Enter SG</t>
  </si>
  <si>
    <t>Leaving SG</t>
  </si>
  <si>
    <t>Power 100%</t>
  </si>
  <si>
    <t>Temp (C)</t>
  </si>
  <si>
    <t>Enthalpy (h)</t>
  </si>
  <si>
    <t>Delta(h)</t>
  </si>
  <si>
    <t>Delta(MW)</t>
  </si>
  <si>
    <t>MW*eff</t>
  </si>
  <si>
    <t>Power 50%</t>
  </si>
  <si>
    <t>Entering Turbine 1</t>
  </si>
  <si>
    <t>538 C</t>
  </si>
  <si>
    <t>Exiting Turbine 1</t>
  </si>
  <si>
    <t>343 C</t>
  </si>
  <si>
    <t>Enter Reheat</t>
  </si>
  <si>
    <t>Exit Reheat</t>
  </si>
  <si>
    <t>Enter Turbine 2</t>
  </si>
  <si>
    <t>248 C</t>
  </si>
  <si>
    <t>32 C</t>
  </si>
  <si>
    <t>Salt</t>
  </si>
  <si>
    <t xml:space="preserve">Assumptions </t>
  </si>
  <si>
    <t>Column1</t>
  </si>
  <si>
    <t>Mass Flow (kg/s)</t>
  </si>
  <si>
    <t>Cpi (J/kg*K)</t>
  </si>
  <si>
    <t>Cpo (J/kg*K)</t>
  </si>
  <si>
    <t>Ti (K)</t>
  </si>
  <si>
    <t>To (K)</t>
  </si>
  <si>
    <t>Qi (J)</t>
  </si>
  <si>
    <t>Qc (J)</t>
  </si>
  <si>
    <t>Steam</t>
  </si>
  <si>
    <t>-</t>
  </si>
  <si>
    <t>Hydrogen</t>
  </si>
  <si>
    <t>Qhx-Qh</t>
  </si>
  <si>
    <t>To(-)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</si>
</sst>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9B7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2" fillId="2" borderId="2" xfId="0" applyFont="1" applyFill="1" applyBorder="1"/>
    <xf numFmtId="0" fontId="2" fillId="0" borderId="0" xfId="0" applyFont="1" applyFill="1" applyBorder="1"/>
    <xf numFmtId="0" fontId="0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A9BAF-FD0A-4DEF-9402-FE52AC6C160C}" name="Table1" displayName="Table1" ref="A3:A4" insertRow="1" totalsRowShown="0">
  <autoFilter ref="A3:A4" xr:uid="{5F5DA2A2-E47F-4BF7-9EBC-05F3DC84A576}"/>
  <sortState ref="A4">
    <sortCondition descending="1" ref="A3:A4"/>
  </sortState>
  <tableColumns count="1">
    <tableColumn id="1" xr3:uid="{9F02F785-0609-467D-9C69-3CCC970AED4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orldresearchlibrary.org/up_proc/pdf/262-146139119013-1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3"/>
  <sheetViews>
    <sheetView topLeftCell="C3" workbookViewId="0" xr3:uid="{AEA406A1-0E4B-5B11-9CD5-51D6E497D94C}">
      <selection activeCell="G8" sqref="G8"/>
    </sheetView>
  </sheetViews>
  <sheetFormatPr defaultColWidth="11" defaultRowHeight="15.95"/>
  <cols>
    <col min="4" max="4" width="17.375" customWidth="1"/>
    <col min="5" max="6" width="18.75" customWidth="1"/>
    <col min="7" max="7" width="20.125" customWidth="1"/>
    <col min="8" max="8" width="16.125" customWidth="1"/>
    <col min="9" max="9" width="28.75" customWidth="1"/>
    <col min="10" max="10" width="15.25" customWidth="1"/>
  </cols>
  <sheetData>
    <row r="3" spans="3:11">
      <c r="E3" t="s">
        <v>0</v>
      </c>
    </row>
    <row r="6" spans="3:11" ht="15.75">
      <c r="C6" s="4"/>
      <c r="D6" s="3" t="s">
        <v>1</v>
      </c>
      <c r="E6" s="3" t="s">
        <v>2</v>
      </c>
      <c r="F6" s="4" t="s">
        <v>3</v>
      </c>
      <c r="G6" s="4" t="s">
        <v>4</v>
      </c>
      <c r="H6" s="3" t="s">
        <v>5</v>
      </c>
      <c r="I6" s="4" t="s">
        <v>6</v>
      </c>
      <c r="J6" s="4" t="s">
        <v>7</v>
      </c>
      <c r="K6" s="3" t="s">
        <v>8</v>
      </c>
    </row>
    <row r="7" spans="3:11">
      <c r="C7" s="4" t="s">
        <v>9</v>
      </c>
      <c r="D7" s="4">
        <v>873.15</v>
      </c>
      <c r="E7" s="4">
        <f>I13</f>
        <v>755.55198539959065</v>
      </c>
      <c r="F7" s="4">
        <f>G7/J7</f>
        <v>0.74421052631578943</v>
      </c>
      <c r="G7" s="4">
        <v>1414</v>
      </c>
      <c r="H7" s="4">
        <f>F7*G7</f>
        <v>1052.3136842105262</v>
      </c>
      <c r="I7" s="4">
        <v>1500</v>
      </c>
      <c r="J7" s="4">
        <v>1900</v>
      </c>
      <c r="K7" s="4">
        <f>E7-D7</f>
        <v>-117.59801460040933</v>
      </c>
    </row>
    <row r="8" spans="3:11">
      <c r="C8" s="4" t="s">
        <v>10</v>
      </c>
      <c r="D8" s="4">
        <v>298.14999999999998</v>
      </c>
      <c r="E8" s="4">
        <v>793.15</v>
      </c>
      <c r="F8" s="4">
        <f>G8/J8</f>
        <v>0.5</v>
      </c>
      <c r="G8" s="14">
        <v>500</v>
      </c>
      <c r="H8" s="4">
        <f>F8*G8</f>
        <v>250</v>
      </c>
      <c r="I8" s="4">
        <v>4205</v>
      </c>
      <c r="J8" s="4">
        <v>1000</v>
      </c>
      <c r="K8" s="4">
        <f>E8-D8</f>
        <v>495</v>
      </c>
    </row>
    <row r="10" spans="3:11">
      <c r="D10" t="s">
        <v>11</v>
      </c>
      <c r="E10">
        <f>H7</f>
        <v>1052.3136842105262</v>
      </c>
    </row>
    <row r="11" spans="3:11">
      <c r="D11" t="s">
        <v>12</v>
      </c>
      <c r="E11">
        <f>H8</f>
        <v>250</v>
      </c>
      <c r="G11" s="4" t="s">
        <v>13</v>
      </c>
      <c r="H11" s="4" t="s">
        <v>11</v>
      </c>
      <c r="I11" s="4" t="s">
        <v>14</v>
      </c>
    </row>
    <row r="12" spans="3:11">
      <c r="D12" t="s">
        <v>14</v>
      </c>
      <c r="E12">
        <f>K8</f>
        <v>495</v>
      </c>
      <c r="G12" s="4"/>
      <c r="H12" s="4" t="s">
        <v>12</v>
      </c>
      <c r="I12" s="4" t="s">
        <v>15</v>
      </c>
    </row>
    <row r="13" spans="3:11" ht="15.75">
      <c r="D13" s="1" t="s">
        <v>15</v>
      </c>
      <c r="E13">
        <f>(E12*E11)/E10</f>
        <v>117.59801460040934</v>
      </c>
      <c r="F13" t="s">
        <v>16</v>
      </c>
      <c r="I13" s="1">
        <f>D7-E13</f>
        <v>755.55198539959065</v>
      </c>
    </row>
    <row r="17" spans="3:9">
      <c r="C17">
        <v>-1</v>
      </c>
      <c r="D17" t="s">
        <v>17</v>
      </c>
    </row>
    <row r="18" spans="3:9">
      <c r="D18" t="s">
        <v>18</v>
      </c>
      <c r="E18" t="s">
        <v>19</v>
      </c>
      <c r="G18">
        <f>H8*(D7-D8)</f>
        <v>143750</v>
      </c>
    </row>
    <row r="20" spans="3:9">
      <c r="C20">
        <v>2</v>
      </c>
      <c r="D20" t="s">
        <v>20</v>
      </c>
    </row>
    <row r="21" spans="3:9">
      <c r="D21" t="s">
        <v>21</v>
      </c>
      <c r="F21" t="s">
        <v>22</v>
      </c>
      <c r="I21">
        <f>(0.94)/G18</f>
        <v>6.5391304347826083E-6</v>
      </c>
    </row>
    <row r="23" spans="3:9">
      <c r="C23">
        <v>3</v>
      </c>
      <c r="D2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topLeftCell="B1" workbookViewId="0" xr3:uid="{958C4451-9541-5A59-BF78-D2F731DF1C81}">
      <selection activeCell="O12" sqref="O12"/>
    </sheetView>
  </sheetViews>
  <sheetFormatPr defaultColWidth="11" defaultRowHeight="15.95"/>
  <cols>
    <col min="1" max="1" width="22.625" bestFit="1" customWidth="1"/>
    <col min="2" max="2" width="17.5" customWidth="1"/>
    <col min="5" max="5" width="16" customWidth="1"/>
    <col min="8" max="8" width="8" bestFit="1" customWidth="1"/>
    <col min="12" max="12" width="21" bestFit="1" customWidth="1"/>
    <col min="14" max="15" width="14.5" customWidth="1"/>
  </cols>
  <sheetData>
    <row r="1" spans="1:19" s="1" customFormat="1" ht="15.75">
      <c r="A1" s="11" t="s">
        <v>24</v>
      </c>
      <c r="B1" s="11"/>
      <c r="C1" s="11"/>
      <c r="D1" s="11"/>
      <c r="E1" s="11"/>
      <c r="I1" s="1" t="s">
        <v>25</v>
      </c>
    </row>
    <row r="2" spans="1:19" ht="15.75">
      <c r="A2" s="10" t="s">
        <v>26</v>
      </c>
      <c r="B2" s="10" t="s">
        <v>27</v>
      </c>
      <c r="C2" s="10" t="s">
        <v>28</v>
      </c>
      <c r="D2" s="10" t="s">
        <v>29</v>
      </c>
      <c r="E2" s="1"/>
      <c r="F2" s="1"/>
      <c r="G2" s="1"/>
      <c r="H2" s="1"/>
      <c r="I2" s="7" t="s">
        <v>26</v>
      </c>
      <c r="J2" s="7" t="s">
        <v>27</v>
      </c>
      <c r="K2" s="7" t="s">
        <v>28</v>
      </c>
      <c r="L2" s="7" t="s">
        <v>29</v>
      </c>
    </row>
    <row r="3" spans="1:19" ht="15.75">
      <c r="A3" s="4">
        <v>538</v>
      </c>
      <c r="B3" s="4">
        <v>32</v>
      </c>
      <c r="C3" s="4">
        <v>598</v>
      </c>
      <c r="D3" s="4">
        <v>344</v>
      </c>
      <c r="I3" s="15">
        <v>520</v>
      </c>
      <c r="J3" s="4">
        <v>25</v>
      </c>
      <c r="K3" s="4">
        <v>598</v>
      </c>
      <c r="L3" s="15">
        <v>580</v>
      </c>
    </row>
    <row r="4" spans="1:19">
      <c r="A4" s="5" t="s">
        <v>30</v>
      </c>
      <c r="B4" s="6" t="s">
        <v>31</v>
      </c>
      <c r="C4" s="6" t="s">
        <v>31</v>
      </c>
      <c r="D4" s="6" t="s">
        <v>30</v>
      </c>
      <c r="I4" s="12" t="s">
        <v>30</v>
      </c>
      <c r="J4" s="13" t="s">
        <v>31</v>
      </c>
      <c r="K4" s="13" t="s">
        <v>31</v>
      </c>
      <c r="L4" s="13" t="s">
        <v>30</v>
      </c>
    </row>
    <row r="7" spans="1:19" ht="15.75"/>
    <row r="8" spans="1:19" ht="15.75">
      <c r="A8" s="9" t="s">
        <v>32</v>
      </c>
      <c r="B8" t="s">
        <v>33</v>
      </c>
      <c r="F8" s="1" t="s">
        <v>34</v>
      </c>
      <c r="G8">
        <f>D18/D9</f>
        <v>1.4969742668876684</v>
      </c>
      <c r="I8" s="1" t="s">
        <v>35</v>
      </c>
      <c r="J8">
        <f>K3-L3</f>
        <v>18</v>
      </c>
      <c r="L8" s="1" t="s">
        <v>36</v>
      </c>
      <c r="M8">
        <f>B19*B15*J8</f>
        <v>38788848</v>
      </c>
      <c r="N8" t="s">
        <v>37</v>
      </c>
    </row>
    <row r="9" spans="1:19" ht="15.75">
      <c r="A9" s="1" t="s">
        <v>38</v>
      </c>
      <c r="B9" t="s">
        <v>39</v>
      </c>
      <c r="D9">
        <f>(D10-D11)/LN(D10/D11)</f>
        <v>365.64004880190299</v>
      </c>
      <c r="F9" t="s">
        <v>40</v>
      </c>
      <c r="I9" s="1" t="s">
        <v>41</v>
      </c>
      <c r="J9">
        <f>I3-J3</f>
        <v>495</v>
      </c>
      <c r="M9">
        <f>M8/10^6</f>
        <v>38.788848000000002</v>
      </c>
      <c r="N9" t="s">
        <v>42</v>
      </c>
      <c r="S9">
        <v>5</v>
      </c>
    </row>
    <row r="10" spans="1:19" ht="15.75">
      <c r="A10" s="1" t="s">
        <v>35</v>
      </c>
      <c r="B10" t="s">
        <v>43</v>
      </c>
      <c r="C10" t="s">
        <v>44</v>
      </c>
      <c r="D10">
        <f>C3-D3</f>
        <v>254</v>
      </c>
      <c r="I10" s="1" t="s">
        <v>38</v>
      </c>
      <c r="J10">
        <f>(J9-J8)/LN(J9/J8)</f>
        <v>143.92674379998545</v>
      </c>
      <c r="L10" s="1" t="s">
        <v>45</v>
      </c>
      <c r="M10" s="17" t="s">
        <v>46</v>
      </c>
      <c r="N10" s="17" t="s">
        <v>47</v>
      </c>
      <c r="O10" s="17" t="s">
        <v>48</v>
      </c>
      <c r="S10" t="s">
        <v>49</v>
      </c>
    </row>
    <row r="11" spans="1:19" ht="15.75">
      <c r="A11" s="1" t="s">
        <v>41</v>
      </c>
      <c r="B11" t="s">
        <v>50</v>
      </c>
      <c r="C11" t="s">
        <v>51</v>
      </c>
      <c r="D11">
        <f>A3-B3</f>
        <v>506</v>
      </c>
      <c r="M11">
        <f>M13*M12*75</f>
        <v>62.782499999999999</v>
      </c>
      <c r="N11">
        <f>M13*M14</f>
        <v>451.19999999999993</v>
      </c>
      <c r="O11">
        <f>M13*O12</f>
        <v>0.3992</v>
      </c>
    </row>
    <row r="12" spans="1:19" ht="15.75">
      <c r="I12" s="1"/>
      <c r="L12" t="s">
        <v>52</v>
      </c>
      <c r="M12">
        <f>4185.5/10^6</f>
        <v>4.1855E-3</v>
      </c>
      <c r="O12">
        <f>1.996/10^3</f>
        <v>1.9959999999999999E-3</v>
      </c>
    </row>
    <row r="13" spans="1:19" ht="15.75">
      <c r="B13" s="1"/>
      <c r="L13" t="s">
        <v>53</v>
      </c>
      <c r="M13" s="16">
        <v>200</v>
      </c>
    </row>
    <row r="14" spans="1:19" ht="15.75">
      <c r="A14" s="1" t="s">
        <v>54</v>
      </c>
      <c r="B14">
        <v>238</v>
      </c>
      <c r="L14" t="s">
        <v>55</v>
      </c>
      <c r="M14">
        <v>2.2559999999999998</v>
      </c>
    </row>
    <row r="15" spans="1:19" ht="15.75">
      <c r="A15" s="1" t="s">
        <v>56</v>
      </c>
      <c r="B15">
        <v>1414</v>
      </c>
      <c r="L15" s="1" t="s">
        <v>57</v>
      </c>
      <c r="M15" s="18">
        <f>(M9-M11-N11)/M13/O12+100</f>
        <v>-1090.3648597194388</v>
      </c>
    </row>
    <row r="16" spans="1:19" ht="15.75"/>
    <row r="17" spans="1:6" ht="15.75">
      <c r="A17" s="1"/>
    </row>
    <row r="18" spans="1:6" ht="15.75">
      <c r="A18" s="1" t="s">
        <v>32</v>
      </c>
      <c r="B18" t="s">
        <v>58</v>
      </c>
      <c r="C18">
        <f>B19*D10*B15</f>
        <v>547353744</v>
      </c>
      <c r="D18" s="8">
        <f>C18/10^6</f>
        <v>547.35374400000001</v>
      </c>
      <c r="E18">
        <f>D18*0.45</f>
        <v>246.3091848</v>
      </c>
    </row>
    <row r="19" spans="1:6" ht="15.75">
      <c r="A19" s="1" t="s">
        <v>59</v>
      </c>
      <c r="B19">
        <v>1524</v>
      </c>
      <c r="D19" s="2" t="s">
        <v>60</v>
      </c>
    </row>
    <row r="22" spans="1:6" ht="15.75">
      <c r="B22" s="1" t="s">
        <v>61</v>
      </c>
    </row>
    <row r="23" spans="1:6" ht="15.75">
      <c r="B23" s="1"/>
      <c r="C23" t="s">
        <v>62</v>
      </c>
    </row>
    <row r="24" spans="1:6" ht="15.75">
      <c r="B24" s="1" t="s">
        <v>63</v>
      </c>
      <c r="C24">
        <v>598</v>
      </c>
      <c r="E24" s="1" t="s">
        <v>63</v>
      </c>
      <c r="F24">
        <v>344</v>
      </c>
    </row>
    <row r="25" spans="1:6" ht="15.75">
      <c r="B25" s="1" t="s">
        <v>64</v>
      </c>
      <c r="C25">
        <v>344</v>
      </c>
      <c r="E25" s="1" t="s">
        <v>64</v>
      </c>
      <c r="F25">
        <v>598</v>
      </c>
    </row>
    <row r="26" spans="1:6" ht="15.75">
      <c r="B26" s="1" t="s">
        <v>65</v>
      </c>
      <c r="C26">
        <v>598</v>
      </c>
      <c r="E26" s="1" t="s">
        <v>65</v>
      </c>
      <c r="F26">
        <v>598</v>
      </c>
    </row>
    <row r="27" spans="1:6" ht="15.75">
      <c r="B27" s="1" t="s">
        <v>66</v>
      </c>
      <c r="C27">
        <v>598</v>
      </c>
      <c r="E27" s="1" t="s">
        <v>66</v>
      </c>
      <c r="F27">
        <v>598</v>
      </c>
    </row>
    <row r="28" spans="1:6" ht="15.75">
      <c r="B28" s="1" t="s">
        <v>67</v>
      </c>
      <c r="C28">
        <v>598</v>
      </c>
      <c r="E28" s="1" t="s">
        <v>67</v>
      </c>
      <c r="F28">
        <v>598</v>
      </c>
    </row>
    <row r="29" spans="1:6" ht="15.75">
      <c r="B29" s="1" t="s">
        <v>68</v>
      </c>
      <c r="C29">
        <v>344</v>
      </c>
      <c r="E29" s="1" t="s">
        <v>68</v>
      </c>
      <c r="F29">
        <v>344</v>
      </c>
    </row>
    <row r="30" spans="1:6" ht="15.75">
      <c r="B30" s="1"/>
    </row>
    <row r="31" spans="1:6" ht="15.75">
      <c r="B31" s="1"/>
      <c r="F31">
        <v>238</v>
      </c>
    </row>
    <row r="32" spans="1:6" ht="15.75">
      <c r="B32" s="1"/>
      <c r="F32">
        <v>1229</v>
      </c>
    </row>
    <row r="33" spans="2:17" ht="15.75">
      <c r="B33" s="1"/>
      <c r="E33" s="1" t="s">
        <v>69</v>
      </c>
      <c r="F33" t="s">
        <v>70</v>
      </c>
      <c r="G33" t="s">
        <v>71</v>
      </c>
      <c r="H33" t="s">
        <v>72</v>
      </c>
      <c r="I33" t="s">
        <v>73</v>
      </c>
      <c r="J33" t="s">
        <v>74</v>
      </c>
      <c r="L33" s="1" t="s">
        <v>75</v>
      </c>
      <c r="M33" t="s">
        <v>70</v>
      </c>
      <c r="N33" t="s">
        <v>71</v>
      </c>
      <c r="O33" t="s">
        <v>72</v>
      </c>
      <c r="P33" t="s">
        <v>73</v>
      </c>
      <c r="Q33" t="s">
        <v>74</v>
      </c>
    </row>
    <row r="34" spans="2:17" ht="15.75">
      <c r="B34" s="1"/>
      <c r="E34" t="s">
        <v>76</v>
      </c>
      <c r="F34" t="s">
        <v>77</v>
      </c>
      <c r="G34">
        <v>3290000</v>
      </c>
      <c r="H34">
        <f>G34-G35</f>
        <v>210000</v>
      </c>
      <c r="I34">
        <f>H34/10^6*238</f>
        <v>49.98</v>
      </c>
      <c r="J34">
        <f>I34*0.45</f>
        <v>22.491</v>
      </c>
      <c r="L34" t="s">
        <v>76</v>
      </c>
      <c r="M34" s="20" t="s">
        <v>77</v>
      </c>
      <c r="N34" s="20">
        <v>3290000</v>
      </c>
      <c r="O34" s="20">
        <f>N34-N35</f>
        <v>210000</v>
      </c>
      <c r="P34" s="20">
        <f>O34/10^6*238</f>
        <v>49.98</v>
      </c>
      <c r="Q34" s="20">
        <f>P34*0.45</f>
        <v>22.491</v>
      </c>
    </row>
    <row r="35" spans="2:17" ht="15.75">
      <c r="B35" s="1"/>
      <c r="E35" t="s">
        <v>78</v>
      </c>
      <c r="F35" t="s">
        <v>79</v>
      </c>
      <c r="G35">
        <v>3080000</v>
      </c>
      <c r="L35" t="s">
        <v>78</v>
      </c>
      <c r="M35" s="20" t="s">
        <v>79</v>
      </c>
      <c r="N35" s="20">
        <v>3080000</v>
      </c>
      <c r="O35" s="20"/>
      <c r="P35" s="20"/>
      <c r="Q35" s="20"/>
    </row>
    <row r="36" spans="2:17" ht="15.75">
      <c r="B36" s="1"/>
      <c r="E36" t="s">
        <v>80</v>
      </c>
      <c r="F36" t="s">
        <v>79</v>
      </c>
      <c r="G36">
        <v>3160000</v>
      </c>
      <c r="L36" t="s">
        <v>80</v>
      </c>
      <c r="M36" s="20" t="s">
        <v>79</v>
      </c>
      <c r="N36" s="20">
        <v>3160000</v>
      </c>
      <c r="O36" s="20"/>
      <c r="P36" s="20"/>
      <c r="Q36" s="20"/>
    </row>
    <row r="37" spans="2:17">
      <c r="E37" t="s">
        <v>81</v>
      </c>
      <c r="F37" t="s">
        <v>77</v>
      </c>
      <c r="G37">
        <v>3530000</v>
      </c>
      <c r="L37" t="s">
        <v>81</v>
      </c>
      <c r="M37" s="20" t="s">
        <v>77</v>
      </c>
      <c r="N37" s="20">
        <v>3530000</v>
      </c>
      <c r="O37" s="20"/>
      <c r="P37" s="20"/>
      <c r="Q37" s="20"/>
    </row>
    <row r="38" spans="2:17">
      <c r="E38" t="s">
        <v>82</v>
      </c>
      <c r="F38" t="s">
        <v>77</v>
      </c>
      <c r="G38">
        <v>3530000</v>
      </c>
      <c r="H38">
        <f>G38-G39</f>
        <v>3396000</v>
      </c>
      <c r="I38">
        <f>H38*197/10^6</f>
        <v>669.01199999999994</v>
      </c>
      <c r="J38">
        <f>I38*0.45</f>
        <v>301.05539999999996</v>
      </c>
      <c r="L38" t="s">
        <v>82</v>
      </c>
      <c r="M38" t="s">
        <v>83</v>
      </c>
      <c r="N38">
        <v>1832000</v>
      </c>
      <c r="O38">
        <f>N38-N39</f>
        <v>1698000</v>
      </c>
      <c r="P38">
        <f>O38*197/10^6</f>
        <v>334.50599999999997</v>
      </c>
      <c r="Q38">
        <f>P38*0.45</f>
        <v>150.52769999999998</v>
      </c>
    </row>
    <row r="39" spans="2:17">
      <c r="E39" t="s">
        <v>82</v>
      </c>
      <c r="F39" t="s">
        <v>84</v>
      </c>
      <c r="G39">
        <v>134000</v>
      </c>
      <c r="L39" t="s">
        <v>82</v>
      </c>
      <c r="M39" t="s">
        <v>84</v>
      </c>
      <c r="N39">
        <v>134000</v>
      </c>
    </row>
    <row r="40" spans="2:17">
      <c r="J40">
        <f>SUM(J38,J34)-12</f>
        <v>311.54639999999995</v>
      </c>
    </row>
    <row r="42" spans="2:17">
      <c r="L42" t="s">
        <v>85</v>
      </c>
      <c r="M42">
        <v>598</v>
      </c>
      <c r="N42">
        <v>3690000</v>
      </c>
    </row>
  </sheetData>
  <hyperlinks>
    <hyperlink ref="D19" r:id="rId1" xr:uid="{54245503-E76F-4616-AE1D-3921E45050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opLeftCell="A6" workbookViewId="0" xr3:uid="{842E5F09-E766-5B8D-85AF-A39847EA96FD}">
      <selection activeCell="G11" sqref="G11"/>
    </sheetView>
  </sheetViews>
  <sheetFormatPr defaultColWidth="11" defaultRowHeight="15.95"/>
  <cols>
    <col min="1" max="1" width="15" customWidth="1"/>
    <col min="2" max="2" width="14.5" customWidth="1"/>
    <col min="3" max="3" width="12.125" customWidth="1"/>
    <col min="7" max="7" width="32.375" customWidth="1"/>
    <col min="8" max="8" width="12.625" bestFit="1" customWidth="1"/>
  </cols>
  <sheetData>
    <row r="1" spans="1:8">
      <c r="A1" t="s">
        <v>86</v>
      </c>
    </row>
    <row r="3" spans="1:8" ht="15.75">
      <c r="A3" t="s">
        <v>87</v>
      </c>
    </row>
    <row r="9" spans="1:8">
      <c r="A9" s="4"/>
      <c r="B9" s="4" t="s">
        <v>88</v>
      </c>
      <c r="C9" s="4" t="s">
        <v>89</v>
      </c>
      <c r="D9" s="4" t="s">
        <v>90</v>
      </c>
      <c r="E9" s="4" t="s">
        <v>91</v>
      </c>
      <c r="F9" s="4" t="s">
        <v>92</v>
      </c>
      <c r="G9" s="4" t="s">
        <v>93</v>
      </c>
      <c r="H9" s="19" t="s">
        <v>94</v>
      </c>
    </row>
    <row r="10" spans="1:8">
      <c r="A10" s="4" t="s">
        <v>85</v>
      </c>
      <c r="B10" s="4">
        <v>1229</v>
      </c>
      <c r="C10" s="4">
        <f>1396.044+0.172*E10</f>
        <v>1502.1680000000001</v>
      </c>
      <c r="D10" s="4">
        <f>1396.044+0.172*F10</f>
        <v>1545.856</v>
      </c>
      <c r="E10" s="4">
        <v>617</v>
      </c>
      <c r="F10" s="4">
        <v>871</v>
      </c>
      <c r="G10" s="4">
        <f>B10*C10*(F10-E10)</f>
        <v>468925775.88800001</v>
      </c>
      <c r="H10" s="19">
        <f>B10*D10*(E10-F10)</f>
        <v>-482563684.09600002</v>
      </c>
    </row>
    <row r="11" spans="1:8">
      <c r="A11" s="4" t="s">
        <v>95</v>
      </c>
      <c r="B11" s="4">
        <v>1000</v>
      </c>
      <c r="C11" s="4">
        <v>4.1840000000000002</v>
      </c>
      <c r="D11" s="4" t="s">
        <v>96</v>
      </c>
      <c r="E11" s="4">
        <v>793</v>
      </c>
      <c r="F11" s="4"/>
      <c r="G11" s="4"/>
      <c r="H11" s="19"/>
    </row>
    <row r="12" spans="1:8">
      <c r="A12" s="4" t="s">
        <v>97</v>
      </c>
      <c r="B12" s="4">
        <v>1000</v>
      </c>
      <c r="C12" s="4">
        <v>1.97</v>
      </c>
      <c r="D12" s="4"/>
      <c r="E12" s="4">
        <v>520</v>
      </c>
      <c r="F12" s="4">
        <v>25</v>
      </c>
      <c r="G12" s="4">
        <f>B12*C12*(E12-F12)</f>
        <v>975150</v>
      </c>
    </row>
    <row r="15" spans="1:8">
      <c r="A15" s="4" t="s">
        <v>98</v>
      </c>
      <c r="B15" s="4">
        <f>G10-G12</f>
        <v>467950625.88800001</v>
      </c>
    </row>
    <row r="16" spans="1:8">
      <c r="A16" s="4" t="s">
        <v>99</v>
      </c>
      <c r="B16" s="4">
        <f>(B15/B12*C11)-E11</f>
        <v>1957112.418715392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</cp:lastModifiedBy>
  <cp:revision/>
  <dcterms:created xsi:type="dcterms:W3CDTF">2017-11-17T07:02:00Z</dcterms:created>
  <dcterms:modified xsi:type="dcterms:W3CDTF">2017-11-30T18:14:46Z</dcterms:modified>
  <cp:category/>
  <cp:contentStatus/>
</cp:coreProperties>
</file>