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shubham.toke/Downloads/"/>
    </mc:Choice>
  </mc:AlternateContent>
  <xr:revisionPtr revIDLastSave="0" documentId="13_ncr:1_{9757EB62-3F98-5A4A-90EA-5D64AAB476F7}" xr6:coauthVersionLast="47" xr6:coauthVersionMax="47" xr10:uidLastSave="{00000000-0000-0000-0000-000000000000}"/>
  <bookViews>
    <workbookView xWindow="0" yWindow="500" windowWidth="19420" windowHeight="10300" tabRatio="1000" firstSheet="2" activeTab="12" xr2:uid="{938418CC-0243-428A-906A-4C039DDAF3D5}"/>
  </bookViews>
  <sheets>
    <sheet name="INTRODUCTION" sheetId="25" r:id="rId1"/>
    <sheet name="ASSUMPTIONS" sheetId="2" r:id="rId2"/>
    <sheet name="BALANCE SHEET" sheetId="19" r:id="rId3"/>
    <sheet name="P&amp;L" sheetId="1" r:id="rId4"/>
    <sheet name="CASH FLOW" sheetId="20" r:id="rId5"/>
    <sheet name="APV" sheetId="16" r:id="rId6"/>
    <sheet name="Data Sheet" sheetId="5" r:id="rId7"/>
    <sheet name="FREE CASH FLOWS" sheetId="8" r:id="rId8"/>
    <sheet name="Beta Calculation" sheetId="9" r:id="rId9"/>
    <sheet name="WACC APPROACH" sheetId="10" r:id="rId10"/>
    <sheet name="CAPITAL CASH FLOW" sheetId="13" r:id="rId11"/>
    <sheet name="Relative Valuation" sheetId="11" r:id="rId12"/>
    <sheet name="EVA" sheetId="12" r:id="rId13"/>
    <sheet name="CFROI" sheetId="15" r:id="rId14"/>
    <sheet name="RESIDUAL INCOME" sheetId="17" r:id="rId15"/>
    <sheet name="ALTMAN Z Score" sheetId="21" r:id="rId16"/>
    <sheet name="DUPONT" sheetId="22" r:id="rId17"/>
  </sheets>
  <definedNames>
    <definedName name="UPDATE">'Data Sheet'!$E$1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21" l="1"/>
  <c r="E22" i="21"/>
  <c r="C22" i="21"/>
  <c r="D18" i="21"/>
  <c r="E18" i="21"/>
  <c r="C18" i="21"/>
  <c r="E14" i="21"/>
  <c r="D14" i="21"/>
  <c r="C14" i="21"/>
  <c r="E10" i="21"/>
  <c r="D10" i="21"/>
  <c r="C10" i="21"/>
  <c r="E6" i="21"/>
  <c r="D6" i="21"/>
  <c r="C6" i="21"/>
  <c r="O14" i="22"/>
  <c r="O15" i="22"/>
  <c r="C4" i="21"/>
  <c r="D4" i="21"/>
  <c r="E4" i="21"/>
  <c r="C7" i="21"/>
  <c r="E3" i="21"/>
  <c r="E24" i="21" s="1"/>
  <c r="I5" i="22"/>
  <c r="G11" i="22"/>
  <c r="G8" i="22"/>
  <c r="G5" i="22"/>
  <c r="C11" i="15"/>
  <c r="D11" i="15"/>
  <c r="E11" i="15"/>
  <c r="F11" i="15"/>
  <c r="G11" i="15"/>
  <c r="H11" i="15"/>
  <c r="B11" i="15"/>
  <c r="B10" i="15"/>
  <c r="C10" i="15" s="1"/>
  <c r="D10" i="15" s="1"/>
  <c r="E10" i="15" s="1"/>
  <c r="F10" i="15" s="1"/>
  <c r="G10" i="15" s="1"/>
  <c r="H10" i="15" s="1"/>
  <c r="M36" i="19"/>
  <c r="N36" i="19" s="1"/>
  <c r="O36" i="19" s="1"/>
  <c r="P36" i="19" s="1"/>
  <c r="Q36" i="19" s="1"/>
  <c r="R36" i="19" s="1"/>
  <c r="S36" i="19" s="1"/>
  <c r="M15" i="19"/>
  <c r="N15" i="19" s="1"/>
  <c r="O15" i="19" s="1"/>
  <c r="P15" i="19" s="1"/>
  <c r="Q15" i="19" s="1"/>
  <c r="R15" i="19" s="1"/>
  <c r="S15" i="19" s="1"/>
  <c r="E11" i="21"/>
  <c r="E12" i="21"/>
  <c r="C12" i="21"/>
  <c r="D11" i="21"/>
  <c r="D12" i="21"/>
  <c r="C11" i="21"/>
  <c r="C12" i="5" a="1"/>
  <c r="C12" i="5" s="1"/>
  <c r="E19" i="21"/>
  <c r="D19" i="21"/>
  <c r="C19" i="21"/>
  <c r="E17" i="21"/>
  <c r="D17" i="21"/>
  <c r="C17" i="21"/>
  <c r="C15" i="21"/>
  <c r="D15" i="21"/>
  <c r="E15" i="21"/>
  <c r="C8" i="15"/>
  <c r="D8" i="15"/>
  <c r="E8" i="15"/>
  <c r="F8" i="15"/>
  <c r="G8" i="15"/>
  <c r="H8" i="15"/>
  <c r="B8" i="15"/>
  <c r="C7" i="15"/>
  <c r="D7" i="15"/>
  <c r="E7" i="15"/>
  <c r="F7" i="15"/>
  <c r="G7" i="15"/>
  <c r="H7" i="15"/>
  <c r="B7" i="15"/>
  <c r="D5" i="17"/>
  <c r="C6" i="15"/>
  <c r="C9" i="15" s="1"/>
  <c r="D6" i="15"/>
  <c r="D9" i="15" s="1"/>
  <c r="E6" i="15"/>
  <c r="E9" i="15" s="1"/>
  <c r="F6" i="15"/>
  <c r="F9" i="15" s="1"/>
  <c r="G6" i="15"/>
  <c r="G9" i="15" s="1"/>
  <c r="H6" i="15"/>
  <c r="H9" i="15" s="1"/>
  <c r="B6" i="15"/>
  <c r="B9" i="15" s="1"/>
  <c r="D7" i="17"/>
  <c r="C9" i="17" s="1"/>
  <c r="M6" i="17"/>
  <c r="N6" i="17"/>
  <c r="E7" i="21"/>
  <c r="E8" i="21"/>
  <c r="D8" i="21"/>
  <c r="D7" i="21" s="1"/>
  <c r="D3" i="21"/>
  <c r="D24" i="21" s="1"/>
  <c r="C3" i="21"/>
  <c r="C24" i="21" s="1"/>
  <c r="B5" i="8"/>
  <c r="B7" i="12" l="1"/>
  <c r="B6" i="12"/>
  <c r="B3" i="10"/>
  <c r="F9" i="10" s="1"/>
  <c r="B10" i="16" s="1"/>
  <c r="B12" i="16" s="1"/>
  <c r="B20" i="12"/>
  <c r="I9" i="11"/>
  <c r="I5" i="11"/>
  <c r="I6" i="11"/>
  <c r="I7" i="11"/>
  <c r="I8" i="11"/>
  <c r="I4" i="11"/>
  <c r="B19" i="12"/>
  <c r="O5" i="11"/>
  <c r="O6" i="11"/>
  <c r="O7" i="11"/>
  <c r="O8" i="11"/>
  <c r="O4" i="11"/>
  <c r="N5" i="11"/>
  <c r="N6" i="11"/>
  <c r="N7" i="11"/>
  <c r="N8" i="11"/>
  <c r="N4" i="11"/>
  <c r="K5" i="11"/>
  <c r="F13" i="10"/>
  <c r="F11" i="10"/>
  <c r="B4" i="5"/>
  <c r="D6" i="8"/>
  <c r="E6" i="8"/>
  <c r="D4" i="8"/>
  <c r="E4" i="8"/>
  <c r="F4" i="8"/>
  <c r="C4" i="8"/>
  <c r="C6" i="8" s="1"/>
  <c r="B40" i="13"/>
  <c r="C34" i="13"/>
  <c r="B34" i="13"/>
  <c r="C28" i="13"/>
  <c r="D28" i="13"/>
  <c r="B28" i="13"/>
  <c r="C22" i="13"/>
  <c r="D22" i="13"/>
  <c r="E22" i="13"/>
  <c r="B22" i="13"/>
  <c r="C16" i="13"/>
  <c r="D16" i="13"/>
  <c r="E16" i="13"/>
  <c r="F16" i="13"/>
  <c r="B16" i="13"/>
  <c r="C10" i="13"/>
  <c r="D10" i="13"/>
  <c r="E10" i="13"/>
  <c r="F10" i="13"/>
  <c r="G10" i="13"/>
  <c r="B10" i="13"/>
  <c r="C4" i="13"/>
  <c r="D4" i="13"/>
  <c r="E4" i="13"/>
  <c r="F4" i="13"/>
  <c r="G4" i="13"/>
  <c r="H4" i="13"/>
  <c r="B4" i="13"/>
  <c r="G45" i="13"/>
  <c r="B3" i="12"/>
  <c r="P12" i="11"/>
  <c r="P11" i="11"/>
  <c r="P10" i="11"/>
  <c r="P17" i="11" s="1"/>
  <c r="P9" i="11"/>
  <c r="P16" i="11" s="1"/>
  <c r="B14" i="10"/>
  <c r="D45" i="13" s="1"/>
  <c r="B7" i="10"/>
  <c r="B6" i="8"/>
  <c r="B4" i="10"/>
  <c r="B1" i="9" a="1"/>
  <c r="C1" i="9" a="1"/>
  <c r="F45" i="13" l="1"/>
  <c r="B15" i="10"/>
  <c r="C45" i="13"/>
  <c r="B45" i="13"/>
  <c r="E45" i="13"/>
  <c r="H45" i="13"/>
  <c r="N12" i="11"/>
  <c r="O12" i="11"/>
  <c r="O10" i="11"/>
  <c r="O17" i="11" s="1"/>
  <c r="N10" i="11"/>
  <c r="N17" i="11" s="1"/>
  <c r="C16" i="11" s="1"/>
  <c r="O11" i="11"/>
  <c r="F6" i="8"/>
  <c r="B7" i="8"/>
  <c r="G6" i="8" s="1"/>
  <c r="H6" i="8" s="1"/>
  <c r="I6" i="8" s="1"/>
  <c r="J6" i="8" s="1"/>
  <c r="K6" i="8" s="1"/>
  <c r="L6" i="8" s="1"/>
  <c r="M6" i="8" s="1"/>
  <c r="L4" i="10" s="1"/>
  <c r="N9" i="11"/>
  <c r="N16" i="11" s="1"/>
  <c r="O9" i="11"/>
  <c r="O16" i="11" s="1"/>
  <c r="N11" i="11"/>
  <c r="E63" i="9"/>
  <c r="E61" i="9"/>
  <c r="E59" i="9"/>
  <c r="E57" i="9"/>
  <c r="E55" i="9"/>
  <c r="E53" i="9"/>
  <c r="E51" i="9"/>
  <c r="E49" i="9"/>
  <c r="E47" i="9"/>
  <c r="E45" i="9"/>
  <c r="E43" i="9"/>
  <c r="E41" i="9"/>
  <c r="E39" i="9"/>
  <c r="E37" i="9"/>
  <c r="E35" i="9"/>
  <c r="E33" i="9"/>
  <c r="E31" i="9"/>
  <c r="E29" i="9"/>
  <c r="E27" i="9"/>
  <c r="E25" i="9"/>
  <c r="E23" i="9"/>
  <c r="E21" i="9"/>
  <c r="E19" i="9"/>
  <c r="E14" i="9"/>
  <c r="E7" i="9"/>
  <c r="E17" i="9"/>
  <c r="E15" i="9"/>
  <c r="E12" i="9"/>
  <c r="E10" i="9"/>
  <c r="E5" i="9"/>
  <c r="E62" i="9"/>
  <c r="E60" i="9"/>
  <c r="E58" i="9"/>
  <c r="E56" i="9"/>
  <c r="E54" i="9"/>
  <c r="E52" i="9"/>
  <c r="E50" i="9"/>
  <c r="E48" i="9"/>
  <c r="E46" i="9"/>
  <c r="E44" i="9"/>
  <c r="E42" i="9"/>
  <c r="E40" i="9"/>
  <c r="E38" i="9"/>
  <c r="E36" i="9"/>
  <c r="E34" i="9"/>
  <c r="E32" i="9"/>
  <c r="E30" i="9"/>
  <c r="E28" i="9"/>
  <c r="E26" i="9"/>
  <c r="E16" i="9"/>
  <c r="E13" i="9"/>
  <c r="E9" i="9"/>
  <c r="E22" i="9"/>
  <c r="E18" i="9"/>
  <c r="E8" i="9"/>
  <c r="E11" i="9"/>
  <c r="E4" i="9"/>
  <c r="E24" i="9"/>
  <c r="E20" i="9"/>
  <c r="E6" i="9"/>
  <c r="C1" i="9"/>
  <c r="D16" i="9"/>
  <c r="D13" i="9"/>
  <c r="D11" i="9"/>
  <c r="D9" i="9"/>
  <c r="D4" i="9"/>
  <c r="B1" i="9"/>
  <c r="D63" i="9"/>
  <c r="D61" i="9"/>
  <c r="D59" i="9"/>
  <c r="D57" i="9"/>
  <c r="D55" i="9"/>
  <c r="D53" i="9"/>
  <c r="D51" i="9"/>
  <c r="D49" i="9"/>
  <c r="D47" i="9"/>
  <c r="D45" i="9"/>
  <c r="D43" i="9"/>
  <c r="D41" i="9"/>
  <c r="D39" i="9"/>
  <c r="D37" i="9"/>
  <c r="D35" i="9"/>
  <c r="D33" i="9"/>
  <c r="D31" i="9"/>
  <c r="D29" i="9"/>
  <c r="D27" i="9"/>
  <c r="D25" i="9"/>
  <c r="D23" i="9"/>
  <c r="D21" i="9"/>
  <c r="D19" i="9"/>
  <c r="D14" i="9"/>
  <c r="D7" i="9"/>
  <c r="D62" i="9"/>
  <c r="D54" i="9"/>
  <c r="D46" i="9"/>
  <c r="D38" i="9"/>
  <c r="D30" i="9"/>
  <c r="D24" i="9"/>
  <c r="D20" i="9"/>
  <c r="D6" i="9"/>
  <c r="D60" i="9"/>
  <c r="D52" i="9"/>
  <c r="D44" i="9"/>
  <c r="D36" i="9"/>
  <c r="D28" i="9"/>
  <c r="D15" i="9"/>
  <c r="D12" i="9"/>
  <c r="D5" i="9"/>
  <c r="D58" i="9"/>
  <c r="D50" i="9"/>
  <c r="D42" i="9"/>
  <c r="D34" i="9"/>
  <c r="D26" i="9"/>
  <c r="D22" i="9"/>
  <c r="D18" i="9"/>
  <c r="D8" i="9"/>
  <c r="D56" i="9"/>
  <c r="D48" i="9"/>
  <c r="D40" i="9"/>
  <c r="D32" i="9"/>
  <c r="D17" i="9"/>
  <c r="D10" i="9"/>
  <c r="G4" i="10" l="1"/>
  <c r="G6" i="10" s="1"/>
  <c r="K4" i="10"/>
  <c r="K6" i="10" s="1"/>
  <c r="I4" i="10"/>
  <c r="I6" i="10" s="1"/>
  <c r="J4" i="10"/>
  <c r="J6" i="10" s="1"/>
  <c r="F4" i="10"/>
  <c r="F6" i="10" s="1"/>
  <c r="H4" i="10"/>
  <c r="H6" i="10" s="1"/>
  <c r="C15" i="11"/>
  <c r="H13" i="9"/>
  <c r="H8" i="9"/>
  <c r="H17" i="9" s="1"/>
  <c r="H3" i="9"/>
  <c r="H5" i="9" s="1"/>
  <c r="B8" i="10" s="1"/>
  <c r="B9" i="10" s="1"/>
  <c r="I14" i="9"/>
  <c r="M13" i="1"/>
  <c r="N13" i="1"/>
  <c r="O13" i="1"/>
  <c r="P13" i="1"/>
  <c r="Q13" i="1"/>
  <c r="R13" i="1"/>
  <c r="L13" i="1"/>
  <c r="M11" i="1"/>
  <c r="N11" i="1"/>
  <c r="O11" i="1"/>
  <c r="P11" i="1"/>
  <c r="P12" i="1" s="1"/>
  <c r="Q11" i="1"/>
  <c r="R11" i="1"/>
  <c r="L11" i="1"/>
  <c r="L12" i="1" s="1"/>
  <c r="M12" i="1"/>
  <c r="N12" i="1"/>
  <c r="O12" i="1"/>
  <c r="Q12" i="1"/>
  <c r="R12" i="1"/>
  <c r="M10" i="1"/>
  <c r="N10" i="1"/>
  <c r="O10" i="1"/>
  <c r="P10" i="1"/>
  <c r="Q10" i="1"/>
  <c r="R10" i="1"/>
  <c r="L10" i="1"/>
  <c r="M9" i="1"/>
  <c r="N9" i="1"/>
  <c r="O9" i="1" s="1"/>
  <c r="P9" i="1" s="1"/>
  <c r="Q9" i="1" s="1"/>
  <c r="R9" i="1" s="1"/>
  <c r="L9" i="1"/>
  <c r="H29" i="1"/>
  <c r="M8" i="1"/>
  <c r="N8" i="1" s="1"/>
  <c r="O8" i="1" s="1"/>
  <c r="P8" i="1" s="1"/>
  <c r="Q8" i="1" s="1"/>
  <c r="R8" i="1" s="1"/>
  <c r="L8" i="1"/>
  <c r="M7" i="1"/>
  <c r="N7" i="1" s="1"/>
  <c r="O7" i="1" s="1"/>
  <c r="P7" i="1" s="1"/>
  <c r="Q7" i="1" s="1"/>
  <c r="R7" i="1" s="1"/>
  <c r="L7" i="1"/>
  <c r="H28" i="1"/>
  <c r="H27" i="1"/>
  <c r="M5" i="1"/>
  <c r="N5" i="1"/>
  <c r="O5" i="1"/>
  <c r="P5" i="1"/>
  <c r="Q5" i="1"/>
  <c r="R5" i="1"/>
  <c r="L5" i="1"/>
  <c r="M6" i="1"/>
  <c r="N6" i="1" s="1"/>
  <c r="O6" i="1" s="1"/>
  <c r="P6" i="1" s="1"/>
  <c r="Q6" i="1" s="1"/>
  <c r="R6" i="1" s="1"/>
  <c r="L6" i="1"/>
  <c r="M4" i="1"/>
  <c r="N4" i="1" s="1"/>
  <c r="O4" i="1" s="1"/>
  <c r="P4" i="1" s="1"/>
  <c r="Q4" i="1" s="1"/>
  <c r="R4" i="1" s="1"/>
  <c r="L4" i="1"/>
  <c r="B10" i="10" l="1"/>
  <c r="B11" i="10" s="1"/>
  <c r="B19" i="10" s="1"/>
  <c r="B6" i="16"/>
  <c r="C10" i="17" l="1"/>
  <c r="H12" i="15"/>
  <c r="B13" i="15" s="1"/>
  <c r="B7" i="16"/>
  <c r="B8" i="16" s="1"/>
  <c r="B9" i="16" s="1"/>
  <c r="B14" i="16" s="1"/>
  <c r="K2" i="13"/>
  <c r="C12" i="17" l="1"/>
  <c r="C11" i="17"/>
  <c r="B4" i="12"/>
  <c r="K1" i="13"/>
  <c r="L5" i="10"/>
  <c r="L6" i="10" l="1"/>
  <c r="C13" i="17"/>
  <c r="B10" i="12"/>
  <c r="B11" i="12" s="1"/>
  <c r="B13" i="12" s="1"/>
  <c r="B21" i="12"/>
  <c r="B22" i="12" s="1"/>
  <c r="B23" i="12" s="1"/>
  <c r="B5" i="13"/>
  <c r="B44" i="13" s="1"/>
  <c r="B46" i="13" s="1"/>
  <c r="B47" i="13" s="1"/>
  <c r="B48" i="13" s="1"/>
  <c r="B53" i="13" s="1"/>
  <c r="B54" i="13" s="1"/>
  <c r="B56" i="13" s="1"/>
  <c r="B29" i="13"/>
  <c r="F44" i="13" s="1"/>
  <c r="F46" i="13" s="1"/>
  <c r="F47" i="13" s="1"/>
  <c r="F48" i="13" s="1"/>
  <c r="F53" i="13" s="1"/>
  <c r="F54" i="13" s="1"/>
  <c r="F56" i="13" s="1"/>
  <c r="B41" i="13"/>
  <c r="H44" i="13" s="1"/>
  <c r="H46" i="13" s="1"/>
  <c r="H47" i="13" s="1"/>
  <c r="H48" i="13" s="1"/>
  <c r="H53" i="13" s="1"/>
  <c r="H54" i="13" s="1"/>
  <c r="B35" i="13"/>
  <c r="G44" i="13" s="1"/>
  <c r="G46" i="13" s="1"/>
  <c r="G47" i="13" s="1"/>
  <c r="G48" i="13" s="1"/>
  <c r="G53" i="13" s="1"/>
  <c r="G54" i="13" s="1"/>
  <c r="G56" i="13" s="1"/>
  <c r="B17" i="13"/>
  <c r="D44" i="13" s="1"/>
  <c r="D46" i="13" s="1"/>
  <c r="D47" i="13" s="1"/>
  <c r="D48" i="13" s="1"/>
  <c r="D53" i="13" s="1"/>
  <c r="D54" i="13" s="1"/>
  <c r="D56" i="13" s="1"/>
  <c r="B11" i="13"/>
  <c r="C44" i="13" s="1"/>
  <c r="C46" i="13" s="1"/>
  <c r="C47" i="13" s="1"/>
  <c r="C48" i="13" s="1"/>
  <c r="C53" i="13" s="1"/>
  <c r="C54" i="13" s="1"/>
  <c r="C56" i="13" s="1"/>
  <c r="F8" i="10" l="1"/>
  <c r="F10" i="10" s="1"/>
  <c r="F12" i="10" s="1"/>
  <c r="F14" i="10" s="1"/>
  <c r="J18" i="10"/>
  <c r="H23" i="12"/>
  <c r="D23" i="12"/>
  <c r="G23" i="12"/>
  <c r="C23" i="12"/>
  <c r="F23" i="12"/>
  <c r="E23" i="12"/>
  <c r="H55" i="13"/>
  <c r="H56" i="13" s="1"/>
  <c r="B23" i="13"/>
  <c r="E44" i="13" s="1"/>
  <c r="E46" i="13" s="1"/>
  <c r="E47" i="13" s="1"/>
  <c r="E48" i="13" s="1"/>
  <c r="E53" i="13" s="1"/>
  <c r="E54" i="13" s="1"/>
  <c r="E56" i="13" s="1"/>
  <c r="B24" i="12" l="1"/>
  <c r="B26" i="12" s="1"/>
  <c r="B59"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3"/>
        </ext>
      </extLst>
    </bk>
    <bk>
      <extLst>
        <ext uri="{3e2802c4-a4d2-4d8b-9148-e3be6c30e623}">
          <xlrd:rvb i="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<sst xmlns="http://schemas.openxmlformats.org/spreadsheetml/2006/main" count="442" uniqueCount="324">
  <si>
    <t>BUSINESS VALUATION PROJECT ON TATA MOTORS</t>
  </si>
  <si>
    <t>Priyam Sengar: MBA202224-112
Pubali Chakraborty: MBA202224-114
Samir Shaw: MBA202224-136
Shubham Toke: MBA202224-151 
Shanya Shai: MBA202224-141
Tushar Sachdeva: MBA202224-170</t>
  </si>
  <si>
    <t>CAGR FOR FREE CASH FLOWS IS COMPUTED FROM 2017-2023 EXCLUDING 2020 AND 2021</t>
  </si>
  <si>
    <t>TAX REFUND FOR NEXT 7 YEARS ANTICIPATED AS PER PWC REPORT</t>
  </si>
  <si>
    <t>REFERENCE-</t>
  </si>
  <si>
    <t>https://viewpoint.pwc.com/dt/us/en/pwc/accounting_guides/income_taxes/income_taxes__16_US/chapter_5_valuation__US/57_future_taxable_in_US.html#pwc-topic.dita_1743275109224693</t>
  </si>
  <si>
    <t>EXCLUDED FY20 AND FY21 FOR CALCULATION OF FCFF BECAUSE OF ABNORMAL LOSSES DUE TO PANDEMIC</t>
  </si>
  <si>
    <t xml:space="preserve">When the realizability of deferred tax assets is based on projections of future taxable income, which incorporate a number of assumptions regarding the future, it may be appropriate to consider a consistent past history of significant disqualifying dispositions of ISOs in the projections of future taxable income. On the surface, this view may seem contrary to ASC 718-740-25-3, which states "[a] future event can give rise to a tax deduction for instruments that ordinarily do not result in a tax deduction. The tax effects of such an event shall be recognized only when it occurs." However, the purpose of that guidance was to clarify that a deferred tax asset should not be recognized for an award that, by its terms, does not provide the company with a tax deduction. Circumstances that may make it appropriate to consider the effects of future disqualifying dispositions include, but are not limited to, a consistent history of disqualifying dispositions or expectations of unusually large disqualifying dispositions. </t>
  </si>
  <si>
    <t>Company has not given dividends in last five years.</t>
  </si>
  <si>
    <t>Similar in concept, we believe that it is inappropriate to ignore anticipated future excess tax deductions (so-called windfall tax benefits) from other stock-based awards when forecasting taxable income for purposes of assessing realizability of deferred tax assets. This is particularly true when the windfalls are expected in the near term and the underlying assumptions (i.e., market price of the stock relative to exercise price) are objectively verifiable. Refer to TX 17.14 for further guidance on the interplay of stock compensation and valuation allowances.</t>
  </si>
  <si>
    <t>Dividend info - page no. 350</t>
  </si>
  <si>
    <t>BALANCE SHEET - Page no. 320</t>
  </si>
  <si>
    <t>growth rate</t>
  </si>
  <si>
    <t>Share Capital -</t>
  </si>
  <si>
    <t>Equity Capital</t>
  </si>
  <si>
    <t>Reserves</t>
  </si>
  <si>
    <t>Borrowings -</t>
  </si>
  <si>
    <t>Long term Borrowings</t>
  </si>
  <si>
    <t>Short term Borrowings</t>
  </si>
  <si>
    <t>Lease Liabilities</t>
  </si>
  <si>
    <t>Other Borrowings</t>
  </si>
  <si>
    <t>Other Liabilities -</t>
  </si>
  <si>
    <t>Trade Payables</t>
  </si>
  <si>
    <t>Advance from Customers</t>
  </si>
  <si>
    <t>Other liability items</t>
  </si>
  <si>
    <t>Total Liabilities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</si>
  <si>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</si>
  <si>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</si>
  <si>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</si>
  <si>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</si>
  <si>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</si>
  <si>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</si>
  <si>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</si>
  <si>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</si>
  <si>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</si>
  <si>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</si>
  <si>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</si>
  <si>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</si>
  <si>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</si>
  <si>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Investments</t>
  </si>
  <si>
    <t>Other Assets -</t>
  </si>
  <si>
    <t>Inventories</t>
  </si>
  <si>
    <t>Trade receivables</t>
  </si>
  <si>
    <t>Cash Equivalents</t>
  </si>
  <si>
    <t>Short term loans</t>
  </si>
  <si>
    <t>Other asset items</t>
  </si>
  <si>
    <t>Total Assets</t>
  </si>
  <si>
    <t>TATA MOTORS LTD</t>
  </si>
  <si>
    <t/>
  </si>
  <si>
    <t>Narration</t>
  </si>
  <si>
    <t>Sales</t>
  </si>
  <si>
    <t>Expenses</t>
  </si>
  <si>
    <t>Operating Profit</t>
  </si>
  <si>
    <t>Other Income</t>
  </si>
  <si>
    <t>Depreciation</t>
  </si>
  <si>
    <t>Interest</t>
  </si>
  <si>
    <t>Profit before tax</t>
  </si>
  <si>
    <t>Tax</t>
  </si>
  <si>
    <t>TAX REFUND ANTICIPATED AS PER PWC REPORT</t>
  </si>
  <si>
    <t>Net profit</t>
  </si>
  <si>
    <t>EPS</t>
  </si>
  <si>
    <t>Price to earning</t>
  </si>
  <si>
    <t>Price</t>
  </si>
  <si>
    <t>RATIOS:</t>
  </si>
  <si>
    <t>Dividend Payout</t>
  </si>
  <si>
    <t>OPM</t>
  </si>
  <si>
    <t>TRENDS:</t>
  </si>
  <si>
    <t>10 YEARS</t>
  </si>
  <si>
    <t>7 YEARS</t>
  </si>
  <si>
    <t>5 YEARS</t>
  </si>
  <si>
    <t>3 YEARS</t>
  </si>
  <si>
    <t>Sales Growth</t>
  </si>
  <si>
    <t>Price to Earning</t>
  </si>
  <si>
    <t>INTEREST</t>
  </si>
  <si>
    <t>Cash from Operating Activity -</t>
  </si>
  <si>
    <t>Profit from operations</t>
  </si>
  <si>
    <t>Receivables</t>
  </si>
  <si>
    <t>Inventory</t>
  </si>
  <si>
    <t>Payables</t>
  </si>
  <si>
    <t>Loans Advances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</si>
  <si>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</si>
  <si>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</si>
  <si>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</si>
  <si>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</si>
  <si>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</si>
  <si>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</si>
  <si>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</si>
  <si>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</si>
  <si>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</si>
  <si>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</si>
  <si>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 in subsidiaries</t>
  </si>
  <si>
    <t>Loans to subsidiaries</t>
  </si>
  <si>
    <t>Investment in group cos</t>
  </si>
  <si>
    <t>Redemp n Canc of Shares</t>
  </si>
  <si>
    <t>Acquisition of companies</t>
  </si>
  <si>
    <t>Inter corporate deposits</t>
  </si>
  <si>
    <t>Other investing items</t>
  </si>
  <si>
    <t>Cash from Financing Activity -</t>
  </si>
  <si>
    <t>Proceeds from shares</t>
  </si>
  <si>
    <t>Redemption of debentures</t>
  </si>
  <si>
    <t>Proceeds from borrowings</t>
  </si>
  <si>
    <t>Repayment of borrowings</t>
  </si>
  <si>
    <t>Interest paid fin</t>
  </si>
  <si>
    <t>Dividends paid</t>
  </si>
  <si>
    <t>Financial liabilities</t>
  </si>
  <si>
    <t>Other financing items</t>
  </si>
  <si>
    <t>Net Cash Flow</t>
  </si>
  <si>
    <t>FREE CASH FLOWS</t>
  </si>
  <si>
    <t>TERMINAL VALUE</t>
  </si>
  <si>
    <t>TOTAL FREE CASH FLOWS</t>
  </si>
  <si>
    <t>EQUITY BETA</t>
  </si>
  <si>
    <t>UNLEVERED BETA</t>
  </si>
  <si>
    <t>COST OF EQUITY</t>
  </si>
  <si>
    <t>VALUE OF UNLEVERED FIRM</t>
  </si>
  <si>
    <t>VALUE OF DEBT</t>
  </si>
  <si>
    <t>TAX RATE</t>
  </si>
  <si>
    <t>PV OF TAX SHIELD</t>
  </si>
  <si>
    <t>PV BANKRUPTCY COST</t>
  </si>
  <si>
    <t>VALUE OF LEVERED FIRM</t>
  </si>
  <si>
    <t>COMPANY NAME</t>
  </si>
  <si>
    <t>Number of shares</t>
  </si>
  <si>
    <t>Face Value</t>
  </si>
  <si>
    <t>Current Price</t>
  </si>
  <si>
    <t>Market Capitalization</t>
  </si>
  <si>
    <t>PROFIT &amp; LOSS</t>
  </si>
  <si>
    <t>Report Date</t>
  </si>
  <si>
    <t>Raw Material Cost</t>
  </si>
  <si>
    <t>Change in Inventory</t>
  </si>
  <si>
    <t>Power and Fuel</t>
  </si>
  <si>
    <t>Other Mfr. Exp</t>
  </si>
  <si>
    <t>Employee Cost</t>
  </si>
  <si>
    <t>Selling and admin</t>
  </si>
  <si>
    <t>Other Expenses</t>
  </si>
  <si>
    <t>Dividend Amount</t>
  </si>
  <si>
    <t>Quarters</t>
  </si>
  <si>
    <t>BALANCE SHEET</t>
  </si>
  <si>
    <t>Equity Share Capital</t>
  </si>
  <si>
    <t>Borrowings</t>
  </si>
  <si>
    <t>Other Liabilities</t>
  </si>
  <si>
    <t>Total</t>
  </si>
  <si>
    <t>Net Block</t>
  </si>
  <si>
    <t>Capital Work in Progress</t>
  </si>
  <si>
    <t>Other Assets</t>
  </si>
  <si>
    <t>Cash &amp; Bank</t>
  </si>
  <si>
    <t>No. of Equity Shares</t>
  </si>
  <si>
    <t>New Bonus Shares</t>
  </si>
  <si>
    <t>Face value</t>
  </si>
  <si>
    <t>CASH FLOW:</t>
  </si>
  <si>
    <t>Cash from Operating Activity</t>
  </si>
  <si>
    <t>Cash from Investing Activity</t>
  </si>
  <si>
    <t>Cash from Financing Activity</t>
  </si>
  <si>
    <t>PRICE:</t>
  </si>
  <si>
    <t>DERIVED:</t>
  </si>
  <si>
    <t>Adjusted Equity Shares in Cr</t>
  </si>
  <si>
    <t>NET FIXED ASSETS</t>
  </si>
  <si>
    <t>NET CAPEX</t>
  </si>
  <si>
    <t>OPERATING CASH FLOW</t>
  </si>
  <si>
    <t>FREE CASH FLOW</t>
  </si>
  <si>
    <t>CAGR</t>
  </si>
  <si>
    <t>Stock returns (5 yrs monthly returns)</t>
  </si>
  <si>
    <t>XNSE:TATAMOTORS</t>
  </si>
  <si>
    <t>NIFTY</t>
  </si>
  <si>
    <t>Arithemetic mean of NIFTY 50 monthly</t>
  </si>
  <si>
    <t>SUMMARY OUTPUT</t>
  </si>
  <si>
    <t>yearly return on NIFTY 50</t>
  </si>
  <si>
    <t>Regression Statistics</t>
  </si>
  <si>
    <t>Multiple R</t>
  </si>
  <si>
    <t>R Square</t>
  </si>
  <si>
    <t>variance of NIFTY 50</t>
  </si>
  <si>
    <t>Adjusted R Square</t>
  </si>
  <si>
    <t>Standard Error</t>
  </si>
  <si>
    <t>Variance-Covariance Matrix</t>
  </si>
  <si>
    <t>Observations</t>
  </si>
  <si>
    <t>ANOVA</t>
  </si>
  <si>
    <t>df</t>
  </si>
  <si>
    <t>SS</t>
  </si>
  <si>
    <t>MS</t>
  </si>
  <si>
    <t>F</t>
  </si>
  <si>
    <t>Significance F</t>
  </si>
  <si>
    <t>Regression</t>
  </si>
  <si>
    <t>Residual</t>
  </si>
  <si>
    <t>beta</t>
  </si>
  <si>
    <t>Coefficients</t>
  </si>
  <si>
    <t>t Stat</t>
  </si>
  <si>
    <t>P-value</t>
  </si>
  <si>
    <t>Lower 95%</t>
  </si>
  <si>
    <t>Upper 95%</t>
  </si>
  <si>
    <t>Lower 95.0%</t>
  </si>
  <si>
    <t>Upper 95.0%</t>
  </si>
  <si>
    <t>Intercept</t>
  </si>
  <si>
    <t>X Variable 1</t>
  </si>
  <si>
    <t>COST OF DEBT</t>
  </si>
  <si>
    <t>INTEREST PAID</t>
  </si>
  <si>
    <t>RISK FREE RATE</t>
  </si>
  <si>
    <t>RETURN ON NIFTY 50</t>
  </si>
  <si>
    <t>VALUE OF FIRM</t>
  </si>
  <si>
    <t>MARKET RISK PREMIUM</t>
  </si>
  <si>
    <t>BETA</t>
  </si>
  <si>
    <t>VALUE OF EQUITY</t>
  </si>
  <si>
    <t>NO. OF EQUITY SHARE</t>
  </si>
  <si>
    <t>VALUE PER SHARE</t>
  </si>
  <si>
    <t>DEBT/ EQUITY</t>
  </si>
  <si>
    <t>CURRENT MARKET PRICE</t>
  </si>
  <si>
    <t>DEBT/VALUE</t>
  </si>
  <si>
    <t>OVERVALUE</t>
  </si>
  <si>
    <t>EQUITY/VALUE</t>
  </si>
  <si>
    <t>Sensitivity Analysis</t>
  </si>
  <si>
    <t>WACC</t>
  </si>
  <si>
    <t>GROWTH RATE</t>
  </si>
  <si>
    <t>PRE TAX WACC</t>
  </si>
  <si>
    <t>REMAINING PROJECT VALUE</t>
  </si>
  <si>
    <t>DEBT OUTSTANDING</t>
  </si>
  <si>
    <t>TAX SHIELD</t>
  </si>
  <si>
    <t>CAPITAL CASH FLOWS</t>
  </si>
  <si>
    <t>TOTAL CAPITAL CASH FLOWS</t>
  </si>
  <si>
    <t>RELATIVE VALUATION</t>
  </si>
  <si>
    <t>Name</t>
  </si>
  <si>
    <t>Market price</t>
  </si>
  <si>
    <r>
      <t>Mar Cap </t>
    </r>
    <r>
      <rPr>
        <b/>
        <sz val="11"/>
        <color rgb="FF737373"/>
        <rFont val="Arial"/>
        <family val="2"/>
      </rPr>
      <t>Rs.Cr.</t>
    </r>
  </si>
  <si>
    <r>
      <t>Sales </t>
    </r>
    <r>
      <rPr>
        <b/>
        <sz val="11"/>
        <color rgb="FF737373"/>
        <rFont val="Arial"/>
        <family val="2"/>
      </rPr>
      <t>Rs.Cr.</t>
    </r>
  </si>
  <si>
    <t>EBITDA</t>
  </si>
  <si>
    <t>EBIT</t>
  </si>
  <si>
    <r>
      <t>EV </t>
    </r>
    <r>
      <rPr>
        <b/>
        <sz val="11"/>
        <color rgb="FF737373"/>
        <rFont val="Arial"/>
        <family val="2"/>
      </rPr>
      <t>Rs.Cr.</t>
    </r>
  </si>
  <si>
    <t>DEBT/EQUITY</t>
  </si>
  <si>
    <t>P/E</t>
  </si>
  <si>
    <t>P / BV</t>
  </si>
  <si>
    <t>P/Sales</t>
  </si>
  <si>
    <t>EV/Sales</t>
  </si>
  <si>
    <t>EV/EBIT</t>
  </si>
  <si>
    <t>EV / EBITDA</t>
  </si>
  <si>
    <t>TATA MOTORS</t>
  </si>
  <si>
    <t>ASHOK LEYLAND</t>
  </si>
  <si>
    <t>MARUTI SUZUKI</t>
  </si>
  <si>
    <t>MAHINDRA &amp; MAHINDRA</t>
  </si>
  <si>
    <t>EICHER MOTORS</t>
  </si>
  <si>
    <t>MEAN</t>
  </si>
  <si>
    <t>AVERAGE</t>
  </si>
  <si>
    <t>MEDIAN</t>
  </si>
  <si>
    <t>HIGH</t>
  </si>
  <si>
    <t>LOW</t>
  </si>
  <si>
    <t>TATA MOTORS Enterprise value</t>
  </si>
  <si>
    <t>MEAN APPROCH</t>
  </si>
  <si>
    <t>MEDIAN APPROCH</t>
  </si>
  <si>
    <t>MEAN APPROACH</t>
  </si>
  <si>
    <t>EVA</t>
  </si>
  <si>
    <t>NOPAT-(WACC*CAPITAL)</t>
  </si>
  <si>
    <t>NOPAT</t>
  </si>
  <si>
    <t>COST OF CAPITAL</t>
  </si>
  <si>
    <t>CALCULATION OF CAPITAL EMPLOYED</t>
  </si>
  <si>
    <t>TOTAL ASSETS</t>
  </si>
  <si>
    <t>TOTAL BORROWINGS</t>
  </si>
  <si>
    <t>CAPITAL EMPLOYED</t>
  </si>
  <si>
    <t>CAPITAL EMPLOYED=SHAREHOLDERS EQUITY+TOTAL BORROWINGS</t>
  </si>
  <si>
    <t>(ANNUAL REPORT PAGE 109, POINT 7)</t>
  </si>
  <si>
    <t>PV OF EVA</t>
  </si>
  <si>
    <t>VALUE OF ASSETS IN PLACE</t>
  </si>
  <si>
    <t>CAPITAL EMPLOYED + PV OF EVA</t>
  </si>
  <si>
    <t>RETURN ON CAPITAL EMPLOYED</t>
  </si>
  <si>
    <t>AS PER ANNUAL REPORT</t>
  </si>
  <si>
    <t>CALCULATION OF EXPECTED EVA ON NEW INVESTMENTS</t>
  </si>
  <si>
    <t>PV OF EVA ON NEW INVESTMENT</t>
  </si>
  <si>
    <t>TOTAL PV OF EXPECTED EVA ON NEW INVESTMENT</t>
  </si>
  <si>
    <t>OPERATING CASH FLOWS= EBIT-TAXES+DEPRECIATION</t>
  </si>
  <si>
    <t>CFROI=OCF/CAPITAL EMPLOYED</t>
  </si>
  <si>
    <t xml:space="preserve"> </t>
  </si>
  <si>
    <t>CALCULATION OF OPERATING CASH FLOWS</t>
  </si>
  <si>
    <t>TAX</t>
  </si>
  <si>
    <t>DEPRECIATION</t>
  </si>
  <si>
    <t>OPERATING CASH FLOWS</t>
  </si>
  <si>
    <t>Value of Equity</t>
  </si>
  <si>
    <t>=</t>
  </si>
  <si>
    <t>Book Value Per Share + PV of Residual Earnings +Terminal Value</t>
  </si>
  <si>
    <t>Residual Earnings</t>
  </si>
  <si>
    <t>EPS1-(BPS0*RRR)</t>
  </si>
  <si>
    <t>BPS1</t>
  </si>
  <si>
    <t>BPS0+(EPS1-DPS1)</t>
  </si>
  <si>
    <t>EPS1</t>
  </si>
  <si>
    <t>(Given in P/L)</t>
  </si>
  <si>
    <t>Mar'22</t>
  </si>
  <si>
    <t>Mar'23</t>
  </si>
  <si>
    <t>BPS0</t>
  </si>
  <si>
    <t>Number of Shares</t>
  </si>
  <si>
    <t>Page no. 346</t>
  </si>
  <si>
    <t>Calculation of BPS1:</t>
  </si>
  <si>
    <t>The info regarding dividend is given in notes but the company has not accounted for it in cash flow statements. So we are assuming that it has not paid dividends.</t>
  </si>
  <si>
    <t>Terminal Value</t>
  </si>
  <si>
    <t>PV of Residual Earnings</t>
  </si>
  <si>
    <t>A</t>
  </si>
  <si>
    <t>Working Capital/ Total Assets</t>
  </si>
  <si>
    <t>Working Capital</t>
  </si>
  <si>
    <t>Total Asset</t>
  </si>
  <si>
    <t>B</t>
  </si>
  <si>
    <t>Retained Earnings/Total Asset</t>
  </si>
  <si>
    <t>PAT</t>
  </si>
  <si>
    <t>C</t>
  </si>
  <si>
    <t>EBIT/Total Asset</t>
  </si>
  <si>
    <t>D</t>
  </si>
  <si>
    <t>Market Capitalization/ Long term Liabilities</t>
  </si>
  <si>
    <t>Long Term Liabilities</t>
  </si>
  <si>
    <t>E</t>
  </si>
  <si>
    <t>Sales/Total Asset</t>
  </si>
  <si>
    <t>Altman Z Score</t>
  </si>
  <si>
    <t>Net income</t>
  </si>
  <si>
    <t>NET PROFIT RATIO</t>
  </si>
  <si>
    <t>Return On Equity</t>
  </si>
  <si>
    <t>Revenue</t>
  </si>
  <si>
    <t xml:space="preserve">Revenue </t>
  </si>
  <si>
    <t>TOTAL ASSETS TURNOVER RATIO</t>
  </si>
  <si>
    <t>Average Total Assets</t>
  </si>
  <si>
    <t>FINANCIAL LEVERAGE</t>
  </si>
  <si>
    <t>Average Total Equity</t>
  </si>
  <si>
    <t xml:space="preserve">Return on Equity (ROE) </t>
  </si>
  <si>
    <t xml:space="preserve">Current maturities of long-term borrowings (refer note below) </t>
  </si>
  <si>
    <t>(i) Nature of security (on loans including interest accrued thereon) :</t>
  </si>
  <si>
    <t>(a) The term loan of `112.82 crores (recorded in books at `46.31 crores) is due for repayment from the quarter ending June</t>
  </si>
  <si>
    <t>30, 2030 to December 31, 2037, along with a simple interest of 0.01% p.a. The loan is secured by bank guarantee for the due</t>
  </si>
  <si>
    <t>performance of the conditions as per the terms of the agreement.</t>
  </si>
  <si>
    <t>CA</t>
  </si>
  <si>
    <t>CL</t>
  </si>
  <si>
    <t>CLnew</t>
  </si>
  <si>
    <t>WC</t>
  </si>
  <si>
    <t>Weights</t>
  </si>
  <si>
    <t xml:space="preserve">For the valuation of </t>
  </si>
  <si>
    <t>Total shareholder's equity/ Number of equity shareholders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</si>
</sst>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quot;₹&quot;\ #,##0.00;[Red]&quot;₹&quot;\ \-#,##0.00"/>
    <numFmt numFmtId="165" formatCode="_ * #,##0.00_ ;_ * \-#,##0.00_ ;_ * &quot;-&quot;??_ ;_ @_ "/>
    <numFmt numFmtId="166" formatCode="[$-409]mmm\-yy;@"/>
    <numFmt numFmtId="167" formatCode="0.0%"/>
    <numFmt numFmtId="168" formatCode="0.000"/>
    <numFmt numFmtId="169" formatCode="0.000%"/>
    <numFmt numFmtId="170" formatCode="0.000000%"/>
    <numFmt numFmtId="171" formatCode="0.0000000%"/>
    <numFmt numFmtId="172" formatCode="_ * #,##0.000_ ;_ * \-#,##0.000_ ;_ * &quot;-&quot;??_ ;_ @_ "/>
    <numFmt numFmtId="173" formatCode="#,##0.0000"/>
    <numFmt numFmtId="174" formatCode="0.0000000"/>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i/>
      <sz val="11"/>
      <color theme="1"/>
      <name val="Calibri"/>
      <family val="2"/>
      <scheme val="minor"/>
    </font>
    <font>
      <b/>
      <sz val="18"/>
      <color theme="1"/>
      <name val="Calibri"/>
      <family val="2"/>
      <scheme val="minor"/>
    </font>
    <font>
      <b/>
      <sz val="11"/>
      <color rgb="FF22222F"/>
      <name val="Arial"/>
      <family val="2"/>
    </font>
    <font>
      <b/>
      <sz val="11"/>
      <color rgb="FF737373"/>
      <name val="Arial"/>
      <family val="2"/>
    </font>
    <font>
      <u/>
      <sz val="11"/>
      <color theme="10"/>
      <name val="Calibri"/>
      <family val="2"/>
      <scheme val="minor"/>
    </font>
    <font>
      <sz val="11"/>
      <color rgb="FF22222F"/>
      <name val="Arial"/>
      <family val="2"/>
    </font>
    <font>
      <sz val="18"/>
      <color rgb="FF000000"/>
      <name val="Calibri"/>
      <family val="2"/>
      <scheme val="minor"/>
    </font>
    <font>
      <b/>
      <sz val="11"/>
      <color rgb="FF000000"/>
      <name val="Calibri"/>
      <family val="2"/>
      <scheme val="minor"/>
    </font>
    <font>
      <sz val="11"/>
      <color rgb="FF000000"/>
      <name val="Calibri"/>
      <family val="2"/>
    </font>
    <font>
      <b/>
      <sz val="14"/>
      <color theme="1"/>
      <name val="Calibri"/>
      <family val="2"/>
      <scheme val="minor"/>
    </font>
    <font>
      <b/>
      <sz val="24"/>
      <color theme="1"/>
      <name val="Calibri"/>
      <family val="2"/>
      <scheme val="minor"/>
    </font>
  </fonts>
  <fills count="16">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rgb="FF0275D8"/>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FFFF"/>
        <bgColor indexed="64"/>
      </patternFill>
    </fill>
    <fill>
      <patternFill patternType="solid">
        <fgColor theme="4" tint="0.39997558519241921"/>
        <bgColor indexed="64"/>
      </patternFill>
    </fill>
    <fill>
      <patternFill patternType="solid">
        <fgColor theme="7" tint="0.59999389629810485"/>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s>
  <cellStyleXfs count="9">
    <xf numFmtId="0" fontId="0" fillId="0" borderId="0"/>
    <xf numFmtId="9"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alignment vertical="top"/>
      <protection locked="0"/>
    </xf>
    <xf numFmtId="0" fontId="4" fillId="2" borderId="0" applyNumberFormat="0" applyBorder="0" applyAlignment="0" applyProtection="0"/>
    <xf numFmtId="0" fontId="4" fillId="3" borderId="0" applyNumberFormat="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2" fillId="0" borderId="0" applyNumberFormat="0" applyFill="0" applyBorder="0" applyAlignment="0" applyProtection="0"/>
  </cellStyleXfs>
  <cellXfs count="139">
    <xf numFmtId="0" fontId="0" fillId="0" borderId="0" xfId="0"/>
    <xf numFmtId="165" fontId="0" fillId="0" borderId="0" xfId="0" applyNumberFormat="1"/>
    <xf numFmtId="165" fontId="3" fillId="0" borderId="0" xfId="2" applyFont="1" applyBorder="1"/>
    <xf numFmtId="0" fontId="3" fillId="0" borderId="0" xfId="0" applyFont="1"/>
    <xf numFmtId="0" fontId="6" fillId="0" borderId="0" xfId="0" applyFont="1"/>
    <xf numFmtId="10" fontId="0" fillId="0" borderId="0" xfId="0" applyNumberFormat="1"/>
    <xf numFmtId="165" fontId="1" fillId="0" borderId="0" xfId="2" applyFont="1" applyBorder="1"/>
    <xf numFmtId="0" fontId="2" fillId="4" borderId="0" xfId="0" applyFont="1" applyFill="1"/>
    <xf numFmtId="166" fontId="2" fillId="4" borderId="0" xfId="0" applyNumberFormat="1" applyFont="1" applyFill="1" applyAlignment="1">
      <alignment horizontal="center"/>
    </xf>
    <xf numFmtId="9" fontId="0" fillId="0" borderId="0" xfId="1" applyFont="1"/>
    <xf numFmtId="167" fontId="0" fillId="0" borderId="0" xfId="1" applyNumberFormat="1" applyFont="1"/>
    <xf numFmtId="165" fontId="0" fillId="5" borderId="0" xfId="0" applyNumberFormat="1" applyFill="1"/>
    <xf numFmtId="165" fontId="0" fillId="0" borderId="0" xfId="7" applyFont="1" applyBorder="1"/>
    <xf numFmtId="43" fontId="0" fillId="0" borderId="0" xfId="7" applyNumberFormat="1" applyFont="1" applyBorder="1"/>
    <xf numFmtId="165" fontId="3" fillId="0" borderId="0" xfId="7" applyFont="1" applyBorder="1"/>
    <xf numFmtId="165" fontId="1" fillId="0" borderId="0" xfId="7" applyFont="1" applyBorder="1"/>
    <xf numFmtId="166" fontId="7" fillId="0" borderId="0" xfId="7" applyNumberFormat="1" applyFont="1" applyFill="1" applyBorder="1"/>
    <xf numFmtId="166" fontId="2" fillId="4" borderId="0" xfId="7" applyNumberFormat="1" applyFont="1" applyFill="1" applyBorder="1"/>
    <xf numFmtId="10" fontId="0" fillId="6" borderId="0" xfId="1" applyNumberFormat="1" applyFont="1" applyFill="1"/>
    <xf numFmtId="0" fontId="3" fillId="7" borderId="2" xfId="0" applyFont="1" applyFill="1" applyBorder="1"/>
    <xf numFmtId="0" fontId="3" fillId="8" borderId="2" xfId="0" applyFont="1" applyFill="1" applyBorder="1"/>
    <xf numFmtId="0" fontId="0" fillId="0" borderId="2" xfId="0" applyBorder="1"/>
    <xf numFmtId="0" fontId="3" fillId="9" borderId="2" xfId="0" applyFont="1" applyFill="1" applyBorder="1"/>
    <xf numFmtId="0" fontId="8" fillId="0" borderId="3" xfId="0" applyFont="1" applyBorder="1" applyAlignment="1">
      <alignment horizontal="centerContinuous"/>
    </xf>
    <xf numFmtId="0" fontId="3" fillId="7" borderId="0" xfId="0" applyFont="1" applyFill="1"/>
    <xf numFmtId="0" fontId="0" fillId="0" borderId="4" xfId="0" applyBorder="1"/>
    <xf numFmtId="0" fontId="8" fillId="0" borderId="3" xfId="0" applyFont="1" applyBorder="1" applyAlignment="1">
      <alignment horizontal="center"/>
    </xf>
    <xf numFmtId="0" fontId="8" fillId="0" borderId="0" xfId="0" applyFont="1" applyAlignment="1">
      <alignment horizontal="center"/>
    </xf>
    <xf numFmtId="0" fontId="0" fillId="10" borderId="4" xfId="0" applyFill="1" applyBorder="1"/>
    <xf numFmtId="0" fontId="0" fillId="0" borderId="0" xfId="6" applyNumberFormat="1" applyFont="1" applyFill="1" applyBorder="1"/>
    <xf numFmtId="165" fontId="0" fillId="0" borderId="2" xfId="0" applyNumberFormat="1" applyBorder="1"/>
    <xf numFmtId="10" fontId="0" fillId="0" borderId="2" xfId="1" applyNumberFormat="1" applyFont="1" applyBorder="1"/>
    <xf numFmtId="2" fontId="0" fillId="0" borderId="2" xfId="0" applyNumberFormat="1" applyBorder="1"/>
    <xf numFmtId="9" fontId="0" fillId="0" borderId="2" xfId="0" applyNumberFormat="1" applyBorder="1"/>
    <xf numFmtId="168" fontId="0" fillId="0" borderId="2" xfId="0" applyNumberFormat="1" applyBorder="1"/>
    <xf numFmtId="164" fontId="0" fillId="0" borderId="0" xfId="0" applyNumberFormat="1"/>
    <xf numFmtId="166" fontId="2" fillId="4" borderId="2" xfId="0" applyNumberFormat="1" applyFont="1" applyFill="1" applyBorder="1" applyAlignment="1">
      <alignment horizontal="center"/>
    </xf>
    <xf numFmtId="164" fontId="0" fillId="0" borderId="2" xfId="0" applyNumberFormat="1" applyBorder="1"/>
    <xf numFmtId="0" fontId="0" fillId="11" borderId="0" xfId="0" applyFill="1"/>
    <xf numFmtId="0" fontId="10" fillId="12" borderId="5" xfId="0" applyFont="1" applyFill="1" applyBorder="1" applyAlignment="1">
      <alignment horizontal="right" vertical="center" wrapText="1"/>
    </xf>
    <xf numFmtId="0" fontId="10" fillId="12" borderId="2" xfId="0" applyFont="1" applyFill="1" applyBorder="1" applyAlignment="1">
      <alignment horizontal="right" vertical="center" wrapText="1"/>
    </xf>
    <xf numFmtId="0" fontId="13" fillId="11" borderId="6" xfId="0" applyFont="1" applyFill="1" applyBorder="1" applyAlignment="1">
      <alignment horizontal="right" vertical="center" wrapText="1"/>
    </xf>
    <xf numFmtId="2" fontId="0" fillId="11" borderId="6" xfId="0" applyNumberFormat="1" applyFill="1" applyBorder="1"/>
    <xf numFmtId="0" fontId="0" fillId="11" borderId="2" xfId="0" applyFill="1" applyBorder="1"/>
    <xf numFmtId="0" fontId="13" fillId="11" borderId="2" xfId="0" applyFont="1" applyFill="1" applyBorder="1" applyAlignment="1">
      <alignment horizontal="right" vertical="center" wrapText="1"/>
    </xf>
    <xf numFmtId="0" fontId="3" fillId="12" borderId="2" xfId="0" applyFont="1" applyFill="1" applyBorder="1"/>
    <xf numFmtId="2" fontId="3" fillId="12" borderId="2" xfId="0" applyNumberFormat="1" applyFont="1" applyFill="1" applyBorder="1"/>
    <xf numFmtId="0" fontId="10" fillId="12" borderId="7" xfId="0" applyFont="1" applyFill="1" applyBorder="1" applyAlignment="1">
      <alignment horizontal="right" vertical="center" wrapText="1"/>
    </xf>
    <xf numFmtId="0" fontId="3" fillId="11" borderId="0" xfId="0" applyFont="1" applyFill="1"/>
    <xf numFmtId="0" fontId="3" fillId="6" borderId="0" xfId="0" applyFont="1" applyFill="1"/>
    <xf numFmtId="9" fontId="0" fillId="0" borderId="2" xfId="1" applyFont="1" applyBorder="1"/>
    <xf numFmtId="166" fontId="3" fillId="0" borderId="2" xfId="0" applyNumberFormat="1" applyFont="1" applyBorder="1"/>
    <xf numFmtId="0" fontId="5" fillId="11" borderId="0" xfId="3" applyFill="1" applyAlignment="1" applyProtection="1"/>
    <xf numFmtId="0" fontId="0" fillId="11" borderId="0" xfId="0" applyFill="1" applyAlignment="1">
      <alignment wrapText="1"/>
    </xf>
    <xf numFmtId="0" fontId="0" fillId="11" borderId="0" xfId="0" applyFill="1" applyAlignment="1">
      <alignment vertical="center" wrapText="1"/>
    </xf>
    <xf numFmtId="0" fontId="0" fillId="10" borderId="0" xfId="0" applyFill="1" applyAlignment="1">
      <alignment vertical="center" wrapText="1"/>
    </xf>
    <xf numFmtId="0" fontId="3" fillId="11" borderId="0" xfId="0" applyFont="1" applyFill="1" applyAlignment="1">
      <alignment vertical="center"/>
    </xf>
    <xf numFmtId="0" fontId="10" fillId="12" borderId="7" xfId="0" applyFont="1" applyFill="1" applyBorder="1" applyAlignment="1">
      <alignment horizontal="left" vertical="center"/>
    </xf>
    <xf numFmtId="0" fontId="5" fillId="13" borderId="0" xfId="3" applyFill="1" applyAlignment="1" applyProtection="1">
      <alignment horizontal="left" vertical="center"/>
    </xf>
    <xf numFmtId="0" fontId="13" fillId="13" borderId="0" xfId="0" applyFont="1" applyFill="1" applyAlignment="1">
      <alignment horizontal="left" vertical="center"/>
    </xf>
    <xf numFmtId="0" fontId="13" fillId="13" borderId="0" xfId="0" applyFont="1" applyFill="1" applyAlignment="1">
      <alignment horizontal="right" vertical="center" wrapText="1"/>
    </xf>
    <xf numFmtId="0" fontId="13" fillId="13" borderId="2" xfId="0" applyFont="1" applyFill="1" applyBorder="1" applyAlignment="1">
      <alignment horizontal="right" vertical="center" wrapText="1"/>
    </xf>
    <xf numFmtId="0" fontId="3" fillId="11" borderId="2" xfId="0" applyFont="1" applyFill="1" applyBorder="1"/>
    <xf numFmtId="0" fontId="0" fillId="0" borderId="0" xfId="0" applyAlignment="1">
      <alignment horizontal="center"/>
    </xf>
    <xf numFmtId="2" fontId="0" fillId="11" borderId="2" xfId="0" applyNumberFormat="1" applyFill="1" applyBorder="1"/>
    <xf numFmtId="2" fontId="13" fillId="11" borderId="6" xfId="0" applyNumberFormat="1" applyFont="1" applyFill="1" applyBorder="1" applyAlignment="1">
      <alignment horizontal="right" vertical="center" wrapText="1"/>
    </xf>
    <xf numFmtId="2" fontId="13" fillId="13" borderId="2" xfId="0" applyNumberFormat="1" applyFont="1" applyFill="1" applyBorder="1" applyAlignment="1">
      <alignment horizontal="right" vertical="center" wrapText="1"/>
    </xf>
    <xf numFmtId="0" fontId="3" fillId="0" borderId="2" xfId="0" applyFont="1" applyBorder="1"/>
    <xf numFmtId="2" fontId="13" fillId="11" borderId="2" xfId="0" applyNumberFormat="1" applyFont="1" applyFill="1" applyBorder="1" applyAlignment="1">
      <alignment horizontal="right" vertical="center" wrapText="1"/>
    </xf>
    <xf numFmtId="2" fontId="3" fillId="9" borderId="2" xfId="0" applyNumberFormat="1" applyFont="1" applyFill="1" applyBorder="1"/>
    <xf numFmtId="3" fontId="13" fillId="13" borderId="2" xfId="0" applyNumberFormat="1" applyFont="1" applyFill="1" applyBorder="1" applyAlignment="1">
      <alignment horizontal="right" vertical="center" wrapText="1"/>
    </xf>
    <xf numFmtId="167" fontId="0" fillId="0" borderId="2" xfId="0" applyNumberFormat="1" applyBorder="1"/>
    <xf numFmtId="3" fontId="0" fillId="0" borderId="2" xfId="0" applyNumberFormat="1" applyBorder="1"/>
    <xf numFmtId="0" fontId="2" fillId="4" borderId="0" xfId="0" applyFont="1" applyFill="1" applyAlignment="1">
      <alignment horizontal="center"/>
    </xf>
    <xf numFmtId="0" fontId="10" fillId="9" borderId="2" xfId="0" applyFont="1" applyFill="1" applyBorder="1" applyAlignment="1">
      <alignment horizontal="left" vertical="center"/>
    </xf>
    <xf numFmtId="0" fontId="0" fillId="0" borderId="7" xfId="0" applyBorder="1"/>
    <xf numFmtId="0" fontId="0" fillId="0" borderId="2" xfId="0" applyBorder="1" applyAlignment="1">
      <alignment horizontal="center"/>
    </xf>
    <xf numFmtId="0" fontId="0" fillId="0" borderId="6" xfId="0" applyBorder="1" applyAlignment="1">
      <alignment horizontal="center"/>
    </xf>
    <xf numFmtId="0" fontId="3" fillId="0" borderId="2" xfId="0" applyFont="1" applyBorder="1" applyAlignment="1">
      <alignment horizontal="center"/>
    </xf>
    <xf numFmtId="0" fontId="3" fillId="14" borderId="6" xfId="0" applyFont="1" applyFill="1" applyBorder="1"/>
    <xf numFmtId="165" fontId="3" fillId="0" borderId="2" xfId="0" applyNumberFormat="1" applyFont="1" applyBorder="1"/>
    <xf numFmtId="0" fontId="3" fillId="14" borderId="2" xfId="0" applyFont="1" applyFill="1" applyBorder="1"/>
    <xf numFmtId="0" fontId="3" fillId="14" borderId="9" xfId="0" applyFont="1" applyFill="1" applyBorder="1"/>
    <xf numFmtId="0" fontId="3" fillId="14" borderId="2" xfId="0" applyFont="1" applyFill="1" applyBorder="1" applyAlignment="1">
      <alignment horizontal="center"/>
    </xf>
    <xf numFmtId="10" fontId="3" fillId="14" borderId="2" xfId="0" applyNumberFormat="1" applyFont="1" applyFill="1" applyBorder="1" applyAlignment="1">
      <alignment horizontal="center"/>
    </xf>
    <xf numFmtId="9" fontId="3" fillId="14" borderId="2" xfId="0" applyNumberFormat="1" applyFont="1" applyFill="1" applyBorder="1" applyAlignment="1">
      <alignment horizontal="center"/>
    </xf>
    <xf numFmtId="171" fontId="0" fillId="0" borderId="2" xfId="0" applyNumberFormat="1" applyBorder="1"/>
    <xf numFmtId="170" fontId="0" fillId="0" borderId="2" xfId="1" applyNumberFormat="1" applyFont="1" applyBorder="1"/>
    <xf numFmtId="165" fontId="2" fillId="11" borderId="2" xfId="0" applyNumberFormat="1" applyFont="1" applyFill="1" applyBorder="1" applyAlignment="1">
      <alignment horizontal="center"/>
    </xf>
    <xf numFmtId="4" fontId="0" fillId="0" borderId="2" xfId="0" applyNumberFormat="1" applyBorder="1" applyAlignment="1">
      <alignment horizontal="center"/>
    </xf>
    <xf numFmtId="4" fontId="3" fillId="15" borderId="2" xfId="0" applyNumberFormat="1" applyFont="1" applyFill="1" applyBorder="1" applyAlignment="1">
      <alignment horizontal="center"/>
    </xf>
    <xf numFmtId="172" fontId="3" fillId="0" borderId="2" xfId="0" applyNumberFormat="1" applyFont="1" applyBorder="1"/>
    <xf numFmtId="4" fontId="16" fillId="0" borderId="2" xfId="0" applyNumberFormat="1" applyFont="1" applyBorder="1"/>
    <xf numFmtId="169" fontId="0" fillId="0" borderId="2" xfId="0" applyNumberFormat="1" applyBorder="1" applyAlignment="1">
      <alignment horizontal="center"/>
    </xf>
    <xf numFmtId="0" fontId="3" fillId="14" borderId="0" xfId="0" applyFont="1" applyFill="1" applyAlignment="1">
      <alignment wrapText="1"/>
    </xf>
    <xf numFmtId="3" fontId="0" fillId="0" borderId="2" xfId="0" applyNumberFormat="1" applyBorder="1" applyAlignment="1">
      <alignment horizontal="center"/>
    </xf>
    <xf numFmtId="173" fontId="3" fillId="8" borderId="7" xfId="0" applyNumberFormat="1" applyFont="1" applyFill="1" applyBorder="1" applyAlignment="1">
      <alignment horizontal="center"/>
    </xf>
    <xf numFmtId="0" fontId="3" fillId="8" borderId="7" xfId="0" applyFont="1" applyFill="1" applyBorder="1" applyAlignment="1">
      <alignment horizontal="center"/>
    </xf>
    <xf numFmtId="174" fontId="3" fillId="8" borderId="7" xfId="0" applyNumberFormat="1" applyFont="1" applyFill="1" applyBorder="1" applyAlignment="1">
      <alignment horizontal="center"/>
    </xf>
    <xf numFmtId="0" fontId="3" fillId="14" borderId="0" xfId="0" applyFont="1" applyFill="1" applyAlignment="1">
      <alignment horizontal="center"/>
    </xf>
    <xf numFmtId="0" fontId="0" fillId="8" borderId="2" xfId="0" applyFill="1" applyBorder="1" applyAlignment="1">
      <alignment horizontal="center"/>
    </xf>
    <xf numFmtId="3" fontId="13" fillId="0" borderId="2" xfId="0" applyNumberFormat="1" applyFont="1" applyBorder="1" applyAlignment="1">
      <alignment horizontal="center" vertical="center" wrapText="1"/>
    </xf>
    <xf numFmtId="0" fontId="14" fillId="0" borderId="0" xfId="0" applyFont="1" applyAlignment="1">
      <alignment horizontal="center"/>
    </xf>
    <xf numFmtId="4" fontId="16" fillId="0" borderId="0" xfId="0" applyNumberFormat="1" applyFont="1"/>
    <xf numFmtId="4" fontId="0" fillId="0" borderId="0" xfId="0" applyNumberFormat="1"/>
    <xf numFmtId="0" fontId="0" fillId="0" borderId="0" xfId="0" applyAlignment="1">
      <alignment wrapText="1"/>
    </xf>
    <xf numFmtId="0" fontId="3" fillId="14" borderId="19" xfId="0" applyFont="1" applyFill="1" applyBorder="1" applyAlignment="1">
      <alignment horizontal="center"/>
    </xf>
    <xf numFmtId="0" fontId="0" fillId="0" borderId="20" xfId="0" applyBorder="1" applyAlignment="1">
      <alignment horizontal="center"/>
    </xf>
    <xf numFmtId="0" fontId="3" fillId="8" borderId="21" xfId="0" applyFont="1" applyFill="1" applyBorder="1" applyAlignment="1">
      <alignment horizontal="center"/>
    </xf>
    <xf numFmtId="0" fontId="17" fillId="7" borderId="12" xfId="0" applyFont="1" applyFill="1" applyBorder="1" applyAlignment="1">
      <alignment horizontal="center" vertical="center" wrapText="1"/>
    </xf>
    <xf numFmtId="0" fontId="3" fillId="7" borderId="13"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0" xfId="0" applyFont="1" applyFill="1" applyAlignment="1">
      <alignment horizontal="center" vertical="center"/>
    </xf>
    <xf numFmtId="0" fontId="3" fillId="7" borderId="16"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18" xfId="0" applyFont="1" applyFill="1" applyBorder="1" applyAlignment="1">
      <alignment horizontal="center" vertical="center"/>
    </xf>
    <xf numFmtId="0" fontId="18" fillId="11" borderId="0" xfId="0" applyFont="1" applyFill="1" applyAlignment="1">
      <alignment horizontal="center" vertical="center" wrapText="1"/>
    </xf>
    <xf numFmtId="0" fontId="18" fillId="11" borderId="4" xfId="0" applyFont="1" applyFill="1" applyBorder="1" applyAlignment="1">
      <alignment horizontal="center" vertical="center" wrapText="1"/>
    </xf>
    <xf numFmtId="0" fontId="0" fillId="11" borderId="0" xfId="0" applyFill="1" applyAlignment="1">
      <alignment horizontal="center"/>
    </xf>
    <xf numFmtId="165" fontId="5" fillId="0" borderId="0" xfId="3" applyNumberFormat="1" applyBorder="1" applyAlignment="1" applyProtection="1">
      <alignment horizontal="center"/>
    </xf>
    <xf numFmtId="0" fontId="3" fillId="7" borderId="2" xfId="0" applyFont="1" applyFill="1" applyBorder="1" applyAlignment="1">
      <alignment horizontal="center"/>
    </xf>
    <xf numFmtId="0" fontId="15" fillId="6" borderId="0" xfId="0" applyFont="1" applyFill="1" applyAlignment="1">
      <alignment horizontal="center"/>
    </xf>
    <xf numFmtId="0" fontId="9" fillId="11" borderId="0" xfId="0" applyFont="1" applyFill="1" applyAlignment="1">
      <alignment horizontal="center"/>
    </xf>
    <xf numFmtId="0" fontId="0" fillId="11" borderId="1" xfId="0" applyFill="1" applyBorder="1" applyAlignment="1">
      <alignment horizontal="center"/>
    </xf>
    <xf numFmtId="0" fontId="3" fillId="12" borderId="2" xfId="0" applyFont="1" applyFill="1" applyBorder="1" applyAlignment="1">
      <alignment horizontal="center"/>
    </xf>
    <xf numFmtId="0" fontId="0" fillId="0" borderId="8" xfId="0" applyBorder="1" applyAlignment="1">
      <alignment horizontal="center"/>
    </xf>
    <xf numFmtId="0" fontId="0" fillId="0" borderId="0" xfId="0" applyAlignment="1">
      <alignment horizontal="center"/>
    </xf>
    <xf numFmtId="0" fontId="3" fillId="9" borderId="2" xfId="0" applyFont="1" applyFill="1" applyBorder="1" applyAlignment="1">
      <alignment horizontal="center"/>
    </xf>
    <xf numFmtId="0" fontId="3" fillId="14" borderId="2" xfId="0" applyFont="1" applyFill="1" applyBorder="1" applyAlignment="1">
      <alignment horizontal="center"/>
    </xf>
    <xf numFmtId="0" fontId="3" fillId="0" borderId="2" xfId="0" applyFont="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14" borderId="9" xfId="0" applyFont="1" applyFill="1" applyBorder="1" applyAlignment="1">
      <alignment horizontal="center"/>
    </xf>
    <xf numFmtId="0" fontId="3" fillId="0" borderId="0" xfId="0" applyFont="1" applyAlignment="1">
      <alignment horizontal="center"/>
    </xf>
    <xf numFmtId="0" fontId="0" fillId="0" borderId="11" xfId="0" applyBorder="1" applyAlignment="1">
      <alignment horizontal="center"/>
    </xf>
  </cellXfs>
  <cellStyles count="9">
    <cellStyle name="60% - Accent1 2" xfId="4" xr:uid="{1B310331-2717-4250-A202-1D083742EB5E}"/>
    <cellStyle name="60% - Accent3 2" xfId="5" xr:uid="{10922E5B-EF0B-4544-BCD9-B0293524A49C}"/>
    <cellStyle name="Comma 2" xfId="2" xr:uid="{9324A959-5822-47FA-9237-DD036981ED93}"/>
    <cellStyle name="Comma 3" xfId="7" xr:uid="{F1F26B39-D1BC-4507-991C-40E542D1667E}"/>
    <cellStyle name="Hyperlink" xfId="3" builtinId="8"/>
    <cellStyle name="Hyperlink 2" xfId="8" xr:uid="{21590D65-4B7A-4E2F-BCCA-15D3D39A3153}"/>
    <cellStyle name="Normal" xfId="0" builtinId="0"/>
    <cellStyle name="Per cent" xfId="1" builtinId="5"/>
    <cellStyle name="Percent 2" xfId="6" xr:uid="{3B60AFD7-FFDF-48CF-B683-DCB621F24289}"/>
  </cellStyles>
  <dxfs count="1">
    <dxf>
      <font>
        <b/>
        <i val="0"/>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Structure" Target="richData/rdrichvaluestructure.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 Target="richData/rdrichvalue.xml"/><Relationship Id="rId27" Type="http://schemas.microsoft.com/office/2017/06/relationships/rdRichValueTypes" Target="richData/rdRichValueTyp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307974</xdr:colOff>
      <xdr:row>3</xdr:row>
      <xdr:rowOff>74611</xdr:rowOff>
    </xdr:from>
    <xdr:to>
      <xdr:col>7</xdr:col>
      <xdr:colOff>419566</xdr:colOff>
      <xdr:row>15</xdr:row>
      <xdr:rowOff>108953</xdr:rowOff>
    </xdr:to>
    <xdr:pic>
      <xdr:nvPicPr>
        <xdr:cNvPr id="13" name="Picture 1">
          <a:extLst>
            <a:ext uri="{FF2B5EF4-FFF2-40B4-BE49-F238E27FC236}">
              <a16:creationId xmlns:a16="http://schemas.microsoft.com/office/drawing/2014/main" id="{5D143054-6860-7302-1527-C2DA2FF2A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9162" y="622299"/>
          <a:ext cx="3589337" cy="227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https://www.bing.com/financeapi/forcetrigger?t=ahk9xm&amp;q=XNSE%3aTATAMOTORS&amp;form=skydnc</v>
    <v>Learn more on Bing</v>
  </rv>
  <rv s="1">
    <v>0</v>
    <v>TATA MOTORS LIMITED (XNSE:TATAMOTORS)</v>
    <v>2</v>
    <v>3</v>
    <v>Finance</v>
    <v>4</v>
    <v>en-IN</v>
    <v>ahk9xm</v>
    <v>268435456</v>
    <v>1</v>
    <v>Powered by Refinitiv</v>
    <v>1179</v>
    <v>535.75</v>
    <v>1.3515999999999999</v>
    <v>-1.45</v>
    <v>-2.127E-3</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the development, design, manufacture, assembly and sale of vehicles, as well as related spare parts and accessories, and distribution and service of vehicles. The Others segment consists of information technology services and insurance broking services. With operations in India, the United Kingdom, South Korea, Thailand, and Indonesia, the Company markets its vehicles in Africa, the Middle East, Latin America, Southeast Asia, and the South Asian Association for Regional Cooperation (SAARC) countries.</v>
    <v>86259</v>
    <v>National Stock Exchange of India</v>
    <v>XNSE</v>
    <v>XNSE</v>
    <v>A Block, Shivasagar Estate, Dr. Annie Besant Road, Worli, MUMBAI, MAHARASHTRA, 400018 IN</v>
    <v>686</v>
    <v>Automobiles &amp; Auto Parts</v>
    <v>Stock</v>
    <v>45856.492858796293</v>
    <v>0</v>
    <v>678</v>
    <v>2509822000000</v>
    <v>TATA MOTORS LIMITED</v>
    <v>TATA MOTORS LIMITED</v>
    <v>683.2</v>
    <v>11.04</v>
    <v>681.7</v>
    <v>680.25</v>
    <v>3681710000</v>
    <v>TATAMOTORS</v>
    <v>TATA MOTORS LIMITED (XNSE:TATAMOTORS)</v>
    <v>5558670</v>
    <v>6711310</v>
    <v>1945</v>
  </rv>
  <rv s="2">
    <v>1</v>
  </rv>
  <rv s="3">
    <v>9</v>
    <v>1</v>
  </rv>
  <rv s="0">
    <v>https://www.bing.com/financeapi/forcetrigger?t=ahkqww&amp;q=NIFTY+50&amp;form=skydnc</v>
    <v>Learn more on Bing</v>
  </rv>
  <rv s="4">
    <v>5</v>
    <v>NIFTY 50</v>
    <v>6</v>
    <v>7</v>
    <v>Finance</v>
    <v>8</v>
    <v>en-IN</v>
    <v>ahkqww</v>
    <v>268435456</v>
    <v>1</v>
    <v>Powered by Refinitiv</v>
    <v>26277.35</v>
    <v>21743.65</v>
    <v>-143.05000000000001</v>
    <v>-5.6969999999999998E-3</v>
    <v>IN</v>
    <v>25144.6</v>
    <v>Index</v>
    <v>4</v>
    <v>24918.65</v>
    <v>NIFTY 50</v>
    <v>25108.55</v>
    <v>25111.45</v>
    <v>24968.400000000001</v>
    <v>NIFTY</v>
    <v>NIFTY 50</v>
  </rv>
  <rv s="2">
    <v>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subType" t="i"/>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v>
      <v>1</v>
      <v>1</v>
    </spb>
    <spb s="6">
      <v>1</v>
      <v>1</v>
      <v>3</v>
      <v>1</v>
      <v>1</v>
      <v>1</v>
      <v>5</v>
      <v>1</v>
      <v>1</v>
      <v>1</v>
      <v>9</v>
    </spb>
    <spb s="7">
      <v>from previous close</v>
      <v>from previous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UniqueName" t="spb"/>
    <k n="`%ProviderInfo" t="spb"/>
    <k n="LearnMoreOnLink" t="spb"/>
  </s>
  <s>
    <k n="Low" t="i"/>
    <k n="High" t="i"/>
    <k n="Name" t="i"/>
    <k n="Open" t="i"/>
    <k n="Price" t="i"/>
    <k n="Change" t="i"/>
    <k n="Change (%)" t="i"/>
    <k n="52 week low" t="i"/>
    <k n="52 week high" t="i"/>
    <k n="Previous close" t="i"/>
    <k n="`%EntityServiceId" t="i"/>
  </s>
  <s>
    <k n="Change" t="s"/>
    <k n="Chang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dd/mm/yy\ h:mm"/>
    </x:dxf>
    <x:dxf>
      <x:numFmt numFmtId="1" formatCode="0"/>
    </x:dxf>
    <x:dxf>
      <x:numFmt numFmtId="2" formatCode="0.00"/>
    </x:dxf>
  </dxfs>
  <richProperties>
    <rPr n="NumberFormat" t="s"/>
    <rPr n="IsTitleField" t="b"/>
  </richProperties>
  <richStyles>
    <rSty dxfid="0">
      <rpv i="0">_([$₹-en-IN]* #,##0.00_);_([$₹-en-IN]* (#,##0.00);_([$₹-en-IN]* "-"??_);_(@_)</rpv>
    </rSty>
    <rSty dxfid="1">
      <rpv i="0">#,##0.00</rpv>
    </rSty>
    <rSty>
      <rpv i="1">1</rpv>
    </rSty>
    <rSty dxfid="2">
      <rpv i="0">#,##0</rpv>
    </rSty>
    <rSty dxfid="3"/>
    <rSty dxfid="0">
      <rpv i="0">_([$₹-en-IN]* #,##0_);_([$₹-en-IN]* (#,##0);_([$₹-en-IN]*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ewpoint.pwc.com/dt/us/en/pwc/accounting_guides/income_taxes/income_taxes__16_US/chapter_5_valuation__US/57_future_taxable_in_U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1411-2A11-42D3-BE41-F6F91939B100}">
  <dimension ref="E1:V16"/>
  <sheetViews>
    <sheetView topLeftCell="E1" zoomScale="86" workbookViewId="0">
      <selection activeCell="E1" sqref="E1"/>
    </sheetView>
  </sheetViews>
  <sheetFormatPr baseColWidth="10" defaultColWidth="8.6640625" defaultRowHeight="15" customHeight="1" x14ac:dyDescent="0.2"/>
  <cols>
    <col min="1" max="16384" width="8.6640625" style="38"/>
  </cols>
  <sheetData>
    <row r="1" spans="5:22" x14ac:dyDescent="0.2">
      <c r="E1"/>
    </row>
    <row r="5" spans="5:22" x14ac:dyDescent="0.2"/>
    <row r="6" spans="5:22" ht="15" customHeight="1" x14ac:dyDescent="0.2">
      <c r="J6" s="118" t="s">
        <v>0</v>
      </c>
      <c r="K6" s="118"/>
      <c r="L6" s="118"/>
      <c r="M6" s="118"/>
      <c r="N6" s="118"/>
      <c r="O6" s="118"/>
      <c r="Q6" s="109" t="s">
        <v>1</v>
      </c>
      <c r="R6" s="110"/>
      <c r="S6" s="110"/>
      <c r="T6" s="110"/>
      <c r="U6" s="110"/>
      <c r="V6" s="111"/>
    </row>
    <row r="7" spans="5:22" x14ac:dyDescent="0.2">
      <c r="J7" s="118"/>
      <c r="K7" s="118"/>
      <c r="L7" s="118"/>
      <c r="M7" s="118"/>
      <c r="N7" s="118"/>
      <c r="O7" s="118"/>
      <c r="Q7" s="112"/>
      <c r="R7" s="113"/>
      <c r="S7" s="113"/>
      <c r="T7" s="113"/>
      <c r="U7" s="113"/>
      <c r="V7" s="114"/>
    </row>
    <row r="8" spans="5:22" x14ac:dyDescent="0.2">
      <c r="J8" s="118"/>
      <c r="K8" s="118"/>
      <c r="L8" s="118"/>
      <c r="M8" s="118"/>
      <c r="N8" s="118"/>
      <c r="O8" s="118"/>
      <c r="Q8" s="112"/>
      <c r="R8" s="113"/>
      <c r="S8" s="113"/>
      <c r="T8" s="113"/>
      <c r="U8" s="113"/>
      <c r="V8" s="114"/>
    </row>
    <row r="9" spans="5:22" x14ac:dyDescent="0.2">
      <c r="J9" s="118"/>
      <c r="K9" s="118"/>
      <c r="L9" s="118"/>
      <c r="M9" s="118"/>
      <c r="N9" s="118"/>
      <c r="O9" s="118"/>
      <c r="Q9" s="112"/>
      <c r="R9" s="113"/>
      <c r="S9" s="113"/>
      <c r="T9" s="113"/>
      <c r="U9" s="113"/>
      <c r="V9" s="114"/>
    </row>
    <row r="10" spans="5:22" x14ac:dyDescent="0.2">
      <c r="J10" s="118"/>
      <c r="K10" s="118"/>
      <c r="L10" s="118"/>
      <c r="M10" s="118"/>
      <c r="N10" s="118"/>
      <c r="O10" s="118"/>
      <c r="Q10" s="112"/>
      <c r="R10" s="113"/>
      <c r="S10" s="113"/>
      <c r="T10" s="113"/>
      <c r="U10" s="113"/>
      <c r="V10" s="114"/>
    </row>
    <row r="11" spans="5:22" x14ac:dyDescent="0.2">
      <c r="J11" s="118"/>
      <c r="K11" s="118"/>
      <c r="L11" s="118"/>
      <c r="M11" s="118"/>
      <c r="N11" s="118"/>
      <c r="O11" s="118"/>
      <c r="Q11" s="112"/>
      <c r="R11" s="113"/>
      <c r="S11" s="113"/>
      <c r="T11" s="113"/>
      <c r="U11" s="113"/>
      <c r="V11" s="114"/>
    </row>
    <row r="12" spans="5:22" x14ac:dyDescent="0.2">
      <c r="J12" s="118"/>
      <c r="K12" s="118"/>
      <c r="L12" s="118"/>
      <c r="M12" s="118"/>
      <c r="N12" s="118"/>
      <c r="O12" s="118"/>
      <c r="Q12" s="112"/>
      <c r="R12" s="113"/>
      <c r="S12" s="113"/>
      <c r="T12" s="113"/>
      <c r="U12" s="113"/>
      <c r="V12" s="114"/>
    </row>
    <row r="13" spans="5:22" x14ac:dyDescent="0.2">
      <c r="J13" s="118"/>
      <c r="K13" s="118"/>
      <c r="L13" s="118"/>
      <c r="M13" s="118"/>
      <c r="N13" s="118"/>
      <c r="O13" s="118"/>
      <c r="Q13" s="112"/>
      <c r="R13" s="113"/>
      <c r="S13" s="113"/>
      <c r="T13" s="113"/>
      <c r="U13" s="113"/>
      <c r="V13" s="114"/>
    </row>
    <row r="14" spans="5:22" x14ac:dyDescent="0.2">
      <c r="J14" s="118"/>
      <c r="K14" s="118"/>
      <c r="L14" s="118"/>
      <c r="M14" s="118"/>
      <c r="N14" s="118"/>
      <c r="O14" s="118"/>
      <c r="Q14" s="112"/>
      <c r="R14" s="113"/>
      <c r="S14" s="113"/>
      <c r="T14" s="113"/>
      <c r="U14" s="113"/>
      <c r="V14" s="114"/>
    </row>
    <row r="15" spans="5:22" x14ac:dyDescent="0.2">
      <c r="J15" s="119"/>
      <c r="K15" s="119"/>
      <c r="L15" s="119"/>
      <c r="M15" s="119"/>
      <c r="N15" s="119"/>
      <c r="O15" s="119"/>
      <c r="Q15" s="112"/>
      <c r="R15" s="113"/>
      <c r="S15" s="113"/>
      <c r="T15" s="113"/>
      <c r="U15" s="113"/>
      <c r="V15" s="114"/>
    </row>
    <row r="16" spans="5:22" x14ac:dyDescent="0.2">
      <c r="Q16" s="115"/>
      <c r="R16" s="116"/>
      <c r="S16" s="116"/>
      <c r="T16" s="116"/>
      <c r="U16" s="116"/>
      <c r="V16" s="117"/>
    </row>
  </sheetData>
  <mergeCells count="2">
    <mergeCell ref="Q6:V16"/>
    <mergeCell ref="J6:O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45EE-6874-47B7-9C7D-E592C9C39841}">
  <dimension ref="A1:M7"/>
  <sheetViews>
    <sheetView zoomScale="139" zoomScaleNormal="100" workbookViewId="0">
      <selection activeCell="K2" sqref="K2"/>
    </sheetView>
  </sheetViews>
  <sheetFormatPr baseColWidth="10" defaultColWidth="8.6640625" defaultRowHeight="15" x14ac:dyDescent="0.2"/>
  <cols>
    <col min="1" max="2" width="8.6640625" style="38"/>
    <col min="3" max="3" width="9.5" style="38" customWidth="1"/>
    <col min="4" max="9" width="8.6640625" style="38"/>
    <col min="10" max="10" width="11.83203125" style="38" customWidth="1"/>
    <col min="11" max="11" width="165.33203125" style="38" bestFit="1" customWidth="1"/>
    <col min="12" max="16384" width="8.6640625" style="38"/>
  </cols>
  <sheetData>
    <row r="1" spans="1:13" x14ac:dyDescent="0.2">
      <c r="A1" s="48" t="s">
        <v>2</v>
      </c>
    </row>
    <row r="2" spans="1:13" x14ac:dyDescent="0.2">
      <c r="A2" s="48" t="s">
        <v>3</v>
      </c>
      <c r="J2" s="38" t="s">
        <v>4</v>
      </c>
      <c r="K2" s="52" t="s">
        <v>5</v>
      </c>
    </row>
    <row r="3" spans="1:13" ht="80" x14ac:dyDescent="0.2">
      <c r="A3" s="48" t="s">
        <v>6</v>
      </c>
      <c r="K3" s="54" t="s">
        <v>7</v>
      </c>
    </row>
    <row r="4" spans="1:13" ht="48" x14ac:dyDescent="0.2">
      <c r="A4" s="56" t="s">
        <v>8</v>
      </c>
      <c r="B4" s="48"/>
      <c r="C4" s="48"/>
      <c r="D4" s="48"/>
      <c r="E4" s="48"/>
      <c r="F4" s="48"/>
      <c r="G4" s="48"/>
      <c r="K4" s="55" t="s">
        <v>9</v>
      </c>
      <c r="L4" s="53"/>
      <c r="M4" s="53"/>
    </row>
    <row r="5" spans="1:13" x14ac:dyDescent="0.2">
      <c r="A5" s="120" t="s">
        <v>10</v>
      </c>
      <c r="B5" s="120"/>
      <c r="C5" s="120"/>
      <c r="F5" s="48"/>
      <c r="G5" s="48"/>
      <c r="L5" s="53"/>
      <c r="M5" s="53"/>
    </row>
    <row r="6" spans="1:13" x14ac:dyDescent="0.2">
      <c r="A6" s="120" t="s">
        <v>11</v>
      </c>
      <c r="B6" s="120"/>
      <c r="C6" s="120"/>
      <c r="L6" s="53"/>
      <c r="M6" s="53"/>
    </row>
    <row r="7" spans="1:13" x14ac:dyDescent="0.2">
      <c r="A7" s="38" t="s">
        <v>322</v>
      </c>
    </row>
  </sheetData>
  <mergeCells count="2">
    <mergeCell ref="A6:C6"/>
    <mergeCell ref="A5:C5"/>
  </mergeCells>
  <hyperlinks>
    <hyperlink ref="K2" r:id="rId1" location="pwc-topic.dita_1743275109224693" xr:uid="{CFAB59AA-559F-4D21-AFD7-1E5CE84E1DC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3EBF-E40F-49BC-B7F6-BE6C08EF372B}">
  <dimension ref="A1:S44"/>
  <sheetViews>
    <sheetView zoomScale="112" workbookViewId="0">
      <selection activeCell="B27" sqref="B27"/>
    </sheetView>
  </sheetViews>
  <sheetFormatPr baseColWidth="10" defaultColWidth="8.83203125" defaultRowHeight="15" x14ac:dyDescent="0.2"/>
  <cols>
    <col min="1" max="1" width="23.83203125" bestFit="1" customWidth="1"/>
    <col min="2" max="2" width="12.83203125" customWidth="1"/>
    <col min="3" max="3" width="11.1640625" customWidth="1"/>
    <col min="4" max="4" width="10.5" customWidth="1"/>
    <col min="5" max="5" width="9.33203125" customWidth="1"/>
    <col min="6" max="6" width="10.83203125" customWidth="1"/>
    <col min="7" max="8" width="12.1640625" customWidth="1"/>
    <col min="9" max="9" width="10.33203125" customWidth="1"/>
    <col min="10" max="10" width="12.83203125" customWidth="1"/>
    <col min="11" max="11" width="9.83203125" customWidth="1"/>
    <col min="12" max="12" width="11.33203125" customWidth="1"/>
    <col min="15" max="18" width="9.33203125" bestFit="1" customWidth="1"/>
    <col min="21" max="21" width="15" customWidth="1"/>
  </cols>
  <sheetData>
    <row r="1" spans="1:19" x14ac:dyDescent="0.2">
      <c r="A1" s="8" t="s">
        <v>12</v>
      </c>
      <c r="B1" s="3">
        <v>5.5E-2</v>
      </c>
    </row>
    <row r="2" spans="1:19" x14ac:dyDescent="0.2">
      <c r="A2" s="21"/>
      <c r="B2" s="8">
        <v>41334</v>
      </c>
      <c r="C2" s="8">
        <v>41699</v>
      </c>
      <c r="D2" s="8">
        <v>42064</v>
      </c>
      <c r="E2" s="8">
        <v>42430</v>
      </c>
      <c r="F2" s="8">
        <v>42795</v>
      </c>
      <c r="G2" s="8">
        <v>43160</v>
      </c>
      <c r="H2" s="8">
        <v>43525</v>
      </c>
      <c r="I2" s="8">
        <v>43891</v>
      </c>
      <c r="J2" s="8">
        <v>44256</v>
      </c>
      <c r="K2" s="8">
        <v>44621</v>
      </c>
      <c r="L2" s="8">
        <v>44986</v>
      </c>
      <c r="M2" s="8">
        <v>45352</v>
      </c>
      <c r="N2" s="8">
        <v>45717</v>
      </c>
      <c r="O2" s="8">
        <v>46082</v>
      </c>
      <c r="P2" s="8">
        <v>46447</v>
      </c>
      <c r="Q2" s="8">
        <v>46813</v>
      </c>
      <c r="R2" s="8">
        <v>47178</v>
      </c>
      <c r="S2" s="8">
        <v>47543</v>
      </c>
    </row>
    <row r="3" spans="1:19" x14ac:dyDescent="0.2">
      <c r="A3" s="74" t="s">
        <v>13</v>
      </c>
      <c r="B3" s="61">
        <v>638</v>
      </c>
      <c r="C3" s="61">
        <v>644</v>
      </c>
      <c r="D3" s="61">
        <v>644</v>
      </c>
      <c r="E3" s="61">
        <v>679</v>
      </c>
      <c r="F3" s="61">
        <v>679</v>
      </c>
      <c r="G3" s="61">
        <v>679</v>
      </c>
      <c r="H3" s="61">
        <v>679</v>
      </c>
      <c r="I3" s="61">
        <v>720</v>
      </c>
      <c r="J3" s="61">
        <v>766</v>
      </c>
      <c r="K3" s="61">
        <v>766</v>
      </c>
      <c r="L3" s="61">
        <v>766</v>
      </c>
    </row>
    <row r="4" spans="1:19" x14ac:dyDescent="0.2">
      <c r="A4" s="74" t="s">
        <v>14</v>
      </c>
      <c r="B4" s="61">
        <v>638</v>
      </c>
      <c r="C4" s="61">
        <v>644</v>
      </c>
      <c r="D4" s="61">
        <v>644</v>
      </c>
      <c r="E4" s="61">
        <v>679</v>
      </c>
      <c r="F4" s="61">
        <v>679</v>
      </c>
      <c r="G4" s="61">
        <v>679</v>
      </c>
      <c r="H4" s="61">
        <v>679</v>
      </c>
      <c r="I4" s="61">
        <v>720</v>
      </c>
      <c r="J4" s="61">
        <v>766</v>
      </c>
      <c r="K4" s="61">
        <v>766</v>
      </c>
      <c r="L4" s="61">
        <v>766</v>
      </c>
    </row>
    <row r="5" spans="1:19" x14ac:dyDescent="0.2">
      <c r="A5" s="74" t="s">
        <v>15</v>
      </c>
      <c r="B5" s="70">
        <v>18497</v>
      </c>
      <c r="C5" s="70">
        <v>18533</v>
      </c>
      <c r="D5" s="70">
        <v>14219</v>
      </c>
      <c r="E5" s="70">
        <v>22583</v>
      </c>
      <c r="F5" s="70">
        <v>20483</v>
      </c>
      <c r="G5" s="70">
        <v>19492</v>
      </c>
      <c r="H5" s="70">
        <v>21483</v>
      </c>
      <c r="I5" s="70">
        <v>16801</v>
      </c>
      <c r="J5" s="70">
        <v>18290</v>
      </c>
      <c r="K5" s="70">
        <v>19178</v>
      </c>
      <c r="L5" s="70">
        <v>21704</v>
      </c>
    </row>
    <row r="6" spans="1:19" x14ac:dyDescent="0.2">
      <c r="A6" s="74" t="s">
        <v>16</v>
      </c>
      <c r="B6" s="70">
        <v>16799</v>
      </c>
      <c r="C6" s="70">
        <v>15053</v>
      </c>
      <c r="D6" s="70">
        <v>21134</v>
      </c>
      <c r="E6" s="70">
        <v>16473</v>
      </c>
      <c r="F6" s="70">
        <v>19357</v>
      </c>
      <c r="G6" s="70">
        <v>18464</v>
      </c>
      <c r="H6" s="70">
        <v>18640</v>
      </c>
      <c r="I6" s="70">
        <v>26050</v>
      </c>
      <c r="J6" s="70">
        <v>22439</v>
      </c>
      <c r="K6" s="70">
        <v>23529</v>
      </c>
      <c r="L6" s="70">
        <v>19279</v>
      </c>
    </row>
    <row r="7" spans="1:19" x14ac:dyDescent="0.2">
      <c r="A7" s="74" t="s">
        <v>17</v>
      </c>
      <c r="B7" s="70">
        <v>8052</v>
      </c>
      <c r="C7" s="70">
        <v>9746</v>
      </c>
      <c r="D7" s="70">
        <v>12319</v>
      </c>
      <c r="E7" s="70">
        <v>10600</v>
      </c>
      <c r="F7" s="70">
        <v>13686</v>
      </c>
      <c r="G7" s="70">
        <v>13156</v>
      </c>
      <c r="H7" s="70">
        <v>13915</v>
      </c>
      <c r="I7" s="70">
        <v>14777</v>
      </c>
      <c r="J7" s="70">
        <v>16327</v>
      </c>
      <c r="K7" s="70">
        <v>14103</v>
      </c>
      <c r="L7" s="70">
        <v>10446</v>
      </c>
    </row>
    <row r="8" spans="1:19" x14ac:dyDescent="0.2">
      <c r="A8" s="74" t="s">
        <v>18</v>
      </c>
      <c r="B8" s="70">
        <v>6217</v>
      </c>
      <c r="C8" s="70">
        <v>4769</v>
      </c>
      <c r="D8" s="70">
        <v>7762</v>
      </c>
      <c r="E8" s="70">
        <v>3655</v>
      </c>
      <c r="F8" s="70">
        <v>5159</v>
      </c>
      <c r="G8" s="70">
        <v>3100</v>
      </c>
      <c r="H8" s="70">
        <v>3618</v>
      </c>
      <c r="I8" s="70">
        <v>6121</v>
      </c>
      <c r="J8" s="70">
        <v>2542</v>
      </c>
      <c r="K8" s="70">
        <v>9130</v>
      </c>
      <c r="L8" s="70">
        <v>8427</v>
      </c>
    </row>
    <row r="9" spans="1:19" x14ac:dyDescent="0.2">
      <c r="A9" s="74" t="s">
        <v>19</v>
      </c>
      <c r="B9" s="61">
        <v>0</v>
      </c>
      <c r="C9" s="61">
        <v>0</v>
      </c>
      <c r="D9" s="61">
        <v>0</v>
      </c>
      <c r="E9" s="61">
        <v>0</v>
      </c>
      <c r="F9" s="61">
        <v>0</v>
      </c>
      <c r="G9" s="61">
        <v>0</v>
      </c>
      <c r="H9" s="61">
        <v>9</v>
      </c>
      <c r="I9" s="61">
        <v>606</v>
      </c>
      <c r="J9" s="61">
        <v>690</v>
      </c>
      <c r="K9" s="61">
        <v>296</v>
      </c>
      <c r="L9" s="61">
        <v>406</v>
      </c>
    </row>
    <row r="10" spans="1:19" x14ac:dyDescent="0.2">
      <c r="A10" s="74" t="s">
        <v>20</v>
      </c>
      <c r="B10" s="70">
        <v>2530</v>
      </c>
      <c r="C10" s="61">
        <v>537</v>
      </c>
      <c r="D10" s="70">
        <v>1053</v>
      </c>
      <c r="E10" s="70">
        <v>2219</v>
      </c>
      <c r="F10" s="61">
        <v>512</v>
      </c>
      <c r="G10" s="70">
        <v>2208</v>
      </c>
      <c r="H10" s="70">
        <v>1098</v>
      </c>
      <c r="I10" s="70">
        <v>4547</v>
      </c>
      <c r="J10" s="70">
        <v>2879</v>
      </c>
      <c r="K10" s="61">
        <v>0</v>
      </c>
      <c r="L10" s="61">
        <v>0</v>
      </c>
    </row>
    <row r="11" spans="1:19" x14ac:dyDescent="0.2">
      <c r="A11" s="74" t="s">
        <v>21</v>
      </c>
      <c r="B11" s="70">
        <v>16251</v>
      </c>
      <c r="C11" s="70">
        <v>15505</v>
      </c>
      <c r="D11" s="70">
        <v>13946</v>
      </c>
      <c r="E11" s="70">
        <v>16941</v>
      </c>
      <c r="F11" s="70">
        <v>18359</v>
      </c>
      <c r="G11" s="70">
        <v>20577</v>
      </c>
      <c r="H11" s="70">
        <v>20107</v>
      </c>
      <c r="I11" s="70">
        <v>19019</v>
      </c>
      <c r="J11" s="70">
        <v>23565</v>
      </c>
      <c r="K11" s="70">
        <v>20427</v>
      </c>
      <c r="L11" s="70">
        <v>19971</v>
      </c>
    </row>
    <row r="12" spans="1:19" x14ac:dyDescent="0.2">
      <c r="A12" s="74" t="s">
        <v>22</v>
      </c>
      <c r="B12" s="70">
        <v>8455</v>
      </c>
      <c r="C12" s="70">
        <v>9672</v>
      </c>
      <c r="D12" s="70">
        <v>8853</v>
      </c>
      <c r="E12" s="70">
        <v>9028</v>
      </c>
      <c r="F12" s="70">
        <v>11462</v>
      </c>
      <c r="G12" s="70">
        <v>14226</v>
      </c>
      <c r="H12" s="70">
        <v>13502</v>
      </c>
      <c r="I12" s="70">
        <v>10844</v>
      </c>
      <c r="J12" s="70">
        <v>15988</v>
      </c>
      <c r="K12" s="70">
        <v>13986</v>
      </c>
      <c r="L12" s="70">
        <v>13002</v>
      </c>
    </row>
    <row r="13" spans="1:19" x14ac:dyDescent="0.2">
      <c r="A13" s="74" t="s">
        <v>23</v>
      </c>
      <c r="B13" s="61">
        <v>342</v>
      </c>
      <c r="C13" s="61">
        <v>548</v>
      </c>
      <c r="D13" s="61">
        <v>499</v>
      </c>
      <c r="E13" s="61">
        <v>729</v>
      </c>
      <c r="F13" s="61">
        <v>850</v>
      </c>
      <c r="G13" s="61">
        <v>0</v>
      </c>
      <c r="H13" s="61">
        <v>0</v>
      </c>
      <c r="I13" s="61">
        <v>0</v>
      </c>
      <c r="J13" s="61">
        <v>0</v>
      </c>
      <c r="K13" s="61">
        <v>0</v>
      </c>
      <c r="L13" s="61">
        <v>0</v>
      </c>
    </row>
    <row r="14" spans="1:19" x14ac:dyDescent="0.2">
      <c r="A14" s="74" t="s">
        <v>24</v>
      </c>
      <c r="B14" s="70">
        <v>7454</v>
      </c>
      <c r="C14" s="70">
        <v>5285</v>
      </c>
      <c r="D14" s="70">
        <v>4594</v>
      </c>
      <c r="E14" s="70">
        <v>7183</v>
      </c>
      <c r="F14" s="70">
        <v>6046</v>
      </c>
      <c r="G14" s="70">
        <v>6352</v>
      </c>
      <c r="H14" s="70">
        <v>6605</v>
      </c>
      <c r="I14" s="70">
        <v>8175</v>
      </c>
      <c r="J14" s="70">
        <v>7577</v>
      </c>
      <c r="K14" s="70">
        <v>6441</v>
      </c>
      <c r="L14" s="70">
        <v>6969</v>
      </c>
    </row>
    <row r="15" spans="1:19" x14ac:dyDescent="0.2">
      <c r="A15" s="8" t="s">
        <v>25</v>
      </c>
      <c r="B15" s="73">
        <v>52185</v>
      </c>
      <c r="C15" s="73">
        <v>49734</v>
      </c>
      <c r="D15" s="73">
        <v>49943</v>
      </c>
      <c r="E15" s="73">
        <v>56676</v>
      </c>
      <c r="F15" s="73">
        <v>58878</v>
      </c>
      <c r="G15" s="73">
        <v>59212</v>
      </c>
      <c r="H15" s="73">
        <v>60910</v>
      </c>
      <c r="I15" s="73">
        <v>62590</v>
      </c>
      <c r="J15" s="73">
        <v>65060</v>
      </c>
      <c r="K15" s="73">
        <v>63900</v>
      </c>
      <c r="L15" s="73">
        <v>61720</v>
      </c>
      <c r="M15" s="73">
        <f t="shared" ref="M15:S15" si="0">L15*(1+$B$1)</f>
        <v>65114.6</v>
      </c>
      <c r="N15" s="73">
        <f t="shared" si="0"/>
        <v>68695.902999999991</v>
      </c>
      <c r="O15" s="73">
        <f t="shared" si="0"/>
        <v>72474.177664999981</v>
      </c>
      <c r="P15" s="73">
        <f t="shared" si="0"/>
        <v>76460.257436574975</v>
      </c>
      <c r="Q15" s="73">
        <f t="shared" si="0"/>
        <v>80665.571595586589</v>
      </c>
      <c r="R15" s="73">
        <f t="shared" si="0"/>
        <v>85102.178033343851</v>
      </c>
      <c r="S15" s="73">
        <f t="shared" si="0"/>
        <v>89782.797825177753</v>
      </c>
    </row>
    <row r="16" spans="1:19" x14ac:dyDescent="0.2">
      <c r="A16" s="74" t="s">
        <v>26</v>
      </c>
      <c r="B16" s="70">
        <v>15456</v>
      </c>
      <c r="C16" s="70">
        <v>15241</v>
      </c>
      <c r="D16" s="70">
        <v>15783</v>
      </c>
      <c r="E16" s="70">
        <v>21076</v>
      </c>
      <c r="F16" s="70">
        <v>20773</v>
      </c>
      <c r="G16" s="70">
        <v>21604</v>
      </c>
      <c r="H16" s="70">
        <v>22287</v>
      </c>
      <c r="I16" s="70">
        <v>25208</v>
      </c>
      <c r="J16" s="70">
        <v>26423</v>
      </c>
      <c r="K16" s="70">
        <v>14076</v>
      </c>
      <c r="L16" s="70">
        <v>14542</v>
      </c>
    </row>
    <row r="17" spans="1:12" x14ac:dyDescent="0.2">
      <c r="A17" s="74" t="s">
        <v>27</v>
      </c>
      <c r="B17" s="61">
        <v>638</v>
      </c>
      <c r="C17" s="61">
        <v>641</v>
      </c>
      <c r="D17" s="61">
        <v>641</v>
      </c>
      <c r="E17" s="70">
        <v>4575</v>
      </c>
      <c r="F17" s="70">
        <v>4575</v>
      </c>
      <c r="G17" s="70">
        <v>4575</v>
      </c>
      <c r="H17" s="70">
        <v>4575</v>
      </c>
      <c r="I17" s="70">
        <v>4961</v>
      </c>
      <c r="J17" s="70">
        <v>4961</v>
      </c>
      <c r="K17" s="70">
        <v>4138</v>
      </c>
      <c r="L17" s="70">
        <v>4127</v>
      </c>
    </row>
    <row r="18" spans="1:12" x14ac:dyDescent="0.2">
      <c r="A18" s="74" t="s">
        <v>28</v>
      </c>
      <c r="B18" s="70">
        <v>2770</v>
      </c>
      <c r="C18" s="70">
        <v>2967</v>
      </c>
      <c r="D18" s="70">
        <v>3077</v>
      </c>
      <c r="E18" s="70">
        <v>3283</v>
      </c>
      <c r="F18" s="70">
        <v>3416</v>
      </c>
      <c r="G18" s="70">
        <v>3555</v>
      </c>
      <c r="H18" s="70">
        <v>3620</v>
      </c>
      <c r="I18" s="70">
        <v>4152</v>
      </c>
      <c r="J18" s="70">
        <v>4264</v>
      </c>
      <c r="K18" s="70">
        <v>3007</v>
      </c>
      <c r="L18" s="70">
        <v>3047</v>
      </c>
    </row>
    <row r="19" spans="1:12" x14ac:dyDescent="0.2">
      <c r="A19" s="74" t="s">
        <v>29</v>
      </c>
      <c r="B19" s="70">
        <v>17563</v>
      </c>
      <c r="C19" s="70">
        <v>18350</v>
      </c>
      <c r="D19" s="70">
        <v>19609</v>
      </c>
      <c r="E19" s="70">
        <v>22481</v>
      </c>
      <c r="F19" s="70">
        <v>24804</v>
      </c>
      <c r="G19" s="70">
        <v>26219</v>
      </c>
      <c r="H19" s="70">
        <v>27535</v>
      </c>
      <c r="I19" s="70">
        <v>30478</v>
      </c>
      <c r="J19" s="70">
        <v>31983</v>
      </c>
      <c r="K19" s="70">
        <v>16807</v>
      </c>
      <c r="L19" s="70">
        <v>17281</v>
      </c>
    </row>
    <row r="20" spans="1:12" x14ac:dyDescent="0.2">
      <c r="A20" s="74" t="s">
        <v>30</v>
      </c>
      <c r="B20" s="61">
        <v>49</v>
      </c>
      <c r="C20" s="61">
        <v>50</v>
      </c>
      <c r="D20" s="61">
        <v>50</v>
      </c>
      <c r="E20" s="61">
        <v>0</v>
      </c>
      <c r="F20" s="61">
        <v>0</v>
      </c>
      <c r="G20" s="61">
        <v>0</v>
      </c>
      <c r="H20" s="61">
        <v>0</v>
      </c>
      <c r="I20" s="61">
        <v>0</v>
      </c>
      <c r="J20" s="61">
        <v>0</v>
      </c>
      <c r="K20" s="61">
        <v>0</v>
      </c>
      <c r="L20" s="61">
        <v>0</v>
      </c>
    </row>
    <row r="21" spans="1:12" x14ac:dyDescent="0.2">
      <c r="A21" s="74" t="s">
        <v>31</v>
      </c>
      <c r="B21" s="61">
        <v>569</v>
      </c>
      <c r="C21" s="61">
        <v>564</v>
      </c>
      <c r="D21" s="61">
        <v>766</v>
      </c>
      <c r="E21" s="61">
        <v>629</v>
      </c>
      <c r="F21" s="61">
        <v>640</v>
      </c>
      <c r="G21" s="61">
        <v>661</v>
      </c>
      <c r="H21" s="61">
        <v>566</v>
      </c>
      <c r="I21" s="61">
        <v>838</v>
      </c>
      <c r="J21" s="61">
        <v>726</v>
      </c>
      <c r="K21" s="61">
        <v>649</v>
      </c>
      <c r="L21" s="61">
        <v>556</v>
      </c>
    </row>
    <row r="22" spans="1:12" x14ac:dyDescent="0.2">
      <c r="A22" s="74" t="s">
        <v>32</v>
      </c>
      <c r="B22" s="61">
        <v>122</v>
      </c>
      <c r="C22" s="61">
        <v>132</v>
      </c>
      <c r="D22" s="61">
        <v>147</v>
      </c>
      <c r="E22" s="61">
        <v>404</v>
      </c>
      <c r="F22" s="61">
        <v>427</v>
      </c>
      <c r="G22" s="61">
        <v>436</v>
      </c>
      <c r="H22" s="61">
        <v>259</v>
      </c>
      <c r="I22" s="61">
        <v>261</v>
      </c>
      <c r="J22" s="61">
        <v>226</v>
      </c>
      <c r="K22" s="61">
        <v>130</v>
      </c>
      <c r="L22" s="61">
        <v>141</v>
      </c>
    </row>
    <row r="23" spans="1:12" x14ac:dyDescent="0.2">
      <c r="A23" s="74" t="s">
        <v>33</v>
      </c>
      <c r="B23" s="61">
        <v>159</v>
      </c>
      <c r="C23" s="61">
        <v>164</v>
      </c>
      <c r="D23" s="61">
        <v>160</v>
      </c>
      <c r="E23" s="61">
        <v>177</v>
      </c>
      <c r="F23" s="61">
        <v>187</v>
      </c>
      <c r="G23" s="61">
        <v>242</v>
      </c>
      <c r="H23" s="61">
        <v>272</v>
      </c>
      <c r="I23" s="61">
        <v>303</v>
      </c>
      <c r="J23" s="61">
        <v>305</v>
      </c>
      <c r="K23" s="61">
        <v>276</v>
      </c>
      <c r="L23" s="61">
        <v>339</v>
      </c>
    </row>
    <row r="24" spans="1:12" x14ac:dyDescent="0.2">
      <c r="A24" s="74" t="s">
        <v>34</v>
      </c>
      <c r="B24" s="61">
        <v>35</v>
      </c>
      <c r="C24" s="61">
        <v>276</v>
      </c>
      <c r="D24" s="61">
        <v>276</v>
      </c>
      <c r="E24" s="70">
        <v>7245</v>
      </c>
      <c r="F24" s="61">
        <v>448</v>
      </c>
      <c r="G24" s="61">
        <v>490</v>
      </c>
      <c r="H24" s="61">
        <v>459</v>
      </c>
      <c r="I24" s="61">
        <v>577</v>
      </c>
      <c r="J24" s="61">
        <v>577</v>
      </c>
      <c r="K24" s="61">
        <v>478</v>
      </c>
      <c r="L24" s="61">
        <v>565</v>
      </c>
    </row>
    <row r="25" spans="1:12" x14ac:dyDescent="0.2">
      <c r="A25" s="74" t="s">
        <v>35</v>
      </c>
      <c r="B25" s="70">
        <v>5161</v>
      </c>
      <c r="C25" s="70">
        <v>5647</v>
      </c>
      <c r="D25" s="70">
        <v>7087</v>
      </c>
      <c r="E25" s="61">
        <v>513</v>
      </c>
      <c r="F25" s="70">
        <v>5390</v>
      </c>
      <c r="G25" s="70">
        <v>6988</v>
      </c>
      <c r="H25" s="70">
        <v>8112</v>
      </c>
      <c r="I25" s="70">
        <v>10181</v>
      </c>
      <c r="J25" s="70">
        <v>12193</v>
      </c>
      <c r="K25" s="70">
        <v>4955</v>
      </c>
      <c r="L25" s="70">
        <v>3601</v>
      </c>
    </row>
    <row r="26" spans="1:12" x14ac:dyDescent="0.2">
      <c r="A26" s="74" t="s">
        <v>36</v>
      </c>
      <c r="B26" s="70">
        <v>27067</v>
      </c>
      <c r="C26" s="70">
        <v>28791</v>
      </c>
      <c r="D26" s="70">
        <v>31814</v>
      </c>
      <c r="E26" s="70">
        <v>39305</v>
      </c>
      <c r="F26" s="70">
        <v>39886</v>
      </c>
      <c r="G26" s="70">
        <v>43166</v>
      </c>
      <c r="H26" s="70">
        <v>45397</v>
      </c>
      <c r="I26" s="70">
        <v>51750</v>
      </c>
      <c r="J26" s="70">
        <v>55235</v>
      </c>
      <c r="K26" s="70">
        <v>30439</v>
      </c>
      <c r="L26" s="70">
        <v>29658</v>
      </c>
    </row>
    <row r="27" spans="1:12" x14ac:dyDescent="0.2">
      <c r="A27" s="74" t="s">
        <v>37</v>
      </c>
      <c r="B27" s="70">
        <v>11611</v>
      </c>
      <c r="C27" s="70">
        <v>13551</v>
      </c>
      <c r="D27" s="70">
        <v>16031</v>
      </c>
      <c r="E27" s="70">
        <v>18230</v>
      </c>
      <c r="F27" s="70">
        <v>19113</v>
      </c>
      <c r="G27" s="70">
        <v>21562</v>
      </c>
      <c r="H27" s="70">
        <v>23110</v>
      </c>
      <c r="I27" s="70">
        <v>26542</v>
      </c>
      <c r="J27" s="70">
        <v>28812</v>
      </c>
      <c r="K27" s="70">
        <v>16363</v>
      </c>
      <c r="L27" s="70">
        <v>15116</v>
      </c>
    </row>
    <row r="28" spans="1:12" x14ac:dyDescent="0.2">
      <c r="A28" s="74" t="s">
        <v>38</v>
      </c>
      <c r="B28" s="70">
        <v>4753</v>
      </c>
      <c r="C28" s="70">
        <v>6355</v>
      </c>
      <c r="D28" s="70">
        <v>6041</v>
      </c>
      <c r="E28" s="70">
        <v>5687</v>
      </c>
      <c r="F28" s="70">
        <v>7271</v>
      </c>
      <c r="G28" s="70">
        <v>5197</v>
      </c>
      <c r="H28" s="70">
        <v>6287</v>
      </c>
      <c r="I28" s="70">
        <v>4495</v>
      </c>
      <c r="J28" s="70">
        <v>3006</v>
      </c>
      <c r="K28" s="70">
        <v>1467</v>
      </c>
      <c r="L28" s="70">
        <v>1085</v>
      </c>
    </row>
    <row r="29" spans="1:12" x14ac:dyDescent="0.2">
      <c r="A29" s="74" t="s">
        <v>39</v>
      </c>
      <c r="B29" s="70">
        <v>19934</v>
      </c>
      <c r="C29" s="70">
        <v>18458</v>
      </c>
      <c r="D29" s="70">
        <v>16987</v>
      </c>
      <c r="E29" s="70">
        <v>16963</v>
      </c>
      <c r="F29" s="70">
        <v>17296</v>
      </c>
      <c r="G29" s="70">
        <v>16764</v>
      </c>
      <c r="H29" s="70">
        <v>16867</v>
      </c>
      <c r="I29" s="70">
        <v>16616</v>
      </c>
      <c r="J29" s="70">
        <v>17693</v>
      </c>
      <c r="K29" s="70">
        <v>34399</v>
      </c>
      <c r="L29" s="70">
        <v>32325</v>
      </c>
    </row>
    <row r="30" spans="1:12" x14ac:dyDescent="0.2">
      <c r="A30" s="74" t="s">
        <v>40</v>
      </c>
      <c r="B30" s="70">
        <v>12042</v>
      </c>
      <c r="C30" s="70">
        <v>9680</v>
      </c>
      <c r="D30" s="70">
        <v>11132</v>
      </c>
      <c r="E30" s="70">
        <v>12950</v>
      </c>
      <c r="F30" s="70">
        <v>13539</v>
      </c>
      <c r="G30" s="70">
        <v>15648</v>
      </c>
      <c r="H30" s="70">
        <v>15469</v>
      </c>
      <c r="I30" s="70">
        <v>16271</v>
      </c>
      <c r="J30" s="70">
        <v>17937</v>
      </c>
      <c r="K30" s="70">
        <v>13957</v>
      </c>
      <c r="L30" s="70">
        <v>13768</v>
      </c>
    </row>
    <row r="31" spans="1:12" x14ac:dyDescent="0.2">
      <c r="A31" s="74" t="s">
        <v>41</v>
      </c>
      <c r="B31" s="70">
        <v>4455</v>
      </c>
      <c r="C31" s="70">
        <v>3863</v>
      </c>
      <c r="D31" s="70">
        <v>4802</v>
      </c>
      <c r="E31" s="70">
        <v>5118</v>
      </c>
      <c r="F31" s="70">
        <v>5553</v>
      </c>
      <c r="G31" s="70">
        <v>5670</v>
      </c>
      <c r="H31" s="70">
        <v>4662</v>
      </c>
      <c r="I31" s="70">
        <v>3832</v>
      </c>
      <c r="J31" s="70">
        <v>4552</v>
      </c>
      <c r="K31" s="70">
        <v>3718</v>
      </c>
      <c r="L31" s="70">
        <v>3028</v>
      </c>
    </row>
    <row r="32" spans="1:12" x14ac:dyDescent="0.2">
      <c r="A32" s="74" t="s">
        <v>42</v>
      </c>
      <c r="B32" s="70">
        <v>1818</v>
      </c>
      <c r="C32" s="70">
        <v>1217</v>
      </c>
      <c r="D32" s="70">
        <v>1114</v>
      </c>
      <c r="E32" s="70">
        <v>2046</v>
      </c>
      <c r="F32" s="70">
        <v>2128</v>
      </c>
      <c r="G32" s="70">
        <v>3480</v>
      </c>
      <c r="H32" s="70">
        <v>3251</v>
      </c>
      <c r="I32" s="70">
        <v>1978</v>
      </c>
      <c r="J32" s="70">
        <v>2088</v>
      </c>
      <c r="K32" s="70">
        <v>2112</v>
      </c>
      <c r="L32" s="70">
        <v>2308</v>
      </c>
    </row>
    <row r="33" spans="1:19" x14ac:dyDescent="0.2">
      <c r="A33" s="74" t="s">
        <v>43</v>
      </c>
      <c r="B33" s="61">
        <v>463</v>
      </c>
      <c r="C33" s="61">
        <v>226</v>
      </c>
      <c r="D33" s="61">
        <v>945</v>
      </c>
      <c r="E33" s="61">
        <v>788</v>
      </c>
      <c r="F33" s="61">
        <v>327</v>
      </c>
      <c r="G33" s="61">
        <v>795</v>
      </c>
      <c r="H33" s="70">
        <v>1307</v>
      </c>
      <c r="I33" s="70">
        <v>3532</v>
      </c>
      <c r="J33" s="70">
        <v>4319</v>
      </c>
      <c r="K33" s="70">
        <v>2605</v>
      </c>
      <c r="L33" s="70">
        <v>1415</v>
      </c>
    </row>
    <row r="34" spans="1:19" x14ac:dyDescent="0.2">
      <c r="A34" s="74" t="s">
        <v>44</v>
      </c>
      <c r="B34" s="61">
        <v>275</v>
      </c>
      <c r="C34" s="61">
        <v>248</v>
      </c>
      <c r="D34" s="61">
        <v>242</v>
      </c>
      <c r="E34" s="61">
        <v>0</v>
      </c>
      <c r="F34" s="61">
        <v>99</v>
      </c>
      <c r="G34" s="61">
        <v>84</v>
      </c>
      <c r="H34" s="61">
        <v>143</v>
      </c>
      <c r="I34" s="61">
        <v>188</v>
      </c>
      <c r="J34" s="61">
        <v>137</v>
      </c>
      <c r="K34" s="61">
        <v>113</v>
      </c>
      <c r="L34" s="61">
        <v>117</v>
      </c>
    </row>
    <row r="35" spans="1:19" x14ac:dyDescent="0.2">
      <c r="A35" s="74" t="s">
        <v>45</v>
      </c>
      <c r="B35" s="70">
        <v>5031</v>
      </c>
      <c r="C35" s="70">
        <v>4127</v>
      </c>
      <c r="D35" s="70">
        <v>4028</v>
      </c>
      <c r="E35" s="70">
        <v>4998</v>
      </c>
      <c r="F35" s="70">
        <v>5432</v>
      </c>
      <c r="G35" s="70">
        <v>5619</v>
      </c>
      <c r="H35" s="70">
        <v>6107</v>
      </c>
      <c r="I35" s="70">
        <v>6741</v>
      </c>
      <c r="J35" s="70">
        <v>6842</v>
      </c>
      <c r="K35" s="70">
        <v>5409</v>
      </c>
      <c r="L35" s="70">
        <v>6901</v>
      </c>
    </row>
    <row r="36" spans="1:19" x14ac:dyDescent="0.2">
      <c r="A36" s="8" t="s">
        <v>46</v>
      </c>
      <c r="B36" s="8">
        <v>52185</v>
      </c>
      <c r="C36" s="8">
        <v>49734</v>
      </c>
      <c r="D36" s="8">
        <v>49943</v>
      </c>
      <c r="E36" s="8">
        <v>56676</v>
      </c>
      <c r="F36" s="8">
        <v>58878</v>
      </c>
      <c r="G36" s="8">
        <v>59212</v>
      </c>
      <c r="H36" s="8">
        <v>60910</v>
      </c>
      <c r="I36" s="73">
        <v>62590</v>
      </c>
      <c r="J36" s="73">
        <v>65060</v>
      </c>
      <c r="K36" s="73">
        <v>63900</v>
      </c>
      <c r="L36" s="73">
        <v>61720</v>
      </c>
      <c r="M36" s="73">
        <f t="shared" ref="M36:S36" si="1">L36*(1+$B$1)</f>
        <v>65114.6</v>
      </c>
      <c r="N36" s="73">
        <f t="shared" si="1"/>
        <v>68695.902999999991</v>
      </c>
      <c r="O36" s="73">
        <f t="shared" si="1"/>
        <v>72474.177664999981</v>
      </c>
      <c r="P36" s="73">
        <f t="shared" si="1"/>
        <v>76460.257436574975</v>
      </c>
      <c r="Q36" s="73">
        <f t="shared" si="1"/>
        <v>80665.571595586589</v>
      </c>
      <c r="R36" s="73">
        <f t="shared" si="1"/>
        <v>85102.178033343851</v>
      </c>
      <c r="S36" s="73">
        <f t="shared" si="1"/>
        <v>89782.797825177753</v>
      </c>
    </row>
    <row r="44" spans="1:19" ht="14.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1141-0242-4987-83D2-B59C878D7026}">
  <dimension ref="A1:S29"/>
  <sheetViews>
    <sheetView topLeftCell="C1" zoomScale="97" workbookViewId="0">
      <pane ySplit="1" topLeftCell="A2" activePane="bottomLeft" state="frozen"/>
      <selection pane="bottomLeft" activeCell="L7" sqref="L7"/>
    </sheetView>
  </sheetViews>
  <sheetFormatPr baseColWidth="10" defaultColWidth="8.83203125" defaultRowHeight="15" x14ac:dyDescent="0.2"/>
  <cols>
    <col min="1" max="1" width="14.5" bestFit="1" customWidth="1"/>
    <col min="2" max="2" width="13.33203125" customWidth="1"/>
    <col min="3" max="6" width="10.5" bestFit="1" customWidth="1"/>
    <col min="7" max="7" width="13.83203125" bestFit="1" customWidth="1"/>
    <col min="8" max="11" width="10.5" bestFit="1" customWidth="1"/>
    <col min="12" max="12" width="12.5" customWidth="1"/>
    <col min="13" max="17" width="10.33203125" bestFit="1" customWidth="1"/>
    <col min="18" max="18" width="11.83203125" bestFit="1" customWidth="1"/>
  </cols>
  <sheetData>
    <row r="1" spans="1:19" x14ac:dyDescent="0.2">
      <c r="A1" s="3" t="s">
        <v>47</v>
      </c>
      <c r="B1" s="3"/>
      <c r="C1" s="3"/>
      <c r="D1" s="3"/>
      <c r="E1" s="3"/>
      <c r="F1" s="3"/>
      <c r="G1" s="3"/>
      <c r="H1" t="s">
        <v>48</v>
      </c>
      <c r="I1" s="3"/>
      <c r="J1" s="4"/>
      <c r="K1" s="4"/>
    </row>
    <row r="3" spans="1:19" x14ac:dyDescent="0.2">
      <c r="A3" s="7" t="s">
        <v>49</v>
      </c>
      <c r="B3" s="8">
        <v>41729</v>
      </c>
      <c r="C3" s="8">
        <v>42094</v>
      </c>
      <c r="D3" s="8">
        <v>42460</v>
      </c>
      <c r="E3" s="8">
        <v>42825</v>
      </c>
      <c r="F3" s="8">
        <v>43190</v>
      </c>
      <c r="G3" s="8">
        <v>43555</v>
      </c>
      <c r="H3" s="8">
        <v>43921</v>
      </c>
      <c r="I3" s="8">
        <v>44286</v>
      </c>
      <c r="J3" s="8">
        <v>44651</v>
      </c>
      <c r="K3" s="8">
        <v>45016</v>
      </c>
      <c r="L3" s="8">
        <v>45382</v>
      </c>
      <c r="M3" s="8">
        <v>45747</v>
      </c>
      <c r="N3" s="8">
        <v>46112</v>
      </c>
      <c r="O3" s="8">
        <v>46477</v>
      </c>
      <c r="P3" s="8">
        <v>46843</v>
      </c>
      <c r="Q3" s="8">
        <v>47208</v>
      </c>
      <c r="R3" s="8">
        <v>47573</v>
      </c>
    </row>
    <row r="4" spans="1:19" x14ac:dyDescent="0.2">
      <c r="A4" s="3" t="s">
        <v>50</v>
      </c>
      <c r="B4" s="2">
        <v>34288.11</v>
      </c>
      <c r="C4" s="2">
        <v>36301.629999999997</v>
      </c>
      <c r="D4" s="2">
        <v>42845.47</v>
      </c>
      <c r="E4" s="2">
        <v>44316.34</v>
      </c>
      <c r="F4" s="2">
        <v>57896.53</v>
      </c>
      <c r="G4" s="2">
        <v>69202.759999999995</v>
      </c>
      <c r="H4" s="2">
        <v>43928.17</v>
      </c>
      <c r="I4" s="2">
        <v>30175.03</v>
      </c>
      <c r="J4" s="2">
        <v>47263.68</v>
      </c>
      <c r="K4" s="2">
        <v>65757.33</v>
      </c>
      <c r="L4" s="1">
        <f>K4*(1+$I$23)</f>
        <v>69907.087374057955</v>
      </c>
      <c r="M4" s="1">
        <f t="shared" ref="M4:R4" si="0">L4*(1+$I$23)</f>
        <v>74318.724089377924</v>
      </c>
      <c r="N4" s="1">
        <f t="shared" si="0"/>
        <v>79008.766603580894</v>
      </c>
      <c r="O4" s="1">
        <f t="shared" si="0"/>
        <v>83994.784311849056</v>
      </c>
      <c r="P4" s="1">
        <f t="shared" si="0"/>
        <v>89295.455363737914</v>
      </c>
      <c r="Q4" s="1">
        <f t="shared" si="0"/>
        <v>94930.63663349954</v>
      </c>
      <c r="R4" s="1">
        <f t="shared" si="0"/>
        <v>100921.43810603319</v>
      </c>
    </row>
    <row r="5" spans="1:19" x14ac:dyDescent="0.2">
      <c r="A5" t="s">
        <v>51</v>
      </c>
      <c r="B5" s="6">
        <v>35183.600000000006</v>
      </c>
      <c r="C5" s="6">
        <v>37539.11</v>
      </c>
      <c r="D5" s="6">
        <v>40460.430000000008</v>
      </c>
      <c r="E5" s="6">
        <v>42705.829999999994</v>
      </c>
      <c r="F5" s="6">
        <v>55522.950000000012</v>
      </c>
      <c r="G5" s="6">
        <v>64263.21</v>
      </c>
      <c r="H5" s="6">
        <v>44579.349999999991</v>
      </c>
      <c r="I5" s="6">
        <v>28820.649999999998</v>
      </c>
      <c r="J5" s="6">
        <v>45764.749999999993</v>
      </c>
      <c r="K5" s="6">
        <v>61226.280000000006</v>
      </c>
      <c r="L5" s="1">
        <f>L4-L6</f>
        <v>65169.944897974965</v>
      </c>
      <c r="M5" s="1">
        <f t="shared" ref="M5:R5" si="1">M4-M6</f>
        <v>69366.115127060213</v>
      </c>
      <c r="N5" s="1">
        <f t="shared" si="1"/>
        <v>73830.890772851912</v>
      </c>
      <c r="O5" s="1">
        <f t="shared" si="1"/>
        <v>78581.395465195455</v>
      </c>
      <c r="P5" s="1">
        <f t="shared" si="1"/>
        <v>83635.841312902747</v>
      </c>
      <c r="Q5" s="1">
        <f t="shared" si="1"/>
        <v>89013.597951859003</v>
      </c>
      <c r="R5" s="1">
        <f t="shared" si="1"/>
        <v>94735.265966810373</v>
      </c>
    </row>
    <row r="6" spans="1:19" x14ac:dyDescent="0.2">
      <c r="A6" s="3" t="s">
        <v>52</v>
      </c>
      <c r="B6" s="2">
        <v>-895.49000000000524</v>
      </c>
      <c r="C6" s="2">
        <v>-1237.4800000000032</v>
      </c>
      <c r="D6" s="2">
        <v>2385.0399999999936</v>
      </c>
      <c r="E6" s="2">
        <v>1610.510000000002</v>
      </c>
      <c r="F6" s="2">
        <v>2373.5799999999872</v>
      </c>
      <c r="G6" s="2">
        <v>4939.5499999999956</v>
      </c>
      <c r="H6" s="2">
        <v>-651.17999999999302</v>
      </c>
      <c r="I6" s="2">
        <v>1354.380000000001</v>
      </c>
      <c r="J6" s="2">
        <v>1498.9300000000076</v>
      </c>
      <c r="K6" s="2">
        <v>4531.0499999999956</v>
      </c>
      <c r="L6" s="1">
        <f>K6*(1+$I$24)</f>
        <v>4737.1424760829877</v>
      </c>
      <c r="M6" s="1">
        <f t="shared" ref="M6:R6" si="2">L6*(1+$I$24)</f>
        <v>4952.6089623177149</v>
      </c>
      <c r="N6" s="1">
        <f t="shared" si="2"/>
        <v>5177.8758307289836</v>
      </c>
      <c r="O6" s="1">
        <f t="shared" si="2"/>
        <v>5413.3888466535964</v>
      </c>
      <c r="P6" s="1">
        <f t="shared" si="2"/>
        <v>5659.6140508351646</v>
      </c>
      <c r="Q6" s="1">
        <f t="shared" si="2"/>
        <v>5917.0386816405435</v>
      </c>
      <c r="R6" s="1">
        <f t="shared" si="2"/>
        <v>6186.1721392228137</v>
      </c>
    </row>
    <row r="7" spans="1:19" x14ac:dyDescent="0.2">
      <c r="A7" t="s">
        <v>53</v>
      </c>
      <c r="B7" s="6">
        <v>3293.17</v>
      </c>
      <c r="C7" s="6">
        <v>1477.66</v>
      </c>
      <c r="D7" s="6">
        <v>1469.08</v>
      </c>
      <c r="E7" s="6">
        <v>642.35</v>
      </c>
      <c r="F7" s="6">
        <v>1525.82</v>
      </c>
      <c r="G7" s="6">
        <v>2351.59</v>
      </c>
      <c r="H7" s="6">
        <v>-1127.8699999999999</v>
      </c>
      <c r="I7" s="6">
        <v>112.44</v>
      </c>
      <c r="J7" s="6">
        <v>1091.69</v>
      </c>
      <c r="K7" s="6">
        <v>538.12</v>
      </c>
      <c r="L7" s="1">
        <f>K7*(1+$H$27)</f>
        <v>542.52366320226201</v>
      </c>
      <c r="M7" s="1">
        <f t="shared" ref="M7:R7" si="3">L7*(1+$H$27)</f>
        <v>546.96336344012752</v>
      </c>
      <c r="N7" s="1">
        <f t="shared" si="3"/>
        <v>551.4393956198769</v>
      </c>
      <c r="O7" s="1">
        <f t="shared" si="3"/>
        <v>555.95205706113325</v>
      </c>
      <c r="P7" s="1">
        <f t="shared" si="3"/>
        <v>560.50164751661146</v>
      </c>
      <c r="Q7" s="1">
        <f t="shared" si="3"/>
        <v>565.08846919202983</v>
      </c>
      <c r="R7" s="1">
        <f t="shared" si="3"/>
        <v>569.7128267661833</v>
      </c>
    </row>
    <row r="8" spans="1:19" x14ac:dyDescent="0.2">
      <c r="A8" t="s">
        <v>54</v>
      </c>
      <c r="B8" s="6">
        <v>2070.3000000000002</v>
      </c>
      <c r="C8" s="6">
        <v>2603.2199999999998</v>
      </c>
      <c r="D8" s="6">
        <v>2329.2199999999998</v>
      </c>
      <c r="E8" s="6">
        <v>3037.12</v>
      </c>
      <c r="F8" s="6">
        <v>3101.89</v>
      </c>
      <c r="G8" s="6">
        <v>3098.64</v>
      </c>
      <c r="H8" s="6">
        <v>3375.29</v>
      </c>
      <c r="I8" s="6">
        <v>1730.71</v>
      </c>
      <c r="J8" s="6">
        <v>1760.57</v>
      </c>
      <c r="K8" s="6">
        <v>1766.86</v>
      </c>
      <c r="L8" s="1">
        <f>K8*(1+$H$28)</f>
        <v>1814.3344680113989</v>
      </c>
      <c r="M8" s="1">
        <f t="shared" ref="M8:R8" si="4">L8*(1+$H$28)</f>
        <v>1863.0845464916326</v>
      </c>
      <c r="N8" s="1">
        <f t="shared" si="4"/>
        <v>1913.1445103285801</v>
      </c>
      <c r="O8" s="1">
        <f t="shared" si="4"/>
        <v>1964.549555355791</v>
      </c>
      <c r="P8" s="1">
        <f t="shared" si="4"/>
        <v>2017.3358230977437</v>
      </c>
      <c r="Q8" s="1">
        <f t="shared" si="4"/>
        <v>2071.5404261799931</v>
      </c>
      <c r="R8" s="1">
        <f t="shared" si="4"/>
        <v>2127.2014744220733</v>
      </c>
    </row>
    <row r="9" spans="1:19" x14ac:dyDescent="0.2">
      <c r="A9" t="s">
        <v>55</v>
      </c>
      <c r="B9" s="6">
        <v>1353.18</v>
      </c>
      <c r="C9" s="6">
        <v>1611.68</v>
      </c>
      <c r="D9" s="6">
        <v>1592</v>
      </c>
      <c r="E9" s="6">
        <v>1569.01</v>
      </c>
      <c r="F9" s="6">
        <v>1744.43</v>
      </c>
      <c r="G9" s="6">
        <v>1793.57</v>
      </c>
      <c r="H9" s="6">
        <v>1973</v>
      </c>
      <c r="I9" s="6">
        <v>2110.83</v>
      </c>
      <c r="J9" s="6">
        <v>2121.73</v>
      </c>
      <c r="K9" s="6">
        <v>2047.51</v>
      </c>
      <c r="L9" s="1">
        <f>K9*(1+$H$29)</f>
        <v>2111.2640666584243</v>
      </c>
      <c r="M9" s="1">
        <f t="shared" ref="M9:R9" si="5">L9*(1+$H$29)</f>
        <v>2177.0032669745533</v>
      </c>
      <c r="N9" s="1">
        <f t="shared" si="5"/>
        <v>2244.7894127800942</v>
      </c>
      <c r="O9" s="1">
        <f t="shared" si="5"/>
        <v>2314.6862405643333</v>
      </c>
      <c r="P9" s="1">
        <f t="shared" si="5"/>
        <v>2386.759471402901</v>
      </c>
      <c r="Q9" s="1">
        <f t="shared" si="5"/>
        <v>2461.0768727525628</v>
      </c>
      <c r="R9" s="1">
        <f t="shared" si="5"/>
        <v>2537.708322170135</v>
      </c>
    </row>
    <row r="10" spans="1:19" x14ac:dyDescent="0.2">
      <c r="A10" t="s">
        <v>56</v>
      </c>
      <c r="B10" s="6">
        <v>-1025.8</v>
      </c>
      <c r="C10" s="6">
        <v>-3974.72</v>
      </c>
      <c r="D10" s="6">
        <v>-67.099999999999994</v>
      </c>
      <c r="E10" s="6">
        <v>-2353.27</v>
      </c>
      <c r="F10" s="6">
        <v>-946.92</v>
      </c>
      <c r="G10" s="6">
        <v>2398.9299999999998</v>
      </c>
      <c r="H10" s="6">
        <v>-7127.34</v>
      </c>
      <c r="I10" s="6">
        <v>-2374.7199999999998</v>
      </c>
      <c r="J10" s="6">
        <v>-1291.68</v>
      </c>
      <c r="K10" s="6">
        <v>1254.8</v>
      </c>
      <c r="L10" s="1">
        <f>L6+L7-SUM(L8:L9)</f>
        <v>1354.0676046154258</v>
      </c>
      <c r="M10" s="1">
        <f t="shared" ref="M10:R10" si="6">M6+M7-SUM(M8:M9)</f>
        <v>1459.4845122916568</v>
      </c>
      <c r="N10" s="1">
        <f t="shared" si="6"/>
        <v>1571.3813032401868</v>
      </c>
      <c r="O10" s="1">
        <f t="shared" si="6"/>
        <v>1690.1051077946049</v>
      </c>
      <c r="P10" s="1">
        <f t="shared" si="6"/>
        <v>1816.0204038511311</v>
      </c>
      <c r="Q10" s="1">
        <f t="shared" si="6"/>
        <v>1949.5098519000176</v>
      </c>
      <c r="R10" s="1">
        <f t="shared" si="6"/>
        <v>2090.9751693967883</v>
      </c>
    </row>
    <row r="11" spans="1:19" x14ac:dyDescent="0.2">
      <c r="A11" t="s">
        <v>57</v>
      </c>
      <c r="B11" s="6">
        <v>-1360.32</v>
      </c>
      <c r="C11" s="6">
        <v>764.23</v>
      </c>
      <c r="D11" s="6">
        <v>-4.8</v>
      </c>
      <c r="E11" s="6">
        <v>76.33</v>
      </c>
      <c r="F11" s="6">
        <v>87.93</v>
      </c>
      <c r="G11" s="6">
        <v>378.33</v>
      </c>
      <c r="H11" s="6">
        <v>162.29</v>
      </c>
      <c r="I11" s="6">
        <v>20.72</v>
      </c>
      <c r="J11" s="6">
        <v>99.18</v>
      </c>
      <c r="K11" s="6">
        <v>-1473.33</v>
      </c>
      <c r="L11" s="11">
        <f>AVERAGE($B$11:$K$11)</f>
        <v>-124.94399999999999</v>
      </c>
      <c r="M11" s="11">
        <f t="shared" ref="M11:R11" si="7">AVERAGE($B$11:$K$11)</f>
        <v>-124.94399999999999</v>
      </c>
      <c r="N11" s="11">
        <f t="shared" si="7"/>
        <v>-124.94399999999999</v>
      </c>
      <c r="O11" s="11">
        <f t="shared" si="7"/>
        <v>-124.94399999999999</v>
      </c>
      <c r="P11" s="11">
        <f t="shared" si="7"/>
        <v>-124.94399999999999</v>
      </c>
      <c r="Q11" s="11">
        <f t="shared" si="7"/>
        <v>-124.94399999999999</v>
      </c>
      <c r="R11" s="11">
        <f t="shared" si="7"/>
        <v>-124.94399999999999</v>
      </c>
      <c r="S11" t="s">
        <v>58</v>
      </c>
    </row>
    <row r="12" spans="1:19" x14ac:dyDescent="0.2">
      <c r="A12" s="3" t="s">
        <v>59</v>
      </c>
      <c r="B12" s="2">
        <v>334.52</v>
      </c>
      <c r="C12" s="2">
        <v>-4738.95</v>
      </c>
      <c r="D12" s="2">
        <v>-62.3</v>
      </c>
      <c r="E12" s="2">
        <v>-2429.6</v>
      </c>
      <c r="F12" s="2">
        <v>-1034.8499999999999</v>
      </c>
      <c r="G12" s="2">
        <v>2020.6</v>
      </c>
      <c r="H12" s="2">
        <v>-7289.63</v>
      </c>
      <c r="I12" s="2">
        <v>-2395.44</v>
      </c>
      <c r="J12" s="2">
        <v>-1390.86</v>
      </c>
      <c r="K12" s="2">
        <v>2728.13</v>
      </c>
      <c r="L12" s="1">
        <f>L10-L11</f>
        <v>1479.0116046154258</v>
      </c>
      <c r="M12" s="1">
        <f t="shared" ref="M12:R12" si="8">M10-M11</f>
        <v>1584.4285122916567</v>
      </c>
      <c r="N12" s="1">
        <f t="shared" si="8"/>
        <v>1696.3253032401867</v>
      </c>
      <c r="O12" s="1">
        <f t="shared" si="8"/>
        <v>1815.0491077946049</v>
      </c>
      <c r="P12" s="1">
        <f t="shared" si="8"/>
        <v>1940.964403851131</v>
      </c>
      <c r="Q12" s="1">
        <f t="shared" si="8"/>
        <v>2074.4538519000175</v>
      </c>
      <c r="R12" s="1">
        <f t="shared" si="8"/>
        <v>2215.9191693967882</v>
      </c>
    </row>
    <row r="13" spans="1:19" x14ac:dyDescent="0.2">
      <c r="A13" t="s">
        <v>60</v>
      </c>
      <c r="B13" s="6">
        <v>1.1585509454872895</v>
      </c>
      <c r="C13" s="6">
        <v>-16.412516450786175</v>
      </c>
      <c r="D13" s="6">
        <v>-0.21577999445829868</v>
      </c>
      <c r="E13" s="6">
        <v>-8.4147819762407785</v>
      </c>
      <c r="F13" s="6">
        <v>-3.5841443563190518</v>
      </c>
      <c r="G13" s="6">
        <v>6.9982336438887538</v>
      </c>
      <c r="H13" s="6">
        <v>-23.598672709614764</v>
      </c>
      <c r="I13" s="6">
        <v>-7.2145288076378646</v>
      </c>
      <c r="J13" s="6">
        <v>-4.1884542415755712</v>
      </c>
      <c r="K13" s="6">
        <v>8.2140426941257942</v>
      </c>
      <c r="L13" s="1">
        <f>(L12*10000000)/3321344325</f>
        <v>4.4530511139203419</v>
      </c>
      <c r="M13" s="1">
        <f t="shared" ref="M13:R13" si="9">(M12*10000000)/3321344325</f>
        <v>4.7704434025871638</v>
      </c>
      <c r="N13" s="1">
        <f t="shared" si="9"/>
        <v>5.1073455120922659</v>
      </c>
      <c r="O13" s="1">
        <f t="shared" si="9"/>
        <v>5.4648025925303747</v>
      </c>
      <c r="P13" s="1">
        <f t="shared" si="9"/>
        <v>5.8439120245418428</v>
      </c>
      <c r="Q13" s="1">
        <f t="shared" si="9"/>
        <v>6.2458259334494555</v>
      </c>
      <c r="R13" s="1">
        <f t="shared" si="9"/>
        <v>6.6717538218407642</v>
      </c>
    </row>
    <row r="14" spans="1:19" x14ac:dyDescent="0.2">
      <c r="A14" t="s">
        <v>61</v>
      </c>
      <c r="B14" s="6">
        <v>340.44251703933998</v>
      </c>
      <c r="C14" s="6">
        <v>-33.167978940482598</v>
      </c>
      <c r="D14" s="6">
        <v>-1791.639678972713</v>
      </c>
      <c r="E14" s="6">
        <v>-55.360911466908135</v>
      </c>
      <c r="F14" s="6">
        <v>-91.193313523699103</v>
      </c>
      <c r="G14" s="6">
        <v>24.899140106898944</v>
      </c>
      <c r="H14" s="6">
        <v>-3.0107625489908263</v>
      </c>
      <c r="I14" s="6">
        <v>-41.83225378218615</v>
      </c>
      <c r="J14" s="6">
        <v>-103.55849078987102</v>
      </c>
      <c r="K14" s="6">
        <v>51.229341710255746</v>
      </c>
    </row>
    <row r="15" spans="1:19" x14ac:dyDescent="0.2">
      <c r="A15" s="3" t="s">
        <v>62</v>
      </c>
      <c r="B15" s="2">
        <v>394.42</v>
      </c>
      <c r="C15" s="2">
        <v>544.37</v>
      </c>
      <c r="D15" s="2">
        <v>386.6</v>
      </c>
      <c r="E15" s="2">
        <v>465.85</v>
      </c>
      <c r="F15" s="2">
        <v>326.85000000000002</v>
      </c>
      <c r="G15" s="2">
        <v>174.25</v>
      </c>
      <c r="H15" s="2">
        <v>71.05</v>
      </c>
      <c r="I15" s="2">
        <v>301.8</v>
      </c>
      <c r="J15" s="2">
        <v>433.75</v>
      </c>
      <c r="K15" s="2">
        <v>420.8</v>
      </c>
    </row>
    <row r="17" spans="1:11" x14ac:dyDescent="0.2">
      <c r="A17" s="3" t="s">
        <v>63</v>
      </c>
      <c r="B17" s="3"/>
      <c r="C17" s="3"/>
      <c r="D17" s="3"/>
      <c r="E17" s="3"/>
      <c r="F17" s="3"/>
      <c r="G17" s="3"/>
      <c r="H17" s="3"/>
      <c r="I17" s="3"/>
      <c r="J17" s="3"/>
      <c r="K17" s="3"/>
    </row>
    <row r="18" spans="1:11" x14ac:dyDescent="0.2">
      <c r="A18" t="s">
        <v>64</v>
      </c>
      <c r="B18" s="5">
        <v>1.9244888198015067</v>
      </c>
      <c r="C18" s="5">
        <v>0</v>
      </c>
      <c r="D18" s="5">
        <v>0</v>
      </c>
      <c r="E18" s="5">
        <v>0</v>
      </c>
      <c r="F18" s="5">
        <v>0</v>
      </c>
      <c r="G18" s="5">
        <v>0</v>
      </c>
      <c r="H18" s="5">
        <v>0</v>
      </c>
      <c r="I18" s="5">
        <v>0</v>
      </c>
      <c r="J18" s="5">
        <v>0</v>
      </c>
      <c r="K18" s="5">
        <v>0.2807857396824931</v>
      </c>
    </row>
    <row r="19" spans="1:11" x14ac:dyDescent="0.2">
      <c r="A19" t="s">
        <v>65</v>
      </c>
      <c r="B19" s="5">
        <v>0</v>
      </c>
      <c r="C19" s="5">
        <v>0</v>
      </c>
      <c r="D19" s="5">
        <v>5.5666094922053454E-2</v>
      </c>
      <c r="E19" s="5">
        <v>3.6341223124472875E-2</v>
      </c>
      <c r="F19" s="5">
        <v>4.0996930213261264E-2</v>
      </c>
      <c r="G19" s="5">
        <v>7.1377933481265712E-2</v>
      </c>
      <c r="H19" s="5">
        <v>0</v>
      </c>
      <c r="I19" s="5">
        <v>4.4884131018262489E-2</v>
      </c>
      <c r="J19" s="5">
        <v>3.1714204226162827E-2</v>
      </c>
      <c r="K19" s="5">
        <v>6.8905626186464619E-2</v>
      </c>
    </row>
    <row r="20" spans="1:11" x14ac:dyDescent="0.2">
      <c r="B20" s="5"/>
      <c r="C20" s="5"/>
      <c r="D20" s="5"/>
      <c r="E20" s="5"/>
      <c r="F20" s="5"/>
      <c r="G20" s="5"/>
      <c r="H20" s="5"/>
      <c r="I20" s="5"/>
      <c r="J20" s="5"/>
      <c r="K20" s="5"/>
    </row>
    <row r="21" spans="1:11" x14ac:dyDescent="0.2">
      <c r="B21" s="5"/>
      <c r="C21" s="5"/>
      <c r="D21" s="5"/>
      <c r="E21" s="5"/>
      <c r="F21" s="5"/>
      <c r="G21" s="5"/>
      <c r="H21" s="5"/>
      <c r="I21" s="5"/>
      <c r="J21" s="5"/>
      <c r="K21" s="5"/>
    </row>
    <row r="22" spans="1:11" x14ac:dyDescent="0.2">
      <c r="A22" s="7"/>
      <c r="B22" s="8"/>
      <c r="C22" s="8"/>
      <c r="D22" s="8"/>
      <c r="E22" s="8"/>
      <c r="F22" s="8"/>
      <c r="G22" s="8" t="s">
        <v>66</v>
      </c>
      <c r="H22" s="8" t="s">
        <v>67</v>
      </c>
      <c r="I22" s="8" t="s">
        <v>68</v>
      </c>
      <c r="J22" s="8" t="s">
        <v>69</v>
      </c>
      <c r="K22" s="8" t="s">
        <v>70</v>
      </c>
    </row>
    <row r="23" spans="1:11" x14ac:dyDescent="0.2">
      <c r="G23" t="s">
        <v>71</v>
      </c>
      <c r="H23" s="5">
        <v>7.503422695287143E-2</v>
      </c>
      <c r="I23" s="5">
        <v>6.3107145227124573E-2</v>
      </c>
      <c r="J23" s="5">
        <v>2.5789683786649142E-2</v>
      </c>
      <c r="K23" s="5">
        <v>0.14393237974781825</v>
      </c>
    </row>
    <row r="24" spans="1:11" x14ac:dyDescent="0.2">
      <c r="G24" t="s">
        <v>65</v>
      </c>
      <c r="H24" s="5">
        <v>3.960599188452861E-2</v>
      </c>
      <c r="I24" s="5">
        <v>4.5484485071449768E-2</v>
      </c>
      <c r="J24" s="5">
        <v>4.8078865832963273E-2</v>
      </c>
      <c r="K24" s="5">
        <v>5.156818582413316E-2</v>
      </c>
    </row>
    <row r="25" spans="1:11" x14ac:dyDescent="0.2">
      <c r="G25" t="s">
        <v>72</v>
      </c>
      <c r="H25" s="6">
        <v>124.34928581804898</v>
      </c>
      <c r="I25" s="6">
        <v>52.318208744285322</v>
      </c>
      <c r="J25" s="6">
        <v>52.318208744285322</v>
      </c>
      <c r="K25" s="6">
        <v>66.027743062978502</v>
      </c>
    </row>
    <row r="27" spans="1:11" x14ac:dyDescent="0.2">
      <c r="G27" t="s">
        <v>53</v>
      </c>
      <c r="H27" s="10">
        <f>K7/K4</f>
        <v>8.1834222891957447E-3</v>
      </c>
    </row>
    <row r="28" spans="1:11" x14ac:dyDescent="0.2">
      <c r="G28" t="s">
        <v>54</v>
      </c>
      <c r="H28" s="10">
        <f>K8/K4</f>
        <v>2.686939995890952E-2</v>
      </c>
    </row>
    <row r="29" spans="1:11" x14ac:dyDescent="0.2">
      <c r="G29" t="s">
        <v>73</v>
      </c>
      <c r="H29" s="9">
        <f>K9/K4</f>
        <v>3.1137365218447888E-2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B571-C401-4CC2-B94D-9BC0E01874F0}">
  <dimension ref="A1:L34"/>
  <sheetViews>
    <sheetView topLeftCell="A14" zoomScale="156" workbookViewId="0">
      <selection activeCell="F37" sqref="F37"/>
    </sheetView>
  </sheetViews>
  <sheetFormatPr baseColWidth="10" defaultColWidth="8.83203125" defaultRowHeight="15" x14ac:dyDescent="0.2"/>
  <cols>
    <col min="1" max="1" width="26" bestFit="1" customWidth="1"/>
  </cols>
  <sheetData>
    <row r="1" spans="1:12" x14ac:dyDescent="0.2">
      <c r="A1" s="21"/>
      <c r="B1" s="8">
        <v>41334</v>
      </c>
      <c r="C1" s="8">
        <v>41699</v>
      </c>
      <c r="D1" s="8">
        <v>42064</v>
      </c>
      <c r="E1" s="8">
        <v>42430</v>
      </c>
      <c r="F1" s="8">
        <v>42795</v>
      </c>
      <c r="G1" s="8">
        <v>43160</v>
      </c>
      <c r="H1" s="8">
        <v>43525</v>
      </c>
      <c r="I1" s="8">
        <v>43891</v>
      </c>
      <c r="J1" s="8">
        <v>44256</v>
      </c>
      <c r="K1" s="8">
        <v>44621</v>
      </c>
      <c r="L1" s="8">
        <v>44986</v>
      </c>
    </row>
    <row r="2" spans="1:12" x14ac:dyDescent="0.2">
      <c r="A2" s="8" t="s">
        <v>74</v>
      </c>
      <c r="B2" s="72">
        <v>2258</v>
      </c>
      <c r="C2" s="72">
        <v>2463</v>
      </c>
      <c r="D2" s="72">
        <v>-2214</v>
      </c>
      <c r="E2" s="72">
        <v>2703</v>
      </c>
      <c r="F2" s="72">
        <v>1453</v>
      </c>
      <c r="G2" s="72">
        <v>4134</v>
      </c>
      <c r="H2" s="72">
        <v>6293</v>
      </c>
      <c r="I2" s="72">
        <v>-1455</v>
      </c>
      <c r="J2" s="72">
        <v>6680</v>
      </c>
      <c r="K2" s="72">
        <v>5282</v>
      </c>
      <c r="L2" s="72">
        <v>4775</v>
      </c>
    </row>
    <row r="3" spans="1:12" x14ac:dyDescent="0.2">
      <c r="A3" s="67" t="s">
        <v>75</v>
      </c>
      <c r="B3" s="72">
        <v>1648</v>
      </c>
      <c r="C3" s="21">
        <v>-563</v>
      </c>
      <c r="D3" s="21">
        <v>-620</v>
      </c>
      <c r="E3" s="72">
        <v>3502</v>
      </c>
      <c r="F3" s="72">
        <v>1662</v>
      </c>
      <c r="G3" s="72">
        <v>4091</v>
      </c>
      <c r="H3" s="72">
        <v>6167</v>
      </c>
      <c r="I3" s="21">
        <v>439</v>
      </c>
      <c r="J3" s="72">
        <v>1961</v>
      </c>
      <c r="K3" s="72">
        <v>2683</v>
      </c>
      <c r="L3" s="72">
        <v>5010</v>
      </c>
    </row>
    <row r="4" spans="1:12" x14ac:dyDescent="0.2">
      <c r="A4" s="67" t="s">
        <v>76</v>
      </c>
      <c r="B4" s="21">
        <v>955</v>
      </c>
      <c r="C4" s="21">
        <v>381</v>
      </c>
      <c r="D4" s="21">
        <v>-20</v>
      </c>
      <c r="E4" s="21">
        <v>-678</v>
      </c>
      <c r="F4" s="21">
        <v>-199</v>
      </c>
      <c r="G4" s="72">
        <v>-1217</v>
      </c>
      <c r="H4" s="21">
        <v>164</v>
      </c>
      <c r="I4" s="72">
        <v>1168</v>
      </c>
      <c r="J4" s="21">
        <v>-142</v>
      </c>
      <c r="K4" s="72">
        <v>-1016</v>
      </c>
      <c r="L4" s="21">
        <v>-306</v>
      </c>
    </row>
    <row r="5" spans="1:12" x14ac:dyDescent="0.2">
      <c r="A5" s="67" t="s">
        <v>77</v>
      </c>
      <c r="B5" s="21">
        <v>129</v>
      </c>
      <c r="C5" s="21">
        <v>592</v>
      </c>
      <c r="D5" s="21">
        <v>-940</v>
      </c>
      <c r="E5" s="21">
        <v>-235</v>
      </c>
      <c r="F5" s="21">
        <v>-572</v>
      </c>
      <c r="G5" s="21">
        <v>-278</v>
      </c>
      <c r="H5" s="21">
        <v>966</v>
      </c>
      <c r="I5" s="21">
        <v>730</v>
      </c>
      <c r="J5" s="21">
        <v>-765</v>
      </c>
      <c r="K5" s="72">
        <v>-1201</v>
      </c>
      <c r="L5" s="21">
        <v>658</v>
      </c>
    </row>
    <row r="6" spans="1:12" x14ac:dyDescent="0.2">
      <c r="A6" s="67" t="s">
        <v>78</v>
      </c>
      <c r="B6" s="21">
        <v>-250</v>
      </c>
      <c r="C6" s="72">
        <v>1213</v>
      </c>
      <c r="D6" s="21">
        <v>-843</v>
      </c>
      <c r="E6" s="21">
        <v>76</v>
      </c>
      <c r="F6" s="72">
        <v>2314</v>
      </c>
      <c r="G6" s="72">
        <v>2764</v>
      </c>
      <c r="H6" s="21">
        <v>-725</v>
      </c>
      <c r="I6" s="72">
        <v>-2689</v>
      </c>
      <c r="J6" s="72">
        <v>4965</v>
      </c>
      <c r="K6" s="72">
        <v>5285</v>
      </c>
      <c r="L6" s="21">
        <v>-957</v>
      </c>
    </row>
    <row r="7" spans="1:12" x14ac:dyDescent="0.2">
      <c r="A7" s="67" t="s">
        <v>79</v>
      </c>
      <c r="B7" s="21">
        <v>0</v>
      </c>
      <c r="C7" s="21">
        <v>0</v>
      </c>
      <c r="D7" s="21">
        <v>0</v>
      </c>
      <c r="E7" s="21">
        <v>-55</v>
      </c>
      <c r="F7" s="21">
        <v>0</v>
      </c>
      <c r="G7" s="21">
        <v>0</v>
      </c>
      <c r="H7" s="21">
        <v>0</v>
      </c>
      <c r="I7" s="21">
        <v>0</v>
      </c>
      <c r="J7" s="21">
        <v>0</v>
      </c>
      <c r="K7" s="21">
        <v>0</v>
      </c>
      <c r="L7" s="21">
        <v>0</v>
      </c>
    </row>
    <row r="8" spans="1:12" x14ac:dyDescent="0.2">
      <c r="A8" s="67" t="s">
        <v>80</v>
      </c>
      <c r="B8" s="21">
        <v>-332</v>
      </c>
      <c r="C8" s="21">
        <v>896</v>
      </c>
      <c r="D8" s="21">
        <v>286</v>
      </c>
      <c r="E8" s="21">
        <v>115</v>
      </c>
      <c r="F8" s="72">
        <v>-1636</v>
      </c>
      <c r="G8" s="72">
        <v>-1217</v>
      </c>
      <c r="H8" s="21">
        <v>-97</v>
      </c>
      <c r="I8" s="72">
        <v>-1011</v>
      </c>
      <c r="J8" s="21">
        <v>725</v>
      </c>
      <c r="K8" s="21">
        <v>-314</v>
      </c>
      <c r="L8" s="21">
        <v>539</v>
      </c>
    </row>
    <row r="9" spans="1:12" x14ac:dyDescent="0.2">
      <c r="A9" s="67" t="s">
        <v>81</v>
      </c>
      <c r="B9" s="21">
        <v>503</v>
      </c>
      <c r="C9" s="72">
        <v>3082</v>
      </c>
      <c r="D9" s="72">
        <v>-1517</v>
      </c>
      <c r="E9" s="21">
        <v>-776</v>
      </c>
      <c r="F9" s="21">
        <v>-93</v>
      </c>
      <c r="G9" s="21">
        <v>52</v>
      </c>
      <c r="H9" s="21">
        <v>308</v>
      </c>
      <c r="I9" s="72">
        <v>-1801</v>
      </c>
      <c r="J9" s="72">
        <v>4783</v>
      </c>
      <c r="K9" s="72">
        <v>2755</v>
      </c>
      <c r="L9" s="21">
        <v>-67</v>
      </c>
    </row>
    <row r="10" spans="1:12" x14ac:dyDescent="0.2">
      <c r="A10" s="67" t="s">
        <v>82</v>
      </c>
      <c r="B10" s="21">
        <v>107</v>
      </c>
      <c r="C10" s="21">
        <v>-56</v>
      </c>
      <c r="D10" s="21">
        <v>-78</v>
      </c>
      <c r="E10" s="21">
        <v>-24</v>
      </c>
      <c r="F10" s="21">
        <v>-115</v>
      </c>
      <c r="G10" s="21">
        <v>-8</v>
      </c>
      <c r="H10" s="21">
        <v>-182</v>
      </c>
      <c r="I10" s="21">
        <v>-93</v>
      </c>
      <c r="J10" s="21">
        <v>-63</v>
      </c>
      <c r="K10" s="21">
        <v>-156</v>
      </c>
      <c r="L10" s="21">
        <v>-168</v>
      </c>
    </row>
    <row r="11" spans="1:12" x14ac:dyDescent="0.2">
      <c r="A11" s="8" t="s">
        <v>83</v>
      </c>
      <c r="B11" s="72">
        <v>1073</v>
      </c>
      <c r="C11" s="72">
        <v>2563</v>
      </c>
      <c r="D11" s="21">
        <v>246</v>
      </c>
      <c r="E11" s="72">
        <v>-3264</v>
      </c>
      <c r="F11" s="72">
        <v>-2860</v>
      </c>
      <c r="G11" s="21">
        <v>-710</v>
      </c>
      <c r="H11" s="72">
        <v>-3822</v>
      </c>
      <c r="I11" s="72">
        <v>-4637</v>
      </c>
      <c r="J11" s="72">
        <v>-2988</v>
      </c>
      <c r="K11" s="72">
        <v>-4681</v>
      </c>
      <c r="L11" s="21">
        <v>917</v>
      </c>
    </row>
    <row r="12" spans="1:12" x14ac:dyDescent="0.2">
      <c r="A12" s="67" t="s">
        <v>84</v>
      </c>
      <c r="B12" s="72">
        <v>-2605</v>
      </c>
      <c r="C12" s="72">
        <v>-3105</v>
      </c>
      <c r="D12" s="72">
        <v>-3079</v>
      </c>
      <c r="E12" s="72">
        <v>-3284</v>
      </c>
      <c r="F12" s="72">
        <v>-3514</v>
      </c>
      <c r="G12" s="72">
        <v>-2823</v>
      </c>
      <c r="H12" s="72">
        <v>-4783</v>
      </c>
      <c r="I12" s="72">
        <v>-4669</v>
      </c>
      <c r="J12" s="72">
        <v>-1856</v>
      </c>
      <c r="K12" s="72">
        <v>-1831</v>
      </c>
      <c r="L12" s="72">
        <v>-1697</v>
      </c>
    </row>
    <row r="13" spans="1:12" x14ac:dyDescent="0.2">
      <c r="A13" s="67" t="s">
        <v>85</v>
      </c>
      <c r="B13" s="21">
        <v>127</v>
      </c>
      <c r="C13" s="21">
        <v>11</v>
      </c>
      <c r="D13" s="21">
        <v>25</v>
      </c>
      <c r="E13" s="21">
        <v>34</v>
      </c>
      <c r="F13" s="21">
        <v>17</v>
      </c>
      <c r="G13" s="21">
        <v>28</v>
      </c>
      <c r="H13" s="21">
        <v>30</v>
      </c>
      <c r="I13" s="21">
        <v>155</v>
      </c>
      <c r="J13" s="21">
        <v>178</v>
      </c>
      <c r="K13" s="21">
        <v>100</v>
      </c>
      <c r="L13" s="21">
        <v>123</v>
      </c>
    </row>
    <row r="14" spans="1:12" x14ac:dyDescent="0.2">
      <c r="A14" s="67" t="s">
        <v>86</v>
      </c>
      <c r="B14" s="21">
        <v>-316</v>
      </c>
      <c r="C14" s="21">
        <v>0</v>
      </c>
      <c r="D14" s="21">
        <v>0</v>
      </c>
      <c r="E14" s="72">
        <v>-1669</v>
      </c>
      <c r="F14" s="21">
        <v>-537</v>
      </c>
      <c r="G14" s="21">
        <v>0</v>
      </c>
      <c r="H14" s="21">
        <v>0</v>
      </c>
      <c r="I14" s="21">
        <v>0</v>
      </c>
      <c r="J14" s="21">
        <v>-673</v>
      </c>
      <c r="K14" s="72">
        <v>-3560</v>
      </c>
      <c r="L14" s="21">
        <v>0</v>
      </c>
    </row>
    <row r="15" spans="1:12" x14ac:dyDescent="0.2">
      <c r="A15" s="67" t="s">
        <v>87</v>
      </c>
      <c r="B15" s="21">
        <v>11</v>
      </c>
      <c r="C15" s="72">
        <v>4424</v>
      </c>
      <c r="D15" s="72">
        <v>1871</v>
      </c>
      <c r="E15" s="21">
        <v>832</v>
      </c>
      <c r="F15" s="21">
        <v>0</v>
      </c>
      <c r="G15" s="72">
        <v>1026</v>
      </c>
      <c r="H15" s="21">
        <v>952</v>
      </c>
      <c r="I15" s="21">
        <v>359</v>
      </c>
      <c r="J15" s="21">
        <v>4</v>
      </c>
      <c r="K15" s="21">
        <v>0</v>
      </c>
      <c r="L15" s="72">
        <v>2079</v>
      </c>
    </row>
    <row r="16" spans="1:12" x14ac:dyDescent="0.2">
      <c r="A16" s="67" t="s">
        <v>88</v>
      </c>
      <c r="B16" s="21">
        <v>404</v>
      </c>
      <c r="C16" s="21">
        <v>182</v>
      </c>
      <c r="D16" s="21">
        <v>80</v>
      </c>
      <c r="E16" s="21">
        <v>254</v>
      </c>
      <c r="F16" s="21">
        <v>259</v>
      </c>
      <c r="G16" s="21">
        <v>399</v>
      </c>
      <c r="H16" s="21">
        <v>327</v>
      </c>
      <c r="I16" s="21">
        <v>471</v>
      </c>
      <c r="J16" s="21">
        <v>154</v>
      </c>
      <c r="K16" s="21">
        <v>301</v>
      </c>
      <c r="L16" s="21">
        <v>185</v>
      </c>
    </row>
    <row r="17" spans="1:12" x14ac:dyDescent="0.2">
      <c r="A17" s="67" t="s">
        <v>89</v>
      </c>
      <c r="B17" s="72">
        <v>1661</v>
      </c>
      <c r="C17" s="72">
        <v>1603</v>
      </c>
      <c r="D17" s="72">
        <v>1698</v>
      </c>
      <c r="E17" s="72">
        <v>1042</v>
      </c>
      <c r="F17" s="21">
        <v>673</v>
      </c>
      <c r="G17" s="72">
        <v>1055</v>
      </c>
      <c r="H17" s="72">
        <v>1569</v>
      </c>
      <c r="I17" s="21">
        <v>241</v>
      </c>
      <c r="J17" s="21">
        <v>20</v>
      </c>
      <c r="K17" s="21">
        <v>80</v>
      </c>
      <c r="L17" s="21">
        <v>319</v>
      </c>
    </row>
    <row r="18" spans="1:12" x14ac:dyDescent="0.2">
      <c r="A18" s="67" t="s">
        <v>90</v>
      </c>
      <c r="B18" s="72">
        <v>1176</v>
      </c>
      <c r="C18" s="21">
        <v>-578</v>
      </c>
      <c r="D18" s="21">
        <v>-137</v>
      </c>
      <c r="E18" s="21">
        <v>-60</v>
      </c>
      <c r="F18" s="21">
        <v>-139</v>
      </c>
      <c r="G18" s="21">
        <v>-300</v>
      </c>
      <c r="H18" s="21">
        <v>-838</v>
      </c>
      <c r="I18" s="21">
        <v>-467</v>
      </c>
      <c r="J18" s="21">
        <v>0</v>
      </c>
      <c r="K18" s="21">
        <v>-871</v>
      </c>
      <c r="L18" s="21">
        <v>-191</v>
      </c>
    </row>
    <row r="19" spans="1:12" x14ac:dyDescent="0.2">
      <c r="A19" s="67" t="s">
        <v>91</v>
      </c>
      <c r="B19" s="21">
        <v>-194</v>
      </c>
      <c r="C19" s="21">
        <v>152</v>
      </c>
      <c r="D19" s="21">
        <v>0</v>
      </c>
      <c r="E19" s="21">
        <v>-78</v>
      </c>
      <c r="F19" s="21">
        <v>0</v>
      </c>
      <c r="G19" s="21">
        <v>0</v>
      </c>
      <c r="H19" s="21">
        <v>0</v>
      </c>
      <c r="I19" s="21">
        <v>-8</v>
      </c>
      <c r="J19" s="21">
        <v>-57</v>
      </c>
      <c r="K19" s="21">
        <v>-51</v>
      </c>
      <c r="L19" s="21">
        <v>-45</v>
      </c>
    </row>
    <row r="20" spans="1:12" x14ac:dyDescent="0.2">
      <c r="A20" s="67" t="s">
        <v>92</v>
      </c>
      <c r="B20" s="21">
        <v>21</v>
      </c>
      <c r="C20" s="21">
        <v>-325</v>
      </c>
      <c r="D20" s="21">
        <v>-159</v>
      </c>
      <c r="E20" s="21">
        <v>0</v>
      </c>
      <c r="F20" s="21">
        <v>0</v>
      </c>
      <c r="G20" s="21">
        <v>-44</v>
      </c>
      <c r="H20" s="21">
        <v>0</v>
      </c>
      <c r="I20" s="21">
        <v>0</v>
      </c>
      <c r="J20" s="21">
        <v>0</v>
      </c>
      <c r="K20" s="21">
        <v>0</v>
      </c>
      <c r="L20" s="21">
        <v>0</v>
      </c>
    </row>
    <row r="21" spans="1:12" x14ac:dyDescent="0.2">
      <c r="A21" s="67" t="s">
        <v>93</v>
      </c>
      <c r="B21" s="21">
        <v>0</v>
      </c>
      <c r="C21" s="21">
        <v>0</v>
      </c>
      <c r="D21" s="21">
        <v>0</v>
      </c>
      <c r="E21" s="21">
        <v>0</v>
      </c>
      <c r="F21" s="21">
        <v>0</v>
      </c>
      <c r="G21" s="21">
        <v>0</v>
      </c>
      <c r="H21" s="21">
        <v>0</v>
      </c>
      <c r="I21" s="21">
        <v>26</v>
      </c>
      <c r="J21" s="21">
        <v>10</v>
      </c>
      <c r="K21" s="21">
        <v>234</v>
      </c>
      <c r="L21" s="21">
        <v>0</v>
      </c>
    </row>
    <row r="22" spans="1:12" x14ac:dyDescent="0.2">
      <c r="A22" s="67" t="s">
        <v>94</v>
      </c>
      <c r="B22" s="21">
        <v>0</v>
      </c>
      <c r="C22" s="21">
        <v>0</v>
      </c>
      <c r="D22" s="21">
        <v>0</v>
      </c>
      <c r="E22" s="21">
        <v>0</v>
      </c>
      <c r="F22" s="21">
        <v>0</v>
      </c>
      <c r="G22" s="21">
        <v>0</v>
      </c>
      <c r="H22" s="21">
        <v>0</v>
      </c>
      <c r="I22" s="21">
        <v>0</v>
      </c>
      <c r="J22" s="21">
        <v>0</v>
      </c>
      <c r="K22" s="21">
        <v>0</v>
      </c>
      <c r="L22" s="21">
        <v>0</v>
      </c>
    </row>
    <row r="23" spans="1:12" x14ac:dyDescent="0.2">
      <c r="A23" s="67" t="s">
        <v>95</v>
      </c>
      <c r="B23" s="21">
        <v>44</v>
      </c>
      <c r="C23" s="21">
        <v>-40</v>
      </c>
      <c r="D23" s="21">
        <v>-5</v>
      </c>
      <c r="E23" s="21">
        <v>-35</v>
      </c>
      <c r="F23" s="21">
        <v>20</v>
      </c>
      <c r="G23" s="21">
        <v>60</v>
      </c>
      <c r="H23" s="21">
        <v>-2</v>
      </c>
      <c r="I23" s="21">
        <v>-10</v>
      </c>
      <c r="J23" s="21">
        <v>-30</v>
      </c>
      <c r="K23" s="21">
        <v>0</v>
      </c>
      <c r="L23" s="21">
        <v>0</v>
      </c>
    </row>
    <row r="24" spans="1:12" x14ac:dyDescent="0.2">
      <c r="A24" s="67" t="s">
        <v>96</v>
      </c>
      <c r="B24" s="21">
        <v>746</v>
      </c>
      <c r="C24" s="21">
        <v>241</v>
      </c>
      <c r="D24" s="21">
        <v>-48</v>
      </c>
      <c r="E24" s="21">
        <v>-301</v>
      </c>
      <c r="F24" s="21">
        <v>361</v>
      </c>
      <c r="G24" s="21">
        <v>-111</v>
      </c>
      <c r="H24" s="72">
        <v>-1076</v>
      </c>
      <c r="I24" s="21">
        <v>-736</v>
      </c>
      <c r="J24" s="21">
        <v>-740</v>
      </c>
      <c r="K24" s="21">
        <v>917</v>
      </c>
      <c r="L24" s="21">
        <v>145</v>
      </c>
    </row>
    <row r="25" spans="1:12" x14ac:dyDescent="0.2">
      <c r="A25" s="8" t="s">
        <v>97</v>
      </c>
      <c r="B25" s="72">
        <v>-4046</v>
      </c>
      <c r="C25" s="72">
        <v>-5034</v>
      </c>
      <c r="D25" s="72">
        <v>2632</v>
      </c>
      <c r="E25" s="21">
        <v>-79</v>
      </c>
      <c r="F25" s="72">
        <v>1209</v>
      </c>
      <c r="G25" s="72">
        <v>-3106</v>
      </c>
      <c r="H25" s="72">
        <v>-2530</v>
      </c>
      <c r="I25" s="72">
        <v>7749</v>
      </c>
      <c r="J25" s="72">
        <v>-3472</v>
      </c>
      <c r="K25" s="21">
        <v>-516</v>
      </c>
      <c r="L25" s="72">
        <v>-7021</v>
      </c>
    </row>
    <row r="26" spans="1:12" x14ac:dyDescent="0.2">
      <c r="A26" s="67" t="s">
        <v>98</v>
      </c>
      <c r="B26" s="21">
        <v>0</v>
      </c>
      <c r="C26" s="21">
        <v>0</v>
      </c>
      <c r="D26" s="21">
        <v>0</v>
      </c>
      <c r="E26" s="72">
        <v>7433</v>
      </c>
      <c r="F26" s="21">
        <v>5</v>
      </c>
      <c r="G26" s="21">
        <v>0</v>
      </c>
      <c r="H26" s="21">
        <v>0</v>
      </c>
      <c r="I26" s="72">
        <v>3889</v>
      </c>
      <c r="J26" s="72">
        <v>2603</v>
      </c>
      <c r="K26" s="21">
        <v>19</v>
      </c>
      <c r="L26" s="21">
        <v>20</v>
      </c>
    </row>
    <row r="27" spans="1:12" x14ac:dyDescent="0.2">
      <c r="A27" s="67" t="s">
        <v>99</v>
      </c>
      <c r="B27" s="21">
        <v>-97</v>
      </c>
      <c r="C27" s="21">
        <v>0</v>
      </c>
      <c r="D27" s="21">
        <v>0</v>
      </c>
      <c r="E27" s="21">
        <v>0</v>
      </c>
      <c r="F27" s="21">
        <v>0</v>
      </c>
      <c r="G27" s="21">
        <v>0</v>
      </c>
      <c r="H27" s="21">
        <v>0</v>
      </c>
      <c r="I27" s="21">
        <v>0</v>
      </c>
      <c r="J27" s="21">
        <v>0</v>
      </c>
      <c r="K27" s="21">
        <v>0</v>
      </c>
      <c r="L27" s="21">
        <v>0</v>
      </c>
    </row>
    <row r="28" spans="1:12" x14ac:dyDescent="0.2">
      <c r="A28" s="67" t="s">
        <v>100</v>
      </c>
      <c r="B28" s="72">
        <v>14437</v>
      </c>
      <c r="C28" s="72">
        <v>9385</v>
      </c>
      <c r="D28" s="72">
        <v>12817</v>
      </c>
      <c r="E28" s="72">
        <v>3587</v>
      </c>
      <c r="F28" s="72">
        <v>10687</v>
      </c>
      <c r="G28" s="72">
        <v>6406</v>
      </c>
      <c r="H28" s="72">
        <v>8805</v>
      </c>
      <c r="I28" s="72">
        <v>15462</v>
      </c>
      <c r="J28" s="72">
        <v>6985</v>
      </c>
      <c r="K28" s="72">
        <v>10408</v>
      </c>
      <c r="L28" s="21">
        <v>887</v>
      </c>
    </row>
    <row r="29" spans="1:12" x14ac:dyDescent="0.2">
      <c r="A29" s="67" t="s">
        <v>101</v>
      </c>
      <c r="B29" s="72">
        <v>-12268</v>
      </c>
      <c r="C29" s="72">
        <v>-10912</v>
      </c>
      <c r="D29" s="72">
        <v>-6890</v>
      </c>
      <c r="E29" s="72">
        <v>-9013</v>
      </c>
      <c r="F29" s="72">
        <v>-7473</v>
      </c>
      <c r="G29" s="72">
        <v>-7410</v>
      </c>
      <c r="H29" s="72">
        <v>-8977</v>
      </c>
      <c r="I29" s="72">
        <v>-9128</v>
      </c>
      <c r="J29" s="72">
        <v>-10438</v>
      </c>
      <c r="K29" s="72">
        <v>-8517</v>
      </c>
      <c r="L29" s="72">
        <v>-5852</v>
      </c>
    </row>
    <row r="30" spans="1:12" x14ac:dyDescent="0.2">
      <c r="A30" s="67" t="s">
        <v>102</v>
      </c>
      <c r="B30" s="72">
        <v>-1809</v>
      </c>
      <c r="C30" s="72">
        <v>-1750</v>
      </c>
      <c r="D30" s="72">
        <v>-1845</v>
      </c>
      <c r="E30" s="72">
        <v>-2086</v>
      </c>
      <c r="F30" s="72">
        <v>-1936</v>
      </c>
      <c r="G30" s="72">
        <v>-2098</v>
      </c>
      <c r="H30" s="72">
        <v>-2355</v>
      </c>
      <c r="I30" s="72">
        <v>-2270</v>
      </c>
      <c r="J30" s="72">
        <v>-2427</v>
      </c>
      <c r="K30" s="72">
        <v>-2272</v>
      </c>
      <c r="L30" s="72">
        <v>-2008</v>
      </c>
    </row>
    <row r="31" spans="1:12" x14ac:dyDescent="0.2">
      <c r="A31" s="67" t="s">
        <v>103</v>
      </c>
      <c r="B31" s="72">
        <v>-1460</v>
      </c>
      <c r="C31" s="21">
        <v>-649</v>
      </c>
      <c r="D31" s="21">
        <v>-649</v>
      </c>
      <c r="E31" s="21">
        <v>0</v>
      </c>
      <c r="F31" s="21">
        <v>-73</v>
      </c>
      <c r="G31" s="21">
        <v>-3</v>
      </c>
      <c r="H31" s="21">
        <v>-3</v>
      </c>
      <c r="I31" s="21">
        <v>-4</v>
      </c>
      <c r="J31" s="21">
        <v>-2</v>
      </c>
      <c r="K31" s="21">
        <v>-2</v>
      </c>
      <c r="L31" s="21">
        <v>0</v>
      </c>
    </row>
    <row r="32" spans="1:12" x14ac:dyDescent="0.2">
      <c r="A32" s="67" t="s">
        <v>104</v>
      </c>
      <c r="B32" s="21">
        <v>0</v>
      </c>
      <c r="C32" s="21">
        <v>0</v>
      </c>
      <c r="D32" s="21">
        <v>0</v>
      </c>
      <c r="E32" s="21">
        <v>0</v>
      </c>
      <c r="F32" s="21">
        <v>0</v>
      </c>
      <c r="G32" s="21">
        <v>0</v>
      </c>
      <c r="H32" s="21">
        <v>0</v>
      </c>
      <c r="I32" s="21">
        <v>-194</v>
      </c>
      <c r="J32" s="21">
        <v>-192</v>
      </c>
      <c r="K32" s="21">
        <v>-152</v>
      </c>
      <c r="L32" s="21">
        <v>-68</v>
      </c>
    </row>
    <row r="33" spans="1:12" x14ac:dyDescent="0.2">
      <c r="A33" s="67" t="s">
        <v>105</v>
      </c>
      <c r="B33" s="72">
        <v>-2849</v>
      </c>
      <c r="C33" s="72">
        <v>-1108</v>
      </c>
      <c r="D33" s="21">
        <v>-801</v>
      </c>
      <c r="E33" s="21">
        <v>0</v>
      </c>
      <c r="F33" s="21">
        <v>0</v>
      </c>
      <c r="G33" s="21">
        <v>0</v>
      </c>
      <c r="H33" s="21">
        <v>0</v>
      </c>
      <c r="I33" s="21">
        <v>-7</v>
      </c>
      <c r="J33" s="21">
        <v>0</v>
      </c>
      <c r="K33" s="21">
        <v>0</v>
      </c>
      <c r="L33" s="21">
        <v>0</v>
      </c>
    </row>
    <row r="34" spans="1:12" x14ac:dyDescent="0.2">
      <c r="A34" s="8" t="s">
        <v>106</v>
      </c>
      <c r="B34" s="21">
        <v>-714</v>
      </c>
      <c r="C34" s="21">
        <v>-7</v>
      </c>
      <c r="D34" s="21">
        <v>663</v>
      </c>
      <c r="E34" s="21">
        <v>-639</v>
      </c>
      <c r="F34" s="21">
        <v>-198</v>
      </c>
      <c r="G34" s="21">
        <v>318</v>
      </c>
      <c r="H34" s="21">
        <v>-59</v>
      </c>
      <c r="I34" s="72">
        <v>1658</v>
      </c>
      <c r="J34" s="21">
        <v>220</v>
      </c>
      <c r="K34" s="21">
        <v>85</v>
      </c>
      <c r="L34" s="72">
        <v>-1329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9238-2348-4614-888E-241EF8D58036}">
  <dimension ref="A1:H14"/>
  <sheetViews>
    <sheetView zoomScale="180" workbookViewId="0">
      <selection activeCell="B15" sqref="B15"/>
    </sheetView>
  </sheetViews>
  <sheetFormatPr baseColWidth="10" defaultColWidth="8.83203125" defaultRowHeight="15" x14ac:dyDescent="0.2"/>
  <cols>
    <col min="1" max="1" width="24.5" bestFit="1" customWidth="1"/>
    <col min="2" max="2" width="12.5" bestFit="1" customWidth="1"/>
    <col min="3" max="3" width="12" bestFit="1" customWidth="1"/>
    <col min="4" max="5" width="9" bestFit="1" customWidth="1"/>
    <col min="6" max="7" width="10.1640625" bestFit="1" customWidth="1"/>
    <col min="8" max="8" width="11.5" bestFit="1" customWidth="1"/>
  </cols>
  <sheetData>
    <row r="1" spans="1:8" x14ac:dyDescent="0.2">
      <c r="A1" s="21"/>
      <c r="B1" s="36">
        <v>45382</v>
      </c>
      <c r="C1" s="36">
        <v>45747</v>
      </c>
      <c r="D1" s="36">
        <v>46112</v>
      </c>
      <c r="E1" s="36">
        <v>46477</v>
      </c>
      <c r="F1" s="36">
        <v>46843</v>
      </c>
      <c r="G1" s="36">
        <v>47208</v>
      </c>
      <c r="H1" s="36">
        <v>47573</v>
      </c>
    </row>
    <row r="2" spans="1:8" x14ac:dyDescent="0.2">
      <c r="A2" s="19" t="s">
        <v>107</v>
      </c>
      <c r="B2" s="30">
        <v>5156.0171270964402</v>
      </c>
      <c r="C2" s="30">
        <v>6169.7179573558315</v>
      </c>
      <c r="D2" s="30">
        <v>7382.7178488747923</v>
      </c>
      <c r="E2" s="30">
        <v>8834.2000741073662</v>
      </c>
      <c r="F2" s="30">
        <v>10571.051548618132</v>
      </c>
      <c r="G2" s="30">
        <v>12649.377408948152</v>
      </c>
      <c r="H2" s="30">
        <v>15136.313364674137</v>
      </c>
    </row>
    <row r="3" spans="1:8" x14ac:dyDescent="0.2">
      <c r="A3" s="19" t="s">
        <v>108</v>
      </c>
      <c r="B3" s="21"/>
      <c r="C3" s="21"/>
      <c r="D3" s="21"/>
      <c r="E3" s="21"/>
      <c r="F3" s="21"/>
      <c r="G3" s="21"/>
      <c r="H3" s="30">
        <v>278014.59396359685</v>
      </c>
    </row>
    <row r="4" spans="1:8" x14ac:dyDescent="0.2">
      <c r="A4" s="19" t="s">
        <v>109</v>
      </c>
      <c r="B4" s="30">
        <v>5156.0171270964402</v>
      </c>
      <c r="C4" s="30">
        <v>6169.7179573558315</v>
      </c>
      <c r="D4" s="30">
        <v>7382.7178488747923</v>
      </c>
      <c r="E4" s="30">
        <v>8834.2000741073662</v>
      </c>
      <c r="F4" s="30">
        <v>10571.051548618132</v>
      </c>
      <c r="G4" s="30">
        <v>12649.377408948152</v>
      </c>
      <c r="H4" s="30">
        <v>293150.90732827102</v>
      </c>
    </row>
    <row r="5" spans="1:8" x14ac:dyDescent="0.2">
      <c r="A5" s="19"/>
      <c r="B5" s="21"/>
      <c r="C5" s="21"/>
      <c r="D5" s="21"/>
      <c r="E5" s="21"/>
      <c r="F5" s="21"/>
      <c r="G5" s="21"/>
      <c r="H5" s="21"/>
    </row>
    <row r="6" spans="1:8" x14ac:dyDescent="0.2">
      <c r="A6" s="19" t="s">
        <v>110</v>
      </c>
      <c r="B6" s="34" t="e">
        <f>'Beta Calculation'!H17</f>
        <v>#DIV/0!</v>
      </c>
      <c r="C6" s="21"/>
      <c r="D6" s="21"/>
      <c r="E6" s="21"/>
      <c r="F6" s="21"/>
      <c r="G6" s="21"/>
      <c r="H6" s="21"/>
    </row>
    <row r="7" spans="1:8" x14ac:dyDescent="0.2">
      <c r="A7" s="19" t="s">
        <v>111</v>
      </c>
      <c r="B7" s="32" t="e">
        <f>B6*'WACC APPROACH'!B15</f>
        <v>#DIV/0!</v>
      </c>
    </row>
    <row r="8" spans="1:8" x14ac:dyDescent="0.2">
      <c r="A8" s="19" t="s">
        <v>112</v>
      </c>
      <c r="B8" s="31" t="e">
        <f>'WACC APPROACH'!B7+APV!B7*'WACC APPROACH'!B9</f>
        <v>#DIV/0!</v>
      </c>
      <c r="C8" s="5"/>
    </row>
    <row r="9" spans="1:8" x14ac:dyDescent="0.2">
      <c r="A9" s="19" t="s">
        <v>113</v>
      </c>
      <c r="B9" s="37" t="e">
        <f>NPV(B8,B4:H4)</f>
        <v>#DIV/0!</v>
      </c>
      <c r="C9" s="35"/>
    </row>
    <row r="10" spans="1:8" x14ac:dyDescent="0.2">
      <c r="A10" s="19" t="s">
        <v>114</v>
      </c>
      <c r="B10" s="21">
        <f>'WACC APPROACH'!F9</f>
        <v>18873</v>
      </c>
    </row>
    <row r="11" spans="1:8" x14ac:dyDescent="0.2">
      <c r="A11" s="19" t="s">
        <v>115</v>
      </c>
      <c r="B11" s="37">
        <v>0.3</v>
      </c>
    </row>
    <row r="12" spans="1:8" x14ac:dyDescent="0.2">
      <c r="A12" s="19" t="s">
        <v>116</v>
      </c>
      <c r="B12" s="37">
        <f>B10*B11</f>
        <v>5661.9</v>
      </c>
    </row>
    <row r="13" spans="1:8" x14ac:dyDescent="0.2">
      <c r="A13" s="19" t="s">
        <v>117</v>
      </c>
      <c r="B13" s="21">
        <v>0</v>
      </c>
    </row>
    <row r="14" spans="1:8" x14ac:dyDescent="0.2">
      <c r="A14" s="19" t="s">
        <v>118</v>
      </c>
      <c r="B14" s="37" t="e">
        <f>B9+B12-B13</f>
        <v>#DIV/0!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F8C52-2CE5-445A-9B26-7C98826B2BDD}">
  <dimension ref="A1:K91"/>
  <sheetViews>
    <sheetView zoomScale="112" zoomScaleNormal="120" zoomScalePageLayoutView="120" workbookViewId="0">
      <selection activeCell="B7" sqref="B7"/>
    </sheetView>
  </sheetViews>
  <sheetFormatPr baseColWidth="10" defaultColWidth="8.83203125" defaultRowHeight="15" x14ac:dyDescent="0.2"/>
  <cols>
    <col min="1" max="1" width="27.5" style="12" bestFit="1" customWidth="1"/>
    <col min="2" max="11" width="13.5" style="12" bestFit="1" customWidth="1"/>
    <col min="12" max="12" width="8.83203125" style="12"/>
    <col min="13" max="13" width="9.6640625" style="12" bestFit="1" customWidth="1"/>
    <col min="14" max="16384" width="8.83203125" style="12"/>
  </cols>
  <sheetData>
    <row r="1" spans="1:11" s="14" customFormat="1" x14ac:dyDescent="0.2">
      <c r="A1" s="14" t="s">
        <v>119</v>
      </c>
      <c r="B1" s="14" t="s">
        <v>47</v>
      </c>
      <c r="E1" s="121"/>
      <c r="F1" s="121"/>
      <c r="G1" s="121"/>
      <c r="H1" s="121"/>
      <c r="I1" s="121"/>
      <c r="J1" s="121"/>
      <c r="K1" s="121"/>
    </row>
    <row r="2" spans="1:11" x14ac:dyDescent="0.2">
      <c r="A2" s="14"/>
    </row>
    <row r="3" spans="1:11" x14ac:dyDescent="0.2">
      <c r="A3" s="14"/>
    </row>
    <row r="4" spans="1:11" x14ac:dyDescent="0.2">
      <c r="A4" s="12" t="s">
        <v>120</v>
      </c>
      <c r="B4" s="12">
        <f>IF(B7&gt;0, B7/B6, 0)</f>
        <v>366.47024701195215</v>
      </c>
    </row>
    <row r="5" spans="1:11" x14ac:dyDescent="0.2">
      <c r="A5" s="12" t="s">
        <v>121</v>
      </c>
      <c r="B5">
        <v>2</v>
      </c>
    </row>
    <row r="6" spans="1:11" x14ac:dyDescent="0.2">
      <c r="A6" s="12" t="s">
        <v>122</v>
      </c>
      <c r="B6">
        <v>627.5</v>
      </c>
    </row>
    <row r="7" spans="1:11" x14ac:dyDescent="0.2">
      <c r="A7" s="12" t="s">
        <v>123</v>
      </c>
      <c r="B7">
        <v>229960.08</v>
      </c>
    </row>
    <row r="12" spans="1:11" x14ac:dyDescent="0.2">
      <c r="C12" s="12" t="e" cm="1">
        <f t="array" ref="C12">'Data Sheet'!I</f>
        <v>#NAME?</v>
      </c>
    </row>
    <row r="13" spans="1:11" x14ac:dyDescent="0.2">
      <c r="A13" s="14" t="s">
        <v>124</v>
      </c>
    </row>
    <row r="14" spans="1:11" s="16" customFormat="1" x14ac:dyDescent="0.2">
      <c r="A14" s="17" t="s">
        <v>125</v>
      </c>
      <c r="B14" s="8">
        <v>41729</v>
      </c>
      <c r="C14" s="8">
        <v>42094</v>
      </c>
      <c r="D14" s="8">
        <v>42460</v>
      </c>
      <c r="E14" s="8">
        <v>42825</v>
      </c>
      <c r="F14" s="8">
        <v>43190</v>
      </c>
      <c r="G14" s="8">
        <v>43555</v>
      </c>
      <c r="H14" s="8">
        <v>43921</v>
      </c>
      <c r="I14" s="8">
        <v>44286</v>
      </c>
      <c r="J14" s="8">
        <v>44651</v>
      </c>
      <c r="K14" s="8">
        <v>45016</v>
      </c>
    </row>
    <row r="15" spans="1:11" s="15" customFormat="1" x14ac:dyDescent="0.2">
      <c r="A15" s="15" t="s">
        <v>50</v>
      </c>
      <c r="B15">
        <v>34288.11</v>
      </c>
      <c r="C15">
        <v>36301.629999999997</v>
      </c>
      <c r="D15">
        <v>42845.47</v>
      </c>
      <c r="E15">
        <v>44316.34</v>
      </c>
      <c r="F15">
        <v>57896.53</v>
      </c>
      <c r="G15">
        <v>69202.759999999995</v>
      </c>
      <c r="H15">
        <v>43928.17</v>
      </c>
      <c r="I15">
        <v>30175.03</v>
      </c>
      <c r="J15">
        <v>47263.68</v>
      </c>
      <c r="K15">
        <v>65757.33</v>
      </c>
    </row>
    <row r="16" spans="1:11" s="15" customFormat="1" x14ac:dyDescent="0.2">
      <c r="A16" s="12" t="s">
        <v>126</v>
      </c>
      <c r="B16">
        <v>25542.69</v>
      </c>
      <c r="C16">
        <v>27920.47</v>
      </c>
      <c r="D16">
        <v>29099.37</v>
      </c>
      <c r="E16">
        <v>31597.62</v>
      </c>
      <c r="F16">
        <v>41842.86</v>
      </c>
      <c r="G16">
        <v>50471.09</v>
      </c>
      <c r="H16">
        <v>31851.83</v>
      </c>
      <c r="I16">
        <v>22207.54</v>
      </c>
      <c r="J16">
        <v>36723.11</v>
      </c>
      <c r="K16">
        <v>48788.13</v>
      </c>
    </row>
    <row r="17" spans="1:11" s="15" customFormat="1" x14ac:dyDescent="0.2">
      <c r="A17" s="12" t="s">
        <v>127</v>
      </c>
      <c r="B17">
        <v>-371.72</v>
      </c>
      <c r="C17">
        <v>878.82</v>
      </c>
      <c r="D17">
        <v>-10.050000000000001</v>
      </c>
      <c r="E17">
        <v>252.14</v>
      </c>
      <c r="F17">
        <v>-842.05</v>
      </c>
      <c r="G17">
        <v>-144.69</v>
      </c>
      <c r="H17">
        <v>-722.68</v>
      </c>
      <c r="I17">
        <v>609.54999999999995</v>
      </c>
      <c r="J17">
        <v>403.87</v>
      </c>
      <c r="K17">
        <v>-484.69</v>
      </c>
    </row>
    <row r="18" spans="1:11" s="15" customFormat="1" x14ac:dyDescent="0.2">
      <c r="A18" s="12" t="s">
        <v>128</v>
      </c>
      <c r="B18">
        <v>392.09</v>
      </c>
      <c r="C18">
        <v>395.88</v>
      </c>
      <c r="D18">
        <v>430.77</v>
      </c>
      <c r="E18">
        <v>483.48</v>
      </c>
      <c r="F18">
        <v>545.12</v>
      </c>
      <c r="G18">
        <v>598.62</v>
      </c>
      <c r="H18">
        <v>428.85</v>
      </c>
      <c r="I18">
        <v>247.89</v>
      </c>
      <c r="J18">
        <v>344.78</v>
      </c>
      <c r="K18">
        <v>420.98</v>
      </c>
    </row>
    <row r="19" spans="1:11" s="15" customFormat="1" x14ac:dyDescent="0.2">
      <c r="A19" s="12" t="s">
        <v>129</v>
      </c>
      <c r="B19">
        <v>2584.06</v>
      </c>
      <c r="C19">
        <v>2825.7</v>
      </c>
      <c r="D19">
        <v>2026.58</v>
      </c>
      <c r="E19">
        <v>2420.4499999999998</v>
      </c>
      <c r="F19">
        <v>2592.1799999999998</v>
      </c>
      <c r="G19">
        <v>2899.73</v>
      </c>
      <c r="H19">
        <v>2276.81</v>
      </c>
      <c r="I19">
        <v>1757.02</v>
      </c>
      <c r="J19">
        <v>2150.88</v>
      </c>
      <c r="K19">
        <v>2487.4699999999998</v>
      </c>
    </row>
    <row r="20" spans="1:11" s="15" customFormat="1" x14ac:dyDescent="0.2">
      <c r="A20" s="12" t="s">
        <v>130</v>
      </c>
      <c r="B20">
        <v>2924.97</v>
      </c>
      <c r="C20">
        <v>3174.71</v>
      </c>
      <c r="D20">
        <v>3188.97</v>
      </c>
      <c r="E20">
        <v>3764.35</v>
      </c>
      <c r="F20">
        <v>3970.41</v>
      </c>
      <c r="G20">
        <v>4273.1000000000004</v>
      </c>
      <c r="H20">
        <v>4384.3100000000004</v>
      </c>
      <c r="I20">
        <v>3341.53</v>
      </c>
      <c r="J20">
        <v>3601.51</v>
      </c>
      <c r="K20">
        <v>4021.63</v>
      </c>
    </row>
    <row r="21" spans="1:11" s="15" customFormat="1" x14ac:dyDescent="0.2">
      <c r="A21" s="12" t="s">
        <v>131</v>
      </c>
      <c r="B21">
        <v>2311.38</v>
      </c>
      <c r="C21">
        <v>2664.24</v>
      </c>
      <c r="D21">
        <v>2397.04</v>
      </c>
      <c r="E21">
        <v>3348.11</v>
      </c>
      <c r="F21">
        <v>3682.22</v>
      </c>
      <c r="G21">
        <v>4185.41</v>
      </c>
      <c r="H21">
        <v>3305.35</v>
      </c>
      <c r="I21">
        <v>1530.19</v>
      </c>
      <c r="J21">
        <v>2668.95</v>
      </c>
      <c r="K21">
        <v>3487.05</v>
      </c>
    </row>
    <row r="22" spans="1:11" s="15" customFormat="1" x14ac:dyDescent="0.2">
      <c r="A22" s="12" t="s">
        <v>132</v>
      </c>
      <c r="B22">
        <v>1056.69</v>
      </c>
      <c r="C22">
        <v>1436.93</v>
      </c>
      <c r="D22">
        <v>3307.65</v>
      </c>
      <c r="E22">
        <v>1343.96</v>
      </c>
      <c r="F22">
        <v>2048.11</v>
      </c>
      <c r="G22">
        <v>1690.57</v>
      </c>
      <c r="H22">
        <v>1609.52</v>
      </c>
      <c r="I22">
        <v>346.03</v>
      </c>
      <c r="J22">
        <v>679.39</v>
      </c>
      <c r="K22">
        <v>1536.33</v>
      </c>
    </row>
    <row r="23" spans="1:11" s="15" customFormat="1" x14ac:dyDescent="0.2">
      <c r="A23" s="15" t="s">
        <v>53</v>
      </c>
      <c r="B23">
        <v>3293.17</v>
      </c>
      <c r="C23">
        <v>1477.66</v>
      </c>
      <c r="D23">
        <v>1469.08</v>
      </c>
      <c r="E23">
        <v>642.35</v>
      </c>
      <c r="F23">
        <v>1525.82</v>
      </c>
      <c r="G23">
        <v>2351.59</v>
      </c>
      <c r="H23">
        <v>-1127.8699999999999</v>
      </c>
      <c r="I23">
        <v>112.44</v>
      </c>
      <c r="J23">
        <v>1091.69</v>
      </c>
      <c r="K23">
        <v>538.12</v>
      </c>
    </row>
    <row r="24" spans="1:11" s="15" customFormat="1" x14ac:dyDescent="0.2">
      <c r="A24" s="15" t="s">
        <v>54</v>
      </c>
      <c r="B24">
        <v>2070.3000000000002</v>
      </c>
      <c r="C24">
        <v>2603.2199999999998</v>
      </c>
      <c r="D24">
        <v>2329.2199999999998</v>
      </c>
      <c r="E24">
        <v>3037.12</v>
      </c>
      <c r="F24">
        <v>3101.89</v>
      </c>
      <c r="G24">
        <v>3098.64</v>
      </c>
      <c r="H24">
        <v>3375.29</v>
      </c>
      <c r="I24">
        <v>1730.71</v>
      </c>
      <c r="J24">
        <v>1760.57</v>
      </c>
      <c r="K24">
        <v>1766.86</v>
      </c>
    </row>
    <row r="25" spans="1:11" s="15" customFormat="1" x14ac:dyDescent="0.2">
      <c r="A25" s="15" t="s">
        <v>55</v>
      </c>
      <c r="B25">
        <v>1353.18</v>
      </c>
      <c r="C25">
        <v>1611.68</v>
      </c>
      <c r="D25">
        <v>1592</v>
      </c>
      <c r="E25">
        <v>1569.01</v>
      </c>
      <c r="F25">
        <v>1744.43</v>
      </c>
      <c r="G25">
        <v>1793.57</v>
      </c>
      <c r="H25">
        <v>1973</v>
      </c>
      <c r="I25">
        <v>2110.83</v>
      </c>
      <c r="J25">
        <v>2121.73</v>
      </c>
      <c r="K25">
        <v>2047.51</v>
      </c>
    </row>
    <row r="26" spans="1:11" s="15" customFormat="1" x14ac:dyDescent="0.2">
      <c r="A26" s="15" t="s">
        <v>56</v>
      </c>
      <c r="B26">
        <v>-1025.8</v>
      </c>
      <c r="C26">
        <v>-3974.72</v>
      </c>
      <c r="D26">
        <v>-67.099999999999994</v>
      </c>
      <c r="E26">
        <v>-2353.27</v>
      </c>
      <c r="F26">
        <v>-946.92</v>
      </c>
      <c r="G26">
        <v>2398.9299999999998</v>
      </c>
      <c r="H26">
        <v>-7127.34</v>
      </c>
      <c r="I26">
        <v>-2374.7199999999998</v>
      </c>
      <c r="J26">
        <v>-1291.68</v>
      </c>
      <c r="K26">
        <v>1254.8</v>
      </c>
    </row>
    <row r="27" spans="1:11" s="15" customFormat="1" x14ac:dyDescent="0.2">
      <c r="A27" s="15" t="s">
        <v>57</v>
      </c>
      <c r="B27">
        <v>-1360.32</v>
      </c>
      <c r="C27">
        <v>764.23</v>
      </c>
      <c r="D27">
        <v>-4.8</v>
      </c>
      <c r="E27">
        <v>76.33</v>
      </c>
      <c r="F27">
        <v>87.93</v>
      </c>
      <c r="G27">
        <v>378.33</v>
      </c>
      <c r="H27">
        <v>162.29</v>
      </c>
      <c r="I27">
        <v>20.72</v>
      </c>
      <c r="J27">
        <v>99.18</v>
      </c>
      <c r="K27">
        <v>-1473.33</v>
      </c>
    </row>
    <row r="28" spans="1:11" s="15" customFormat="1" x14ac:dyDescent="0.2">
      <c r="A28" s="15" t="s">
        <v>59</v>
      </c>
      <c r="B28">
        <v>334.52</v>
      </c>
      <c r="C28">
        <v>-4738.95</v>
      </c>
      <c r="D28">
        <v>-62.3</v>
      </c>
      <c r="E28">
        <v>-2429.6</v>
      </c>
      <c r="F28">
        <v>-1034.8499999999999</v>
      </c>
      <c r="G28">
        <v>2020.6</v>
      </c>
      <c r="H28">
        <v>-7289.63</v>
      </c>
      <c r="I28">
        <v>-2395.44</v>
      </c>
      <c r="J28">
        <v>-1390.86</v>
      </c>
      <c r="K28">
        <v>2728.13</v>
      </c>
    </row>
    <row r="29" spans="1:11" s="15" customFormat="1" x14ac:dyDescent="0.2">
      <c r="A29" s="15" t="s">
        <v>133</v>
      </c>
      <c r="B29">
        <v>643.78</v>
      </c>
      <c r="D29">
        <v>67.92</v>
      </c>
      <c r="K29">
        <v>766.02</v>
      </c>
    </row>
    <row r="30" spans="1:11" s="15" customFormat="1" x14ac:dyDescent="0.2"/>
    <row r="31" spans="1:11" x14ac:dyDescent="0.2">
      <c r="A31" s="15"/>
    </row>
    <row r="32" spans="1:11" x14ac:dyDescent="0.2">
      <c r="A32" s="15"/>
    </row>
    <row r="33" spans="1:11" x14ac:dyDescent="0.2">
      <c r="A33" s="15"/>
    </row>
    <row r="34" spans="1:11" x14ac:dyDescent="0.2">
      <c r="A34" s="15"/>
    </row>
    <row r="35" spans="1:11" x14ac:dyDescent="0.2">
      <c r="A35" s="15"/>
    </row>
    <row r="36" spans="1:11" x14ac:dyDescent="0.2">
      <c r="A36" s="15"/>
    </row>
    <row r="37" spans="1:11" x14ac:dyDescent="0.2">
      <c r="A37" s="15"/>
    </row>
    <row r="38" spans="1:11" x14ac:dyDescent="0.2">
      <c r="A38" s="14" t="s">
        <v>134</v>
      </c>
    </row>
    <row r="39" spans="1:11" s="16" customFormat="1" x14ac:dyDescent="0.2">
      <c r="A39" s="17" t="s">
        <v>125</v>
      </c>
      <c r="B39" s="8">
        <v>44286</v>
      </c>
      <c r="C39" s="8">
        <v>44377</v>
      </c>
      <c r="D39" s="8">
        <v>44469</v>
      </c>
      <c r="E39" s="8">
        <v>44561</v>
      </c>
      <c r="F39" s="8">
        <v>44651</v>
      </c>
      <c r="G39" s="8">
        <v>44742</v>
      </c>
      <c r="H39" s="8">
        <v>44834</v>
      </c>
      <c r="I39" s="8">
        <v>44926</v>
      </c>
      <c r="J39" s="8">
        <v>45016</v>
      </c>
      <c r="K39" s="8">
        <v>45107</v>
      </c>
    </row>
    <row r="40" spans="1:11" s="15" customFormat="1" x14ac:dyDescent="0.2">
      <c r="A40" s="15" t="s">
        <v>50</v>
      </c>
      <c r="B40">
        <v>13480.42</v>
      </c>
      <c r="C40">
        <v>6576.61</v>
      </c>
      <c r="D40">
        <v>10996.02</v>
      </c>
      <c r="E40">
        <v>12352.78</v>
      </c>
      <c r="F40">
        <v>17338.27</v>
      </c>
      <c r="G40">
        <v>14874.44</v>
      </c>
      <c r="H40">
        <v>14946.78</v>
      </c>
      <c r="I40">
        <v>15793.98</v>
      </c>
      <c r="J40">
        <v>20142.13</v>
      </c>
      <c r="K40">
        <v>15832.57</v>
      </c>
    </row>
    <row r="41" spans="1:11" s="15" customFormat="1" x14ac:dyDescent="0.2">
      <c r="A41" s="15" t="s">
        <v>51</v>
      </c>
      <c r="B41">
        <v>12304.9</v>
      </c>
      <c r="C41">
        <v>7014.84</v>
      </c>
      <c r="D41">
        <v>10772.42</v>
      </c>
      <c r="E41">
        <v>12085.38</v>
      </c>
      <c r="F41">
        <v>16271.44</v>
      </c>
      <c r="G41">
        <v>14271.68</v>
      </c>
      <c r="H41">
        <v>14393.91</v>
      </c>
      <c r="I41">
        <v>14473.22</v>
      </c>
      <c r="J41">
        <v>18087.47</v>
      </c>
      <c r="K41">
        <v>14554.24</v>
      </c>
    </row>
    <row r="42" spans="1:11" s="15" customFormat="1" x14ac:dyDescent="0.2">
      <c r="A42" s="15" t="s">
        <v>53</v>
      </c>
      <c r="B42">
        <v>1430.52</v>
      </c>
      <c r="C42">
        <v>99.66</v>
      </c>
      <c r="D42">
        <v>84.49</v>
      </c>
      <c r="E42">
        <v>949.99</v>
      </c>
      <c r="F42">
        <v>336.87</v>
      </c>
      <c r="G42">
        <v>209.34</v>
      </c>
      <c r="H42">
        <v>191.02</v>
      </c>
      <c r="I42">
        <v>173.07</v>
      </c>
      <c r="J42">
        <v>-35.31</v>
      </c>
      <c r="K42">
        <v>-348.87</v>
      </c>
    </row>
    <row r="43" spans="1:11" s="15" customFormat="1" x14ac:dyDescent="0.2">
      <c r="A43" s="15" t="s">
        <v>54</v>
      </c>
      <c r="B43">
        <v>455.59</v>
      </c>
      <c r="C43">
        <v>417.88</v>
      </c>
      <c r="D43">
        <v>432.68</v>
      </c>
      <c r="E43">
        <v>452.15</v>
      </c>
      <c r="F43">
        <v>457.86</v>
      </c>
      <c r="G43">
        <v>422.98</v>
      </c>
      <c r="H43">
        <v>446.13</v>
      </c>
      <c r="I43">
        <v>430.18</v>
      </c>
      <c r="J43">
        <v>467.57</v>
      </c>
      <c r="K43">
        <v>495.91</v>
      </c>
    </row>
    <row r="44" spans="1:11" s="15" customFormat="1" x14ac:dyDescent="0.2">
      <c r="A44" s="15" t="s">
        <v>55</v>
      </c>
      <c r="B44">
        <v>476.33</v>
      </c>
      <c r="C44">
        <v>563.49</v>
      </c>
      <c r="D44">
        <v>530.94000000000005</v>
      </c>
      <c r="E44">
        <v>535.54999999999995</v>
      </c>
      <c r="F44">
        <v>491.75</v>
      </c>
      <c r="G44">
        <v>528.79999999999995</v>
      </c>
      <c r="H44">
        <v>549.35</v>
      </c>
      <c r="I44">
        <v>503.43</v>
      </c>
      <c r="J44">
        <v>465.93</v>
      </c>
      <c r="K44">
        <v>411.74</v>
      </c>
    </row>
    <row r="45" spans="1:11" s="15" customFormat="1" x14ac:dyDescent="0.2">
      <c r="A45" s="15" t="s">
        <v>56</v>
      </c>
      <c r="B45">
        <v>1674.12</v>
      </c>
      <c r="C45">
        <v>-1319.94</v>
      </c>
      <c r="D45">
        <v>-655.53</v>
      </c>
      <c r="E45">
        <v>229.69</v>
      </c>
      <c r="F45">
        <v>454.09</v>
      </c>
      <c r="G45">
        <v>-139.68</v>
      </c>
      <c r="H45">
        <v>-251.59</v>
      </c>
      <c r="I45">
        <v>560.22</v>
      </c>
      <c r="J45">
        <v>1085.8499999999999</v>
      </c>
      <c r="K45">
        <v>21.81</v>
      </c>
    </row>
    <row r="46" spans="1:11" s="15" customFormat="1" x14ac:dyDescent="0.2">
      <c r="A46" s="15" t="s">
        <v>57</v>
      </c>
      <c r="B46">
        <v>28.44</v>
      </c>
      <c r="C46">
        <v>0.8</v>
      </c>
      <c r="D46">
        <v>3.8</v>
      </c>
      <c r="E46">
        <v>53.84</v>
      </c>
      <c r="F46">
        <v>40.74</v>
      </c>
      <c r="G46">
        <v>41.35</v>
      </c>
      <c r="H46">
        <v>41</v>
      </c>
      <c r="I46">
        <v>54.03</v>
      </c>
      <c r="J46">
        <v>-1609.71</v>
      </c>
      <c r="K46">
        <v>85.85</v>
      </c>
    </row>
    <row r="47" spans="1:11" s="15" customFormat="1" x14ac:dyDescent="0.2">
      <c r="A47" s="15" t="s">
        <v>59</v>
      </c>
      <c r="B47">
        <v>1645.68</v>
      </c>
      <c r="C47">
        <v>-1320.74</v>
      </c>
      <c r="D47">
        <v>-659.33</v>
      </c>
      <c r="E47">
        <v>175.85</v>
      </c>
      <c r="F47">
        <v>413.35</v>
      </c>
      <c r="G47">
        <v>-181.03</v>
      </c>
      <c r="H47">
        <v>-292.58999999999997</v>
      </c>
      <c r="I47">
        <v>506.19</v>
      </c>
      <c r="J47">
        <v>2695.56</v>
      </c>
      <c r="K47">
        <v>-64.040000000000006</v>
      </c>
    </row>
    <row r="48" spans="1:11" x14ac:dyDescent="0.2">
      <c r="A48" s="15" t="s">
        <v>52</v>
      </c>
      <c r="B48">
        <v>1175.52</v>
      </c>
      <c r="C48">
        <v>-438.23</v>
      </c>
      <c r="D48">
        <v>223.6</v>
      </c>
      <c r="E48">
        <v>267.39999999999998</v>
      </c>
      <c r="F48">
        <v>1066.83</v>
      </c>
      <c r="G48">
        <v>602.76</v>
      </c>
      <c r="H48">
        <v>552.87</v>
      </c>
      <c r="I48">
        <v>1320.76</v>
      </c>
      <c r="J48">
        <v>2054.66</v>
      </c>
      <c r="K48">
        <v>1278.33</v>
      </c>
    </row>
    <row r="49" spans="1:11" x14ac:dyDescent="0.2">
      <c r="A49" s="15"/>
    </row>
    <row r="50" spans="1:11" x14ac:dyDescent="0.2">
      <c r="A50" s="15"/>
    </row>
    <row r="51" spans="1:11" x14ac:dyDescent="0.2">
      <c r="A51" s="15"/>
    </row>
    <row r="52" spans="1:11" x14ac:dyDescent="0.2">
      <c r="A52" s="15"/>
    </row>
    <row r="53" spans="1:11" x14ac:dyDescent="0.2">
      <c r="A53" s="14" t="s">
        <v>135</v>
      </c>
    </row>
    <row r="54" spans="1:11" s="16" customFormat="1" x14ac:dyDescent="0.2">
      <c r="A54" s="17" t="s">
        <v>125</v>
      </c>
      <c r="B54" s="8">
        <v>41729</v>
      </c>
      <c r="C54" s="8">
        <v>42094</v>
      </c>
      <c r="D54" s="8">
        <v>42460</v>
      </c>
      <c r="E54" s="8">
        <v>42825</v>
      </c>
      <c r="F54" s="8">
        <v>43190</v>
      </c>
      <c r="G54" s="8">
        <v>43555</v>
      </c>
      <c r="H54" s="8">
        <v>43921</v>
      </c>
      <c r="I54" s="8">
        <v>44286</v>
      </c>
      <c r="J54" s="8">
        <v>44651</v>
      </c>
      <c r="K54" s="8">
        <v>45016</v>
      </c>
    </row>
    <row r="55" spans="1:11" x14ac:dyDescent="0.2">
      <c r="A55" s="15" t="s">
        <v>136</v>
      </c>
      <c r="B55">
        <v>643.78</v>
      </c>
      <c r="C55">
        <v>643.78</v>
      </c>
      <c r="D55">
        <v>679.18</v>
      </c>
      <c r="E55">
        <v>679.22</v>
      </c>
      <c r="F55">
        <v>679.22</v>
      </c>
      <c r="G55">
        <v>679.22</v>
      </c>
      <c r="H55">
        <v>719.54</v>
      </c>
      <c r="I55">
        <v>765.81</v>
      </c>
      <c r="J55">
        <v>765.88</v>
      </c>
      <c r="K55">
        <v>766.02</v>
      </c>
    </row>
    <row r="56" spans="1:11" x14ac:dyDescent="0.2">
      <c r="A56" s="15" t="s">
        <v>15</v>
      </c>
      <c r="B56">
        <v>18532.87</v>
      </c>
      <c r="C56">
        <v>14218.81</v>
      </c>
      <c r="D56">
        <v>22582.93</v>
      </c>
      <c r="E56">
        <v>20483.39</v>
      </c>
      <c r="F56">
        <v>19491.759999999998</v>
      </c>
      <c r="G56">
        <v>21483.3</v>
      </c>
      <c r="H56">
        <v>16800.61</v>
      </c>
      <c r="I56">
        <v>18290.16</v>
      </c>
      <c r="J56">
        <v>19178.27</v>
      </c>
      <c r="K56">
        <v>21703.83</v>
      </c>
    </row>
    <row r="57" spans="1:11" x14ac:dyDescent="0.2">
      <c r="A57" s="15" t="s">
        <v>137</v>
      </c>
      <c r="B57">
        <v>15052.8</v>
      </c>
      <c r="C57">
        <v>21134.41</v>
      </c>
      <c r="D57">
        <v>16473.34</v>
      </c>
      <c r="E57">
        <v>19356.98</v>
      </c>
      <c r="F57">
        <v>18463.84</v>
      </c>
      <c r="G57">
        <v>18639.63</v>
      </c>
      <c r="H57">
        <v>26050.31</v>
      </c>
      <c r="I57">
        <v>22438.93</v>
      </c>
      <c r="J57">
        <v>23529.07</v>
      </c>
      <c r="K57">
        <v>19278.689999999999</v>
      </c>
    </row>
    <row r="58" spans="1:11" x14ac:dyDescent="0.2">
      <c r="A58" s="15" t="s">
        <v>138</v>
      </c>
      <c r="B58">
        <v>15504.97</v>
      </c>
      <c r="C58">
        <v>13946.17</v>
      </c>
      <c r="D58">
        <v>16940.55</v>
      </c>
      <c r="E58">
        <v>18358.689999999999</v>
      </c>
      <c r="F58">
        <v>20577.48</v>
      </c>
      <c r="G58">
        <v>20107.48</v>
      </c>
      <c r="H58">
        <v>19019.41</v>
      </c>
      <c r="I58">
        <v>23564.76</v>
      </c>
      <c r="J58">
        <v>20426.650000000001</v>
      </c>
      <c r="K58">
        <v>19971.07</v>
      </c>
    </row>
    <row r="59" spans="1:11" s="14" customFormat="1" x14ac:dyDescent="0.2">
      <c r="A59" s="14" t="s">
        <v>139</v>
      </c>
      <c r="B59">
        <v>49734.42</v>
      </c>
      <c r="C59">
        <v>49943.17</v>
      </c>
      <c r="D59">
        <v>56676</v>
      </c>
      <c r="E59">
        <v>58878.28</v>
      </c>
      <c r="F59">
        <v>59212.3</v>
      </c>
      <c r="G59">
        <v>60909.63</v>
      </c>
      <c r="H59">
        <v>62589.87</v>
      </c>
      <c r="I59">
        <v>65059.66</v>
      </c>
      <c r="J59">
        <v>63899.87</v>
      </c>
      <c r="K59">
        <v>61719.61</v>
      </c>
    </row>
    <row r="60" spans="1:11" x14ac:dyDescent="0.2">
      <c r="A60" s="15" t="s">
        <v>140</v>
      </c>
      <c r="B60">
        <v>15240.57</v>
      </c>
      <c r="C60">
        <v>15783.23</v>
      </c>
      <c r="D60">
        <v>21075.81</v>
      </c>
      <c r="E60">
        <v>20772.919999999998</v>
      </c>
      <c r="F60">
        <v>21603.75</v>
      </c>
      <c r="G60">
        <v>22286.83</v>
      </c>
      <c r="H60">
        <v>25207.98</v>
      </c>
      <c r="I60">
        <v>26423.1</v>
      </c>
      <c r="J60">
        <v>14075.76</v>
      </c>
      <c r="K60">
        <v>14542.32</v>
      </c>
    </row>
    <row r="61" spans="1:11" x14ac:dyDescent="0.2">
      <c r="A61" s="15" t="s">
        <v>141</v>
      </c>
      <c r="B61">
        <v>6355.07</v>
      </c>
      <c r="C61">
        <v>6040.79</v>
      </c>
      <c r="D61">
        <v>5686.53</v>
      </c>
      <c r="E61">
        <v>7270.99</v>
      </c>
      <c r="F61">
        <v>5196.6000000000004</v>
      </c>
      <c r="G61">
        <v>6286.59</v>
      </c>
      <c r="H61">
        <v>4494.8</v>
      </c>
      <c r="I61">
        <v>3006.46</v>
      </c>
      <c r="J61">
        <v>1467.24</v>
      </c>
      <c r="K61">
        <v>1084.95</v>
      </c>
    </row>
    <row r="62" spans="1:11" x14ac:dyDescent="0.2">
      <c r="A62" s="15" t="s">
        <v>39</v>
      </c>
      <c r="B62">
        <v>18458.419999999998</v>
      </c>
      <c r="C62">
        <v>16987.169999999998</v>
      </c>
      <c r="D62">
        <v>16963.32</v>
      </c>
      <c r="E62">
        <v>17295.810000000001</v>
      </c>
      <c r="F62">
        <v>16763.57</v>
      </c>
      <c r="G62">
        <v>16867.37</v>
      </c>
      <c r="H62">
        <v>16616.169999999998</v>
      </c>
      <c r="I62">
        <v>17693.169999999998</v>
      </c>
      <c r="J62">
        <v>34399.47</v>
      </c>
      <c r="K62">
        <v>32324.58</v>
      </c>
    </row>
    <row r="63" spans="1:11" x14ac:dyDescent="0.2">
      <c r="A63" s="15" t="s">
        <v>142</v>
      </c>
      <c r="B63">
        <v>9680.36</v>
      </c>
      <c r="C63">
        <v>11131.98</v>
      </c>
      <c r="D63">
        <v>12950.34</v>
      </c>
      <c r="E63">
        <v>13538.56</v>
      </c>
      <c r="F63">
        <v>15648.38</v>
      </c>
      <c r="G63">
        <v>15468.84</v>
      </c>
      <c r="H63">
        <v>16270.92</v>
      </c>
      <c r="I63">
        <v>17936.93</v>
      </c>
      <c r="J63">
        <v>13957.4</v>
      </c>
      <c r="K63">
        <v>13767.76</v>
      </c>
    </row>
    <row r="64" spans="1:11" s="14" customFormat="1" x14ac:dyDescent="0.2">
      <c r="A64" s="14" t="s">
        <v>139</v>
      </c>
      <c r="B64">
        <v>49734.42</v>
      </c>
      <c r="C64">
        <v>49943.17</v>
      </c>
      <c r="D64">
        <v>56676</v>
      </c>
      <c r="E64">
        <v>58878.28</v>
      </c>
      <c r="F64">
        <v>59212.3</v>
      </c>
      <c r="G64">
        <v>60909.63</v>
      </c>
      <c r="H64">
        <v>62589.87</v>
      </c>
      <c r="I64">
        <v>65059.66</v>
      </c>
      <c r="J64">
        <v>63899.87</v>
      </c>
      <c r="K64">
        <v>61719.61</v>
      </c>
    </row>
    <row r="65" spans="1:11" s="15" customFormat="1" x14ac:dyDescent="0.2">
      <c r="A65" s="15" t="s">
        <v>76</v>
      </c>
      <c r="B65">
        <v>1216.7</v>
      </c>
      <c r="C65">
        <v>1114.48</v>
      </c>
      <c r="D65">
        <v>2045.58</v>
      </c>
      <c r="E65">
        <v>2128</v>
      </c>
      <c r="F65">
        <v>3479.81</v>
      </c>
      <c r="G65">
        <v>3250.64</v>
      </c>
      <c r="H65">
        <v>1978.06</v>
      </c>
      <c r="I65">
        <v>2087.5100000000002</v>
      </c>
      <c r="J65">
        <v>2111.7800000000002</v>
      </c>
      <c r="K65">
        <v>2307.7199999999998</v>
      </c>
    </row>
    <row r="66" spans="1:11" x14ac:dyDescent="0.2">
      <c r="A66" s="15" t="s">
        <v>77</v>
      </c>
      <c r="B66">
        <v>3862.53</v>
      </c>
      <c r="C66">
        <v>4802.08</v>
      </c>
      <c r="D66">
        <v>5117.92</v>
      </c>
      <c r="E66">
        <v>5553.01</v>
      </c>
      <c r="F66">
        <v>5670.13</v>
      </c>
      <c r="G66">
        <v>4662</v>
      </c>
      <c r="H66">
        <v>3831.92</v>
      </c>
      <c r="I66">
        <v>4551.71</v>
      </c>
      <c r="J66">
        <v>3718.49</v>
      </c>
      <c r="K66">
        <v>3027.9</v>
      </c>
    </row>
    <row r="67" spans="1:11" x14ac:dyDescent="0.2">
      <c r="A67" s="12" t="s">
        <v>143</v>
      </c>
      <c r="B67">
        <v>226.15</v>
      </c>
      <c r="C67">
        <v>944.75</v>
      </c>
      <c r="D67">
        <v>788.42</v>
      </c>
      <c r="E67">
        <v>326.61</v>
      </c>
      <c r="F67">
        <v>795.42</v>
      </c>
      <c r="G67">
        <v>1306.6099999999999</v>
      </c>
      <c r="H67">
        <v>3532.19</v>
      </c>
      <c r="I67">
        <v>4318.9399999999996</v>
      </c>
      <c r="J67">
        <v>2605.4299999999998</v>
      </c>
      <c r="K67">
        <v>1414.65</v>
      </c>
    </row>
    <row r="68" spans="1:11" x14ac:dyDescent="0.2">
      <c r="A68" s="12" t="s">
        <v>144</v>
      </c>
      <c r="B68">
        <v>3218930000</v>
      </c>
      <c r="C68">
        <v>3218930067</v>
      </c>
      <c r="D68">
        <v>3395930306</v>
      </c>
      <c r="E68">
        <v>3396100719</v>
      </c>
      <c r="F68">
        <v>3396100719</v>
      </c>
      <c r="G68">
        <v>3396100719</v>
      </c>
      <c r="H68">
        <v>3597726185</v>
      </c>
      <c r="I68">
        <v>3829060056</v>
      </c>
      <c r="J68">
        <v>3829414298</v>
      </c>
      <c r="K68">
        <v>3830097221</v>
      </c>
    </row>
    <row r="69" spans="1:11" x14ac:dyDescent="0.2">
      <c r="A69" s="12" t="s">
        <v>145</v>
      </c>
    </row>
    <row r="70" spans="1:11" x14ac:dyDescent="0.2">
      <c r="A70" s="12" t="s">
        <v>146</v>
      </c>
      <c r="B70">
        <v>2</v>
      </c>
      <c r="C70">
        <v>2</v>
      </c>
      <c r="D70">
        <v>2</v>
      </c>
      <c r="E70">
        <v>2</v>
      </c>
      <c r="F70">
        <v>2</v>
      </c>
      <c r="G70">
        <v>2</v>
      </c>
      <c r="H70">
        <v>2</v>
      </c>
      <c r="I70">
        <v>2</v>
      </c>
      <c r="J70">
        <v>2</v>
      </c>
      <c r="K70">
        <v>2</v>
      </c>
    </row>
    <row r="72" spans="1:11" x14ac:dyDescent="0.2">
      <c r="A72" s="15"/>
    </row>
    <row r="73" spans="1:11" x14ac:dyDescent="0.2">
      <c r="A73" s="15"/>
    </row>
    <row r="74" spans="1:11" x14ac:dyDescent="0.2">
      <c r="A74" s="15"/>
    </row>
    <row r="75" spans="1:11" x14ac:dyDescent="0.2">
      <c r="A75" s="15"/>
    </row>
    <row r="76" spans="1:11" x14ac:dyDescent="0.2">
      <c r="A76" s="15"/>
    </row>
    <row r="77" spans="1:11" x14ac:dyDescent="0.2">
      <c r="A77" s="15"/>
    </row>
    <row r="78" spans="1:11" x14ac:dyDescent="0.2">
      <c r="A78" s="14" t="s">
        <v>147</v>
      </c>
    </row>
    <row r="79" spans="1:11" s="16" customFormat="1" x14ac:dyDescent="0.2">
      <c r="A79" s="17" t="s">
        <v>125</v>
      </c>
      <c r="B79" s="8">
        <v>41729</v>
      </c>
      <c r="C79" s="8">
        <v>42094</v>
      </c>
      <c r="D79" s="8">
        <v>42460</v>
      </c>
      <c r="E79" s="8">
        <v>42825</v>
      </c>
      <c r="F79" s="8">
        <v>43190</v>
      </c>
      <c r="G79" s="8">
        <v>43555</v>
      </c>
      <c r="H79" s="8">
        <v>43921</v>
      </c>
      <c r="I79" s="8">
        <v>44286</v>
      </c>
      <c r="J79" s="8">
        <v>44651</v>
      </c>
      <c r="K79" s="8">
        <v>45016</v>
      </c>
    </row>
    <row r="80" spans="1:11" s="14" customFormat="1" x14ac:dyDescent="0.2">
      <c r="A80" s="15" t="s">
        <v>148</v>
      </c>
      <c r="B80">
        <v>2463.46</v>
      </c>
      <c r="C80">
        <v>-2214.3000000000002</v>
      </c>
      <c r="D80">
        <v>2702.98</v>
      </c>
      <c r="E80">
        <v>1453.45</v>
      </c>
      <c r="F80">
        <v>4133.9399999999996</v>
      </c>
      <c r="G80">
        <v>6292.63</v>
      </c>
      <c r="H80">
        <v>-1454.59</v>
      </c>
      <c r="I80">
        <v>6680.32</v>
      </c>
      <c r="J80">
        <v>5281.93</v>
      </c>
      <c r="K80">
        <v>4775.43</v>
      </c>
    </row>
    <row r="81" spans="1:11" s="15" customFormat="1" x14ac:dyDescent="0.2">
      <c r="A81" s="15" t="s">
        <v>149</v>
      </c>
      <c r="B81">
        <v>2563.46</v>
      </c>
      <c r="C81">
        <v>246.04</v>
      </c>
      <c r="D81">
        <v>-3263.51</v>
      </c>
      <c r="E81">
        <v>-2860.38</v>
      </c>
      <c r="F81">
        <v>-710.43</v>
      </c>
      <c r="G81">
        <v>-3822.35</v>
      </c>
      <c r="H81">
        <v>-4636.72</v>
      </c>
      <c r="I81">
        <v>-2988.17</v>
      </c>
      <c r="J81">
        <v>-4681.3999999999996</v>
      </c>
      <c r="K81">
        <v>917.09</v>
      </c>
    </row>
    <row r="82" spans="1:11" s="15" customFormat="1" x14ac:dyDescent="0.2">
      <c r="A82" s="15" t="s">
        <v>150</v>
      </c>
      <c r="B82">
        <v>-5033.8100000000004</v>
      </c>
      <c r="C82">
        <v>2631.53</v>
      </c>
      <c r="D82">
        <v>-78.87</v>
      </c>
      <c r="E82">
        <v>1208.8</v>
      </c>
      <c r="F82">
        <v>-3105.63</v>
      </c>
      <c r="G82">
        <v>-2529.6999999999998</v>
      </c>
      <c r="H82">
        <v>7749.21</v>
      </c>
      <c r="I82">
        <v>-3471.91</v>
      </c>
      <c r="J82">
        <v>-515.84</v>
      </c>
      <c r="K82">
        <v>-7021.32</v>
      </c>
    </row>
    <row r="83" spans="1:11" s="14" customFormat="1" x14ac:dyDescent="0.2">
      <c r="A83" s="15" t="s">
        <v>106</v>
      </c>
      <c r="B83">
        <v>-6.89</v>
      </c>
      <c r="C83">
        <v>663.27</v>
      </c>
      <c r="D83">
        <v>-639.4</v>
      </c>
      <c r="E83">
        <v>-198.13</v>
      </c>
      <c r="F83">
        <v>317.88</v>
      </c>
      <c r="G83">
        <v>-59.42</v>
      </c>
      <c r="H83">
        <v>1657.9</v>
      </c>
      <c r="I83">
        <v>220.24</v>
      </c>
      <c r="J83">
        <v>84.69</v>
      </c>
      <c r="K83">
        <v>-1328.8</v>
      </c>
    </row>
    <row r="84" spans="1:11" x14ac:dyDescent="0.2">
      <c r="A84" s="15"/>
    </row>
    <row r="85" spans="1:11" x14ac:dyDescent="0.2">
      <c r="A85" s="15"/>
    </row>
    <row r="86" spans="1:11" x14ac:dyDescent="0.2">
      <c r="A86" s="15"/>
    </row>
    <row r="87" spans="1:11" x14ac:dyDescent="0.2">
      <c r="A87" s="15"/>
    </row>
    <row r="88" spans="1:11" s="14" customFormat="1" x14ac:dyDescent="0.2">
      <c r="A88" s="14" t="s">
        <v>151</v>
      </c>
      <c r="B88">
        <v>394.42</v>
      </c>
      <c r="C88">
        <v>544.37</v>
      </c>
      <c r="D88">
        <v>386.6</v>
      </c>
      <c r="E88">
        <v>465.85</v>
      </c>
      <c r="F88">
        <v>326.85000000000002</v>
      </c>
      <c r="G88">
        <v>174.25</v>
      </c>
      <c r="H88">
        <v>71.05</v>
      </c>
      <c r="I88">
        <v>301.8</v>
      </c>
      <c r="J88">
        <v>433.75</v>
      </c>
      <c r="K88">
        <v>420.8</v>
      </c>
    </row>
    <row r="90" spans="1:11" s="14" customFormat="1" x14ac:dyDescent="0.2">
      <c r="A90" s="14" t="s">
        <v>152</v>
      </c>
    </row>
    <row r="91" spans="1:11" x14ac:dyDescent="0.2">
      <c r="A91" s="12" t="s">
        <v>153</v>
      </c>
      <c r="B91" s="13">
        <v>288.74</v>
      </c>
      <c r="C91" s="13">
        <v>288.74</v>
      </c>
      <c r="D91" s="13">
        <v>288.72000000000003</v>
      </c>
      <c r="E91" s="13">
        <v>288.73</v>
      </c>
      <c r="F91" s="13">
        <v>288.73</v>
      </c>
      <c r="G91" s="13">
        <v>288.73</v>
      </c>
      <c r="H91" s="13">
        <v>308.89999999999998</v>
      </c>
      <c r="I91" s="13">
        <v>332.03</v>
      </c>
      <c r="J91" s="13">
        <v>332.07</v>
      </c>
      <c r="K91" s="13">
        <v>332.13</v>
      </c>
    </row>
  </sheetData>
  <mergeCells count="1">
    <mergeCell ref="E1:K1"/>
  </mergeCells>
  <conditionalFormatting sqref="E1:K1">
    <cfRule type="cellIs" dxfId="0" priority="1" operator="notEqual">
      <formula>""</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FD2C-537E-436D-85C8-C79874859CA5}">
  <dimension ref="A2:M7"/>
  <sheetViews>
    <sheetView zoomScale="115" workbookViewId="0">
      <selection activeCell="C5" sqref="C5"/>
    </sheetView>
  </sheetViews>
  <sheetFormatPr baseColWidth="10" defaultColWidth="8.83203125" defaultRowHeight="15" x14ac:dyDescent="0.2"/>
  <cols>
    <col min="1" max="1" width="21.1640625" bestFit="1" customWidth="1"/>
    <col min="2" max="3" width="10.5" bestFit="1" customWidth="1"/>
    <col min="4" max="5" width="12.5" bestFit="1" customWidth="1"/>
    <col min="6" max="7" width="9.6640625" bestFit="1" customWidth="1"/>
    <col min="8" max="8" width="10.1640625" bestFit="1" customWidth="1"/>
    <col min="9" max="9" width="9.6640625" bestFit="1" customWidth="1"/>
    <col min="10" max="10" width="9.1640625" bestFit="1" customWidth="1"/>
    <col min="11" max="16" width="10.1640625" bestFit="1" customWidth="1"/>
  </cols>
  <sheetData>
    <row r="2" spans="1:13" x14ac:dyDescent="0.2">
      <c r="A2" s="7"/>
      <c r="B2" s="8">
        <v>42825</v>
      </c>
      <c r="C2" s="8">
        <v>43190</v>
      </c>
      <c r="D2" s="8">
        <v>43555</v>
      </c>
      <c r="E2" s="8">
        <v>44651</v>
      </c>
      <c r="F2" s="8">
        <v>45016</v>
      </c>
      <c r="G2" s="8">
        <v>45382</v>
      </c>
      <c r="H2" s="8">
        <v>45747</v>
      </c>
      <c r="I2" s="8">
        <v>46112</v>
      </c>
      <c r="J2" s="8">
        <v>46477</v>
      </c>
      <c r="K2" s="8">
        <v>46843</v>
      </c>
      <c r="L2" s="8">
        <v>47208</v>
      </c>
      <c r="M2" s="8">
        <v>47573</v>
      </c>
    </row>
    <row r="3" spans="1:13" x14ac:dyDescent="0.2">
      <c r="A3" s="3" t="s">
        <v>154</v>
      </c>
      <c r="B3">
        <v>20772.919999999998</v>
      </c>
      <c r="C3">
        <v>21603.75</v>
      </c>
      <c r="D3">
        <v>22286.83</v>
      </c>
      <c r="E3">
        <v>14075.76</v>
      </c>
      <c r="F3">
        <v>14542.32</v>
      </c>
    </row>
    <row r="4" spans="1:13" x14ac:dyDescent="0.2">
      <c r="A4" s="3" t="s">
        <v>155</v>
      </c>
      <c r="B4">
        <v>-302.89000000000306</v>
      </c>
      <c r="C4">
        <f>C3-B3</f>
        <v>830.83000000000175</v>
      </c>
      <c r="D4">
        <f t="shared" ref="D4:F4" si="0">D3-C3</f>
        <v>683.08000000000175</v>
      </c>
      <c r="E4">
        <f t="shared" si="0"/>
        <v>-8211.0700000000015</v>
      </c>
      <c r="F4">
        <f t="shared" si="0"/>
        <v>466.55999999999949</v>
      </c>
    </row>
    <row r="5" spans="1:13" x14ac:dyDescent="0.2">
      <c r="A5" s="3" t="s">
        <v>156</v>
      </c>
      <c r="B5" s="1">
        <f>'CASH FLOW'!F2</f>
        <v>1453</v>
      </c>
      <c r="C5" s="1">
        <v>4133.9399999999996</v>
      </c>
      <c r="D5" s="1">
        <v>6292.63</v>
      </c>
      <c r="E5" s="1">
        <v>5281.93</v>
      </c>
      <c r="F5" s="1">
        <v>4775.43</v>
      </c>
    </row>
    <row r="6" spans="1:13" x14ac:dyDescent="0.2">
      <c r="A6" s="3" t="s">
        <v>157</v>
      </c>
      <c r="B6" s="1">
        <f t="shared" ref="B6:F6" si="1">B5-B4</f>
        <v>1755.8900000000031</v>
      </c>
      <c r="C6" s="1">
        <f t="shared" si="1"/>
        <v>3303.1099999999979</v>
      </c>
      <c r="D6" s="1">
        <f t="shared" si="1"/>
        <v>5609.5499999999984</v>
      </c>
      <c r="E6" s="1">
        <f t="shared" si="1"/>
        <v>13493.000000000002</v>
      </c>
      <c r="F6" s="1">
        <f t="shared" si="1"/>
        <v>4308.8700000000008</v>
      </c>
      <c r="G6" s="1">
        <f>F6*(1+$B$7)</f>
        <v>5156.2813771228493</v>
      </c>
      <c r="H6" s="1">
        <f t="shared" ref="H6:M6" si="2">G6*(1+$B$7)</f>
        <v>6170.3503795807028</v>
      </c>
      <c r="I6" s="1">
        <f t="shared" si="2"/>
        <v>7383.8530177412822</v>
      </c>
      <c r="J6" s="1">
        <f t="shared" si="2"/>
        <v>8836.0112527859328</v>
      </c>
      <c r="K6" s="1">
        <f t="shared" si="2"/>
        <v>10573.760700784205</v>
      </c>
      <c r="L6" s="1">
        <f t="shared" si="2"/>
        <v>12653.267651984635</v>
      </c>
      <c r="M6" s="1">
        <f t="shared" si="2"/>
        <v>15141.744437330281</v>
      </c>
    </row>
    <row r="7" spans="1:13" x14ac:dyDescent="0.2">
      <c r="A7" s="49" t="s">
        <v>158</v>
      </c>
      <c r="B7" s="18">
        <f>((F6/B6)^(1/5))-1</f>
        <v>0.19666673098117338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D17-FC53-4A97-BCF2-BA3A8AFDE5B9}">
  <dimension ref="A1:T65"/>
  <sheetViews>
    <sheetView topLeftCell="H3" zoomScale="188" workbookViewId="0">
      <selection activeCell="D4" sqref="D4"/>
    </sheetView>
  </sheetViews>
  <sheetFormatPr baseColWidth="10" defaultColWidth="8.83203125" defaultRowHeight="15" x14ac:dyDescent="0.2"/>
  <cols>
    <col min="1" max="1" width="41.5" bestFit="1" customWidth="1"/>
    <col min="2" max="2" width="17.6640625" bestFit="1" customWidth="1"/>
    <col min="3" max="3" width="11.5" bestFit="1" customWidth="1"/>
    <col min="4" max="4" width="17.6640625" bestFit="1" customWidth="1"/>
    <col min="5" max="5" width="12.83203125" bestFit="1" customWidth="1"/>
    <col min="7" max="7" width="33.5" bestFit="1" customWidth="1"/>
    <col min="8" max="8" width="18.1640625" bestFit="1" customWidth="1"/>
    <col min="10" max="10" width="17.5" bestFit="1" customWidth="1"/>
    <col min="11" max="11" width="18.1640625" bestFit="1" customWidth="1"/>
    <col min="12" max="12" width="17.33203125" bestFit="1" customWidth="1"/>
    <col min="13" max="13" width="12.33203125" bestFit="1" customWidth="1"/>
    <col min="14" max="14" width="13.5" bestFit="1" customWidth="1"/>
    <col min="15" max="16" width="12.33203125" bestFit="1" customWidth="1"/>
    <col min="17" max="17" width="12.83203125" bestFit="1" customWidth="1"/>
    <col min="18" max="18" width="12.33203125" bestFit="1" customWidth="1"/>
    <col min="19" max="19" width="12.83203125" bestFit="1" customWidth="1"/>
    <col min="20" max="20" width="12.33203125" bestFit="1" customWidth="1"/>
  </cols>
  <sheetData>
    <row r="1" spans="1:16" x14ac:dyDescent="0.2">
      <c r="A1" t="e" vm="1">
        <v>#VALUE!</v>
      </c>
      <c r="B1" s="19" t="e" cm="1" vm="2">
        <f t="array" aca="1" ref="B1" ca="1">_xlfn.STOCKHISTORY(A1,"1-1-18","1-1-23",2,2,1)</f>
        <v>#VALUE!</v>
      </c>
      <c r="C1" s="19" t="e" cm="1" vm="2">
        <f t="array" aca="1" ref="C1" ca="1">_xlfn.STOCKHISTORY(A2,"1-1-18","1-1-23",2,2,1)</f>
        <v>#VALUE!</v>
      </c>
      <c r="D1" s="122" t="s">
        <v>159</v>
      </c>
      <c r="E1" s="122"/>
    </row>
    <row r="2" spans="1:16" x14ac:dyDescent="0.2">
      <c r="A2" t="e" vm="3">
        <v>#VALUE!</v>
      </c>
      <c r="B2" s="20"/>
      <c r="C2" s="20"/>
      <c r="D2" s="122"/>
      <c r="E2" s="122"/>
      <c r="G2" s="3"/>
      <c r="H2" s="3"/>
    </row>
    <row r="3" spans="1:16" x14ac:dyDescent="0.2">
      <c r="B3" s="21"/>
      <c r="C3" s="21"/>
      <c r="D3" s="20" t="s">
        <v>160</v>
      </c>
      <c r="E3" s="22" t="s">
        <v>161</v>
      </c>
      <c r="G3" s="19" t="s">
        <v>162</v>
      </c>
      <c r="H3" s="21" t="e">
        <f>AVERAGE(E4:E63)</f>
        <v>#DIV/0!</v>
      </c>
      <c r="K3" t="s">
        <v>163</v>
      </c>
    </row>
    <row r="4" spans="1:16" ht="16" thickBot="1" x14ac:dyDescent="0.25">
      <c r="B4" s="21"/>
      <c r="C4" s="21"/>
      <c r="D4" s="21" t="e">
        <f>(B4-B3)/B3</f>
        <v>#DIV/0!</v>
      </c>
      <c r="E4" s="21" t="e">
        <f>(C4-C3)/C3</f>
        <v>#DIV/0!</v>
      </c>
    </row>
    <row r="5" spans="1:16" x14ac:dyDescent="0.2">
      <c r="B5" s="21"/>
      <c r="C5" s="21"/>
      <c r="D5" s="21" t="e">
        <f t="shared" ref="D5:E63" si="0">(B5-B4)/B4</f>
        <v>#DIV/0!</v>
      </c>
      <c r="E5" s="21" t="e">
        <f t="shared" si="0"/>
        <v>#DIV/0!</v>
      </c>
      <c r="G5" s="19" t="s">
        <v>164</v>
      </c>
      <c r="H5" s="21" t="e">
        <f>H3*12</f>
        <v>#DIV/0!</v>
      </c>
      <c r="K5" s="23" t="s">
        <v>165</v>
      </c>
      <c r="L5" s="23"/>
    </row>
    <row r="6" spans="1:16" x14ac:dyDescent="0.2">
      <c r="B6" s="21"/>
      <c r="C6" s="21"/>
      <c r="D6" s="21" t="e">
        <f t="shared" si="0"/>
        <v>#DIV/0!</v>
      </c>
      <c r="E6" s="21" t="e">
        <f t="shared" si="0"/>
        <v>#DIV/0!</v>
      </c>
      <c r="K6" t="s">
        <v>166</v>
      </c>
      <c r="L6">
        <v>0.56123914281005727</v>
      </c>
    </row>
    <row r="7" spans="1:16" x14ac:dyDescent="0.2">
      <c r="B7" s="21"/>
      <c r="C7" s="21"/>
      <c r="D7" s="21" t="e">
        <f t="shared" si="0"/>
        <v>#DIV/0!</v>
      </c>
      <c r="E7" s="21" t="e">
        <f t="shared" si="0"/>
        <v>#DIV/0!</v>
      </c>
      <c r="K7" t="s">
        <v>167</v>
      </c>
      <c r="L7">
        <v>0.31498937542216787</v>
      </c>
    </row>
    <row r="8" spans="1:16" x14ac:dyDescent="0.2">
      <c r="B8" s="21"/>
      <c r="C8" s="21"/>
      <c r="D8" s="21" t="e">
        <f t="shared" si="0"/>
        <v>#DIV/0!</v>
      </c>
      <c r="E8" s="21" t="e">
        <f t="shared" si="0"/>
        <v>#DIV/0!</v>
      </c>
      <c r="G8" s="19" t="s">
        <v>168</v>
      </c>
      <c r="H8" s="21" t="e">
        <f>_xlfn.VAR.P(E4:E63)</f>
        <v>#DIV/0!</v>
      </c>
      <c r="K8" t="s">
        <v>169</v>
      </c>
      <c r="L8">
        <v>0.30317884741220524</v>
      </c>
    </row>
    <row r="9" spans="1:16" x14ac:dyDescent="0.2">
      <c r="B9" s="21"/>
      <c r="C9" s="21"/>
      <c r="D9" s="21" t="e">
        <f t="shared" si="0"/>
        <v>#DIV/0!</v>
      </c>
      <c r="E9" s="21" t="e">
        <f t="shared" si="0"/>
        <v>#DIV/0!</v>
      </c>
      <c r="K9" t="s">
        <v>170</v>
      </c>
      <c r="L9">
        <v>0.14666507263620795</v>
      </c>
    </row>
    <row r="10" spans="1:16" ht="16" thickBot="1" x14ac:dyDescent="0.25">
      <c r="B10" s="21"/>
      <c r="C10" s="21"/>
      <c r="D10" s="21" t="e">
        <f t="shared" si="0"/>
        <v>#DIV/0!</v>
      </c>
      <c r="E10" s="21" t="e">
        <f t="shared" si="0"/>
        <v>#DIV/0!</v>
      </c>
      <c r="G10" s="24" t="s">
        <v>171</v>
      </c>
      <c r="K10" s="25" t="s">
        <v>172</v>
      </c>
      <c r="L10" s="25">
        <v>60</v>
      </c>
    </row>
    <row r="11" spans="1:16" ht="16" thickBot="1" x14ac:dyDescent="0.25">
      <c r="B11" s="21"/>
      <c r="C11" s="21"/>
      <c r="D11" s="21" t="e">
        <f t="shared" si="0"/>
        <v>#DIV/0!</v>
      </c>
      <c r="E11" s="21" t="e">
        <f t="shared" si="0"/>
        <v>#DIV/0!</v>
      </c>
    </row>
    <row r="12" spans="1:16" ht="16" thickBot="1" x14ac:dyDescent="0.25">
      <c r="B12" s="21"/>
      <c r="C12" s="21"/>
      <c r="D12" s="21" t="e">
        <f t="shared" si="0"/>
        <v>#DIV/0!</v>
      </c>
      <c r="E12" s="21" t="e">
        <f t="shared" si="0"/>
        <v>#DIV/0!</v>
      </c>
      <c r="G12" s="26"/>
      <c r="H12" s="26" t="s">
        <v>160</v>
      </c>
      <c r="I12" s="26" t="s">
        <v>161</v>
      </c>
      <c r="K12" t="s">
        <v>173</v>
      </c>
    </row>
    <row r="13" spans="1:16" x14ac:dyDescent="0.2">
      <c r="B13" s="21"/>
      <c r="C13" s="21"/>
      <c r="D13" s="21" t="e">
        <f t="shared" si="0"/>
        <v>#DIV/0!</v>
      </c>
      <c r="E13" s="21" t="e">
        <f t="shared" si="0"/>
        <v>#DIV/0!</v>
      </c>
      <c r="G13" t="s">
        <v>160</v>
      </c>
      <c r="H13" t="e">
        <f>VARP('Beta Calculation'!$D$4:$D$63)</f>
        <v>#DIV/0!</v>
      </c>
      <c r="K13" s="26"/>
      <c r="L13" s="26" t="s">
        <v>174</v>
      </c>
      <c r="M13" s="26" t="s">
        <v>175</v>
      </c>
      <c r="N13" s="26" t="s">
        <v>176</v>
      </c>
      <c r="O13" s="26" t="s">
        <v>177</v>
      </c>
      <c r="P13" s="26" t="s">
        <v>178</v>
      </c>
    </row>
    <row r="14" spans="1:16" ht="16" thickBot="1" x14ac:dyDescent="0.25">
      <c r="B14" s="21"/>
      <c r="C14" s="21"/>
      <c r="D14" s="21" t="e">
        <f t="shared" si="0"/>
        <v>#DIV/0!</v>
      </c>
      <c r="E14" s="21" t="e">
        <f t="shared" si="0"/>
        <v>#DIV/0!</v>
      </c>
      <c r="G14" s="25" t="s">
        <v>161</v>
      </c>
      <c r="H14" s="25">
        <v>5.4185621368077145E-3</v>
      </c>
      <c r="I14" s="25" t="e">
        <f>VARP('Beta Calculation'!$E$4:$E$63)</f>
        <v>#DIV/0!</v>
      </c>
      <c r="K14" t="s">
        <v>179</v>
      </c>
      <c r="L14">
        <v>1</v>
      </c>
      <c r="M14">
        <v>0.57369358636329371</v>
      </c>
      <c r="N14">
        <v>0.57369358636329371</v>
      </c>
      <c r="O14">
        <v>26.670219583448134</v>
      </c>
      <c r="P14">
        <v>3.0893824426722584E-6</v>
      </c>
    </row>
    <row r="15" spans="1:16" x14ac:dyDescent="0.2">
      <c r="B15" s="21"/>
      <c r="C15" s="21"/>
      <c r="D15" s="21" t="e">
        <f t="shared" si="0"/>
        <v>#DIV/0!</v>
      </c>
      <c r="E15" s="21" t="e">
        <f t="shared" si="0"/>
        <v>#DIV/0!</v>
      </c>
      <c r="K15" t="s">
        <v>180</v>
      </c>
      <c r="L15">
        <v>58</v>
      </c>
      <c r="M15">
        <v>1.2476173248202811</v>
      </c>
      <c r="N15">
        <v>2.1510643531384158E-2</v>
      </c>
    </row>
    <row r="16" spans="1:16" ht="16" thickBot="1" x14ac:dyDescent="0.25">
      <c r="B16" s="21"/>
      <c r="C16" s="21"/>
      <c r="D16" s="21" t="e">
        <f t="shared" si="0"/>
        <v>#DIV/0!</v>
      </c>
      <c r="E16" s="21" t="e">
        <f t="shared" si="0"/>
        <v>#DIV/0!</v>
      </c>
      <c r="K16" s="25" t="s">
        <v>139</v>
      </c>
      <c r="L16" s="25">
        <v>59</v>
      </c>
      <c r="M16" s="25">
        <v>1.8213109111835748</v>
      </c>
      <c r="N16" s="25"/>
      <c r="O16" s="25"/>
      <c r="P16" s="25"/>
    </row>
    <row r="17" spans="2:20" ht="16" thickBot="1" x14ac:dyDescent="0.25">
      <c r="B17" s="21"/>
      <c r="C17" s="21"/>
      <c r="D17" s="21" t="e">
        <f t="shared" si="0"/>
        <v>#DIV/0!</v>
      </c>
      <c r="E17" s="21" t="e">
        <f t="shared" si="0"/>
        <v>#DIV/0!</v>
      </c>
      <c r="G17" s="19" t="s">
        <v>181</v>
      </c>
      <c r="H17" s="21" t="e">
        <f>H14/H8</f>
        <v>#DIV/0!</v>
      </c>
    </row>
    <row r="18" spans="2:20" x14ac:dyDescent="0.2">
      <c r="B18" s="21"/>
      <c r="C18" s="21"/>
      <c r="D18" s="21" t="e">
        <f t="shared" si="0"/>
        <v>#DIV/0!</v>
      </c>
      <c r="E18" s="21" t="e">
        <f t="shared" si="0"/>
        <v>#DIV/0!</v>
      </c>
      <c r="K18" s="26"/>
      <c r="L18" s="26" t="s">
        <v>182</v>
      </c>
      <c r="M18" s="26" t="s">
        <v>170</v>
      </c>
      <c r="N18" s="26" t="s">
        <v>183</v>
      </c>
      <c r="O18" s="26" t="s">
        <v>184</v>
      </c>
      <c r="P18" s="26" t="s">
        <v>185</v>
      </c>
      <c r="Q18" s="26" t="s">
        <v>186</v>
      </c>
      <c r="R18" s="26" t="s">
        <v>187</v>
      </c>
      <c r="S18" s="26" t="s">
        <v>188</v>
      </c>
    </row>
    <row r="19" spans="2:20" x14ac:dyDescent="0.2">
      <c r="B19" s="21"/>
      <c r="C19" s="21"/>
      <c r="D19" s="21" t="e">
        <f t="shared" si="0"/>
        <v>#DIV/0!</v>
      </c>
      <c r="E19" s="21" t="e">
        <f t="shared" si="0"/>
        <v>#DIV/0!</v>
      </c>
      <c r="K19" t="s">
        <v>189</v>
      </c>
      <c r="L19">
        <v>-1.6884876105537419E-4</v>
      </c>
      <c r="M19">
        <v>1.9209143427747356E-2</v>
      </c>
      <c r="N19">
        <v>-8.7900203197751325E-3</v>
      </c>
      <c r="O19">
        <v>0.9930168336897256</v>
      </c>
      <c r="P19">
        <v>-3.8620127015830785E-2</v>
      </c>
      <c r="Q19">
        <v>3.8282429493720044E-2</v>
      </c>
      <c r="R19">
        <v>-3.8620127015830785E-2</v>
      </c>
      <c r="S19">
        <v>3.8282429493720044E-2</v>
      </c>
      <c r="T19" s="27"/>
    </row>
    <row r="20" spans="2:20" ht="16" thickBot="1" x14ac:dyDescent="0.25">
      <c r="B20" s="21"/>
      <c r="C20" s="21"/>
      <c r="D20" s="21" t="e">
        <f t="shared" si="0"/>
        <v>#DIV/0!</v>
      </c>
      <c r="E20" s="21" t="e">
        <f t="shared" si="0"/>
        <v>#DIV/0!</v>
      </c>
      <c r="K20" s="25" t="s">
        <v>190</v>
      </c>
      <c r="L20" s="28">
        <v>1.7645935455405986</v>
      </c>
      <c r="M20" s="25">
        <v>0.34168930911181677</v>
      </c>
      <c r="N20" s="25">
        <v>5.1643217931736363</v>
      </c>
      <c r="O20" s="25">
        <v>3.0893824426722304E-6</v>
      </c>
      <c r="P20" s="25">
        <v>1.080628081345969</v>
      </c>
      <c r="Q20" s="25">
        <v>2.4485590097352281</v>
      </c>
      <c r="R20" s="25">
        <v>1.080628081345969</v>
      </c>
      <c r="S20" s="25">
        <v>2.4485590097352281</v>
      </c>
    </row>
    <row r="21" spans="2:20" x14ac:dyDescent="0.2">
      <c r="B21" s="21"/>
      <c r="C21" s="21"/>
      <c r="D21" s="21" t="e">
        <f t="shared" si="0"/>
        <v>#DIV/0!</v>
      </c>
      <c r="E21" s="21" t="e">
        <f t="shared" si="0"/>
        <v>#DIV/0!</v>
      </c>
    </row>
    <row r="22" spans="2:20" x14ac:dyDescent="0.2">
      <c r="B22" s="21"/>
      <c r="C22" s="21"/>
      <c r="D22" s="21" t="e">
        <f t="shared" si="0"/>
        <v>#DIV/0!</v>
      </c>
      <c r="E22" s="21" t="e">
        <f t="shared" si="0"/>
        <v>#DIV/0!</v>
      </c>
    </row>
    <row r="23" spans="2:20" x14ac:dyDescent="0.2">
      <c r="B23" s="21"/>
      <c r="C23" s="21"/>
      <c r="D23" s="21" t="e">
        <f t="shared" si="0"/>
        <v>#DIV/0!</v>
      </c>
      <c r="E23" s="21" t="e">
        <f t="shared" si="0"/>
        <v>#DIV/0!</v>
      </c>
    </row>
    <row r="24" spans="2:20" x14ac:dyDescent="0.2">
      <c r="B24" s="21"/>
      <c r="C24" s="21"/>
      <c r="D24" s="21" t="e">
        <f t="shared" si="0"/>
        <v>#DIV/0!</v>
      </c>
      <c r="E24" s="21" t="e">
        <f t="shared" si="0"/>
        <v>#DIV/0!</v>
      </c>
    </row>
    <row r="25" spans="2:20" x14ac:dyDescent="0.2">
      <c r="B25" s="21"/>
      <c r="C25" s="21"/>
      <c r="D25" s="21" t="e">
        <f t="shared" si="0"/>
        <v>#DIV/0!</v>
      </c>
      <c r="E25" s="21" t="e">
        <f t="shared" si="0"/>
        <v>#DIV/0!</v>
      </c>
    </row>
    <row r="26" spans="2:20" x14ac:dyDescent="0.2">
      <c r="B26" s="21"/>
      <c r="C26" s="21"/>
      <c r="D26" s="21" t="e">
        <f t="shared" si="0"/>
        <v>#DIV/0!</v>
      </c>
      <c r="E26" s="21" t="e">
        <f t="shared" si="0"/>
        <v>#DIV/0!</v>
      </c>
    </row>
    <row r="27" spans="2:20" x14ac:dyDescent="0.2">
      <c r="B27" s="21"/>
      <c r="C27" s="21"/>
      <c r="D27" s="21" t="e">
        <f t="shared" si="0"/>
        <v>#DIV/0!</v>
      </c>
      <c r="E27" s="21" t="e">
        <f t="shared" si="0"/>
        <v>#DIV/0!</v>
      </c>
    </row>
    <row r="28" spans="2:20" x14ac:dyDescent="0.2">
      <c r="B28" s="21"/>
      <c r="C28" s="21"/>
      <c r="D28" s="21" t="e">
        <f t="shared" si="0"/>
        <v>#DIV/0!</v>
      </c>
      <c r="E28" s="21" t="e">
        <f t="shared" si="0"/>
        <v>#DIV/0!</v>
      </c>
    </row>
    <row r="29" spans="2:20" x14ac:dyDescent="0.2">
      <c r="B29" s="21"/>
      <c r="C29" s="21"/>
      <c r="D29" s="21" t="e">
        <f t="shared" si="0"/>
        <v>#DIV/0!</v>
      </c>
      <c r="E29" s="21" t="e">
        <f t="shared" si="0"/>
        <v>#DIV/0!</v>
      </c>
    </row>
    <row r="30" spans="2:20" x14ac:dyDescent="0.2">
      <c r="B30" s="21"/>
      <c r="C30" s="21"/>
      <c r="D30" s="21" t="e">
        <f t="shared" si="0"/>
        <v>#DIV/0!</v>
      </c>
      <c r="E30" s="21" t="e">
        <f t="shared" si="0"/>
        <v>#DIV/0!</v>
      </c>
    </row>
    <row r="31" spans="2:20" x14ac:dyDescent="0.2">
      <c r="B31" s="21"/>
      <c r="C31" s="21"/>
      <c r="D31" s="21" t="e">
        <f t="shared" si="0"/>
        <v>#DIV/0!</v>
      </c>
      <c r="E31" s="21" t="e">
        <f t="shared" si="0"/>
        <v>#DIV/0!</v>
      </c>
    </row>
    <row r="32" spans="2:20" x14ac:dyDescent="0.2">
      <c r="B32" s="21"/>
      <c r="C32" s="21"/>
      <c r="D32" s="21" t="e">
        <f t="shared" si="0"/>
        <v>#DIV/0!</v>
      </c>
      <c r="E32" s="21" t="e">
        <f t="shared" si="0"/>
        <v>#DIV/0!</v>
      </c>
    </row>
    <row r="33" spans="2:5" x14ac:dyDescent="0.2">
      <c r="B33" s="21"/>
      <c r="C33" s="21"/>
      <c r="D33" s="21" t="e">
        <f t="shared" si="0"/>
        <v>#DIV/0!</v>
      </c>
      <c r="E33" s="21" t="e">
        <f t="shared" si="0"/>
        <v>#DIV/0!</v>
      </c>
    </row>
    <row r="34" spans="2:5" x14ac:dyDescent="0.2">
      <c r="B34" s="21"/>
      <c r="C34" s="21"/>
      <c r="D34" s="21" t="e">
        <f t="shared" si="0"/>
        <v>#DIV/0!</v>
      </c>
      <c r="E34" s="21" t="e">
        <f t="shared" si="0"/>
        <v>#DIV/0!</v>
      </c>
    </row>
    <row r="35" spans="2:5" x14ac:dyDescent="0.2">
      <c r="B35" s="21"/>
      <c r="C35" s="21"/>
      <c r="D35" s="21" t="e">
        <f t="shared" si="0"/>
        <v>#DIV/0!</v>
      </c>
      <c r="E35" s="21" t="e">
        <f t="shared" si="0"/>
        <v>#DIV/0!</v>
      </c>
    </row>
    <row r="36" spans="2:5" x14ac:dyDescent="0.2">
      <c r="B36" s="21"/>
      <c r="C36" s="21"/>
      <c r="D36" s="21" t="e">
        <f t="shared" si="0"/>
        <v>#DIV/0!</v>
      </c>
      <c r="E36" s="21" t="e">
        <f t="shared" si="0"/>
        <v>#DIV/0!</v>
      </c>
    </row>
    <row r="37" spans="2:5" x14ac:dyDescent="0.2">
      <c r="B37" s="21"/>
      <c r="C37" s="21"/>
      <c r="D37" s="21" t="e">
        <f t="shared" si="0"/>
        <v>#DIV/0!</v>
      </c>
      <c r="E37" s="21" t="e">
        <f t="shared" si="0"/>
        <v>#DIV/0!</v>
      </c>
    </row>
    <row r="38" spans="2:5" x14ac:dyDescent="0.2">
      <c r="B38" s="21"/>
      <c r="C38" s="21"/>
      <c r="D38" s="21" t="e">
        <f t="shared" si="0"/>
        <v>#DIV/0!</v>
      </c>
      <c r="E38" s="21" t="e">
        <f t="shared" si="0"/>
        <v>#DIV/0!</v>
      </c>
    </row>
    <row r="39" spans="2:5" x14ac:dyDescent="0.2">
      <c r="B39" s="21"/>
      <c r="C39" s="21"/>
      <c r="D39" s="21" t="e">
        <f t="shared" si="0"/>
        <v>#DIV/0!</v>
      </c>
      <c r="E39" s="21" t="e">
        <f t="shared" si="0"/>
        <v>#DIV/0!</v>
      </c>
    </row>
    <row r="40" spans="2:5" x14ac:dyDescent="0.2">
      <c r="B40" s="21"/>
      <c r="C40" s="21"/>
      <c r="D40" s="21" t="e">
        <f t="shared" si="0"/>
        <v>#DIV/0!</v>
      </c>
      <c r="E40" s="21" t="e">
        <f t="shared" si="0"/>
        <v>#DIV/0!</v>
      </c>
    </row>
    <row r="41" spans="2:5" x14ac:dyDescent="0.2">
      <c r="B41" s="21"/>
      <c r="C41" s="21"/>
      <c r="D41" s="21" t="e">
        <f t="shared" si="0"/>
        <v>#DIV/0!</v>
      </c>
      <c r="E41" s="21" t="e">
        <f t="shared" si="0"/>
        <v>#DIV/0!</v>
      </c>
    </row>
    <row r="42" spans="2:5" x14ac:dyDescent="0.2">
      <c r="B42" s="21"/>
      <c r="C42" s="21"/>
      <c r="D42" s="21" t="e">
        <f t="shared" si="0"/>
        <v>#DIV/0!</v>
      </c>
      <c r="E42" s="21" t="e">
        <f t="shared" si="0"/>
        <v>#DIV/0!</v>
      </c>
    </row>
    <row r="43" spans="2:5" x14ac:dyDescent="0.2">
      <c r="B43" s="21"/>
      <c r="C43" s="21"/>
      <c r="D43" s="21" t="e">
        <f t="shared" si="0"/>
        <v>#DIV/0!</v>
      </c>
      <c r="E43" s="21" t="e">
        <f t="shared" si="0"/>
        <v>#DIV/0!</v>
      </c>
    </row>
    <row r="44" spans="2:5" x14ac:dyDescent="0.2">
      <c r="B44" s="21"/>
      <c r="C44" s="21"/>
      <c r="D44" s="21" t="e">
        <f t="shared" si="0"/>
        <v>#DIV/0!</v>
      </c>
      <c r="E44" s="21" t="e">
        <f t="shared" si="0"/>
        <v>#DIV/0!</v>
      </c>
    </row>
    <row r="45" spans="2:5" x14ac:dyDescent="0.2">
      <c r="B45" s="21"/>
      <c r="C45" s="21"/>
      <c r="D45" s="21" t="e">
        <f t="shared" si="0"/>
        <v>#DIV/0!</v>
      </c>
      <c r="E45" s="21" t="e">
        <f t="shared" si="0"/>
        <v>#DIV/0!</v>
      </c>
    </row>
    <row r="46" spans="2:5" x14ac:dyDescent="0.2">
      <c r="B46" s="21"/>
      <c r="C46" s="21"/>
      <c r="D46" s="21" t="e">
        <f t="shared" si="0"/>
        <v>#DIV/0!</v>
      </c>
      <c r="E46" s="21" t="e">
        <f t="shared" si="0"/>
        <v>#DIV/0!</v>
      </c>
    </row>
    <row r="47" spans="2:5" x14ac:dyDescent="0.2">
      <c r="B47" s="21"/>
      <c r="C47" s="21"/>
      <c r="D47" s="21" t="e">
        <f t="shared" si="0"/>
        <v>#DIV/0!</v>
      </c>
      <c r="E47" s="21" t="e">
        <f t="shared" si="0"/>
        <v>#DIV/0!</v>
      </c>
    </row>
    <row r="48" spans="2:5" x14ac:dyDescent="0.2">
      <c r="B48" s="21"/>
      <c r="C48" s="21"/>
      <c r="D48" s="21" t="e">
        <f t="shared" si="0"/>
        <v>#DIV/0!</v>
      </c>
      <c r="E48" s="21" t="e">
        <f t="shared" si="0"/>
        <v>#DIV/0!</v>
      </c>
    </row>
    <row r="49" spans="2:5" x14ac:dyDescent="0.2">
      <c r="B49" s="21"/>
      <c r="C49" s="21"/>
      <c r="D49" s="21" t="e">
        <f t="shared" si="0"/>
        <v>#DIV/0!</v>
      </c>
      <c r="E49" s="21" t="e">
        <f t="shared" si="0"/>
        <v>#DIV/0!</v>
      </c>
    </row>
    <row r="50" spans="2:5" x14ac:dyDescent="0.2">
      <c r="B50" s="21"/>
      <c r="C50" s="21"/>
      <c r="D50" s="21" t="e">
        <f t="shared" si="0"/>
        <v>#DIV/0!</v>
      </c>
      <c r="E50" s="21" t="e">
        <f t="shared" si="0"/>
        <v>#DIV/0!</v>
      </c>
    </row>
    <row r="51" spans="2:5" x14ac:dyDescent="0.2">
      <c r="B51" s="21"/>
      <c r="C51" s="21"/>
      <c r="D51" s="21" t="e">
        <f t="shared" si="0"/>
        <v>#DIV/0!</v>
      </c>
      <c r="E51" s="21" t="e">
        <f t="shared" si="0"/>
        <v>#DIV/0!</v>
      </c>
    </row>
    <row r="52" spans="2:5" x14ac:dyDescent="0.2">
      <c r="B52" s="21"/>
      <c r="C52" s="21"/>
      <c r="D52" s="21" t="e">
        <f t="shared" si="0"/>
        <v>#DIV/0!</v>
      </c>
      <c r="E52" s="21" t="e">
        <f t="shared" si="0"/>
        <v>#DIV/0!</v>
      </c>
    </row>
    <row r="53" spans="2:5" x14ac:dyDescent="0.2">
      <c r="B53" s="21"/>
      <c r="C53" s="21"/>
      <c r="D53" s="21" t="e">
        <f t="shared" si="0"/>
        <v>#DIV/0!</v>
      </c>
      <c r="E53" s="21" t="e">
        <f t="shared" si="0"/>
        <v>#DIV/0!</v>
      </c>
    </row>
    <row r="54" spans="2:5" x14ac:dyDescent="0.2">
      <c r="B54" s="21"/>
      <c r="C54" s="21"/>
      <c r="D54" s="21" t="e">
        <f t="shared" si="0"/>
        <v>#DIV/0!</v>
      </c>
      <c r="E54" s="21" t="e">
        <f t="shared" si="0"/>
        <v>#DIV/0!</v>
      </c>
    </row>
    <row r="55" spans="2:5" x14ac:dyDescent="0.2">
      <c r="B55" s="21"/>
      <c r="C55" s="21"/>
      <c r="D55" s="21" t="e">
        <f t="shared" si="0"/>
        <v>#DIV/0!</v>
      </c>
      <c r="E55" s="21" t="e">
        <f t="shared" si="0"/>
        <v>#DIV/0!</v>
      </c>
    </row>
    <row r="56" spans="2:5" x14ac:dyDescent="0.2">
      <c r="B56" s="21"/>
      <c r="C56" s="21"/>
      <c r="D56" s="21" t="e">
        <f t="shared" si="0"/>
        <v>#DIV/0!</v>
      </c>
      <c r="E56" s="21" t="e">
        <f t="shared" si="0"/>
        <v>#DIV/0!</v>
      </c>
    </row>
    <row r="57" spans="2:5" x14ac:dyDescent="0.2">
      <c r="B57" s="21"/>
      <c r="C57" s="21"/>
      <c r="D57" s="21" t="e">
        <f t="shared" si="0"/>
        <v>#DIV/0!</v>
      </c>
      <c r="E57" s="21" t="e">
        <f t="shared" si="0"/>
        <v>#DIV/0!</v>
      </c>
    </row>
    <row r="58" spans="2:5" x14ac:dyDescent="0.2">
      <c r="B58" s="21"/>
      <c r="C58" s="21"/>
      <c r="D58" s="21" t="e">
        <f t="shared" si="0"/>
        <v>#DIV/0!</v>
      </c>
      <c r="E58" s="21" t="e">
        <f t="shared" si="0"/>
        <v>#DIV/0!</v>
      </c>
    </row>
    <row r="59" spans="2:5" x14ac:dyDescent="0.2">
      <c r="B59" s="21"/>
      <c r="C59" s="21"/>
      <c r="D59" s="21" t="e">
        <f t="shared" si="0"/>
        <v>#DIV/0!</v>
      </c>
      <c r="E59" s="21" t="e">
        <f t="shared" si="0"/>
        <v>#DIV/0!</v>
      </c>
    </row>
    <row r="60" spans="2:5" x14ac:dyDescent="0.2">
      <c r="B60" s="21"/>
      <c r="C60" s="21"/>
      <c r="D60" s="21" t="e">
        <f t="shared" si="0"/>
        <v>#DIV/0!</v>
      </c>
      <c r="E60" s="21" t="e">
        <f t="shared" si="0"/>
        <v>#DIV/0!</v>
      </c>
    </row>
    <row r="61" spans="2:5" x14ac:dyDescent="0.2">
      <c r="B61" s="21"/>
      <c r="C61" s="21"/>
      <c r="D61" s="21" t="e">
        <f t="shared" si="0"/>
        <v>#DIV/0!</v>
      </c>
      <c r="E61" s="21" t="e">
        <f t="shared" si="0"/>
        <v>#DIV/0!</v>
      </c>
    </row>
    <row r="62" spans="2:5" x14ac:dyDescent="0.2">
      <c r="B62" s="21"/>
      <c r="C62" s="21"/>
      <c r="D62" s="21" t="e">
        <f t="shared" si="0"/>
        <v>#DIV/0!</v>
      </c>
      <c r="E62" s="21" t="e">
        <f t="shared" si="0"/>
        <v>#DIV/0!</v>
      </c>
    </row>
    <row r="63" spans="2:5" x14ac:dyDescent="0.2">
      <c r="B63" s="21"/>
      <c r="C63" s="21"/>
      <c r="D63" s="21" t="e">
        <f t="shared" si="0"/>
        <v>#DIV/0!</v>
      </c>
      <c r="E63" s="21" t="e">
        <f t="shared" si="0"/>
        <v>#DIV/0!</v>
      </c>
    </row>
    <row r="64" spans="2:5" x14ac:dyDescent="0.2">
      <c r="E64" s="29"/>
    </row>
    <row r="65" spans="5:5" x14ac:dyDescent="0.2">
      <c r="E65" s="29"/>
    </row>
  </sheetData>
  <mergeCells count="1">
    <mergeCell ref="D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DAA9-7E9E-42E6-AD1B-B4FFDEA14F33}">
  <dimension ref="A1:Q25"/>
  <sheetViews>
    <sheetView zoomScale="158" workbookViewId="0">
      <selection activeCell="L5" sqref="L5"/>
    </sheetView>
  </sheetViews>
  <sheetFormatPr baseColWidth="10" defaultColWidth="8.83203125" defaultRowHeight="15" x14ac:dyDescent="0.2"/>
  <cols>
    <col min="1" max="1" width="25.5" bestFit="1" customWidth="1"/>
    <col min="2" max="2" width="12.5" bestFit="1" customWidth="1"/>
    <col min="5" max="5" width="22.33203125" bestFit="1" customWidth="1"/>
    <col min="6" max="6" width="12.5" bestFit="1" customWidth="1"/>
    <col min="7" max="9" width="9.1640625" bestFit="1" customWidth="1"/>
    <col min="10" max="10" width="11.5" customWidth="1"/>
    <col min="11" max="11" width="12.5" bestFit="1" customWidth="1"/>
    <col min="12" max="12" width="13.6640625" bestFit="1" customWidth="1"/>
    <col min="13" max="16" width="12.5" bestFit="1" customWidth="1"/>
  </cols>
  <sheetData>
    <row r="1" spans="1:16" x14ac:dyDescent="0.2">
      <c r="A1" s="122" t="s">
        <v>191</v>
      </c>
      <c r="B1" s="122"/>
    </row>
    <row r="2" spans="1:16" x14ac:dyDescent="0.2">
      <c r="A2" s="22" t="s">
        <v>192</v>
      </c>
      <c r="B2" s="21">
        <v>2007.76</v>
      </c>
    </row>
    <row r="3" spans="1:16" x14ac:dyDescent="0.2">
      <c r="A3" s="22" t="s">
        <v>114</v>
      </c>
      <c r="B3" s="30">
        <f>'BALANCE SHEET'!L7+'BALANCE SHEET'!L8</f>
        <v>18873</v>
      </c>
      <c r="E3" s="21"/>
      <c r="F3" s="36">
        <v>45382</v>
      </c>
      <c r="G3" s="36">
        <v>45747</v>
      </c>
      <c r="H3" s="36">
        <v>46112</v>
      </c>
      <c r="I3" s="36">
        <v>46477</v>
      </c>
      <c r="J3" s="36">
        <v>46843</v>
      </c>
      <c r="K3" s="36">
        <v>47208</v>
      </c>
      <c r="L3" s="36">
        <v>47573</v>
      </c>
    </row>
    <row r="4" spans="1:16" x14ac:dyDescent="0.2">
      <c r="A4" s="22" t="s">
        <v>191</v>
      </c>
      <c r="B4" s="31">
        <f>B2/B3</f>
        <v>0.10638266306363588</v>
      </c>
      <c r="E4" s="19" t="s">
        <v>107</v>
      </c>
      <c r="F4" s="30">
        <f>'FREE CASH FLOWS'!G6</f>
        <v>5156.2813771228493</v>
      </c>
      <c r="G4" s="30">
        <f>'FREE CASH FLOWS'!H6</f>
        <v>6170.3503795807028</v>
      </c>
      <c r="H4" s="30">
        <f>'FREE CASH FLOWS'!I6</f>
        <v>7383.8530177412822</v>
      </c>
      <c r="I4" s="30">
        <f>'FREE CASH FLOWS'!J6</f>
        <v>8836.0112527859328</v>
      </c>
      <c r="J4" s="30">
        <f>'FREE CASH FLOWS'!K6</f>
        <v>10573.760700784205</v>
      </c>
      <c r="K4" s="30">
        <f>'FREE CASH FLOWS'!L6</f>
        <v>12653.267651984635</v>
      </c>
      <c r="L4" s="30">
        <f>'FREE CASH FLOWS'!M6</f>
        <v>15141.744437330281</v>
      </c>
    </row>
    <row r="5" spans="1:16" x14ac:dyDescent="0.2">
      <c r="E5" s="19" t="s">
        <v>108</v>
      </c>
      <c r="F5" s="21"/>
      <c r="G5" s="21"/>
      <c r="H5" s="21"/>
      <c r="I5" s="21"/>
      <c r="J5" s="21"/>
      <c r="K5" s="21"/>
      <c r="L5" s="80" t="e">
        <f>'FREE CASH FLOWS'!M6*(1+B20)/('WACC APPROACH'!B19-'WACC APPROACH'!B20)</f>
        <v>#DIV/0!</v>
      </c>
    </row>
    <row r="6" spans="1:16" x14ac:dyDescent="0.2">
      <c r="A6" s="122" t="s">
        <v>112</v>
      </c>
      <c r="B6" s="122"/>
      <c r="E6" s="19" t="s">
        <v>109</v>
      </c>
      <c r="F6" s="30">
        <f>F4</f>
        <v>5156.2813771228493</v>
      </c>
      <c r="G6" s="30">
        <f t="shared" ref="G6:K6" si="0">G4</f>
        <v>6170.3503795807028</v>
      </c>
      <c r="H6" s="30">
        <f t="shared" si="0"/>
        <v>7383.8530177412822</v>
      </c>
      <c r="I6" s="30">
        <f t="shared" si="0"/>
        <v>8836.0112527859328</v>
      </c>
      <c r="J6" s="30">
        <f t="shared" si="0"/>
        <v>10573.760700784205</v>
      </c>
      <c r="K6" s="30">
        <f t="shared" si="0"/>
        <v>12653.267651984635</v>
      </c>
      <c r="L6" s="91" t="e">
        <f>SUM(L4:L5)</f>
        <v>#DIV/0!</v>
      </c>
    </row>
    <row r="7" spans="1:16" x14ac:dyDescent="0.2">
      <c r="A7" s="22" t="s">
        <v>193</v>
      </c>
      <c r="B7" s="21">
        <f>7.19%</f>
        <v>7.1900000000000006E-2</v>
      </c>
    </row>
    <row r="8" spans="1:16" x14ac:dyDescent="0.2">
      <c r="A8" s="22" t="s">
        <v>194</v>
      </c>
      <c r="B8" s="34" t="e">
        <f>'Beta Calculation'!H5</f>
        <v>#DIV/0!</v>
      </c>
      <c r="E8" s="19" t="s">
        <v>195</v>
      </c>
      <c r="F8" s="37" t="e">
        <f>NPV(B19,F6:L6)</f>
        <v>#DIV/0!</v>
      </c>
    </row>
    <row r="9" spans="1:16" x14ac:dyDescent="0.2">
      <c r="A9" s="22" t="s">
        <v>196</v>
      </c>
      <c r="B9" s="34" t="e">
        <f>B8-B7</f>
        <v>#DIV/0!</v>
      </c>
      <c r="E9" s="19" t="s">
        <v>114</v>
      </c>
      <c r="F9" s="30">
        <f>B3</f>
        <v>18873</v>
      </c>
    </row>
    <row r="10" spans="1:16" x14ac:dyDescent="0.2">
      <c r="A10" s="22" t="s">
        <v>197</v>
      </c>
      <c r="B10" s="34" t="e">
        <f>'Beta Calculation'!H17</f>
        <v>#DIV/0!</v>
      </c>
      <c r="E10" s="19" t="s">
        <v>198</v>
      </c>
      <c r="F10" s="37" t="e">
        <f>F8-F9</f>
        <v>#DIV/0!</v>
      </c>
    </row>
    <row r="11" spans="1:16" x14ac:dyDescent="0.2">
      <c r="A11" s="22" t="s">
        <v>112</v>
      </c>
      <c r="B11" s="31" t="e">
        <f>B7+B10*(B9)</f>
        <v>#DIV/0!</v>
      </c>
      <c r="E11" s="19" t="s">
        <v>199</v>
      </c>
      <c r="F11" s="30">
        <f>'Data Sheet'!B4</f>
        <v>366.47024701195215</v>
      </c>
    </row>
    <row r="12" spans="1:16" x14ac:dyDescent="0.2">
      <c r="E12" s="19" t="s">
        <v>200</v>
      </c>
      <c r="F12" s="21" t="e">
        <f>F10/F11</f>
        <v>#DIV/0!</v>
      </c>
    </row>
    <row r="13" spans="1:16" x14ac:dyDescent="0.2">
      <c r="A13" s="22" t="s">
        <v>201</v>
      </c>
      <c r="B13" s="21">
        <v>0.84</v>
      </c>
      <c r="E13" s="19" t="s">
        <v>202</v>
      </c>
      <c r="F13" s="21">
        <f>'Data Sheet'!B6</f>
        <v>627.5</v>
      </c>
    </row>
    <row r="14" spans="1:16" x14ac:dyDescent="0.2">
      <c r="A14" s="22" t="s">
        <v>203</v>
      </c>
      <c r="B14" s="32">
        <f>B13/(1+B13)</f>
        <v>0.45652173913043481</v>
      </c>
      <c r="E14" s="19" t="s">
        <v>204</v>
      </c>
      <c r="F14" s="50" t="e">
        <f>(F13-F12)/F13</f>
        <v>#DIV/0!</v>
      </c>
    </row>
    <row r="15" spans="1:16" x14ac:dyDescent="0.2">
      <c r="A15" s="22" t="s">
        <v>205</v>
      </c>
      <c r="B15" s="32">
        <f>1-B14</f>
        <v>0.54347826086956519</v>
      </c>
    </row>
    <row r="16" spans="1:16" ht="15" customHeight="1" x14ac:dyDescent="0.2">
      <c r="J16" s="123" t="s">
        <v>206</v>
      </c>
      <c r="K16" s="123"/>
      <c r="L16" s="123"/>
      <c r="M16" s="123"/>
      <c r="N16" s="123"/>
      <c r="O16" s="123"/>
      <c r="P16" s="123"/>
    </row>
    <row r="17" spans="1:17" x14ac:dyDescent="0.2">
      <c r="A17" s="22" t="s">
        <v>115</v>
      </c>
      <c r="B17" s="33">
        <v>0.3</v>
      </c>
      <c r="I17" s="63"/>
      <c r="J17" s="63"/>
      <c r="K17" s="63"/>
      <c r="L17" s="63"/>
      <c r="M17" s="63"/>
      <c r="N17" s="63"/>
      <c r="O17" s="63"/>
      <c r="P17" s="63"/>
      <c r="Q17" s="63"/>
    </row>
    <row r="18" spans="1:17" x14ac:dyDescent="0.2">
      <c r="I18" s="63"/>
      <c r="J18" s="88" t="e">
        <f>L6</f>
        <v>#DIV/0!</v>
      </c>
      <c r="K18" s="84">
        <v>0.09</v>
      </c>
      <c r="L18" s="84">
        <v>9.8000000000000004E-2</v>
      </c>
      <c r="M18" s="84">
        <v>0.105</v>
      </c>
      <c r="N18" s="84">
        <v>0.113</v>
      </c>
      <c r="O18" s="84">
        <v>0.12</v>
      </c>
      <c r="P18" s="84">
        <v>0.13</v>
      </c>
      <c r="Q18" s="63"/>
    </row>
    <row r="19" spans="1:17" x14ac:dyDescent="0.2">
      <c r="A19" s="22" t="s">
        <v>207</v>
      </c>
      <c r="B19" s="87" t="e">
        <f>B14*B4*(1-B17)+B15*B11</f>
        <v>#DIV/0!</v>
      </c>
      <c r="I19" s="63"/>
      <c r="J19" s="85">
        <v>0.04</v>
      </c>
      <c r="K19" s="89">
        <f t="dataTable" ref="K19:P24" dt2D="1" dtr="1" r1="B19" r2="B20"/>
        <v>330090.02873380017</v>
      </c>
      <c r="L19" s="89">
        <v>286648.88607221807</v>
      </c>
      <c r="M19" s="89">
        <v>257409.65543461478</v>
      </c>
      <c r="N19" s="89">
        <v>230859.7473801178</v>
      </c>
      <c r="O19" s="89">
        <v>211984.42212262395</v>
      </c>
      <c r="P19" s="89">
        <v>190113.01349092464</v>
      </c>
      <c r="Q19" s="63"/>
    </row>
    <row r="20" spans="1:17" x14ac:dyDescent="0.2">
      <c r="A20" s="22" t="s">
        <v>208</v>
      </c>
      <c r="B20" s="86">
        <v>5.5E-2</v>
      </c>
      <c r="I20" s="63"/>
      <c r="J20" s="84">
        <v>4.4999999999999998E-2</v>
      </c>
      <c r="K20" s="89">
        <v>366766.69859311124</v>
      </c>
      <c r="L20" s="89">
        <v>313691.23381488014</v>
      </c>
      <c r="M20" s="89">
        <v>278860.46005416603</v>
      </c>
      <c r="N20" s="89">
        <v>247834.72880512648</v>
      </c>
      <c r="O20" s="89">
        <v>226116.71693079887</v>
      </c>
      <c r="P20" s="89">
        <v>201296.13193156724</v>
      </c>
      <c r="Q20" s="63"/>
    </row>
    <row r="21" spans="1:17" x14ac:dyDescent="0.2">
      <c r="I21" s="63"/>
      <c r="J21" s="85">
        <v>0.05</v>
      </c>
      <c r="K21" s="89">
        <v>412612.53591725026</v>
      </c>
      <c r="L21" s="89">
        <v>346367.40400393022</v>
      </c>
      <c r="M21" s="89">
        <v>304211.41096818115</v>
      </c>
      <c r="N21" s="89">
        <v>267504.15172616829</v>
      </c>
      <c r="O21" s="89">
        <v>242267.91099728455</v>
      </c>
      <c r="P21" s="89">
        <v>213877.14017729022</v>
      </c>
      <c r="Q21" s="63"/>
    </row>
    <row r="22" spans="1:17" x14ac:dyDescent="0.2">
      <c r="I22" s="63"/>
      <c r="J22" s="84">
        <v>5.5E-2</v>
      </c>
      <c r="K22" s="89">
        <v>471557.1839054288</v>
      </c>
      <c r="L22" s="89">
        <v>386642.68353927083</v>
      </c>
      <c r="M22" s="89">
        <v>334632.55206499924</v>
      </c>
      <c r="N22" s="90">
        <v>290564.85446118278</v>
      </c>
      <c r="O22" s="89">
        <v>260903.90415092173</v>
      </c>
      <c r="P22" s="89">
        <v>228135.61618910954</v>
      </c>
      <c r="Q22" s="63"/>
    </row>
    <row r="23" spans="1:17" x14ac:dyDescent="0.2">
      <c r="I23" s="63"/>
      <c r="J23" s="85">
        <v>0.06</v>
      </c>
      <c r="K23" s="89">
        <v>550150.04788966698</v>
      </c>
      <c r="L23" s="89">
        <v>437516.72084706964</v>
      </c>
      <c r="M23" s="89">
        <v>371813.94673888804</v>
      </c>
      <c r="N23" s="89">
        <v>317976.63318393589</v>
      </c>
      <c r="O23" s="89">
        <v>282645.89616349863</v>
      </c>
      <c r="P23" s="89">
        <v>244431.01734547454</v>
      </c>
      <c r="Q23" s="63"/>
    </row>
    <row r="24" spans="1:17" x14ac:dyDescent="0.2">
      <c r="I24" s="63"/>
      <c r="J24" s="85">
        <v>7.0000000000000007E-2</v>
      </c>
      <c r="K24" s="89">
        <v>825225.07183450076</v>
      </c>
      <c r="L24" s="89">
        <v>593772.69257816614</v>
      </c>
      <c r="M24" s="89">
        <v>478046.50294999906</v>
      </c>
      <c r="N24" s="89">
        <v>391924.68741275824</v>
      </c>
      <c r="O24" s="89">
        <v>339175.07539619837</v>
      </c>
      <c r="P24" s="89">
        <v>285169.52023638698</v>
      </c>
      <c r="Q24" s="63"/>
    </row>
    <row r="25" spans="1:17" x14ac:dyDescent="0.2">
      <c r="I25" s="63"/>
      <c r="J25" s="63"/>
      <c r="K25" s="63"/>
      <c r="L25" s="63"/>
      <c r="M25" s="63"/>
      <c r="N25" s="63"/>
      <c r="O25" s="63"/>
      <c r="P25" s="63"/>
      <c r="Q25" s="63"/>
    </row>
  </sheetData>
  <mergeCells count="3">
    <mergeCell ref="A1:B1"/>
    <mergeCell ref="A6:B6"/>
    <mergeCell ref="J16:P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4020-EDF7-4ABD-BEE6-A14043D93321}">
  <dimension ref="A1:K59"/>
  <sheetViews>
    <sheetView topLeftCell="A10" zoomScale="125" workbookViewId="0">
      <selection activeCell="K1" sqref="K1"/>
    </sheetView>
  </sheetViews>
  <sheetFormatPr baseColWidth="10" defaultColWidth="8.83203125" defaultRowHeight="15" x14ac:dyDescent="0.2"/>
  <cols>
    <col min="1" max="1" width="25.5" bestFit="1" customWidth="1"/>
    <col min="2" max="8" width="12.5" bestFit="1" customWidth="1"/>
    <col min="10" max="10" width="13.5" bestFit="1" customWidth="1"/>
    <col min="11" max="11" width="12.1640625" customWidth="1"/>
  </cols>
  <sheetData>
    <row r="1" spans="1:11" x14ac:dyDescent="0.2">
      <c r="A1" s="19"/>
      <c r="B1" s="51">
        <v>45382</v>
      </c>
      <c r="C1" s="51">
        <v>45747</v>
      </c>
      <c r="D1" s="51">
        <v>46112</v>
      </c>
      <c r="E1" s="51">
        <v>46477</v>
      </c>
      <c r="F1" s="51">
        <v>46843</v>
      </c>
      <c r="G1" s="51">
        <v>47208</v>
      </c>
      <c r="H1" s="51">
        <v>47573</v>
      </c>
      <c r="J1" s="19" t="s">
        <v>207</v>
      </c>
      <c r="K1" s="71" t="e">
        <f>'WACC APPROACH'!B19</f>
        <v>#DIV/0!</v>
      </c>
    </row>
    <row r="2" spans="1:11" x14ac:dyDescent="0.2">
      <c r="A2" s="19" t="s">
        <v>107</v>
      </c>
      <c r="B2" s="30">
        <v>5156.0171270964402</v>
      </c>
      <c r="C2" s="30">
        <v>6169.7179573558315</v>
      </c>
      <c r="D2" s="30">
        <v>7382.7178488747923</v>
      </c>
      <c r="E2" s="30">
        <v>8834.2000741073662</v>
      </c>
      <c r="F2" s="30">
        <v>10571.051548618132</v>
      </c>
      <c r="G2" s="30">
        <v>12649.377408948152</v>
      </c>
      <c r="H2" s="30">
        <v>15136.313364674137</v>
      </c>
      <c r="J2" s="19" t="s">
        <v>209</v>
      </c>
      <c r="K2" s="50" t="e">
        <f>'WACC APPROACH'!B11*'WACC APPROACH'!B15+'WACC APPROACH'!B4*'WACC APPROACH'!B14</f>
        <v>#DIV/0!</v>
      </c>
    </row>
    <row r="3" spans="1:11" x14ac:dyDescent="0.2">
      <c r="A3" s="19" t="s">
        <v>108</v>
      </c>
      <c r="B3" s="21"/>
      <c r="C3" s="21"/>
      <c r="D3" s="21"/>
      <c r="E3" s="21"/>
      <c r="F3" s="21"/>
      <c r="G3" s="21"/>
      <c r="H3" s="30">
        <v>278014.59396359685</v>
      </c>
    </row>
    <row r="4" spans="1:11" x14ac:dyDescent="0.2">
      <c r="A4" s="19" t="s">
        <v>109</v>
      </c>
      <c r="B4" s="30">
        <f>SUM(B2:B3)</f>
        <v>5156.0171270964402</v>
      </c>
      <c r="C4" s="30">
        <f t="shared" ref="C4:H4" si="0">SUM(C2:C3)</f>
        <v>6169.7179573558315</v>
      </c>
      <c r="D4" s="30">
        <f t="shared" si="0"/>
        <v>7382.7178488747923</v>
      </c>
      <c r="E4" s="30">
        <f t="shared" si="0"/>
        <v>8834.2000741073662</v>
      </c>
      <c r="F4" s="30">
        <f t="shared" si="0"/>
        <v>10571.051548618132</v>
      </c>
      <c r="G4" s="30">
        <f t="shared" si="0"/>
        <v>12649.377408948152</v>
      </c>
      <c r="H4" s="30">
        <f t="shared" si="0"/>
        <v>293150.90732827102</v>
      </c>
    </row>
    <row r="5" spans="1:11" x14ac:dyDescent="0.2">
      <c r="A5" s="19" t="s">
        <v>210</v>
      </c>
      <c r="B5" s="37" t="e">
        <f>NPV(K1,B4:H4)</f>
        <v>#DIV/0!</v>
      </c>
    </row>
    <row r="7" spans="1:11" x14ac:dyDescent="0.2">
      <c r="A7" s="19"/>
      <c r="B7" s="51">
        <v>45747</v>
      </c>
      <c r="C7" s="51">
        <v>46112</v>
      </c>
      <c r="D7" s="51">
        <v>46477</v>
      </c>
      <c r="E7" s="51">
        <v>46843</v>
      </c>
      <c r="F7" s="51">
        <v>47208</v>
      </c>
      <c r="G7" s="51">
        <v>47573</v>
      </c>
    </row>
    <row r="8" spans="1:11" x14ac:dyDescent="0.2">
      <c r="A8" s="19" t="s">
        <v>107</v>
      </c>
      <c r="B8" s="30">
        <v>6169.7179573558315</v>
      </c>
      <c r="C8" s="30">
        <v>7382.7178488747923</v>
      </c>
      <c r="D8" s="30">
        <v>8834.2000741073662</v>
      </c>
      <c r="E8" s="30">
        <v>10571.051548618132</v>
      </c>
      <c r="F8" s="30">
        <v>12649.377408948152</v>
      </c>
      <c r="G8" s="30">
        <v>15136.313364674137</v>
      </c>
    </row>
    <row r="9" spans="1:11" x14ac:dyDescent="0.2">
      <c r="A9" s="19" t="s">
        <v>108</v>
      </c>
      <c r="B9" s="21"/>
      <c r="C9" s="21"/>
      <c r="D9" s="21"/>
      <c r="E9" s="21"/>
      <c r="F9" s="21"/>
      <c r="G9" s="30">
        <v>278014.59396359685</v>
      </c>
    </row>
    <row r="10" spans="1:11" x14ac:dyDescent="0.2">
      <c r="A10" s="19" t="s">
        <v>109</v>
      </c>
      <c r="B10" s="30">
        <f>SUM(B8:B9)</f>
        <v>6169.7179573558315</v>
      </c>
      <c r="C10" s="30">
        <f t="shared" ref="C10:G10" si="1">SUM(C8:C9)</f>
        <v>7382.7178488747923</v>
      </c>
      <c r="D10" s="30">
        <f t="shared" si="1"/>
        <v>8834.2000741073662</v>
      </c>
      <c r="E10" s="30">
        <f t="shared" si="1"/>
        <v>10571.051548618132</v>
      </c>
      <c r="F10" s="30">
        <f t="shared" si="1"/>
        <v>12649.377408948152</v>
      </c>
      <c r="G10" s="30">
        <f t="shared" si="1"/>
        <v>293150.90732827102</v>
      </c>
    </row>
    <row r="11" spans="1:11" x14ac:dyDescent="0.2">
      <c r="A11" s="19" t="s">
        <v>210</v>
      </c>
      <c r="B11" s="37" t="e">
        <f>NPV(K1,B10:G10)</f>
        <v>#DIV/0!</v>
      </c>
    </row>
    <row r="13" spans="1:11" x14ac:dyDescent="0.2">
      <c r="A13" s="19"/>
      <c r="B13" s="51">
        <v>46112</v>
      </c>
      <c r="C13" s="51">
        <v>46477</v>
      </c>
      <c r="D13" s="51">
        <v>46843</v>
      </c>
      <c r="E13" s="51">
        <v>47208</v>
      </c>
      <c r="F13" s="51">
        <v>47573</v>
      </c>
    </row>
    <row r="14" spans="1:11" x14ac:dyDescent="0.2">
      <c r="A14" s="19" t="s">
        <v>107</v>
      </c>
      <c r="B14" s="30">
        <v>7382.7178488747923</v>
      </c>
      <c r="C14" s="30">
        <v>8834.2000741073662</v>
      </c>
      <c r="D14" s="30">
        <v>10571.051548618132</v>
      </c>
      <c r="E14" s="30">
        <v>12649.377408948152</v>
      </c>
      <c r="F14" s="30">
        <v>15136.313364674137</v>
      </c>
    </row>
    <row r="15" spans="1:11" x14ac:dyDescent="0.2">
      <c r="A15" s="19" t="s">
        <v>108</v>
      </c>
      <c r="B15" s="21"/>
      <c r="C15" s="21"/>
      <c r="D15" s="21"/>
      <c r="E15" s="21"/>
      <c r="F15" s="30">
        <v>278014.59396359685</v>
      </c>
    </row>
    <row r="16" spans="1:11" x14ac:dyDescent="0.2">
      <c r="A16" s="19" t="s">
        <v>109</v>
      </c>
      <c r="B16" s="30">
        <f>SUM(B14:B15)</f>
        <v>7382.7178488747923</v>
      </c>
      <c r="C16" s="30">
        <f t="shared" ref="C16:F16" si="2">SUM(C14:C15)</f>
        <v>8834.2000741073662</v>
      </c>
      <c r="D16" s="30">
        <f t="shared" si="2"/>
        <v>10571.051548618132</v>
      </c>
      <c r="E16" s="30">
        <f t="shared" si="2"/>
        <v>12649.377408948152</v>
      </c>
      <c r="F16" s="30">
        <f t="shared" si="2"/>
        <v>293150.90732827102</v>
      </c>
    </row>
    <row r="17" spans="1:5" x14ac:dyDescent="0.2">
      <c r="A17" s="19" t="s">
        <v>210</v>
      </c>
      <c r="B17" s="35" t="e">
        <f>NPV(K1,B16:F16)</f>
        <v>#DIV/0!</v>
      </c>
    </row>
    <row r="19" spans="1:5" x14ac:dyDescent="0.2">
      <c r="A19" s="19"/>
      <c r="B19" s="51">
        <v>46477</v>
      </c>
      <c r="C19" s="51">
        <v>46843</v>
      </c>
      <c r="D19" s="51">
        <v>47208</v>
      </c>
      <c r="E19" s="51">
        <v>47573</v>
      </c>
    </row>
    <row r="20" spans="1:5" x14ac:dyDescent="0.2">
      <c r="A20" s="19" t="s">
        <v>107</v>
      </c>
      <c r="B20" s="30">
        <v>8834.2000741073662</v>
      </c>
      <c r="C20" s="30">
        <v>10571.051548618132</v>
      </c>
      <c r="D20" s="30">
        <v>12649.377408948152</v>
      </c>
      <c r="E20" s="30">
        <v>15136.313364674137</v>
      </c>
    </row>
    <row r="21" spans="1:5" x14ac:dyDescent="0.2">
      <c r="A21" s="19" t="s">
        <v>108</v>
      </c>
      <c r="B21" s="21"/>
      <c r="C21" s="21"/>
      <c r="D21" s="21"/>
      <c r="E21" s="30">
        <v>278014.59396359685</v>
      </c>
    </row>
    <row r="22" spans="1:5" x14ac:dyDescent="0.2">
      <c r="A22" s="19" t="s">
        <v>109</v>
      </c>
      <c r="B22" s="30">
        <f>SUM(B20:B21)</f>
        <v>8834.2000741073662</v>
      </c>
      <c r="C22" s="30">
        <f t="shared" ref="C22:E22" si="3">SUM(C20:C21)</f>
        <v>10571.051548618132</v>
      </c>
      <c r="D22" s="30">
        <f t="shared" si="3"/>
        <v>12649.377408948152</v>
      </c>
      <c r="E22" s="30">
        <f t="shared" si="3"/>
        <v>293150.90732827102</v>
      </c>
    </row>
    <row r="23" spans="1:5" x14ac:dyDescent="0.2">
      <c r="A23" s="19" t="s">
        <v>210</v>
      </c>
      <c r="B23" s="35" t="e">
        <f>NPV(K1,B22:E22)</f>
        <v>#DIV/0!</v>
      </c>
    </row>
    <row r="25" spans="1:5" x14ac:dyDescent="0.2">
      <c r="A25" s="19"/>
      <c r="B25" s="51">
        <v>46843</v>
      </c>
      <c r="C25" s="51">
        <v>47208</v>
      </c>
      <c r="D25" s="51">
        <v>47573</v>
      </c>
    </row>
    <row r="26" spans="1:5" x14ac:dyDescent="0.2">
      <c r="A26" s="19" t="s">
        <v>107</v>
      </c>
      <c r="B26" s="30">
        <v>10571.051548618132</v>
      </c>
      <c r="C26" s="30">
        <v>12649.377408948152</v>
      </c>
      <c r="D26" s="30">
        <v>15136.313364674137</v>
      </c>
    </row>
    <row r="27" spans="1:5" x14ac:dyDescent="0.2">
      <c r="A27" s="19" t="s">
        <v>108</v>
      </c>
      <c r="B27" s="21"/>
      <c r="C27" s="21"/>
      <c r="D27" s="30">
        <v>278014.59396359685</v>
      </c>
    </row>
    <row r="28" spans="1:5" x14ac:dyDescent="0.2">
      <c r="A28" s="19" t="s">
        <v>109</v>
      </c>
      <c r="B28" s="30">
        <f>SUM(B26:B27)</f>
        <v>10571.051548618132</v>
      </c>
      <c r="C28" s="30">
        <f t="shared" ref="C28:D28" si="4">SUM(C26:C27)</f>
        <v>12649.377408948152</v>
      </c>
      <c r="D28" s="30">
        <f t="shared" si="4"/>
        <v>293150.90732827102</v>
      </c>
    </row>
    <row r="29" spans="1:5" x14ac:dyDescent="0.2">
      <c r="A29" s="19" t="s">
        <v>210</v>
      </c>
      <c r="B29" s="35" t="e">
        <f>NPV(K1,B28:D28)</f>
        <v>#DIV/0!</v>
      </c>
    </row>
    <row r="31" spans="1:5" x14ac:dyDescent="0.2">
      <c r="A31" s="19"/>
      <c r="B31" s="51">
        <v>47208</v>
      </c>
      <c r="C31" s="51">
        <v>47573</v>
      </c>
    </row>
    <row r="32" spans="1:5" x14ac:dyDescent="0.2">
      <c r="A32" s="19" t="s">
        <v>107</v>
      </c>
      <c r="B32" s="30">
        <v>12649.377408948152</v>
      </c>
      <c r="C32" s="30">
        <v>15136.313364674137</v>
      </c>
    </row>
    <row r="33" spans="1:8" x14ac:dyDescent="0.2">
      <c r="A33" s="19" t="s">
        <v>108</v>
      </c>
      <c r="B33" s="21"/>
      <c r="C33" s="30">
        <v>278014.59396359685</v>
      </c>
    </row>
    <row r="34" spans="1:8" x14ac:dyDescent="0.2">
      <c r="A34" s="19" t="s">
        <v>109</v>
      </c>
      <c r="B34" s="30">
        <f>SUM(B32:B33)</f>
        <v>12649.377408948152</v>
      </c>
      <c r="C34" s="30">
        <f>SUM(C32:C33)</f>
        <v>293150.90732827102</v>
      </c>
    </row>
    <row r="35" spans="1:8" x14ac:dyDescent="0.2">
      <c r="A35" s="19" t="s">
        <v>210</v>
      </c>
      <c r="B35" s="35" t="e">
        <f>NPV(K1,B34:C34)</f>
        <v>#DIV/0!</v>
      </c>
    </row>
    <row r="37" spans="1:8" x14ac:dyDescent="0.2">
      <c r="A37" s="19"/>
      <c r="B37" s="51">
        <v>47573</v>
      </c>
    </row>
    <row r="38" spans="1:8" x14ac:dyDescent="0.2">
      <c r="A38" s="19" t="s">
        <v>107</v>
      </c>
      <c r="B38" s="30">
        <v>15136.313364674137</v>
      </c>
    </row>
    <row r="39" spans="1:8" x14ac:dyDescent="0.2">
      <c r="A39" s="19" t="s">
        <v>108</v>
      </c>
      <c r="B39" s="30">
        <v>278014.59396359685</v>
      </c>
    </row>
    <row r="40" spans="1:8" x14ac:dyDescent="0.2">
      <c r="A40" s="19" t="s">
        <v>109</v>
      </c>
      <c r="B40" s="30">
        <f>SUM(B38:B39)</f>
        <v>293150.90732827102</v>
      </c>
    </row>
    <row r="41" spans="1:8" x14ac:dyDescent="0.2">
      <c r="A41" s="19" t="s">
        <v>210</v>
      </c>
      <c r="B41" s="35" t="e">
        <f>NPV(K1,B40)</f>
        <v>#DIV/0!</v>
      </c>
    </row>
    <row r="43" spans="1:8" x14ac:dyDescent="0.2">
      <c r="B43" s="51">
        <v>45382</v>
      </c>
      <c r="C43" s="51">
        <v>45747</v>
      </c>
      <c r="D43" s="51">
        <v>46112</v>
      </c>
      <c r="E43" s="51">
        <v>46477</v>
      </c>
      <c r="F43" s="51">
        <v>46843</v>
      </c>
      <c r="G43" s="51">
        <v>47208</v>
      </c>
      <c r="H43" s="51">
        <v>47573</v>
      </c>
    </row>
    <row r="44" spans="1:8" x14ac:dyDescent="0.2">
      <c r="A44" s="24" t="s">
        <v>210</v>
      </c>
      <c r="B44" s="37" t="e">
        <f>B5</f>
        <v>#DIV/0!</v>
      </c>
      <c r="C44" s="37" t="e">
        <f>B11</f>
        <v>#DIV/0!</v>
      </c>
      <c r="D44" s="37" t="e">
        <f>B17</f>
        <v>#DIV/0!</v>
      </c>
      <c r="E44" s="37" t="e">
        <f>B23</f>
        <v>#DIV/0!</v>
      </c>
      <c r="F44" s="37" t="e">
        <f>B29</f>
        <v>#DIV/0!</v>
      </c>
      <c r="G44" s="37" t="e">
        <f>B35</f>
        <v>#DIV/0!</v>
      </c>
      <c r="H44" s="37" t="e">
        <f>B41</f>
        <v>#DIV/0!</v>
      </c>
    </row>
    <row r="45" spans="1:8" x14ac:dyDescent="0.2">
      <c r="A45" s="24" t="s">
        <v>203</v>
      </c>
      <c r="B45" s="32">
        <f>'WACC APPROACH'!$B$14</f>
        <v>0.45652173913043481</v>
      </c>
      <c r="C45" s="32">
        <f>'WACC APPROACH'!$B$14</f>
        <v>0.45652173913043481</v>
      </c>
      <c r="D45" s="32">
        <f>'WACC APPROACH'!$B$14</f>
        <v>0.45652173913043481</v>
      </c>
      <c r="E45" s="32">
        <f>'WACC APPROACH'!$B$14</f>
        <v>0.45652173913043481</v>
      </c>
      <c r="F45" s="32">
        <f>'WACC APPROACH'!$B$14</f>
        <v>0.45652173913043481</v>
      </c>
      <c r="G45" s="32">
        <f>'WACC APPROACH'!$B$14</f>
        <v>0.45652173913043481</v>
      </c>
      <c r="H45" s="32">
        <f>'WACC APPROACH'!$B$14</f>
        <v>0.45652173913043481</v>
      </c>
    </row>
    <row r="46" spans="1:8" x14ac:dyDescent="0.2">
      <c r="A46" s="24" t="s">
        <v>211</v>
      </c>
      <c r="B46" s="37" t="e">
        <f>B45*B44</f>
        <v>#DIV/0!</v>
      </c>
      <c r="C46" s="37" t="e">
        <f t="shared" ref="C46:H46" si="5">C45*C44</f>
        <v>#DIV/0!</v>
      </c>
      <c r="D46" s="37" t="e">
        <f t="shared" si="5"/>
        <v>#DIV/0!</v>
      </c>
      <c r="E46" s="37" t="e">
        <f t="shared" si="5"/>
        <v>#DIV/0!</v>
      </c>
      <c r="F46" s="37" t="e">
        <f t="shared" si="5"/>
        <v>#DIV/0!</v>
      </c>
      <c r="G46" s="37" t="e">
        <f t="shared" si="5"/>
        <v>#DIV/0!</v>
      </c>
      <c r="H46" s="37" t="e">
        <f t="shared" si="5"/>
        <v>#DIV/0!</v>
      </c>
    </row>
    <row r="47" spans="1:8" x14ac:dyDescent="0.2">
      <c r="A47" s="24" t="s">
        <v>73</v>
      </c>
      <c r="B47" s="37" t="e">
        <f>B46*'WACC APPROACH'!$B$4</f>
        <v>#DIV/0!</v>
      </c>
      <c r="C47" s="37" t="e">
        <f>C46*'WACC APPROACH'!$B$4</f>
        <v>#DIV/0!</v>
      </c>
      <c r="D47" s="37" t="e">
        <f>D46*'WACC APPROACH'!$B$4</f>
        <v>#DIV/0!</v>
      </c>
      <c r="E47" s="37" t="e">
        <f>E46*'WACC APPROACH'!$B$4</f>
        <v>#DIV/0!</v>
      </c>
      <c r="F47" s="37" t="e">
        <f>F46*'WACC APPROACH'!$B$4</f>
        <v>#DIV/0!</v>
      </c>
      <c r="G47" s="37" t="e">
        <f>G46*'WACC APPROACH'!$B$4</f>
        <v>#DIV/0!</v>
      </c>
      <c r="H47" s="37" t="e">
        <f>H46*'WACC APPROACH'!$B$4</f>
        <v>#DIV/0!</v>
      </c>
    </row>
    <row r="48" spans="1:8" x14ac:dyDescent="0.2">
      <c r="A48" s="24" t="s">
        <v>212</v>
      </c>
      <c r="B48" s="37" t="e">
        <f>B47*0.3</f>
        <v>#DIV/0!</v>
      </c>
      <c r="C48" s="37" t="e">
        <f t="shared" ref="C48:H48" si="6">C47*0.3</f>
        <v>#DIV/0!</v>
      </c>
      <c r="D48" s="37" t="e">
        <f t="shared" si="6"/>
        <v>#DIV/0!</v>
      </c>
      <c r="E48" s="37" t="e">
        <f t="shared" si="6"/>
        <v>#DIV/0!</v>
      </c>
      <c r="F48" s="37" t="e">
        <f t="shared" si="6"/>
        <v>#DIV/0!</v>
      </c>
      <c r="G48" s="37" t="e">
        <f t="shared" si="6"/>
        <v>#DIV/0!</v>
      </c>
      <c r="H48" s="37" t="e">
        <f t="shared" si="6"/>
        <v>#DIV/0!</v>
      </c>
    </row>
    <row r="49" spans="1:8" x14ac:dyDescent="0.2">
      <c r="A49" s="24"/>
      <c r="B49" s="35"/>
      <c r="C49" s="35"/>
      <c r="D49" s="35"/>
      <c r="E49" s="35"/>
      <c r="F49" s="35"/>
      <c r="G49" s="35"/>
      <c r="H49" s="35"/>
    </row>
    <row r="51" spans="1:8" x14ac:dyDescent="0.2">
      <c r="B51" s="51">
        <v>45382</v>
      </c>
      <c r="C51" s="51">
        <v>45747</v>
      </c>
      <c r="D51" s="51">
        <v>46112</v>
      </c>
      <c r="E51" s="51">
        <v>46477</v>
      </c>
      <c r="F51" s="51">
        <v>46843</v>
      </c>
      <c r="G51" s="51">
        <v>47208</v>
      </c>
      <c r="H51" s="51">
        <v>47573</v>
      </c>
    </row>
    <row r="52" spans="1:8" x14ac:dyDescent="0.2">
      <c r="A52" s="24" t="s">
        <v>107</v>
      </c>
      <c r="B52" s="30">
        <v>5156.0171270964402</v>
      </c>
      <c r="C52" s="30">
        <v>6169.7179573558315</v>
      </c>
      <c r="D52" s="30">
        <v>7382.7178488747923</v>
      </c>
      <c r="E52" s="30">
        <v>8834.2000741073662</v>
      </c>
      <c r="F52" s="30">
        <v>10571.051548618132</v>
      </c>
      <c r="G52" s="30">
        <v>12649.377408948152</v>
      </c>
      <c r="H52" s="30">
        <v>15136.313364674137</v>
      </c>
    </row>
    <row r="53" spans="1:8" x14ac:dyDescent="0.2">
      <c r="A53" s="24" t="s">
        <v>212</v>
      </c>
      <c r="B53" s="37" t="e">
        <f>B48</f>
        <v>#DIV/0!</v>
      </c>
      <c r="C53" s="37" t="e">
        <f t="shared" ref="C53:H53" si="7">C48</f>
        <v>#DIV/0!</v>
      </c>
      <c r="D53" s="37" t="e">
        <f t="shared" si="7"/>
        <v>#DIV/0!</v>
      </c>
      <c r="E53" s="37" t="e">
        <f t="shared" si="7"/>
        <v>#DIV/0!</v>
      </c>
      <c r="F53" s="37" t="e">
        <f t="shared" si="7"/>
        <v>#DIV/0!</v>
      </c>
      <c r="G53" s="37" t="e">
        <f t="shared" si="7"/>
        <v>#DIV/0!</v>
      </c>
      <c r="H53" s="37" t="e">
        <f t="shared" si="7"/>
        <v>#DIV/0!</v>
      </c>
    </row>
    <row r="54" spans="1:8" x14ac:dyDescent="0.2">
      <c r="A54" s="24" t="s">
        <v>213</v>
      </c>
      <c r="B54" s="30" t="e">
        <f>SUM(B52:B53)</f>
        <v>#DIV/0!</v>
      </c>
      <c r="C54" s="30" t="e">
        <f t="shared" ref="C54:H54" si="8">SUM(C52:C53)</f>
        <v>#DIV/0!</v>
      </c>
      <c r="D54" s="30" t="e">
        <f t="shared" si="8"/>
        <v>#DIV/0!</v>
      </c>
      <c r="E54" s="30" t="e">
        <f t="shared" si="8"/>
        <v>#DIV/0!</v>
      </c>
      <c r="F54" s="30" t="e">
        <f t="shared" si="8"/>
        <v>#DIV/0!</v>
      </c>
      <c r="G54" s="30" t="e">
        <f t="shared" si="8"/>
        <v>#DIV/0!</v>
      </c>
      <c r="H54" s="30" t="e">
        <f t="shared" si="8"/>
        <v>#DIV/0!</v>
      </c>
    </row>
    <row r="55" spans="1:8" x14ac:dyDescent="0.2">
      <c r="A55" s="24" t="s">
        <v>108</v>
      </c>
      <c r="B55" s="37"/>
      <c r="C55" s="21"/>
      <c r="D55" s="21"/>
      <c r="E55" s="21"/>
      <c r="F55" s="21"/>
      <c r="G55" s="21"/>
      <c r="H55" s="30" t="e">
        <f>H54*(1+'WACC APPROACH'!B20)/('CAPITAL CASH FLOW'!K2-'WACC APPROACH'!B20)</f>
        <v>#DIV/0!</v>
      </c>
    </row>
    <row r="56" spans="1:8" x14ac:dyDescent="0.2">
      <c r="A56" s="24" t="s">
        <v>214</v>
      </c>
      <c r="B56" s="30" t="e">
        <f>SUM(B54:B55)</f>
        <v>#DIV/0!</v>
      </c>
      <c r="C56" s="30" t="e">
        <f t="shared" ref="C56:H56" si="9">SUM(C54:C55)</f>
        <v>#DIV/0!</v>
      </c>
      <c r="D56" s="30" t="e">
        <f t="shared" si="9"/>
        <v>#DIV/0!</v>
      </c>
      <c r="E56" s="30" t="e">
        <f t="shared" si="9"/>
        <v>#DIV/0!</v>
      </c>
      <c r="F56" s="30" t="e">
        <f t="shared" si="9"/>
        <v>#DIV/0!</v>
      </c>
      <c r="G56" s="30" t="e">
        <f t="shared" si="9"/>
        <v>#DIV/0!</v>
      </c>
      <c r="H56" s="30" t="e">
        <f t="shared" si="9"/>
        <v>#DIV/0!</v>
      </c>
    </row>
    <row r="59" spans="1:8" x14ac:dyDescent="0.2">
      <c r="A59" s="19" t="s">
        <v>195</v>
      </c>
      <c r="B59" s="37" t="e">
        <f>NPV(K2,B56:H56)</f>
        <v>#DIV/0!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89A37-C27C-42B7-9F16-FD6A378EEFAE}">
  <dimension ref="A1:P21"/>
  <sheetViews>
    <sheetView topLeftCell="G1" zoomScale="162" workbookViewId="0">
      <selection sqref="A1:P2"/>
    </sheetView>
  </sheetViews>
  <sheetFormatPr baseColWidth="10" defaultColWidth="8.6640625" defaultRowHeight="15" x14ac:dyDescent="0.2"/>
  <cols>
    <col min="1" max="1" width="27.5" style="38" bestFit="1" customWidth="1"/>
    <col min="2" max="2" width="16.5" style="38" bestFit="1" customWidth="1"/>
    <col min="3" max="3" width="15.83203125" style="38" bestFit="1" customWidth="1"/>
    <col min="4" max="4" width="13.5" style="38" customWidth="1"/>
    <col min="5" max="5" width="10.6640625" style="38" customWidth="1"/>
    <col min="6" max="6" width="9.33203125" style="38" bestFit="1" customWidth="1"/>
    <col min="7" max="7" width="10.5" style="38" bestFit="1" customWidth="1"/>
    <col min="8" max="9" width="15.33203125" style="38" customWidth="1"/>
    <col min="10" max="10" width="17" style="38" bestFit="1" customWidth="1"/>
    <col min="11" max="11" width="13.1640625" style="38" bestFit="1" customWidth="1"/>
    <col min="12" max="12" width="9.33203125" style="38" bestFit="1" customWidth="1"/>
    <col min="13" max="13" width="11.5" style="38" customWidth="1"/>
    <col min="14" max="14" width="12.83203125" style="38" customWidth="1"/>
    <col min="15" max="15" width="8.83203125" style="38" bestFit="1" customWidth="1"/>
    <col min="16" max="16" width="14.1640625" style="38" customWidth="1"/>
    <col min="17" max="16384" width="8.6640625" style="38"/>
  </cols>
  <sheetData>
    <row r="1" spans="1:16" x14ac:dyDescent="0.2">
      <c r="A1" s="124" t="s">
        <v>215</v>
      </c>
      <c r="B1" s="120"/>
      <c r="C1" s="120"/>
      <c r="D1" s="120"/>
      <c r="E1" s="120"/>
      <c r="F1" s="120"/>
      <c r="G1" s="120"/>
      <c r="H1" s="120"/>
      <c r="I1" s="120"/>
      <c r="J1" s="120"/>
      <c r="K1" s="120"/>
      <c r="L1" s="120"/>
      <c r="M1" s="120"/>
      <c r="N1" s="120"/>
      <c r="O1" s="120"/>
      <c r="P1" s="120"/>
    </row>
    <row r="2" spans="1:16" x14ac:dyDescent="0.2">
      <c r="A2" s="125"/>
      <c r="B2" s="125"/>
      <c r="C2" s="125"/>
      <c r="D2" s="125"/>
      <c r="E2" s="125"/>
      <c r="F2" s="125"/>
      <c r="G2" s="125"/>
      <c r="H2" s="125"/>
      <c r="I2" s="125"/>
      <c r="J2" s="125"/>
      <c r="K2" s="125"/>
      <c r="L2" s="125"/>
      <c r="M2" s="125"/>
      <c r="N2" s="125"/>
      <c r="O2" s="125"/>
      <c r="P2" s="125"/>
    </row>
    <row r="3" spans="1:16" ht="34.5" customHeight="1" thickBot="1" x14ac:dyDescent="0.25">
      <c r="A3" s="57" t="s">
        <v>216</v>
      </c>
      <c r="B3" s="39" t="s">
        <v>217</v>
      </c>
      <c r="C3" s="39" t="s">
        <v>218</v>
      </c>
      <c r="D3" s="39" t="s">
        <v>219</v>
      </c>
      <c r="E3" s="39" t="s">
        <v>220</v>
      </c>
      <c r="F3" s="39" t="s">
        <v>221</v>
      </c>
      <c r="G3" s="39" t="s">
        <v>222</v>
      </c>
      <c r="H3" s="39" t="s">
        <v>223</v>
      </c>
      <c r="I3" s="39" t="s">
        <v>203</v>
      </c>
      <c r="J3" s="39" t="s">
        <v>60</v>
      </c>
      <c r="K3" s="39" t="s">
        <v>224</v>
      </c>
      <c r="L3" s="39" t="s">
        <v>225</v>
      </c>
      <c r="M3" s="39" t="s">
        <v>226</v>
      </c>
      <c r="N3" s="39" t="s">
        <v>227</v>
      </c>
      <c r="O3" s="40" t="s">
        <v>228</v>
      </c>
      <c r="P3" s="39" t="s">
        <v>229</v>
      </c>
    </row>
    <row r="4" spans="1:16" x14ac:dyDescent="0.2">
      <c r="A4" s="62" t="s">
        <v>230</v>
      </c>
      <c r="B4" s="41">
        <v>627.25</v>
      </c>
      <c r="C4" s="41">
        <v>229960.08</v>
      </c>
      <c r="D4" s="41">
        <v>376268.39</v>
      </c>
      <c r="E4" s="41">
        <v>36223.910000000003</v>
      </c>
      <c r="F4" s="41">
        <v>11363.55</v>
      </c>
      <c r="G4" s="41">
        <v>327057.96000000002</v>
      </c>
      <c r="H4" s="41">
        <v>0.84</v>
      </c>
      <c r="I4" s="65">
        <f>H4/(1+H4)</f>
        <v>0.45652173913043481</v>
      </c>
      <c r="J4" s="41">
        <v>31.99</v>
      </c>
      <c r="K4" s="41">
        <v>20.7</v>
      </c>
      <c r="L4" s="41">
        <v>4.5999999999999996</v>
      </c>
      <c r="M4" s="41">
        <v>0.61</v>
      </c>
      <c r="N4" s="42">
        <f>G4/D4</f>
        <v>0.86921455187877994</v>
      </c>
      <c r="O4" s="64">
        <f>G4/F4</f>
        <v>28.781319218026059</v>
      </c>
      <c r="P4" s="65">
        <v>6.81</v>
      </c>
    </row>
    <row r="5" spans="1:16" x14ac:dyDescent="0.2">
      <c r="A5" s="62" t="s">
        <v>231</v>
      </c>
      <c r="B5" s="44">
        <v>179.25</v>
      </c>
      <c r="C5" s="44">
        <v>52835.64</v>
      </c>
      <c r="D5" s="60">
        <v>42893.69</v>
      </c>
      <c r="E5" s="44">
        <v>5170.83</v>
      </c>
      <c r="F5" s="44">
        <v>4270.6099999999997</v>
      </c>
      <c r="G5" s="44">
        <v>81809.850000000006</v>
      </c>
      <c r="H5" s="68">
        <v>2.8860000000000001</v>
      </c>
      <c r="I5" s="65">
        <f t="shared" ref="I5:I8" si="0">H5/(1+H5)</f>
        <v>0.74266598044261456</v>
      </c>
      <c r="J5" s="44">
        <v>6.06</v>
      </c>
      <c r="K5" s="44">
        <f>B5/J5</f>
        <v>29.579207920792083</v>
      </c>
      <c r="L5" s="44">
        <v>6.17</v>
      </c>
      <c r="M5" s="44">
        <v>1.23</v>
      </c>
      <c r="N5" s="42">
        <f t="shared" ref="N5:N8" si="1">G5/D5</f>
        <v>1.9072700436824157</v>
      </c>
      <c r="O5" s="64">
        <f t="shared" ref="O5:O8" si="2">G5/F5</f>
        <v>19.156478816843499</v>
      </c>
      <c r="P5" s="65">
        <v>13.72</v>
      </c>
    </row>
    <row r="6" spans="1:16" x14ac:dyDescent="0.2">
      <c r="A6" s="62" t="s">
        <v>232</v>
      </c>
      <c r="B6" s="44">
        <v>10526.15</v>
      </c>
      <c r="C6" s="44">
        <v>193468.3</v>
      </c>
      <c r="D6" s="44">
        <v>126837.85</v>
      </c>
      <c r="E6" s="61">
        <v>11438.5</v>
      </c>
      <c r="F6" s="61">
        <v>8612.7999999999993</v>
      </c>
      <c r="G6" s="61">
        <v>319179.59000000003</v>
      </c>
      <c r="H6" s="61">
        <v>0.02</v>
      </c>
      <c r="I6" s="65">
        <f t="shared" si="0"/>
        <v>1.9607843137254902E-2</v>
      </c>
      <c r="J6" s="61">
        <v>321.11</v>
      </c>
      <c r="K6" s="61">
        <v>32.76</v>
      </c>
      <c r="L6" s="61">
        <v>5.12</v>
      </c>
      <c r="M6" s="61">
        <v>2.58</v>
      </c>
      <c r="N6" s="42">
        <f t="shared" si="1"/>
        <v>2.5164380348610451</v>
      </c>
      <c r="O6" s="64">
        <f t="shared" si="2"/>
        <v>37.058748606724883</v>
      </c>
      <c r="P6" s="66">
        <v>20.81</v>
      </c>
    </row>
    <row r="7" spans="1:16" x14ac:dyDescent="0.2">
      <c r="A7" s="62" t="s">
        <v>233</v>
      </c>
      <c r="B7" s="61">
        <v>1555.8</v>
      </c>
      <c r="C7" s="61">
        <v>193468.3</v>
      </c>
      <c r="D7" s="61">
        <v>126837.85</v>
      </c>
      <c r="E7" s="61">
        <v>22997.22</v>
      </c>
      <c r="F7" s="61">
        <v>18640.41</v>
      </c>
      <c r="G7" s="61">
        <v>274441.71999999997</v>
      </c>
      <c r="H7" s="61">
        <v>0.12</v>
      </c>
      <c r="I7" s="65">
        <f t="shared" si="0"/>
        <v>0.10714285714285712</v>
      </c>
      <c r="J7" s="61">
        <v>93.25</v>
      </c>
      <c r="K7" s="61">
        <v>18.02</v>
      </c>
      <c r="L7" s="61">
        <v>3.5</v>
      </c>
      <c r="M7" s="61">
        <v>1.53</v>
      </c>
      <c r="N7" s="42">
        <f t="shared" si="1"/>
        <v>2.1637210028394516</v>
      </c>
      <c r="O7" s="64">
        <f t="shared" si="2"/>
        <v>14.722944398755176</v>
      </c>
      <c r="P7" s="66">
        <v>10.86</v>
      </c>
    </row>
    <row r="8" spans="1:16" x14ac:dyDescent="0.2">
      <c r="A8" s="62" t="s">
        <v>234</v>
      </c>
      <c r="B8" s="61">
        <v>3345</v>
      </c>
      <c r="C8" s="61">
        <v>91510.12</v>
      </c>
      <c r="D8" s="44">
        <v>15031.09</v>
      </c>
      <c r="E8" s="44">
        <v>4354.17</v>
      </c>
      <c r="F8" s="44">
        <v>3827.96</v>
      </c>
      <c r="G8" s="44">
        <v>90941.41</v>
      </c>
      <c r="H8" s="44">
        <v>1.9E-2</v>
      </c>
      <c r="I8" s="65">
        <f t="shared" si="0"/>
        <v>1.8645731108930325E-2</v>
      </c>
      <c r="J8" s="44">
        <v>117.8</v>
      </c>
      <c r="K8" s="44">
        <v>28.34</v>
      </c>
      <c r="L8" s="44">
        <v>6.09</v>
      </c>
      <c r="M8" s="44">
        <v>6.09</v>
      </c>
      <c r="N8" s="42">
        <f t="shared" si="1"/>
        <v>6.050220576152495</v>
      </c>
      <c r="O8" s="64">
        <f t="shared" si="2"/>
        <v>23.757147410108779</v>
      </c>
      <c r="P8" s="65">
        <v>18.93</v>
      </c>
    </row>
    <row r="9" spans="1:16" x14ac:dyDescent="0.2">
      <c r="A9" s="45" t="s">
        <v>235</v>
      </c>
      <c r="H9" s="62" t="s">
        <v>236</v>
      </c>
      <c r="I9" s="69">
        <f>AVERAGE(I4:I7)</f>
        <v>0.33148460496329035</v>
      </c>
      <c r="N9" s="46">
        <f>AVERAGE(N4:N8)</f>
        <v>2.7013728418828378</v>
      </c>
      <c r="O9" s="46">
        <f>AVERAGE(O4:O8)</f>
        <v>24.69532769009168</v>
      </c>
      <c r="P9" s="46">
        <f>AVERAGE(P4:P8)</f>
        <v>14.225999999999999</v>
      </c>
    </row>
    <row r="10" spans="1:16" x14ac:dyDescent="0.2">
      <c r="A10" s="45" t="s">
        <v>237</v>
      </c>
      <c r="N10" s="46">
        <f>MEDIAN(N4:N8)</f>
        <v>2.1637210028394516</v>
      </c>
      <c r="O10" s="46">
        <f>MEDIAN(O4:O8)</f>
        <v>23.757147410108779</v>
      </c>
      <c r="P10" s="46">
        <f>MEDIAN(P4:P8)</f>
        <v>13.72</v>
      </c>
    </row>
    <row r="11" spans="1:16" x14ac:dyDescent="0.2">
      <c r="A11" s="45" t="s">
        <v>238</v>
      </c>
      <c r="N11" s="46">
        <f>MAX(N4:N8)</f>
        <v>6.050220576152495</v>
      </c>
      <c r="O11" s="46">
        <f>MAX(O4:O8)</f>
        <v>37.058748606724883</v>
      </c>
      <c r="P11" s="46">
        <f>MAX(P4:P8)</f>
        <v>20.81</v>
      </c>
    </row>
    <row r="12" spans="1:16" x14ac:dyDescent="0.2">
      <c r="A12" s="45" t="s">
        <v>239</v>
      </c>
      <c r="N12" s="46">
        <f>MIN(N4:N8)</f>
        <v>0.86921455187877994</v>
      </c>
      <c r="O12" s="46">
        <f>MIN(O4:O8)</f>
        <v>14.722944398755176</v>
      </c>
      <c r="P12" s="46">
        <f>MIN(P4:P8)</f>
        <v>6.81</v>
      </c>
    </row>
    <row r="15" spans="1:16" ht="16" thickBot="1" x14ac:dyDescent="0.25">
      <c r="A15" s="126" t="s">
        <v>240</v>
      </c>
      <c r="B15" s="62" t="s">
        <v>241</v>
      </c>
      <c r="C15" s="62">
        <f>AVERAGE(N16:P16)</f>
        <v>604129.71487924049</v>
      </c>
      <c r="K15" s="39" t="s">
        <v>219</v>
      </c>
      <c r="L15" s="39" t="s">
        <v>220</v>
      </c>
      <c r="M15" s="39" t="s">
        <v>221</v>
      </c>
      <c r="N15" s="47" t="s">
        <v>227</v>
      </c>
      <c r="O15" s="47" t="s">
        <v>228</v>
      </c>
      <c r="P15" s="47" t="s">
        <v>229</v>
      </c>
    </row>
    <row r="16" spans="1:16" x14ac:dyDescent="0.2">
      <c r="A16" s="126"/>
      <c r="B16" s="62" t="s">
        <v>242</v>
      </c>
      <c r="C16" s="62">
        <f>AVERAGE(N17:P17)</f>
        <v>527032.4652665758</v>
      </c>
      <c r="J16" s="62" t="s">
        <v>243</v>
      </c>
      <c r="K16" s="41">
        <v>376268.39</v>
      </c>
      <c r="L16" s="41">
        <v>36223.910000000003</v>
      </c>
      <c r="M16" s="41">
        <v>11363.55</v>
      </c>
      <c r="N16" s="43">
        <f>N9*K16</f>
        <v>1016441.21000498</v>
      </c>
      <c r="O16" s="43">
        <f>O9*M16</f>
        <v>280626.59097274131</v>
      </c>
      <c r="P16" s="43">
        <f>P9*L16</f>
        <v>515321.34366000001</v>
      </c>
    </row>
    <row r="17" spans="1:16" x14ac:dyDescent="0.2">
      <c r="J17" s="62" t="s">
        <v>242</v>
      </c>
      <c r="K17" s="41">
        <v>376268.39</v>
      </c>
      <c r="L17" s="41">
        <v>36223.910000000003</v>
      </c>
      <c r="M17" s="41">
        <v>11363.55</v>
      </c>
      <c r="N17" s="38">
        <f>N10*K17</f>
        <v>814139.81814758584</v>
      </c>
      <c r="O17" s="38">
        <f>O10*M17</f>
        <v>269965.53245214158</v>
      </c>
      <c r="P17" s="38">
        <f>P10*L17</f>
        <v>496992.04520000005</v>
      </c>
    </row>
    <row r="19" spans="1:16" x14ac:dyDescent="0.2">
      <c r="A19" s="59"/>
      <c r="B19" s="59"/>
      <c r="C19" s="60"/>
      <c r="D19" s="60"/>
      <c r="E19" s="60"/>
      <c r="F19" s="60"/>
      <c r="G19" s="60"/>
      <c r="H19" s="60"/>
      <c r="I19" s="60"/>
      <c r="J19" s="60"/>
      <c r="K19" s="60"/>
      <c r="L19" s="60"/>
      <c r="M19" s="60"/>
      <c r="N19" s="60"/>
      <c r="O19" s="60"/>
    </row>
    <row r="20" spans="1:16" x14ac:dyDescent="0.2">
      <c r="A20" s="59"/>
      <c r="B20" s="58"/>
      <c r="C20" s="60"/>
      <c r="D20" s="60"/>
      <c r="E20" s="60"/>
      <c r="F20" s="60"/>
      <c r="G20" s="60"/>
      <c r="H20" s="60"/>
      <c r="I20" s="60"/>
      <c r="J20" s="60"/>
      <c r="K20" s="60"/>
      <c r="L20" s="60"/>
      <c r="M20" s="60"/>
      <c r="N20" s="60"/>
      <c r="O20" s="60"/>
    </row>
    <row r="21" spans="1:16" x14ac:dyDescent="0.2">
      <c r="A21" s="59"/>
      <c r="B21" s="58"/>
      <c r="C21" s="60"/>
      <c r="D21" s="60"/>
      <c r="E21" s="60"/>
      <c r="F21" s="60"/>
      <c r="G21" s="60"/>
      <c r="H21" s="60"/>
      <c r="I21" s="60"/>
      <c r="J21" s="60"/>
      <c r="K21" s="60"/>
      <c r="L21" s="60"/>
      <c r="M21" s="60"/>
      <c r="N21" s="60"/>
      <c r="O21" s="60"/>
    </row>
  </sheetData>
  <mergeCells count="2">
    <mergeCell ref="A1:P2"/>
    <mergeCell ref="A15:A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F375-1C72-4C01-8C73-605790005E86}">
  <dimension ref="A1:H26"/>
  <sheetViews>
    <sheetView tabSelected="1" topLeftCell="A2" zoomScale="171" workbookViewId="0">
      <selection activeCell="B23" sqref="B23"/>
    </sheetView>
  </sheetViews>
  <sheetFormatPr baseColWidth="10" defaultColWidth="8.83203125" defaultRowHeight="15" x14ac:dyDescent="0.2"/>
  <cols>
    <col min="1" max="1" width="32.5" bestFit="1" customWidth="1"/>
    <col min="2" max="2" width="21.83203125" bestFit="1" customWidth="1"/>
    <col min="3" max="3" width="28.1640625" bestFit="1" customWidth="1"/>
    <col min="5" max="5" width="12.1640625" bestFit="1" customWidth="1"/>
  </cols>
  <sheetData>
    <row r="1" spans="1:7" x14ac:dyDescent="0.2">
      <c r="A1" t="s">
        <v>244</v>
      </c>
      <c r="B1" t="s">
        <v>245</v>
      </c>
    </row>
    <row r="2" spans="1:7" x14ac:dyDescent="0.2">
      <c r="A2" s="21"/>
      <c r="B2" s="19">
        <v>2024</v>
      </c>
    </row>
    <row r="3" spans="1:7" x14ac:dyDescent="0.2">
      <c r="A3" s="22" t="s">
        <v>246</v>
      </c>
      <c r="B3" s="30">
        <f>'P&amp;L'!L6*(1-0.3)</f>
        <v>3315.9997332580911</v>
      </c>
    </row>
    <row r="4" spans="1:7" x14ac:dyDescent="0.2">
      <c r="A4" s="22" t="s">
        <v>247</v>
      </c>
      <c r="B4" s="50" t="e">
        <f>'WACC APPROACH'!$B$19</f>
        <v>#DIV/0!</v>
      </c>
    </row>
    <row r="5" spans="1:7" x14ac:dyDescent="0.2">
      <c r="A5" s="122" t="s">
        <v>248</v>
      </c>
      <c r="B5" s="122"/>
    </row>
    <row r="6" spans="1:7" x14ac:dyDescent="0.2">
      <c r="A6" s="22" t="s">
        <v>249</v>
      </c>
      <c r="B6" s="30">
        <f>'BALANCE SHEET'!L36</f>
        <v>61720</v>
      </c>
    </row>
    <row r="7" spans="1:7" x14ac:dyDescent="0.2">
      <c r="A7" s="22" t="s">
        <v>250</v>
      </c>
      <c r="B7" s="30">
        <f>'BALANCE SHEET'!L7+'BALANCE SHEET'!L8</f>
        <v>18873</v>
      </c>
    </row>
    <row r="8" spans="1:7" x14ac:dyDescent="0.2">
      <c r="A8" s="22" t="s">
        <v>251</v>
      </c>
      <c r="B8" s="30">
        <v>40290</v>
      </c>
      <c r="C8" s="127" t="s">
        <v>252</v>
      </c>
      <c r="D8" s="128"/>
      <c r="E8" s="128"/>
      <c r="F8" s="128"/>
      <c r="G8" t="s">
        <v>253</v>
      </c>
    </row>
    <row r="10" spans="1:7" x14ac:dyDescent="0.2">
      <c r="A10" s="22" t="s">
        <v>244</v>
      </c>
      <c r="B10" s="30" t="e">
        <f>B3-(B4*B8)</f>
        <v>#DIV/0!</v>
      </c>
    </row>
    <row r="11" spans="1:7" x14ac:dyDescent="0.2">
      <c r="A11" s="22" t="s">
        <v>254</v>
      </c>
      <c r="B11" s="30" t="e">
        <f>B10/B4</f>
        <v>#DIV/0!</v>
      </c>
    </row>
    <row r="13" spans="1:7" x14ac:dyDescent="0.2">
      <c r="A13" s="22" t="s">
        <v>255</v>
      </c>
      <c r="B13" s="30" t="e">
        <f>B8+B11</f>
        <v>#DIV/0!</v>
      </c>
      <c r="C13" t="s">
        <v>256</v>
      </c>
    </row>
    <row r="15" spans="1:7" x14ac:dyDescent="0.2">
      <c r="A15" s="22" t="s">
        <v>257</v>
      </c>
      <c r="B15" s="50">
        <v>0.09</v>
      </c>
      <c r="C15" t="s">
        <v>258</v>
      </c>
    </row>
    <row r="17" spans="1:8" x14ac:dyDescent="0.2">
      <c r="A17" s="129" t="s">
        <v>259</v>
      </c>
      <c r="B17" s="129"/>
    </row>
    <row r="18" spans="1:8" x14ac:dyDescent="0.2">
      <c r="A18" s="67"/>
      <c r="B18" s="36">
        <v>45382</v>
      </c>
      <c r="C18" s="36">
        <v>45747</v>
      </c>
      <c r="D18" s="36">
        <v>46112</v>
      </c>
      <c r="E18" s="36">
        <v>46477</v>
      </c>
      <c r="F18" s="36">
        <v>46843</v>
      </c>
      <c r="G18" s="36">
        <v>47208</v>
      </c>
      <c r="H18" s="36">
        <v>47573</v>
      </c>
    </row>
    <row r="19" spans="1:8" x14ac:dyDescent="0.2">
      <c r="A19" s="22" t="s">
        <v>251</v>
      </c>
      <c r="B19" s="30">
        <f>B8</f>
        <v>40290</v>
      </c>
      <c r="C19" s="21"/>
      <c r="D19" s="21"/>
      <c r="E19" s="21"/>
      <c r="F19" s="21"/>
      <c r="G19" s="21"/>
      <c r="H19" s="21"/>
    </row>
    <row r="20" spans="1:8" x14ac:dyDescent="0.2">
      <c r="A20" s="22" t="s">
        <v>257</v>
      </c>
      <c r="B20" s="33">
        <f>B15</f>
        <v>0.09</v>
      </c>
      <c r="C20" s="21"/>
      <c r="D20" s="21"/>
      <c r="E20" s="21"/>
      <c r="F20" s="21"/>
      <c r="G20" s="21"/>
      <c r="H20" s="21"/>
    </row>
    <row r="21" spans="1:8" x14ac:dyDescent="0.2">
      <c r="A21" s="22" t="s">
        <v>207</v>
      </c>
      <c r="B21" s="33" t="e">
        <f>B4</f>
        <v>#DIV/0!</v>
      </c>
      <c r="C21" s="21"/>
      <c r="D21" s="21"/>
      <c r="E21" s="21"/>
      <c r="F21" s="21"/>
      <c r="G21" s="21"/>
      <c r="H21" s="21"/>
    </row>
    <row r="22" spans="1:8" x14ac:dyDescent="0.2">
      <c r="A22" s="22" t="s">
        <v>244</v>
      </c>
      <c r="B22" s="21" t="e">
        <f>(B20-B21)*B19</f>
        <v>#DIV/0!</v>
      </c>
      <c r="C22" s="21"/>
      <c r="D22" s="21"/>
      <c r="E22" s="21"/>
      <c r="F22" s="21"/>
      <c r="G22" s="21"/>
      <c r="H22" s="21"/>
    </row>
    <row r="23" spans="1:8" x14ac:dyDescent="0.2">
      <c r="A23" s="22" t="s">
        <v>260</v>
      </c>
      <c r="B23" s="21" t="e">
        <f>B22/B21</f>
        <v>#DIV/0!</v>
      </c>
      <c r="C23" s="21" t="e">
        <f>B23/(1+B21)</f>
        <v>#DIV/0!</v>
      </c>
      <c r="D23" s="21" t="e">
        <f>B23/(1+B21)^2</f>
        <v>#DIV/0!</v>
      </c>
      <c r="E23" s="21" t="e">
        <f>B23/(1+B21)^3</f>
        <v>#DIV/0!</v>
      </c>
      <c r="F23" s="21" t="e">
        <f>B23/(1+B21)^4</f>
        <v>#DIV/0!</v>
      </c>
      <c r="G23" s="21" t="e">
        <f>B23/(1+B21)^5</f>
        <v>#DIV/0!</v>
      </c>
      <c r="H23" s="21" t="e">
        <f>B23/(1+B21)^6</f>
        <v>#DIV/0!</v>
      </c>
    </row>
    <row r="24" spans="1:8" x14ac:dyDescent="0.2">
      <c r="A24" s="22" t="s">
        <v>261</v>
      </c>
      <c r="B24" s="21" t="e">
        <f>SUM(B23:H23)</f>
        <v>#DIV/0!</v>
      </c>
      <c r="C24" s="21"/>
      <c r="D24" s="21"/>
      <c r="E24" s="21"/>
      <c r="F24" s="21"/>
      <c r="G24" s="21"/>
      <c r="H24" s="21"/>
    </row>
    <row r="26" spans="1:8" x14ac:dyDescent="0.2">
      <c r="A26" s="22" t="s">
        <v>195</v>
      </c>
      <c r="B26" s="30" t="e">
        <f>B13-B24</f>
        <v>#DIV/0!</v>
      </c>
    </row>
  </sheetData>
  <mergeCells count="3">
    <mergeCell ref="A5:B5"/>
    <mergeCell ref="C8:F8"/>
    <mergeCell ref="A17: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8EF1-84D9-48EA-871F-BABFE65A7641}">
  <dimension ref="A1:H13"/>
  <sheetViews>
    <sheetView workbookViewId="0">
      <selection activeCell="J7" sqref="J7"/>
    </sheetView>
  </sheetViews>
  <sheetFormatPr baseColWidth="10" defaultColWidth="8.83203125" defaultRowHeight="15" x14ac:dyDescent="0.2"/>
  <cols>
    <col min="1" max="1" width="46.6640625" bestFit="1" customWidth="1"/>
    <col min="2" max="2" width="11.6640625" bestFit="1" customWidth="1"/>
    <col min="3" max="7" width="9.6640625" bestFit="1" customWidth="1"/>
    <col min="8" max="8" width="11.83203125" bestFit="1" customWidth="1"/>
  </cols>
  <sheetData>
    <row r="1" spans="1:8" x14ac:dyDescent="0.2">
      <c r="A1" t="s">
        <v>262</v>
      </c>
    </row>
    <row r="2" spans="1:8" x14ac:dyDescent="0.2">
      <c r="A2" t="s">
        <v>263</v>
      </c>
    </row>
    <row r="3" spans="1:8" x14ac:dyDescent="0.2">
      <c r="A3" t="s">
        <v>264</v>
      </c>
    </row>
    <row r="4" spans="1:8" x14ac:dyDescent="0.2">
      <c r="A4" s="8" t="s">
        <v>265</v>
      </c>
    </row>
    <row r="5" spans="1:8" x14ac:dyDescent="0.2">
      <c r="A5" s="21"/>
      <c r="B5" s="36">
        <v>45382</v>
      </c>
      <c r="C5" s="36">
        <v>45747</v>
      </c>
      <c r="D5" s="36">
        <v>46112</v>
      </c>
      <c r="E5" s="36">
        <v>46477</v>
      </c>
      <c r="F5" s="36">
        <v>46843</v>
      </c>
      <c r="G5" s="36">
        <v>47208</v>
      </c>
      <c r="H5" s="36">
        <v>47573</v>
      </c>
    </row>
    <row r="6" spans="1:8" x14ac:dyDescent="0.2">
      <c r="A6" s="21" t="s">
        <v>221</v>
      </c>
      <c r="B6" s="30">
        <f>'P&amp;L'!L6</f>
        <v>4737.1424760829877</v>
      </c>
      <c r="C6" s="30">
        <f>'P&amp;L'!M6</f>
        <v>4952.6089623177149</v>
      </c>
      <c r="D6" s="30">
        <f>'P&amp;L'!N6</f>
        <v>5177.8758307289836</v>
      </c>
      <c r="E6" s="30">
        <f>'P&amp;L'!O6</f>
        <v>5413.3888466535964</v>
      </c>
      <c r="F6" s="30">
        <f>'P&amp;L'!P6</f>
        <v>5659.6140508351646</v>
      </c>
      <c r="G6" s="30">
        <f>'P&amp;L'!Q6</f>
        <v>5917.0386816405435</v>
      </c>
      <c r="H6" s="30">
        <f>'P&amp;L'!R6</f>
        <v>6186.1721392228137</v>
      </c>
    </row>
    <row r="7" spans="1:8" x14ac:dyDescent="0.2">
      <c r="A7" s="21" t="s">
        <v>266</v>
      </c>
      <c r="B7" s="30">
        <f>'P&amp;L'!L11</f>
        <v>-124.94399999999999</v>
      </c>
      <c r="C7" s="30">
        <f>'P&amp;L'!M11</f>
        <v>-124.94399999999999</v>
      </c>
      <c r="D7" s="30">
        <f>'P&amp;L'!N11</f>
        <v>-124.94399999999999</v>
      </c>
      <c r="E7" s="30">
        <f>'P&amp;L'!O11</f>
        <v>-124.94399999999999</v>
      </c>
      <c r="F7" s="30">
        <f>'P&amp;L'!P11</f>
        <v>-124.94399999999999</v>
      </c>
      <c r="G7" s="30">
        <f>'P&amp;L'!Q11</f>
        <v>-124.94399999999999</v>
      </c>
      <c r="H7" s="30">
        <f>'P&amp;L'!R11</f>
        <v>-124.94399999999999</v>
      </c>
    </row>
    <row r="8" spans="1:8" x14ac:dyDescent="0.2">
      <c r="A8" s="21" t="s">
        <v>267</v>
      </c>
      <c r="B8" s="30">
        <f>'P&amp;L'!L8</f>
        <v>1814.3344680113989</v>
      </c>
      <c r="C8" s="30">
        <f>'P&amp;L'!M8</f>
        <v>1863.0845464916326</v>
      </c>
      <c r="D8" s="30">
        <f>'P&amp;L'!N8</f>
        <v>1913.1445103285801</v>
      </c>
      <c r="E8" s="30">
        <f>'P&amp;L'!O8</f>
        <v>1964.549555355791</v>
      </c>
      <c r="F8" s="30">
        <f>'P&amp;L'!P8</f>
        <v>2017.3358230977437</v>
      </c>
      <c r="G8" s="30">
        <f>'P&amp;L'!Q8</f>
        <v>2071.5404261799931</v>
      </c>
      <c r="H8" s="30">
        <f>'P&amp;L'!R8</f>
        <v>2127.2014744220733</v>
      </c>
    </row>
    <row r="9" spans="1:8" x14ac:dyDescent="0.2">
      <c r="A9" s="21" t="s">
        <v>268</v>
      </c>
      <c r="B9" s="30">
        <f>B6-B7+B8</f>
        <v>6676.4209440943869</v>
      </c>
      <c r="C9" s="30">
        <f t="shared" ref="C9:H9" si="0">C6-C7+C8</f>
        <v>6940.6375088093482</v>
      </c>
      <c r="D9" s="30">
        <f t="shared" si="0"/>
        <v>7215.9643410575645</v>
      </c>
      <c r="E9" s="30">
        <f t="shared" si="0"/>
        <v>7502.882402009388</v>
      </c>
      <c r="F9" s="30">
        <f t="shared" si="0"/>
        <v>7801.8938739329087</v>
      </c>
      <c r="G9" s="30">
        <f t="shared" si="0"/>
        <v>8113.523107820537</v>
      </c>
      <c r="H9" s="30">
        <f t="shared" si="0"/>
        <v>8438.3176136448874</v>
      </c>
    </row>
    <row r="10" spans="1:8" x14ac:dyDescent="0.2">
      <c r="A10" s="21" t="s">
        <v>251</v>
      </c>
      <c r="B10" s="30">
        <f>EVA!B8*(1+0.055)</f>
        <v>42505.95</v>
      </c>
      <c r="C10" s="30">
        <f t="shared" ref="C10:H10" si="1">B10*(1+0.055)</f>
        <v>44843.777249999992</v>
      </c>
      <c r="D10" s="30">
        <f t="shared" si="1"/>
        <v>47310.184998749988</v>
      </c>
      <c r="E10" s="30">
        <f t="shared" si="1"/>
        <v>49912.245173681236</v>
      </c>
      <c r="F10" s="30">
        <f t="shared" si="1"/>
        <v>52657.418658233699</v>
      </c>
      <c r="G10" s="30">
        <f t="shared" si="1"/>
        <v>55553.57668443655</v>
      </c>
      <c r="H10" s="30">
        <f t="shared" si="1"/>
        <v>58609.023402080558</v>
      </c>
    </row>
    <row r="11" spans="1:8" x14ac:dyDescent="0.2">
      <c r="A11" s="21" t="s">
        <v>263</v>
      </c>
      <c r="B11" s="30">
        <f t="shared" ref="B11:H11" si="2">B9/B10</f>
        <v>0.15707026767062934</v>
      </c>
      <c r="C11" s="30">
        <f t="shared" si="2"/>
        <v>0.15477370405521201</v>
      </c>
      <c r="D11" s="30">
        <f t="shared" si="2"/>
        <v>0.15252454289173087</v>
      </c>
      <c r="E11" s="30">
        <f t="shared" si="2"/>
        <v>0.150321476741857</v>
      </c>
      <c r="F11" s="30">
        <f t="shared" si="2"/>
        <v>0.14816324219328167</v>
      </c>
      <c r="G11" s="30">
        <f t="shared" si="2"/>
        <v>0.14604861814583323</v>
      </c>
      <c r="H11" s="30">
        <f t="shared" si="2"/>
        <v>0.14397642417200449</v>
      </c>
    </row>
    <row r="12" spans="1:8" x14ac:dyDescent="0.2">
      <c r="A12" s="75" t="s">
        <v>108</v>
      </c>
      <c r="B12" s="75"/>
      <c r="C12" s="21"/>
      <c r="D12" s="21"/>
      <c r="E12" s="21"/>
      <c r="F12" s="21"/>
      <c r="G12" s="21"/>
      <c r="H12" s="30" t="e">
        <f>H9*(1+'WACC APPROACH'!B20)/('WACC APPROACH'!B19-'WACC APPROACH'!B20)</f>
        <v>#DIV/0!</v>
      </c>
    </row>
    <row r="13" spans="1:8" x14ac:dyDescent="0.2">
      <c r="A13" s="36" t="s">
        <v>195</v>
      </c>
      <c r="B13" s="37" t="e">
        <f>NPV('WACC APPROACH'!B19,CFROI!B11:H11)+NPV('WACC APPROACH'!B20,CFROI!H12)</f>
        <v>#DIV/0!</v>
      </c>
      <c r="H13"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5F3F-224C-47A8-A825-05157FC9815E}">
  <dimension ref="A1:Q13"/>
  <sheetViews>
    <sheetView workbookViewId="0">
      <selection sqref="A1:B1"/>
    </sheetView>
  </sheetViews>
  <sheetFormatPr baseColWidth="10" defaultColWidth="8.83203125" defaultRowHeight="15" x14ac:dyDescent="0.2"/>
  <cols>
    <col min="1" max="1" width="11.33203125" customWidth="1"/>
    <col min="2" max="2" width="10" customWidth="1"/>
    <col min="9" max="9" width="14.33203125" customWidth="1"/>
    <col min="11" max="11" width="10.83203125" customWidth="1"/>
    <col min="13" max="13" width="13" customWidth="1"/>
    <col min="14" max="14" width="14.33203125" customWidth="1"/>
  </cols>
  <sheetData>
    <row r="1" spans="1:17" x14ac:dyDescent="0.2">
      <c r="A1" s="130" t="s">
        <v>269</v>
      </c>
      <c r="B1" s="130"/>
      <c r="C1" s="78" t="s">
        <v>270</v>
      </c>
      <c r="D1" s="131" t="s">
        <v>271</v>
      </c>
      <c r="E1" s="131"/>
      <c r="F1" s="131"/>
      <c r="G1" s="131"/>
      <c r="H1" s="131"/>
      <c r="I1" s="131"/>
    </row>
    <row r="2" spans="1:17" x14ac:dyDescent="0.2">
      <c r="A2" s="79" t="s">
        <v>272</v>
      </c>
      <c r="B2" s="79"/>
      <c r="C2" s="77" t="s">
        <v>270</v>
      </c>
      <c r="D2" s="132" t="s">
        <v>273</v>
      </c>
      <c r="E2" s="132"/>
    </row>
    <row r="3" spans="1:17" x14ac:dyDescent="0.2">
      <c r="A3" s="130" t="s">
        <v>274</v>
      </c>
      <c r="B3" s="130"/>
      <c r="C3" s="76" t="s">
        <v>270</v>
      </c>
      <c r="D3" s="133" t="s">
        <v>275</v>
      </c>
      <c r="E3" s="133"/>
    </row>
    <row r="5" spans="1:17" x14ac:dyDescent="0.2">
      <c r="B5" t="s">
        <v>276</v>
      </c>
      <c r="C5" s="63" t="s">
        <v>270</v>
      </c>
      <c r="D5">
        <f>'P&amp;L'!K13</f>
        <v>8.2140426941257942</v>
      </c>
      <c r="E5" t="s">
        <v>277</v>
      </c>
      <c r="K5" s="134"/>
      <c r="L5" s="135"/>
      <c r="M5" s="81" t="s">
        <v>278</v>
      </c>
      <c r="N5" s="81" t="s">
        <v>279</v>
      </c>
    </row>
    <row r="6" spans="1:17" x14ac:dyDescent="0.2">
      <c r="B6" t="s">
        <v>280</v>
      </c>
      <c r="C6" s="63" t="s">
        <v>270</v>
      </c>
      <c r="D6" s="128" t="s">
        <v>323</v>
      </c>
      <c r="E6" s="128"/>
      <c r="F6" s="128"/>
      <c r="G6" s="128"/>
      <c r="H6" s="128"/>
      <c r="I6" s="128"/>
      <c r="K6" s="130" t="s">
        <v>281</v>
      </c>
      <c r="L6" s="130"/>
      <c r="M6" s="21">
        <f>3320662007+508502896</f>
        <v>3829164903</v>
      </c>
      <c r="N6" s="21">
        <f>3321344325+508502896</f>
        <v>3829847221</v>
      </c>
      <c r="O6" s="128" t="s">
        <v>282</v>
      </c>
      <c r="P6" s="128"/>
    </row>
    <row r="7" spans="1:17" x14ac:dyDescent="0.2">
      <c r="D7">
        <f>('BALANCE SHEET'!K3*10000000)/M6</f>
        <v>2.0004361770888193</v>
      </c>
    </row>
    <row r="8" spans="1:17" x14ac:dyDescent="0.2">
      <c r="A8" s="137" t="s">
        <v>283</v>
      </c>
      <c r="B8" s="137"/>
    </row>
    <row r="9" spans="1:17" ht="14.5" customHeight="1" x14ac:dyDescent="0.2">
      <c r="A9" s="130" t="s">
        <v>274</v>
      </c>
      <c r="B9" s="136"/>
      <c r="C9" s="21">
        <f>D7+(D5-0)</f>
        <v>10.214478871214613</v>
      </c>
      <c r="D9" s="128" t="s">
        <v>284</v>
      </c>
      <c r="E9" s="128"/>
      <c r="F9" s="128"/>
      <c r="G9" s="128"/>
      <c r="H9" s="128"/>
      <c r="I9" s="128"/>
      <c r="J9" s="128"/>
      <c r="K9" s="128"/>
      <c r="L9" s="128"/>
      <c r="M9" s="128"/>
      <c r="N9" s="128"/>
      <c r="O9" s="128"/>
      <c r="P9" s="128"/>
      <c r="Q9" s="128"/>
    </row>
    <row r="10" spans="1:17" x14ac:dyDescent="0.2">
      <c r="A10" s="130" t="s">
        <v>272</v>
      </c>
      <c r="B10" s="136"/>
      <c r="C10" s="21" t="e">
        <f>D5-(D7*'WACC APPROACH'!B19)</f>
        <v>#DIV/0!</v>
      </c>
    </row>
    <row r="11" spans="1:17" x14ac:dyDescent="0.2">
      <c r="A11" s="130" t="s">
        <v>285</v>
      </c>
      <c r="B11" s="136"/>
      <c r="C11" s="21" t="e">
        <f>(C10*(1.055))/(0.113-0.055)</f>
        <v>#DIV/0!</v>
      </c>
    </row>
    <row r="12" spans="1:17" x14ac:dyDescent="0.2">
      <c r="A12" s="130" t="s">
        <v>286</v>
      </c>
      <c r="B12" s="136"/>
      <c r="C12" s="21" t="e">
        <f>C10/1.113</f>
        <v>#DIV/0!</v>
      </c>
    </row>
    <row r="13" spans="1:17" x14ac:dyDescent="0.2">
      <c r="A13" s="81" t="s">
        <v>269</v>
      </c>
      <c r="B13" s="82"/>
      <c r="C13" s="21" t="e">
        <f>C9+C12+C11</f>
        <v>#DIV/0!</v>
      </c>
    </row>
  </sheetData>
  <mergeCells count="15">
    <mergeCell ref="K5:L5"/>
    <mergeCell ref="A10:B10"/>
    <mergeCell ref="A12:B12"/>
    <mergeCell ref="A11:B11"/>
    <mergeCell ref="D9:Q9"/>
    <mergeCell ref="O6:P6"/>
    <mergeCell ref="K6:L6"/>
    <mergeCell ref="D6:I6"/>
    <mergeCell ref="A8:B8"/>
    <mergeCell ref="A9:B9"/>
    <mergeCell ref="A1:B1"/>
    <mergeCell ref="D1:I1"/>
    <mergeCell ref="D2:E2"/>
    <mergeCell ref="A3:B3"/>
    <mergeCell ref="D3:E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BE3B2-5725-4F2C-88AC-5C56D3B6FFE6}">
  <dimension ref="A1:F24"/>
  <sheetViews>
    <sheetView workbookViewId="0">
      <selection activeCell="E4" sqref="E4"/>
    </sheetView>
  </sheetViews>
  <sheetFormatPr baseColWidth="10" defaultColWidth="9.1640625" defaultRowHeight="15" x14ac:dyDescent="0.2"/>
  <cols>
    <col min="1" max="1" width="9.1640625" style="63"/>
    <col min="2" max="2" width="44" style="63" customWidth="1"/>
    <col min="3" max="3" width="16.5" style="63" customWidth="1"/>
    <col min="4" max="4" width="15" style="63" customWidth="1"/>
    <col min="5" max="5" width="14.33203125" style="63" customWidth="1"/>
    <col min="6" max="16384" width="9.1640625" style="63"/>
  </cols>
  <sheetData>
    <row r="1" spans="1:6" x14ac:dyDescent="0.2">
      <c r="C1" s="83">
        <v>2021</v>
      </c>
      <c r="D1" s="83">
        <v>2022</v>
      </c>
      <c r="E1" s="83">
        <v>2023</v>
      </c>
      <c r="F1" s="106" t="s">
        <v>321</v>
      </c>
    </row>
    <row r="3" spans="1:6" x14ac:dyDescent="0.2">
      <c r="A3" s="63" t="s">
        <v>287</v>
      </c>
      <c r="B3" s="99" t="s">
        <v>288</v>
      </c>
      <c r="C3" s="96">
        <f>C4/C5</f>
        <v>-0.11426375653243161</v>
      </c>
      <c r="D3" s="97">
        <f>D4/D5</f>
        <v>-0.22787167449139281</v>
      </c>
      <c r="E3" s="98">
        <f>E4/E5</f>
        <v>0</v>
      </c>
      <c r="F3" s="107">
        <v>1.2</v>
      </c>
    </row>
    <row r="4" spans="1:6" x14ac:dyDescent="0.2">
      <c r="B4" s="100" t="s">
        <v>289</v>
      </c>
      <c r="C4" s="95">
        <f>('BALANCE SHEET'!J31+'BALANCE SHEET'!J32+'BALANCE SHEET'!J33+'BALANCE SHEET'!J34)-('BALANCE SHEET'!J8+'BALANCE SHEET'!J12+'BALANCE SHEET'!J13)</f>
        <v>-7434</v>
      </c>
      <c r="D4" s="95">
        <f>('BALANCE SHEET'!L31+'BALANCE SHEET'!L32+'BALANCE SHEET'!L33+'BALANCE SHEET'!L34)-('BALANCE SHEET'!L8+'BALANCE SHEET'!L12+'BALANCE SHEET'!L13)</f>
        <v>-14561</v>
      </c>
      <c r="E4" s="95">
        <f>('BALANCE SHEET'!M31+'BALANCE SHEET'!M32+'BALANCE SHEET'!M33+'BALANCE SHEET'!M34)-('BALANCE SHEET'!M8+'BALANCE SHEET'!M12+'BALANCE SHEET'!M13)</f>
        <v>0</v>
      </c>
    </row>
    <row r="5" spans="1:6" x14ac:dyDescent="0.2">
      <c r="B5" s="100" t="s">
        <v>290</v>
      </c>
      <c r="C5" s="101">
        <v>65060</v>
      </c>
      <c r="D5" s="101">
        <v>63900</v>
      </c>
      <c r="E5" s="101">
        <v>61720</v>
      </c>
    </row>
    <row r="6" spans="1:6" x14ac:dyDescent="0.2">
      <c r="B6" s="63" t="s">
        <v>321</v>
      </c>
      <c r="C6" s="63">
        <f>C3*F3</f>
        <v>-0.13711650783891793</v>
      </c>
      <c r="D6" s="63">
        <f>D3*F3</f>
        <v>-0.27344600938967134</v>
      </c>
      <c r="E6" s="63">
        <f>E3*F3</f>
        <v>0</v>
      </c>
    </row>
    <row r="7" spans="1:6" x14ac:dyDescent="0.2">
      <c r="A7" s="63" t="s">
        <v>291</v>
      </c>
      <c r="B7" s="99" t="s">
        <v>292</v>
      </c>
      <c r="C7" s="97">
        <f>C8/C9</f>
        <v>-3.6818936366430986E-2</v>
      </c>
      <c r="D7" s="97">
        <f>D8/D9</f>
        <v>-2.1766197183098589E-2</v>
      </c>
      <c r="E7" s="108">
        <f>E8/E9</f>
        <v>4.4201717433570965E-2</v>
      </c>
      <c r="F7" s="107">
        <v>1.4</v>
      </c>
    </row>
    <row r="8" spans="1:6" x14ac:dyDescent="0.2">
      <c r="B8" s="100" t="s">
        <v>293</v>
      </c>
      <c r="C8" s="76">
        <v>-2395.44</v>
      </c>
      <c r="D8" s="76">
        <f>'Data Sheet'!J28</f>
        <v>-1390.86</v>
      </c>
      <c r="E8" s="76">
        <f>'Data Sheet'!K28</f>
        <v>2728.13</v>
      </c>
    </row>
    <row r="9" spans="1:6" x14ac:dyDescent="0.2">
      <c r="B9" s="100" t="s">
        <v>290</v>
      </c>
      <c r="C9" s="101">
        <v>65060</v>
      </c>
      <c r="D9" s="101">
        <v>63900</v>
      </c>
      <c r="E9" s="101">
        <v>61720</v>
      </c>
    </row>
    <row r="10" spans="1:6" x14ac:dyDescent="0.2">
      <c r="B10" s="63" t="s">
        <v>321</v>
      </c>
      <c r="C10" s="63">
        <f>C7*$F$7</f>
        <v>-5.1546510913003378E-2</v>
      </c>
      <c r="D10" s="63">
        <f>D7*$F$7</f>
        <v>-3.0472676056338022E-2</v>
      </c>
      <c r="E10" s="63">
        <f>E7*$F$7</f>
        <v>6.1882404406999346E-2</v>
      </c>
    </row>
    <row r="11" spans="1:6" x14ac:dyDescent="0.2">
      <c r="A11" s="63" t="s">
        <v>294</v>
      </c>
      <c r="B11" s="99" t="s">
        <v>295</v>
      </c>
      <c r="C11" s="97">
        <f>C12/C13</f>
        <v>-4.0561020596372628E-3</v>
      </c>
      <c r="D11" s="97">
        <f>D12/D13</f>
        <v>1.2989827856025041E-2</v>
      </c>
      <c r="E11" s="108">
        <f>E12/E13</f>
        <v>5.3504698639014914E-2</v>
      </c>
      <c r="F11" s="107">
        <v>3.3</v>
      </c>
    </row>
    <row r="12" spans="1:6" x14ac:dyDescent="0.2">
      <c r="B12" s="100" t="s">
        <v>221</v>
      </c>
      <c r="C12" s="76">
        <f>'Data Sheet'!I28+'Data Sheet'!I27+'Data Sheet'!I25</f>
        <v>-263.89000000000033</v>
      </c>
      <c r="D12" s="76">
        <f>'Data Sheet'!J28+'Data Sheet'!J27+'Data Sheet'!J25</f>
        <v>830.05000000000018</v>
      </c>
      <c r="E12" s="76">
        <f>'Data Sheet'!K28+'Data Sheet'!K27+'Data Sheet'!K25</f>
        <v>3302.3100000000004</v>
      </c>
    </row>
    <row r="13" spans="1:6" x14ac:dyDescent="0.2">
      <c r="B13" s="100" t="s">
        <v>290</v>
      </c>
      <c r="C13" s="101">
        <v>65060</v>
      </c>
      <c r="D13" s="101">
        <v>63900</v>
      </c>
      <c r="E13" s="101">
        <v>61720</v>
      </c>
    </row>
    <row r="14" spans="1:6" x14ac:dyDescent="0.2">
      <c r="B14" s="63" t="s">
        <v>321</v>
      </c>
      <c r="C14" s="63">
        <f>C11*$F$11</f>
        <v>-1.3385136796802966E-2</v>
      </c>
      <c r="D14" s="63">
        <f>D11*$F$11</f>
        <v>4.2866431924882632E-2</v>
      </c>
      <c r="E14" s="63">
        <f>E11*$F$11</f>
        <v>0.17656550550874919</v>
      </c>
    </row>
    <row r="15" spans="1:6" x14ac:dyDescent="0.2">
      <c r="A15" s="63" t="s">
        <v>296</v>
      </c>
      <c r="B15" s="99" t="s">
        <v>297</v>
      </c>
      <c r="C15" s="97">
        <f>C16/C17</f>
        <v>1.8217077040606453</v>
      </c>
      <c r="D15" s="97">
        <f>D16/D17</f>
        <v>12.292520313910689</v>
      </c>
      <c r="E15" s="108">
        <f>E16/E17</f>
        <v>21.190571323258386</v>
      </c>
      <c r="F15" s="107">
        <v>0.6</v>
      </c>
    </row>
    <row r="16" spans="1:6" x14ac:dyDescent="0.2">
      <c r="B16" s="100" t="s">
        <v>123</v>
      </c>
      <c r="C16" s="76">
        <v>31000</v>
      </c>
      <c r="D16" s="76">
        <v>177000</v>
      </c>
      <c r="E16" s="76">
        <v>229960.08</v>
      </c>
    </row>
    <row r="17" spans="1:6" x14ac:dyDescent="0.2">
      <c r="B17" s="100" t="s">
        <v>298</v>
      </c>
      <c r="C17" s="101">
        <f>'BALANCE SHEET'!J7+'BALANCE SHEET'!J9</f>
        <v>17017</v>
      </c>
      <c r="D17" s="101">
        <f>'BALANCE SHEET'!K7+'BALANCE SHEET'!K9</f>
        <v>14399</v>
      </c>
      <c r="E17" s="101">
        <f>'BALANCE SHEET'!L7+'BALANCE SHEET'!L9</f>
        <v>10852</v>
      </c>
    </row>
    <row r="18" spans="1:6" x14ac:dyDescent="0.2">
      <c r="B18" s="63" t="s">
        <v>321</v>
      </c>
      <c r="C18" s="63">
        <f>C15*$F$15</f>
        <v>1.0930246224363871</v>
      </c>
      <c r="D18" s="63">
        <f>D15*$F$15</f>
        <v>7.3755121883464128</v>
      </c>
      <c r="E18" s="63">
        <f>E15*$F$15</f>
        <v>12.714342793955032</v>
      </c>
    </row>
    <row r="19" spans="1:6" x14ac:dyDescent="0.2">
      <c r="A19" s="63" t="s">
        <v>299</v>
      </c>
      <c r="B19" s="99" t="s">
        <v>300</v>
      </c>
      <c r="C19" s="97">
        <f>C20/C21</f>
        <v>0.46380310482631415</v>
      </c>
      <c r="D19" s="97">
        <f>D20/D21</f>
        <v>0.73965070422535206</v>
      </c>
      <c r="E19" s="108">
        <f>E20/E21</f>
        <v>1.0654136422553468</v>
      </c>
      <c r="F19" s="107">
        <v>1</v>
      </c>
    </row>
    <row r="20" spans="1:6" x14ac:dyDescent="0.2">
      <c r="B20" s="100" t="s">
        <v>50</v>
      </c>
      <c r="C20" s="76">
        <v>30175.03</v>
      </c>
      <c r="D20" s="76">
        <v>47263.68</v>
      </c>
      <c r="E20" s="76">
        <v>65757.33</v>
      </c>
    </row>
    <row r="21" spans="1:6" x14ac:dyDescent="0.2">
      <c r="B21" s="100" t="s">
        <v>290</v>
      </c>
      <c r="C21" s="101">
        <v>65060</v>
      </c>
      <c r="D21" s="101">
        <v>63900</v>
      </c>
      <c r="E21" s="101">
        <v>61720</v>
      </c>
    </row>
    <row r="22" spans="1:6" x14ac:dyDescent="0.2">
      <c r="B22" s="63" t="s">
        <v>321</v>
      </c>
      <c r="C22" s="63">
        <f>C19*$F$19</f>
        <v>0.46380310482631415</v>
      </c>
      <c r="D22" s="63">
        <f>D19*$F$19</f>
        <v>0.73965070422535206</v>
      </c>
      <c r="E22" s="63">
        <f>E19*$F$19</f>
        <v>1.0654136422553468</v>
      </c>
    </row>
    <row r="24" spans="1:6" ht="24" x14ac:dyDescent="0.3">
      <c r="B24" s="102" t="s">
        <v>301</v>
      </c>
      <c r="C24" s="63">
        <f>1.2*C3+(1.4*C7)+(3.3*C11)+(0.6*C15)+(1*C19)</f>
        <v>1.3547795717139768</v>
      </c>
      <c r="D24" s="63">
        <f>1.2*D3+(1.4*D7)+(3.3*D11)+(0.6*D15)+(1*D19)</f>
        <v>7.8541106390506377</v>
      </c>
      <c r="E24" s="63">
        <f>1.2*E3+(1.4*E7)+(3.3*E11)+(0.6*E15)+(1*E19)</f>
        <v>14.018204346126128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F676-5F9D-44D5-BF0E-52DA9DB8EB48}">
  <dimension ref="D4:Q15"/>
  <sheetViews>
    <sheetView topLeftCell="B1" zoomScale="96" workbookViewId="0">
      <selection activeCell="M10" sqref="M10"/>
    </sheetView>
  </sheetViews>
  <sheetFormatPr baseColWidth="10" defaultColWidth="8.83203125" defaultRowHeight="15" x14ac:dyDescent="0.2"/>
  <cols>
    <col min="5" max="5" width="19.6640625" customWidth="1"/>
    <col min="6" max="6" width="14.5" customWidth="1"/>
    <col min="7" max="7" width="16.1640625" customWidth="1"/>
    <col min="9" max="9" width="15.33203125" customWidth="1"/>
    <col min="12" max="12" width="70.1640625" customWidth="1"/>
    <col min="15" max="15" width="13.83203125" customWidth="1"/>
  </cols>
  <sheetData>
    <row r="4" spans="4:17" x14ac:dyDescent="0.2">
      <c r="D4" s="3"/>
      <c r="E4" s="81" t="s">
        <v>302</v>
      </c>
      <c r="F4" s="21">
        <v>2728</v>
      </c>
      <c r="G4" s="81" t="s">
        <v>303</v>
      </c>
      <c r="I4" s="83" t="s">
        <v>304</v>
      </c>
    </row>
    <row r="5" spans="4:17" x14ac:dyDescent="0.2">
      <c r="E5" s="81" t="s">
        <v>305</v>
      </c>
      <c r="F5" s="92">
        <v>65757.33</v>
      </c>
      <c r="G5" s="67">
        <f>F4/F5</f>
        <v>4.1485869331981694E-2</v>
      </c>
      <c r="I5" s="93">
        <f>G5*G8*G11</f>
        <v>0.12863677087754044</v>
      </c>
      <c r="L5" s="3" t="s">
        <v>311</v>
      </c>
      <c r="M5" s="3"/>
    </row>
    <row r="6" spans="4:17" ht="16" x14ac:dyDescent="0.2">
      <c r="E6" s="134"/>
      <c r="F6" s="138"/>
      <c r="G6" s="135"/>
      <c r="L6" s="105" t="s">
        <v>312</v>
      </c>
      <c r="M6" s="103">
        <v>2499.8200000000002</v>
      </c>
      <c r="N6" s="105"/>
      <c r="O6" s="105"/>
      <c r="P6" s="105"/>
      <c r="Q6" s="105"/>
    </row>
    <row r="7" spans="4:17" ht="32" x14ac:dyDescent="0.2">
      <c r="E7" s="81" t="s">
        <v>306</v>
      </c>
      <c r="F7" s="92">
        <v>65757.33</v>
      </c>
      <c r="G7" s="94" t="s">
        <v>307</v>
      </c>
      <c r="L7" s="105" t="s">
        <v>313</v>
      </c>
    </row>
    <row r="8" spans="4:17" ht="32" x14ac:dyDescent="0.2">
      <c r="E8" s="81" t="s">
        <v>308</v>
      </c>
      <c r="F8" s="21">
        <v>62810</v>
      </c>
      <c r="G8" s="67">
        <f>F7/F8</f>
        <v>1.0469245343098232</v>
      </c>
      <c r="L8" s="105" t="s">
        <v>314</v>
      </c>
    </row>
    <row r="9" spans="4:17" ht="32" x14ac:dyDescent="0.2">
      <c r="E9" s="134"/>
      <c r="F9" s="138"/>
      <c r="G9" s="135"/>
      <c r="L9" s="105" t="s">
        <v>315</v>
      </c>
    </row>
    <row r="10" spans="4:17" ht="32" x14ac:dyDescent="0.2">
      <c r="E10" s="81" t="s">
        <v>308</v>
      </c>
      <c r="F10" s="21">
        <v>62810</v>
      </c>
      <c r="G10" s="94" t="s">
        <v>309</v>
      </c>
      <c r="L10" t="s">
        <v>316</v>
      </c>
    </row>
    <row r="11" spans="4:17" x14ac:dyDescent="0.2">
      <c r="E11" s="81" t="s">
        <v>310</v>
      </c>
      <c r="F11" s="21">
        <v>21207</v>
      </c>
      <c r="G11" s="67">
        <f>F10/F11</f>
        <v>2.9617579101240157</v>
      </c>
    </row>
    <row r="12" spans="4:17" x14ac:dyDescent="0.2">
      <c r="N12" t="s">
        <v>317</v>
      </c>
      <c r="O12" s="104">
        <v>11499.95</v>
      </c>
    </row>
    <row r="13" spans="4:17" x14ac:dyDescent="0.2">
      <c r="N13" t="s">
        <v>318</v>
      </c>
      <c r="O13" s="104">
        <v>25803.53</v>
      </c>
    </row>
    <row r="14" spans="4:17" x14ac:dyDescent="0.2">
      <c r="N14" t="s">
        <v>319</v>
      </c>
      <c r="O14" s="104">
        <f>O13-M6</f>
        <v>23303.71</v>
      </c>
    </row>
    <row r="15" spans="4:17" x14ac:dyDescent="0.2">
      <c r="N15" t="s">
        <v>320</v>
      </c>
      <c r="O15" s="104">
        <f>O12-O14</f>
        <v>-11803.759999999998</v>
      </c>
    </row>
  </sheetData>
  <mergeCells count="2">
    <mergeCell ref="E6:G6"/>
    <mergeCell ref="E9: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0BF450F651D43AE5C1399211E310E" ma:contentTypeVersion="4" ma:contentTypeDescription="Create a new document." ma:contentTypeScope="" ma:versionID="691be53b6bf702b6df04796b81ead34c">
  <xsd:schema xmlns:xsd="http://www.w3.org/2001/XMLSchema" xmlns:xs="http://www.w3.org/2001/XMLSchema" xmlns:p="http://schemas.microsoft.com/office/2006/metadata/properties" xmlns:ns3="95a205a8-8fdb-4c3f-b746-ad843f23dbc7" targetNamespace="http://schemas.microsoft.com/office/2006/metadata/properties" ma:root="true" ma:fieldsID="6152cb258834068774e6e3279176be27" ns3:_="">
    <xsd:import namespace="95a205a8-8fdb-4c3f-b746-ad843f23dbc7"/>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205a8-8fdb-4c3f-b746-ad843f23db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5a205a8-8fdb-4c3f-b746-ad843f23dbc7" xsi:nil="true"/>
  </documentManagement>
</p:properties>
</file>

<file path=customXml/itemProps1.xml><?xml version="1.0" encoding="utf-8"?>
<ds:datastoreItem xmlns:ds="http://schemas.openxmlformats.org/officeDocument/2006/customXml" ds:itemID="{5B582407-B41E-414D-9317-A4AAC748A6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205a8-8fdb-4c3f-b746-ad843f23d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C5AF88-5766-4578-928A-7544EC364174}">
  <ds:schemaRefs>
    <ds:schemaRef ds:uri="http://schemas.microsoft.com/sharepoint/v3/contenttype/forms"/>
  </ds:schemaRefs>
</ds:datastoreItem>
</file>

<file path=customXml/itemProps3.xml><?xml version="1.0" encoding="utf-8"?>
<ds:datastoreItem xmlns:ds="http://schemas.openxmlformats.org/officeDocument/2006/customXml" ds:itemID="{F5F4A9F4-0349-4879-A547-869F7F779313}">
  <ds:schemaRefs>
    <ds:schemaRef ds:uri="http://purl.org/dc/term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95a205a8-8fdb-4c3f-b746-ad843f23dbc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INTRODUCTION</vt:lpstr>
      <vt:lpstr>ASSUMPTIONS</vt:lpstr>
      <vt:lpstr>BALANCE SHEET</vt:lpstr>
      <vt:lpstr>P&amp;L</vt:lpstr>
      <vt:lpstr>CASH FLOW</vt:lpstr>
      <vt:lpstr>APV</vt:lpstr>
      <vt:lpstr>Data Sheet</vt:lpstr>
      <vt:lpstr>FREE CASH FLOWS</vt:lpstr>
      <vt:lpstr>Beta Calculation</vt:lpstr>
      <vt:lpstr>WACC APPROACH</vt:lpstr>
      <vt:lpstr>CAPITAL CASH FLOW</vt:lpstr>
      <vt:lpstr>Relative Valuation</vt:lpstr>
      <vt:lpstr>EVA</vt:lpstr>
      <vt:lpstr>CFROI</vt:lpstr>
      <vt:lpstr>RESIDUAL INCOME</vt:lpstr>
      <vt:lpstr>ALTMAN Z Score</vt:lpstr>
      <vt:lpstr>DUPONT</vt:lpstr>
      <vt:lpstr>UPDATE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Shanya  Shai</dc:creator>
  <cp:keywords/>
  <dc:description/>
  <cp:lastModifiedBy>shubham toke</cp:lastModifiedBy>
  <cp:revision/>
  <dcterms:created xsi:type="dcterms:W3CDTF">2023-09-10T19:47:57Z</dcterms:created>
  <dcterms:modified xsi:type="dcterms:W3CDTF">2025-07-19T10:13:54Z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0x01010083D0BF450F651D43AE5C1399211E310E</vt:lpwstr>
  </property>
</Properties>
</file>